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ento_zošit"/>
  <xr:revisionPtr revIDLastSave="12" documentId="13_ncr:1_{EECC727F-4C0D-4622-B1A1-1FE2A81AB234}" xr6:coauthVersionLast="47" xr6:coauthVersionMax="47" xr10:uidLastSave="{AEC14E37-B792-444E-994F-47D24572C7B2}"/>
  <bookViews>
    <workbookView xWindow="-110" yWindow="-110" windowWidth="25820" windowHeight="13900" tabRatio="737" activeTab="3" xr2:uid="{00000000-000D-0000-FFFF-FFFF00000000}"/>
  </bookViews>
  <sheets>
    <sheet name="Úvod" sheetId="5" r:id="rId1"/>
    <sheet name="Zoznam_Harkov" sheetId="40" r:id="rId2"/>
    <sheet name="Sumarizácia" sheetId="20" r:id="rId3"/>
    <sheet name="Zdroje Financovania" sheetId="39" r:id="rId4"/>
    <sheet name="CBA - Agendové IS" sheetId="2" r:id="rId5"/>
    <sheet name="Výdavky - Agendové IS" sheetId="6" r:id="rId6"/>
    <sheet name="Prínosy - Agendové IS" sheetId="4" r:id="rId7"/>
    <sheet name="Parametre - Agendové IS" sheetId="3" r:id="rId8"/>
    <sheet name="MODULY_CBA" sheetId="32" r:id="rId9"/>
    <sheet name="Parametre_ECF_TCF" sheetId="43" state="hidden" r:id="rId10"/>
    <sheet name="INKREMENTY" sheetId="36" r:id="rId11"/>
    <sheet name="KATALOG_POZIADAVKY" sheetId="30" r:id="rId12"/>
    <sheet name="TCF_v02" sheetId="33" r:id="rId13"/>
    <sheet name="ECF_v02" sheetId="34" r:id="rId14"/>
    <sheet name="UAW_v02" sheetId="35" r:id="rId15"/>
    <sheet name="EXTERNE_POZICIE" sheetId="29" r:id="rId16"/>
    <sheet name="POZICIE_INTERNE" sheetId="37" r:id="rId17"/>
    <sheet name="Rozpocet - Vyvoj aplikacii" sheetId="26" r:id="rId18"/>
    <sheet name="ISCO_Prevodnik" sheetId="44" state="hidden" r:id="rId19"/>
    <sheet name="Rozpočet - HW a licencie" sheetId="27" r:id="rId20"/>
    <sheet name="Harmonogram" sheetId="28" r:id="rId21"/>
    <sheet name="Hárok2" sheetId="46" r:id="rId22"/>
    <sheet name="Hárok1" sheetId="45" r:id="rId23"/>
    <sheet name="TCO" sheetId="11" r:id="rId24"/>
    <sheet name="TCO AS IS - SW" sheetId="17" r:id="rId25"/>
    <sheet name="TCO AS IS - HW" sheetId="18" r:id="rId26"/>
    <sheet name="TCO TO BE- SW" sheetId="9" r:id="rId27"/>
    <sheet name="TCO TO BE - HW" sheetId="10" r:id="rId28"/>
    <sheet name="Faktory" sheetId="1" r:id="rId29"/>
    <sheet name="Ciselnik" sheetId="38" state="hidden" r:id="rId30"/>
    <sheet name="Procesné mapy" sheetId="22" r:id="rId31"/>
    <sheet name="Procesy - AS IS" sheetId="23" r:id="rId32"/>
    <sheet name="Procesy - TO BE" sheetId="24" r:id="rId33"/>
    <sheet name="Analyza citlivosti - AgendovéIS" sheetId="7" r:id="rId34"/>
    <sheet name="Rozdelenie prínosov" sheetId="14" state="hidden" r:id="rId35"/>
  </sheets>
  <externalReferences>
    <externalReference r:id="rId36"/>
  </externalReferences>
  <definedNames>
    <definedName name="_xlnm._FilterDatabase" localSheetId="11" hidden="1">KATALOG_POZIADAVKY!$A$2:$AE$399</definedName>
    <definedName name="_xlnm._FilterDatabase" localSheetId="17" hidden="1">'Rozpocet - Vyvoj aplikacii'!$B$2:$L$65</definedName>
    <definedName name="_xlnm._FilterDatabase" localSheetId="19" hidden="1">'Rozpočet - HW a licencie'!$A$2:$J$44</definedName>
    <definedName name="_ftn1" localSheetId="27">'TCO TO BE - HW'!$AB$81</definedName>
    <definedName name="_ftnref1" localSheetId="27">'TCO TO BE - HW'!$AB$76</definedName>
    <definedName name="Bezpecnost">ISCO_Prevodnik!$J$2:$J$3</definedName>
    <definedName name="Databazy">ISCO_Prevodnik!$H$2:$H$3</definedName>
    <definedName name="Faza" localSheetId="16">POZICIE_INTERNE!$A$4:$A$7</definedName>
    <definedName name="Faza">EXTERNE_POZICIE!$A$4:$A$7</definedName>
    <definedName name="Ine">ISCO_Prevodnik!$L$2:$L$8</definedName>
    <definedName name="Infrastrutkura">ISCO_Prevodnik!$G$2</definedName>
    <definedName name="Inkrement">INKREMENTY!$A$2:$A$21</definedName>
    <definedName name="IT_analytik">ISCO_Prevodnik!$C$2</definedName>
    <definedName name="IT_architekt">ISCO_Prevodnik!$D$2:$D$3</definedName>
    <definedName name="IT_konzultant">ISCO_Prevodnik!$I$2</definedName>
    <definedName name="IT_programator">ISCO_Prevodnik!$B$2:$B$3</definedName>
    <definedName name="IT_tester">ISCO_Prevodnik!$F$2</definedName>
    <definedName name="Kvalita">ISCO_Prevodnik!$E$2</definedName>
    <definedName name="MODULY">MODULY_CBA!$B$3:$B$23</definedName>
    <definedName name="Moduly_2">MODULY_CBA!$B$3:$B$21</definedName>
    <definedName name="PF">[1]CISELNIK!$A$2:$A$6</definedName>
    <definedName name="Poziadavky">[1]CISELNIK!$B$2:$B$4</definedName>
    <definedName name="Pozicia" localSheetId="16">POZICIE_INTERNE!$M$4:$M$27</definedName>
    <definedName name="Pozicia">EXTERNE_POZICIE!$Q$4:$Q$15</definedName>
    <definedName name="PozicieKomplet">EXTERNE_POZICIE!$Q$4:$Q$27</definedName>
    <definedName name="Projektovy_manazer">ISCO_Prevodnik!$A$2</definedName>
    <definedName name="Projektový_manažér">ISCO_Prevodnik!$A$2</definedName>
    <definedName name="Subjekt">Ciselnik!$A$2:$A$9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64" i="37" l="1"/>
  <c r="E14" i="3"/>
  <c r="D14" i="3"/>
  <c r="E13" i="3"/>
  <c r="D13" i="3"/>
  <c r="E12" i="3"/>
  <c r="D12" i="3"/>
  <c r="E11" i="3"/>
  <c r="D11" i="3"/>
  <c r="E10" i="3"/>
  <c r="D10" i="3"/>
  <c r="E9" i="3"/>
  <c r="D9" i="3"/>
  <c r="E8" i="3"/>
  <c r="D8" i="3"/>
  <c r="E7" i="3"/>
  <c r="D7" i="3"/>
  <c r="E6" i="3"/>
  <c r="D6" i="3"/>
  <c r="E5" i="3"/>
  <c r="D5" i="3"/>
  <c r="N448" i="30"/>
  <c r="M448" i="30"/>
  <c r="L448" i="30"/>
  <c r="K448" i="30"/>
  <c r="J448" i="30"/>
  <c r="N447" i="30"/>
  <c r="M447" i="30"/>
  <c r="L447" i="30"/>
  <c r="K447" i="30"/>
  <c r="J447" i="30"/>
  <c r="N446" i="30"/>
  <c r="M446" i="30"/>
  <c r="L446" i="30"/>
  <c r="O446" i="30" s="1"/>
  <c r="P446" i="30" s="1"/>
  <c r="K446" i="30"/>
  <c r="J446" i="30"/>
  <c r="N445" i="30"/>
  <c r="M445" i="30"/>
  <c r="L445" i="30"/>
  <c r="K445" i="30"/>
  <c r="J445" i="30"/>
  <c r="N444" i="30"/>
  <c r="M444" i="30"/>
  <c r="L444" i="30"/>
  <c r="K444" i="30"/>
  <c r="J444" i="30"/>
  <c r="N443" i="30"/>
  <c r="M443" i="30"/>
  <c r="L443" i="30"/>
  <c r="K443" i="30"/>
  <c r="J443" i="30"/>
  <c r="N442" i="30"/>
  <c r="M442" i="30"/>
  <c r="L442" i="30"/>
  <c r="K442" i="30"/>
  <c r="J442" i="30"/>
  <c r="N441" i="30"/>
  <c r="M441" i="30"/>
  <c r="L441" i="30"/>
  <c r="K441" i="30"/>
  <c r="J441" i="30"/>
  <c r="N440" i="30"/>
  <c r="M440" i="30"/>
  <c r="L440" i="30"/>
  <c r="K440" i="30"/>
  <c r="J440" i="30"/>
  <c r="N439" i="30"/>
  <c r="M439" i="30"/>
  <c r="L439" i="30"/>
  <c r="K439" i="30"/>
  <c r="J439" i="30"/>
  <c r="N438" i="30"/>
  <c r="M438" i="30"/>
  <c r="L438" i="30"/>
  <c r="O438" i="30" s="1"/>
  <c r="P438" i="30" s="1"/>
  <c r="K438" i="30"/>
  <c r="J438" i="30"/>
  <c r="N437" i="30"/>
  <c r="M437" i="30"/>
  <c r="L437" i="30"/>
  <c r="K437" i="30"/>
  <c r="J437" i="30"/>
  <c r="N436" i="30"/>
  <c r="M436" i="30"/>
  <c r="L436" i="30"/>
  <c r="K436" i="30"/>
  <c r="J436" i="30"/>
  <c r="N435" i="30"/>
  <c r="M435" i="30"/>
  <c r="L435" i="30"/>
  <c r="K435" i="30"/>
  <c r="J435" i="30"/>
  <c r="N434" i="30"/>
  <c r="M434" i="30"/>
  <c r="L434" i="30"/>
  <c r="K434" i="30"/>
  <c r="J434" i="30"/>
  <c r="N433" i="30"/>
  <c r="M433" i="30"/>
  <c r="L433" i="30"/>
  <c r="K433" i="30"/>
  <c r="J433" i="30"/>
  <c r="N432" i="30"/>
  <c r="M432" i="30"/>
  <c r="L432" i="30"/>
  <c r="K432" i="30"/>
  <c r="J432" i="30"/>
  <c r="N431" i="30"/>
  <c r="M431" i="30"/>
  <c r="L431" i="30"/>
  <c r="K431" i="30"/>
  <c r="J431" i="30"/>
  <c r="N430" i="30"/>
  <c r="M430" i="30"/>
  <c r="L430" i="30"/>
  <c r="O430" i="30" s="1"/>
  <c r="P430" i="30" s="1"/>
  <c r="K430" i="30"/>
  <c r="J430" i="30"/>
  <c r="N429" i="30"/>
  <c r="M429" i="30"/>
  <c r="L429" i="30"/>
  <c r="K429" i="30"/>
  <c r="J429" i="30"/>
  <c r="N428" i="30"/>
  <c r="M428" i="30"/>
  <c r="L428" i="30"/>
  <c r="K428" i="30"/>
  <c r="J428" i="30"/>
  <c r="N427" i="30"/>
  <c r="M427" i="30"/>
  <c r="L427" i="30"/>
  <c r="O427" i="30" s="1"/>
  <c r="P427" i="30" s="1"/>
  <c r="K427" i="30"/>
  <c r="J427" i="30"/>
  <c r="N426" i="30"/>
  <c r="M426" i="30"/>
  <c r="L426" i="30"/>
  <c r="K426" i="30"/>
  <c r="J426" i="30"/>
  <c r="N425" i="30"/>
  <c r="M425" i="30"/>
  <c r="L425" i="30"/>
  <c r="K425" i="30"/>
  <c r="J425" i="30"/>
  <c r="N424" i="30"/>
  <c r="M424" i="30"/>
  <c r="L424" i="30"/>
  <c r="K424" i="30"/>
  <c r="J424" i="30"/>
  <c r="N423" i="30"/>
  <c r="M423" i="30"/>
  <c r="L423" i="30"/>
  <c r="K423" i="30"/>
  <c r="J423" i="30"/>
  <c r="N422" i="30"/>
  <c r="M422" i="30"/>
  <c r="L422" i="30"/>
  <c r="O422" i="30" s="1"/>
  <c r="P422" i="30" s="1"/>
  <c r="K422" i="30"/>
  <c r="J422" i="30"/>
  <c r="N421" i="30"/>
  <c r="M421" i="30"/>
  <c r="L421" i="30"/>
  <c r="K421" i="30"/>
  <c r="J421" i="30"/>
  <c r="N420" i="30"/>
  <c r="M420" i="30"/>
  <c r="L420" i="30"/>
  <c r="K420" i="30"/>
  <c r="J420" i="30"/>
  <c r="N419" i="30"/>
  <c r="M419" i="30"/>
  <c r="L419" i="30"/>
  <c r="O419" i="30" s="1"/>
  <c r="P419" i="30" s="1"/>
  <c r="K419" i="30"/>
  <c r="J419" i="30"/>
  <c r="N418" i="30"/>
  <c r="M418" i="30"/>
  <c r="L418" i="30"/>
  <c r="K418" i="30"/>
  <c r="J418" i="30"/>
  <c r="N417" i="30"/>
  <c r="M417" i="30"/>
  <c r="L417" i="30"/>
  <c r="K417" i="30"/>
  <c r="J417" i="30"/>
  <c r="N416" i="30"/>
  <c r="M416" i="30"/>
  <c r="L416" i="30"/>
  <c r="K416" i="30"/>
  <c r="J416" i="30"/>
  <c r="N415" i="30"/>
  <c r="M415" i="30"/>
  <c r="L415" i="30"/>
  <c r="K415" i="30"/>
  <c r="J415" i="30"/>
  <c r="N414" i="30"/>
  <c r="M414" i="30"/>
  <c r="L414" i="30"/>
  <c r="O414" i="30" s="1"/>
  <c r="P414" i="30" s="1"/>
  <c r="K414" i="30"/>
  <c r="J414" i="30"/>
  <c r="N413" i="30"/>
  <c r="M413" i="30"/>
  <c r="L413" i="30"/>
  <c r="K413" i="30"/>
  <c r="J413" i="30"/>
  <c r="N412" i="30"/>
  <c r="M412" i="30"/>
  <c r="L412" i="30"/>
  <c r="K412" i="30"/>
  <c r="J412" i="30"/>
  <c r="N411" i="30"/>
  <c r="M411" i="30"/>
  <c r="L411" i="30"/>
  <c r="O411" i="30" s="1"/>
  <c r="P411" i="30" s="1"/>
  <c r="K411" i="30"/>
  <c r="J411" i="30"/>
  <c r="N410" i="30"/>
  <c r="M410" i="30"/>
  <c r="L410" i="30"/>
  <c r="K410" i="30"/>
  <c r="J410" i="30"/>
  <c r="N409" i="30"/>
  <c r="M409" i="30"/>
  <c r="L409" i="30"/>
  <c r="K409" i="30"/>
  <c r="J409" i="30"/>
  <c r="N408" i="30"/>
  <c r="M408" i="30"/>
  <c r="L408" i="30"/>
  <c r="K408" i="30"/>
  <c r="J408" i="30"/>
  <c r="N407" i="30"/>
  <c r="M407" i="30"/>
  <c r="L407" i="30"/>
  <c r="K407" i="30"/>
  <c r="J407" i="30"/>
  <c r="N406" i="30"/>
  <c r="M406" i="30"/>
  <c r="L406" i="30"/>
  <c r="O406" i="30" s="1"/>
  <c r="P406" i="30" s="1"/>
  <c r="K406" i="30"/>
  <c r="J406" i="30"/>
  <c r="N405" i="30"/>
  <c r="M405" i="30"/>
  <c r="L405" i="30"/>
  <c r="K405" i="30"/>
  <c r="J405" i="30"/>
  <c r="N404" i="30"/>
  <c r="M404" i="30"/>
  <c r="L404" i="30"/>
  <c r="K404" i="30"/>
  <c r="J404" i="30"/>
  <c r="N403" i="30"/>
  <c r="M403" i="30"/>
  <c r="L403" i="30"/>
  <c r="O403" i="30" s="1"/>
  <c r="P403" i="30" s="1"/>
  <c r="K403" i="30"/>
  <c r="J403" i="30"/>
  <c r="N402" i="30"/>
  <c r="M402" i="30"/>
  <c r="L402" i="30"/>
  <c r="K402" i="30"/>
  <c r="J402" i="30"/>
  <c r="N401" i="30"/>
  <c r="M401" i="30"/>
  <c r="L401" i="30"/>
  <c r="K401" i="30"/>
  <c r="J401" i="30"/>
  <c r="N400" i="30"/>
  <c r="M400" i="30"/>
  <c r="L400" i="30"/>
  <c r="K400" i="30"/>
  <c r="J400" i="30"/>
  <c r="N399" i="30"/>
  <c r="M399" i="30"/>
  <c r="L399" i="30"/>
  <c r="K399" i="30"/>
  <c r="J399" i="30"/>
  <c r="N398" i="30"/>
  <c r="M398" i="30"/>
  <c r="L398" i="30"/>
  <c r="O398" i="30" s="1"/>
  <c r="P398" i="30" s="1"/>
  <c r="K398" i="30"/>
  <c r="J398" i="30"/>
  <c r="N397" i="30"/>
  <c r="M397" i="30"/>
  <c r="L397" i="30"/>
  <c r="K397" i="30"/>
  <c r="J397" i="30"/>
  <c r="N396" i="30"/>
  <c r="M396" i="30"/>
  <c r="L396" i="30"/>
  <c r="K396" i="30"/>
  <c r="J396" i="30"/>
  <c r="N395" i="30"/>
  <c r="M395" i="30"/>
  <c r="L395" i="30"/>
  <c r="O395" i="30" s="1"/>
  <c r="P395" i="30" s="1"/>
  <c r="K395" i="30"/>
  <c r="J395" i="30"/>
  <c r="N394" i="30"/>
  <c r="M394" i="30"/>
  <c r="L394" i="30"/>
  <c r="K394" i="30"/>
  <c r="J394" i="30"/>
  <c r="N393" i="30"/>
  <c r="M393" i="30"/>
  <c r="L393" i="30"/>
  <c r="K393" i="30"/>
  <c r="J393" i="30"/>
  <c r="N392" i="30"/>
  <c r="M392" i="30"/>
  <c r="L392" i="30"/>
  <c r="K392" i="30"/>
  <c r="J392" i="30"/>
  <c r="N391" i="30"/>
  <c r="M391" i="30"/>
  <c r="L391" i="30"/>
  <c r="K391" i="30"/>
  <c r="J391" i="30"/>
  <c r="N390" i="30"/>
  <c r="M390" i="30"/>
  <c r="L390" i="30"/>
  <c r="O390" i="30" s="1"/>
  <c r="P390" i="30" s="1"/>
  <c r="K390" i="30"/>
  <c r="J390" i="30"/>
  <c r="N389" i="30"/>
  <c r="M389" i="30"/>
  <c r="L389" i="30"/>
  <c r="K389" i="30"/>
  <c r="J389" i="30"/>
  <c r="N388" i="30"/>
  <c r="M388" i="30"/>
  <c r="L388" i="30"/>
  <c r="K388" i="30"/>
  <c r="J388" i="30"/>
  <c r="N387" i="30"/>
  <c r="M387" i="30"/>
  <c r="L387" i="30"/>
  <c r="O387" i="30" s="1"/>
  <c r="P387" i="30" s="1"/>
  <c r="K387" i="30"/>
  <c r="J387" i="30"/>
  <c r="N386" i="30"/>
  <c r="M386" i="30"/>
  <c r="L386" i="30"/>
  <c r="K386" i="30"/>
  <c r="J386" i="30"/>
  <c r="J221" i="30"/>
  <c r="K221" i="30"/>
  <c r="L221" i="30"/>
  <c r="M221" i="30"/>
  <c r="N221" i="30"/>
  <c r="Q221" i="30"/>
  <c r="J222" i="30"/>
  <c r="K222" i="30"/>
  <c r="L222" i="30"/>
  <c r="M222" i="30"/>
  <c r="N222" i="30"/>
  <c r="Q222" i="30"/>
  <c r="J223" i="30"/>
  <c r="K223" i="30"/>
  <c r="L223" i="30"/>
  <c r="M223" i="30"/>
  <c r="N223" i="30"/>
  <c r="Q223" i="30"/>
  <c r="J224" i="30"/>
  <c r="K224" i="30"/>
  <c r="L224" i="30"/>
  <c r="M224" i="30"/>
  <c r="N224" i="30"/>
  <c r="Q224" i="30"/>
  <c r="J225" i="30"/>
  <c r="K225" i="30"/>
  <c r="L225" i="30"/>
  <c r="M225" i="30"/>
  <c r="N225" i="30"/>
  <c r="Q225" i="30"/>
  <c r="J226" i="30"/>
  <c r="K226" i="30"/>
  <c r="L226" i="30"/>
  <c r="M226" i="30"/>
  <c r="N226" i="30"/>
  <c r="Q226" i="30"/>
  <c r="J227" i="30"/>
  <c r="K227" i="30"/>
  <c r="L227" i="30"/>
  <c r="M227" i="30"/>
  <c r="N227" i="30"/>
  <c r="Q227" i="30"/>
  <c r="J228" i="30"/>
  <c r="K228" i="30"/>
  <c r="L228" i="30"/>
  <c r="M228" i="30"/>
  <c r="N228" i="30"/>
  <c r="Q228" i="30"/>
  <c r="J229" i="30"/>
  <c r="K229" i="30"/>
  <c r="L229" i="30"/>
  <c r="M229" i="30"/>
  <c r="N229" i="30"/>
  <c r="Q229" i="30"/>
  <c r="J230" i="30"/>
  <c r="K230" i="30"/>
  <c r="L230" i="30"/>
  <c r="M230" i="30"/>
  <c r="N230" i="30"/>
  <c r="Q230" i="30"/>
  <c r="J231" i="30"/>
  <c r="K231" i="30"/>
  <c r="L231" i="30"/>
  <c r="M231" i="30"/>
  <c r="N231" i="30"/>
  <c r="Q231" i="30"/>
  <c r="J232" i="30"/>
  <c r="K232" i="30"/>
  <c r="L232" i="30"/>
  <c r="M232" i="30"/>
  <c r="N232" i="30"/>
  <c r="Q232" i="30"/>
  <c r="J233" i="30"/>
  <c r="K233" i="30"/>
  <c r="L233" i="30"/>
  <c r="M233" i="30"/>
  <c r="N233" i="30"/>
  <c r="Q233" i="30"/>
  <c r="J234" i="30"/>
  <c r="K234" i="30"/>
  <c r="L234" i="30"/>
  <c r="M234" i="30"/>
  <c r="N234" i="30"/>
  <c r="Q234" i="30"/>
  <c r="J235" i="30"/>
  <c r="K235" i="30"/>
  <c r="L235" i="30"/>
  <c r="M235" i="30"/>
  <c r="N235" i="30"/>
  <c r="Q235" i="30"/>
  <c r="J236" i="30"/>
  <c r="K236" i="30"/>
  <c r="L236" i="30"/>
  <c r="M236" i="30"/>
  <c r="N236" i="30"/>
  <c r="Q236" i="30"/>
  <c r="J237" i="30"/>
  <c r="K237" i="30"/>
  <c r="L237" i="30"/>
  <c r="M237" i="30"/>
  <c r="N237" i="30"/>
  <c r="Q237" i="30"/>
  <c r="J238" i="30"/>
  <c r="K238" i="30"/>
  <c r="L238" i="30"/>
  <c r="M238" i="30"/>
  <c r="N238" i="30"/>
  <c r="Q238" i="30"/>
  <c r="J239" i="30"/>
  <c r="K239" i="30"/>
  <c r="L239" i="30"/>
  <c r="M239" i="30"/>
  <c r="N239" i="30"/>
  <c r="Q239" i="30"/>
  <c r="J240" i="30"/>
  <c r="K240" i="30"/>
  <c r="L240" i="30"/>
  <c r="M240" i="30"/>
  <c r="N240" i="30"/>
  <c r="Q240" i="30"/>
  <c r="J241" i="30"/>
  <c r="K241" i="30"/>
  <c r="L241" i="30"/>
  <c r="M241" i="30"/>
  <c r="N241" i="30"/>
  <c r="Q241" i="30"/>
  <c r="J242" i="30"/>
  <c r="K242" i="30"/>
  <c r="L242" i="30"/>
  <c r="M242" i="30"/>
  <c r="N242" i="30"/>
  <c r="Q242" i="30"/>
  <c r="J243" i="30"/>
  <c r="K243" i="30"/>
  <c r="L243" i="30"/>
  <c r="M243" i="30"/>
  <c r="N243" i="30"/>
  <c r="Q243" i="30"/>
  <c r="J244" i="30"/>
  <c r="K244" i="30"/>
  <c r="L244" i="30"/>
  <c r="M244" i="30"/>
  <c r="N244" i="30"/>
  <c r="Q244" i="30"/>
  <c r="J245" i="30"/>
  <c r="K245" i="30"/>
  <c r="L245" i="30"/>
  <c r="M245" i="30"/>
  <c r="N245" i="30"/>
  <c r="Q245" i="30"/>
  <c r="J246" i="30"/>
  <c r="K246" i="30"/>
  <c r="L246" i="30"/>
  <c r="M246" i="30"/>
  <c r="N246" i="30"/>
  <c r="Q246" i="30"/>
  <c r="J247" i="30"/>
  <c r="K247" i="30"/>
  <c r="L247" i="30"/>
  <c r="M247" i="30"/>
  <c r="N247" i="30"/>
  <c r="Q247" i="30"/>
  <c r="J248" i="30"/>
  <c r="K248" i="30"/>
  <c r="L248" i="30"/>
  <c r="M248" i="30"/>
  <c r="N248" i="30"/>
  <c r="Q248" i="30"/>
  <c r="J249" i="30"/>
  <c r="K249" i="30"/>
  <c r="L249" i="30"/>
  <c r="M249" i="30"/>
  <c r="N249" i="30"/>
  <c r="Q249" i="30"/>
  <c r="J250" i="30"/>
  <c r="K250" i="30"/>
  <c r="L250" i="30"/>
  <c r="M250" i="30"/>
  <c r="N250" i="30"/>
  <c r="Q250" i="30"/>
  <c r="J251" i="30"/>
  <c r="K251" i="30"/>
  <c r="L251" i="30"/>
  <c r="M251" i="30"/>
  <c r="N251" i="30"/>
  <c r="Q251" i="30"/>
  <c r="J252" i="30"/>
  <c r="K252" i="30"/>
  <c r="L252" i="30"/>
  <c r="M252" i="30"/>
  <c r="N252" i="30"/>
  <c r="Q252" i="30"/>
  <c r="J253" i="30"/>
  <c r="K253" i="30"/>
  <c r="L253" i="30"/>
  <c r="M253" i="30"/>
  <c r="N253" i="30"/>
  <c r="Q253" i="30"/>
  <c r="J254" i="30"/>
  <c r="K254" i="30"/>
  <c r="L254" i="30"/>
  <c r="M254" i="30"/>
  <c r="N254" i="30"/>
  <c r="Q254" i="30"/>
  <c r="J255" i="30"/>
  <c r="K255" i="30"/>
  <c r="L255" i="30"/>
  <c r="M255" i="30"/>
  <c r="N255" i="30"/>
  <c r="Q255" i="30"/>
  <c r="J256" i="30"/>
  <c r="K256" i="30"/>
  <c r="L256" i="30"/>
  <c r="M256" i="30"/>
  <c r="N256" i="30"/>
  <c r="Q256" i="30"/>
  <c r="J257" i="30"/>
  <c r="K257" i="30"/>
  <c r="L257" i="30"/>
  <c r="M257" i="30"/>
  <c r="N257" i="30"/>
  <c r="Q257" i="30"/>
  <c r="J258" i="30"/>
  <c r="K258" i="30"/>
  <c r="L258" i="30"/>
  <c r="M258" i="30"/>
  <c r="N258" i="30"/>
  <c r="Q258" i="30"/>
  <c r="J259" i="30"/>
  <c r="K259" i="30"/>
  <c r="L259" i="30"/>
  <c r="M259" i="30"/>
  <c r="N259" i="30"/>
  <c r="Q259" i="30"/>
  <c r="J260" i="30"/>
  <c r="K260" i="30"/>
  <c r="L260" i="30"/>
  <c r="M260" i="30"/>
  <c r="N260" i="30"/>
  <c r="Q260" i="30"/>
  <c r="J261" i="30"/>
  <c r="K261" i="30"/>
  <c r="L261" i="30"/>
  <c r="M261" i="30"/>
  <c r="N261" i="30"/>
  <c r="Q261" i="30"/>
  <c r="J262" i="30"/>
  <c r="K262" i="30"/>
  <c r="L262" i="30"/>
  <c r="M262" i="30"/>
  <c r="N262" i="30"/>
  <c r="Q262" i="30"/>
  <c r="J263" i="30"/>
  <c r="K263" i="30"/>
  <c r="L263" i="30"/>
  <c r="M263" i="30"/>
  <c r="N263" i="30"/>
  <c r="Q263" i="30"/>
  <c r="J264" i="30"/>
  <c r="K264" i="30"/>
  <c r="L264" i="30"/>
  <c r="M264" i="30"/>
  <c r="N264" i="30"/>
  <c r="Q264" i="30"/>
  <c r="J265" i="30"/>
  <c r="K265" i="30"/>
  <c r="L265" i="30"/>
  <c r="M265" i="30"/>
  <c r="N265" i="30"/>
  <c r="Q265" i="30"/>
  <c r="J266" i="30"/>
  <c r="K266" i="30"/>
  <c r="L266" i="30"/>
  <c r="M266" i="30"/>
  <c r="N266" i="30"/>
  <c r="Q266" i="30"/>
  <c r="J267" i="30"/>
  <c r="K267" i="30"/>
  <c r="L267" i="30"/>
  <c r="M267" i="30"/>
  <c r="N267" i="30"/>
  <c r="Q267" i="30"/>
  <c r="J268" i="30"/>
  <c r="K268" i="30"/>
  <c r="L268" i="30"/>
  <c r="M268" i="30"/>
  <c r="N268" i="30"/>
  <c r="Q268" i="30"/>
  <c r="J269" i="30"/>
  <c r="K269" i="30"/>
  <c r="L269" i="30"/>
  <c r="M269" i="30"/>
  <c r="N269" i="30"/>
  <c r="Q269" i="30"/>
  <c r="J270" i="30"/>
  <c r="K270" i="30"/>
  <c r="L270" i="30"/>
  <c r="M270" i="30"/>
  <c r="N270" i="30"/>
  <c r="Q270" i="30"/>
  <c r="J271" i="30"/>
  <c r="K271" i="30"/>
  <c r="L271" i="30"/>
  <c r="M271" i="30"/>
  <c r="N271" i="30"/>
  <c r="Q271" i="30"/>
  <c r="J272" i="30"/>
  <c r="K272" i="30"/>
  <c r="L272" i="30"/>
  <c r="M272" i="30"/>
  <c r="N272" i="30"/>
  <c r="Q272" i="30"/>
  <c r="J273" i="30"/>
  <c r="K273" i="30"/>
  <c r="L273" i="30"/>
  <c r="M273" i="30"/>
  <c r="N273" i="30"/>
  <c r="Q273" i="30"/>
  <c r="J274" i="30"/>
  <c r="K274" i="30"/>
  <c r="L274" i="30"/>
  <c r="M274" i="30"/>
  <c r="N274" i="30"/>
  <c r="Q274" i="30"/>
  <c r="J275" i="30"/>
  <c r="K275" i="30"/>
  <c r="L275" i="30"/>
  <c r="M275" i="30"/>
  <c r="N275" i="30"/>
  <c r="Q275" i="30"/>
  <c r="J276" i="30"/>
  <c r="K276" i="30"/>
  <c r="L276" i="30"/>
  <c r="M276" i="30"/>
  <c r="N276" i="30"/>
  <c r="Q276" i="30"/>
  <c r="J277" i="30"/>
  <c r="K277" i="30"/>
  <c r="L277" i="30"/>
  <c r="M277" i="30"/>
  <c r="N277" i="30"/>
  <c r="Q277" i="30"/>
  <c r="J278" i="30"/>
  <c r="K278" i="30"/>
  <c r="L278" i="30"/>
  <c r="M278" i="30"/>
  <c r="N278" i="30"/>
  <c r="Q278" i="30"/>
  <c r="J279" i="30"/>
  <c r="K279" i="30"/>
  <c r="L279" i="30"/>
  <c r="M279" i="30"/>
  <c r="N279" i="30"/>
  <c r="Q279" i="30"/>
  <c r="J280" i="30"/>
  <c r="K280" i="30"/>
  <c r="L280" i="30"/>
  <c r="M280" i="30"/>
  <c r="N280" i="30"/>
  <c r="Q280" i="30"/>
  <c r="J281" i="30"/>
  <c r="K281" i="30"/>
  <c r="L281" i="30"/>
  <c r="M281" i="30"/>
  <c r="N281" i="30"/>
  <c r="Q281" i="30"/>
  <c r="J282" i="30"/>
  <c r="K282" i="30"/>
  <c r="L282" i="30"/>
  <c r="M282" i="30"/>
  <c r="N282" i="30"/>
  <c r="Q282" i="30"/>
  <c r="J283" i="30"/>
  <c r="K283" i="30"/>
  <c r="L283" i="30"/>
  <c r="M283" i="30"/>
  <c r="N283" i="30"/>
  <c r="Q283" i="30"/>
  <c r="J284" i="30"/>
  <c r="K284" i="30"/>
  <c r="L284" i="30"/>
  <c r="M284" i="30"/>
  <c r="N284" i="30"/>
  <c r="Q284" i="30"/>
  <c r="J285" i="30"/>
  <c r="K285" i="30"/>
  <c r="L285" i="30"/>
  <c r="M285" i="30"/>
  <c r="N285" i="30"/>
  <c r="Q285" i="30"/>
  <c r="J286" i="30"/>
  <c r="K286" i="30"/>
  <c r="L286" i="30"/>
  <c r="M286" i="30"/>
  <c r="N286" i="30"/>
  <c r="Q286" i="30"/>
  <c r="J287" i="30"/>
  <c r="K287" i="30"/>
  <c r="L287" i="30"/>
  <c r="M287" i="30"/>
  <c r="N287" i="30"/>
  <c r="Q287" i="30"/>
  <c r="J288" i="30"/>
  <c r="K288" i="30"/>
  <c r="L288" i="30"/>
  <c r="M288" i="30"/>
  <c r="N288" i="30"/>
  <c r="Q288" i="30"/>
  <c r="J289" i="30"/>
  <c r="K289" i="30"/>
  <c r="L289" i="30"/>
  <c r="M289" i="30"/>
  <c r="N289" i="30"/>
  <c r="Q289" i="30"/>
  <c r="J290" i="30"/>
  <c r="K290" i="30"/>
  <c r="L290" i="30"/>
  <c r="M290" i="30"/>
  <c r="N290" i="30"/>
  <c r="Q290" i="30"/>
  <c r="J291" i="30"/>
  <c r="K291" i="30"/>
  <c r="L291" i="30"/>
  <c r="M291" i="30"/>
  <c r="N291" i="30"/>
  <c r="Q291" i="30"/>
  <c r="J292" i="30"/>
  <c r="K292" i="30"/>
  <c r="L292" i="30"/>
  <c r="M292" i="30"/>
  <c r="N292" i="30"/>
  <c r="Q292" i="30"/>
  <c r="J293" i="30"/>
  <c r="K293" i="30"/>
  <c r="L293" i="30"/>
  <c r="M293" i="30"/>
  <c r="N293" i="30"/>
  <c r="Q293" i="30"/>
  <c r="J294" i="30"/>
  <c r="K294" i="30"/>
  <c r="L294" i="30"/>
  <c r="M294" i="30"/>
  <c r="N294" i="30"/>
  <c r="Q294" i="30"/>
  <c r="J295" i="30"/>
  <c r="K295" i="30"/>
  <c r="L295" i="30"/>
  <c r="M295" i="30"/>
  <c r="N295" i="30"/>
  <c r="Q295" i="30"/>
  <c r="J296" i="30"/>
  <c r="K296" i="30"/>
  <c r="L296" i="30"/>
  <c r="M296" i="30"/>
  <c r="N296" i="30"/>
  <c r="Q296" i="30"/>
  <c r="J297" i="30"/>
  <c r="K297" i="30"/>
  <c r="L297" i="30"/>
  <c r="M297" i="30"/>
  <c r="N297" i="30"/>
  <c r="Q297" i="30"/>
  <c r="J298" i="30"/>
  <c r="K298" i="30"/>
  <c r="L298" i="30"/>
  <c r="M298" i="30"/>
  <c r="N298" i="30"/>
  <c r="Q298" i="30"/>
  <c r="J299" i="30"/>
  <c r="K299" i="30"/>
  <c r="L299" i="30"/>
  <c r="M299" i="30"/>
  <c r="N299" i="30"/>
  <c r="Q299" i="30"/>
  <c r="J300" i="30"/>
  <c r="K300" i="30"/>
  <c r="L300" i="30"/>
  <c r="M300" i="30"/>
  <c r="N300" i="30"/>
  <c r="Q300" i="30"/>
  <c r="J301" i="30"/>
  <c r="K301" i="30"/>
  <c r="L301" i="30"/>
  <c r="M301" i="30"/>
  <c r="N301" i="30"/>
  <c r="Q301" i="30"/>
  <c r="J302" i="30"/>
  <c r="K302" i="30"/>
  <c r="L302" i="30"/>
  <c r="M302" i="30"/>
  <c r="N302" i="30"/>
  <c r="Q302" i="30"/>
  <c r="J303" i="30"/>
  <c r="K303" i="30"/>
  <c r="L303" i="30"/>
  <c r="M303" i="30"/>
  <c r="N303" i="30"/>
  <c r="Q303" i="30"/>
  <c r="J304" i="30"/>
  <c r="K304" i="30"/>
  <c r="L304" i="30"/>
  <c r="M304" i="30"/>
  <c r="N304" i="30"/>
  <c r="Q304" i="30"/>
  <c r="J305" i="30"/>
  <c r="K305" i="30"/>
  <c r="L305" i="30"/>
  <c r="M305" i="30"/>
  <c r="N305" i="30"/>
  <c r="Q305" i="30"/>
  <c r="J306" i="30"/>
  <c r="K306" i="30"/>
  <c r="L306" i="30"/>
  <c r="M306" i="30"/>
  <c r="N306" i="30"/>
  <c r="Q306" i="30"/>
  <c r="J307" i="30"/>
  <c r="K307" i="30"/>
  <c r="L307" i="30"/>
  <c r="M307" i="30"/>
  <c r="N307" i="30"/>
  <c r="Q307" i="30"/>
  <c r="J308" i="30"/>
  <c r="K308" i="30"/>
  <c r="L308" i="30"/>
  <c r="M308" i="30"/>
  <c r="N308" i="30"/>
  <c r="Q308" i="30"/>
  <c r="J309" i="30"/>
  <c r="K309" i="30"/>
  <c r="L309" i="30"/>
  <c r="M309" i="30"/>
  <c r="N309" i="30"/>
  <c r="Q309" i="30"/>
  <c r="J310" i="30"/>
  <c r="K310" i="30"/>
  <c r="L310" i="30"/>
  <c r="M310" i="30"/>
  <c r="N310" i="30"/>
  <c r="Q310" i="30"/>
  <c r="J311" i="30"/>
  <c r="K311" i="30"/>
  <c r="L311" i="30"/>
  <c r="M311" i="30"/>
  <c r="N311" i="30"/>
  <c r="Q311" i="30"/>
  <c r="J312" i="30"/>
  <c r="K312" i="30"/>
  <c r="L312" i="30"/>
  <c r="M312" i="30"/>
  <c r="N312" i="30"/>
  <c r="Q312" i="30"/>
  <c r="J313" i="30"/>
  <c r="K313" i="30"/>
  <c r="L313" i="30"/>
  <c r="M313" i="30"/>
  <c r="N313" i="30"/>
  <c r="Q313" i="30"/>
  <c r="J314" i="30"/>
  <c r="K314" i="30"/>
  <c r="L314" i="30"/>
  <c r="M314" i="30"/>
  <c r="N314" i="30"/>
  <c r="Q314" i="30"/>
  <c r="J315" i="30"/>
  <c r="K315" i="30"/>
  <c r="L315" i="30"/>
  <c r="M315" i="30"/>
  <c r="N315" i="30"/>
  <c r="Q315" i="30"/>
  <c r="J316" i="30"/>
  <c r="K316" i="30"/>
  <c r="L316" i="30"/>
  <c r="M316" i="30"/>
  <c r="N316" i="30"/>
  <c r="Q316" i="30"/>
  <c r="J317" i="30"/>
  <c r="K317" i="30"/>
  <c r="L317" i="30"/>
  <c r="M317" i="30"/>
  <c r="N317" i="30"/>
  <c r="Q317" i="30"/>
  <c r="J318" i="30"/>
  <c r="K318" i="30"/>
  <c r="L318" i="30"/>
  <c r="M318" i="30"/>
  <c r="N318" i="30"/>
  <c r="Q318" i="30"/>
  <c r="J319" i="30"/>
  <c r="K319" i="30"/>
  <c r="L319" i="30"/>
  <c r="M319" i="30"/>
  <c r="N319" i="30"/>
  <c r="Q319" i="30"/>
  <c r="J320" i="30"/>
  <c r="K320" i="30"/>
  <c r="L320" i="30"/>
  <c r="M320" i="30"/>
  <c r="N320" i="30"/>
  <c r="Q320" i="30"/>
  <c r="J321" i="30"/>
  <c r="K321" i="30"/>
  <c r="L321" i="30"/>
  <c r="M321" i="30"/>
  <c r="N321" i="30"/>
  <c r="Q321" i="30"/>
  <c r="J322" i="30"/>
  <c r="K322" i="30"/>
  <c r="L322" i="30"/>
  <c r="M322" i="30"/>
  <c r="N322" i="30"/>
  <c r="Q322" i="30"/>
  <c r="J323" i="30"/>
  <c r="K323" i="30"/>
  <c r="L323" i="30"/>
  <c r="M323" i="30"/>
  <c r="N323" i="30"/>
  <c r="Q323" i="30"/>
  <c r="J324" i="30"/>
  <c r="K324" i="30"/>
  <c r="L324" i="30"/>
  <c r="M324" i="30"/>
  <c r="N324" i="30"/>
  <c r="Q324" i="30"/>
  <c r="J325" i="30"/>
  <c r="K325" i="30"/>
  <c r="L325" i="30"/>
  <c r="M325" i="30"/>
  <c r="N325" i="30"/>
  <c r="Q325" i="30"/>
  <c r="J326" i="30"/>
  <c r="K326" i="30"/>
  <c r="L326" i="30"/>
  <c r="M326" i="30"/>
  <c r="N326" i="30"/>
  <c r="Q326" i="30"/>
  <c r="J327" i="30"/>
  <c r="K327" i="30"/>
  <c r="L327" i="30"/>
  <c r="M327" i="30"/>
  <c r="N327" i="30"/>
  <c r="Q327" i="30"/>
  <c r="J328" i="30"/>
  <c r="K328" i="30"/>
  <c r="L328" i="30"/>
  <c r="M328" i="30"/>
  <c r="N328" i="30"/>
  <c r="Q328" i="30"/>
  <c r="J329" i="30"/>
  <c r="K329" i="30"/>
  <c r="L329" i="30"/>
  <c r="M329" i="30"/>
  <c r="N329" i="30"/>
  <c r="Q329" i="30"/>
  <c r="J330" i="30"/>
  <c r="K330" i="30"/>
  <c r="L330" i="30"/>
  <c r="M330" i="30"/>
  <c r="N330" i="30"/>
  <c r="Q330" i="30"/>
  <c r="J331" i="30"/>
  <c r="K331" i="30"/>
  <c r="L331" i="30"/>
  <c r="M331" i="30"/>
  <c r="N331" i="30"/>
  <c r="Q331" i="30"/>
  <c r="J332" i="30"/>
  <c r="K332" i="30"/>
  <c r="L332" i="30"/>
  <c r="M332" i="30"/>
  <c r="N332" i="30"/>
  <c r="Q332" i="30"/>
  <c r="J333" i="30"/>
  <c r="K333" i="30"/>
  <c r="L333" i="30"/>
  <c r="M333" i="30"/>
  <c r="N333" i="30"/>
  <c r="Q333" i="30"/>
  <c r="J334" i="30"/>
  <c r="K334" i="30"/>
  <c r="L334" i="30"/>
  <c r="M334" i="30"/>
  <c r="N334" i="30"/>
  <c r="Q334" i="30"/>
  <c r="J335" i="30"/>
  <c r="K335" i="30"/>
  <c r="L335" i="30"/>
  <c r="M335" i="30"/>
  <c r="N335" i="30"/>
  <c r="Q335" i="30"/>
  <c r="J336" i="30"/>
  <c r="K336" i="30"/>
  <c r="L336" i="30"/>
  <c r="M336" i="30"/>
  <c r="N336" i="30"/>
  <c r="Q336" i="30"/>
  <c r="J337" i="30"/>
  <c r="K337" i="30"/>
  <c r="L337" i="30"/>
  <c r="M337" i="30"/>
  <c r="N337" i="30"/>
  <c r="Q337" i="30"/>
  <c r="J338" i="30"/>
  <c r="K338" i="30"/>
  <c r="L338" i="30"/>
  <c r="M338" i="30"/>
  <c r="N338" i="30"/>
  <c r="Q338" i="30"/>
  <c r="J339" i="30"/>
  <c r="K339" i="30"/>
  <c r="L339" i="30"/>
  <c r="M339" i="30"/>
  <c r="N339" i="30"/>
  <c r="Q339" i="30"/>
  <c r="J340" i="30"/>
  <c r="K340" i="30"/>
  <c r="L340" i="30"/>
  <c r="M340" i="30"/>
  <c r="N340" i="30"/>
  <c r="Q340" i="30"/>
  <c r="J341" i="30"/>
  <c r="K341" i="30"/>
  <c r="L341" i="30"/>
  <c r="M341" i="30"/>
  <c r="N341" i="30"/>
  <c r="Q341" i="30"/>
  <c r="J342" i="30"/>
  <c r="K342" i="30"/>
  <c r="L342" i="30"/>
  <c r="M342" i="30"/>
  <c r="N342" i="30"/>
  <c r="Q342" i="30"/>
  <c r="J343" i="30"/>
  <c r="K343" i="30"/>
  <c r="L343" i="30"/>
  <c r="M343" i="30"/>
  <c r="N343" i="30"/>
  <c r="Q343" i="30"/>
  <c r="J344" i="30"/>
  <c r="K344" i="30"/>
  <c r="L344" i="30"/>
  <c r="M344" i="30"/>
  <c r="N344" i="30"/>
  <c r="Q344" i="30"/>
  <c r="J345" i="30"/>
  <c r="K345" i="30"/>
  <c r="L345" i="30"/>
  <c r="M345" i="30"/>
  <c r="N345" i="30"/>
  <c r="Q345" i="30"/>
  <c r="J346" i="30"/>
  <c r="K346" i="30"/>
  <c r="L346" i="30"/>
  <c r="M346" i="30"/>
  <c r="N346" i="30"/>
  <c r="Q346" i="30"/>
  <c r="J347" i="30"/>
  <c r="K347" i="30"/>
  <c r="L347" i="30"/>
  <c r="M347" i="30"/>
  <c r="N347" i="30"/>
  <c r="Q347" i="30"/>
  <c r="J348" i="30"/>
  <c r="K348" i="30"/>
  <c r="L348" i="30"/>
  <c r="M348" i="30"/>
  <c r="N348" i="30"/>
  <c r="Q348" i="30"/>
  <c r="J349" i="30"/>
  <c r="K349" i="30"/>
  <c r="L349" i="30"/>
  <c r="M349" i="30"/>
  <c r="N349" i="30"/>
  <c r="Q349" i="30"/>
  <c r="J350" i="30"/>
  <c r="K350" i="30"/>
  <c r="L350" i="30"/>
  <c r="M350" i="30"/>
  <c r="N350" i="30"/>
  <c r="Q350" i="30"/>
  <c r="J351" i="30"/>
  <c r="K351" i="30"/>
  <c r="L351" i="30"/>
  <c r="M351" i="30"/>
  <c r="N351" i="30"/>
  <c r="Q351" i="30"/>
  <c r="J352" i="30"/>
  <c r="K352" i="30"/>
  <c r="L352" i="30"/>
  <c r="M352" i="30"/>
  <c r="N352" i="30"/>
  <c r="Q352" i="30"/>
  <c r="J353" i="30"/>
  <c r="K353" i="30"/>
  <c r="L353" i="30"/>
  <c r="M353" i="30"/>
  <c r="N353" i="30"/>
  <c r="Q353" i="30"/>
  <c r="J354" i="30"/>
  <c r="K354" i="30"/>
  <c r="L354" i="30"/>
  <c r="M354" i="30"/>
  <c r="N354" i="30"/>
  <c r="Q354" i="30"/>
  <c r="J355" i="30"/>
  <c r="K355" i="30"/>
  <c r="L355" i="30"/>
  <c r="M355" i="30"/>
  <c r="N355" i="30"/>
  <c r="Q355" i="30"/>
  <c r="J356" i="30"/>
  <c r="K356" i="30"/>
  <c r="L356" i="30"/>
  <c r="M356" i="30"/>
  <c r="N356" i="30"/>
  <c r="Q356" i="30"/>
  <c r="J357" i="30"/>
  <c r="K357" i="30"/>
  <c r="L357" i="30"/>
  <c r="M357" i="30"/>
  <c r="N357" i="30"/>
  <c r="Q357" i="30"/>
  <c r="J358" i="30"/>
  <c r="K358" i="30"/>
  <c r="L358" i="30"/>
  <c r="M358" i="30"/>
  <c r="N358" i="30"/>
  <c r="Q358" i="30"/>
  <c r="J359" i="30"/>
  <c r="K359" i="30"/>
  <c r="L359" i="30"/>
  <c r="M359" i="30"/>
  <c r="N359" i="30"/>
  <c r="Q359" i="30"/>
  <c r="J360" i="30"/>
  <c r="K360" i="30"/>
  <c r="L360" i="30"/>
  <c r="M360" i="30"/>
  <c r="N360" i="30"/>
  <c r="Q360" i="30"/>
  <c r="J361" i="30"/>
  <c r="K361" i="30"/>
  <c r="L361" i="30"/>
  <c r="M361" i="30"/>
  <c r="N361" i="30"/>
  <c r="Q361" i="30"/>
  <c r="J362" i="30"/>
  <c r="K362" i="30"/>
  <c r="L362" i="30"/>
  <c r="M362" i="30"/>
  <c r="N362" i="30"/>
  <c r="Q362" i="30"/>
  <c r="J363" i="30"/>
  <c r="K363" i="30"/>
  <c r="L363" i="30"/>
  <c r="M363" i="30"/>
  <c r="N363" i="30"/>
  <c r="Q363" i="30"/>
  <c r="J364" i="30"/>
  <c r="K364" i="30"/>
  <c r="L364" i="30"/>
  <c r="M364" i="30"/>
  <c r="N364" i="30"/>
  <c r="Q364" i="30"/>
  <c r="J365" i="30"/>
  <c r="K365" i="30"/>
  <c r="L365" i="30"/>
  <c r="M365" i="30"/>
  <c r="N365" i="30"/>
  <c r="Q365" i="30"/>
  <c r="J366" i="30"/>
  <c r="K366" i="30"/>
  <c r="L366" i="30"/>
  <c r="M366" i="30"/>
  <c r="N366" i="30"/>
  <c r="Q366" i="30"/>
  <c r="J367" i="30"/>
  <c r="K367" i="30"/>
  <c r="L367" i="30"/>
  <c r="M367" i="30"/>
  <c r="N367" i="30"/>
  <c r="Q367" i="30"/>
  <c r="J368" i="30"/>
  <c r="K368" i="30"/>
  <c r="L368" i="30"/>
  <c r="M368" i="30"/>
  <c r="N368" i="30"/>
  <c r="Q368" i="30"/>
  <c r="J369" i="30"/>
  <c r="K369" i="30"/>
  <c r="L369" i="30"/>
  <c r="M369" i="30"/>
  <c r="N369" i="30"/>
  <c r="Q369" i="30"/>
  <c r="J370" i="30"/>
  <c r="K370" i="30"/>
  <c r="L370" i="30"/>
  <c r="M370" i="30"/>
  <c r="N370" i="30"/>
  <c r="Q370" i="30"/>
  <c r="J371" i="30"/>
  <c r="K371" i="30"/>
  <c r="L371" i="30"/>
  <c r="M371" i="30"/>
  <c r="N371" i="30"/>
  <c r="Q371" i="30"/>
  <c r="J372" i="30"/>
  <c r="K372" i="30"/>
  <c r="L372" i="30"/>
  <c r="M372" i="30"/>
  <c r="N372" i="30"/>
  <c r="Q372" i="30"/>
  <c r="J373" i="30"/>
  <c r="K373" i="30"/>
  <c r="L373" i="30"/>
  <c r="M373" i="30"/>
  <c r="N373" i="30"/>
  <c r="Q373" i="30"/>
  <c r="J374" i="30"/>
  <c r="K374" i="30"/>
  <c r="L374" i="30"/>
  <c r="M374" i="30"/>
  <c r="N374" i="30"/>
  <c r="Q374" i="30"/>
  <c r="J375" i="30"/>
  <c r="K375" i="30"/>
  <c r="L375" i="30"/>
  <c r="M375" i="30"/>
  <c r="N375" i="30"/>
  <c r="Q375" i="30"/>
  <c r="J376" i="30"/>
  <c r="K376" i="30"/>
  <c r="L376" i="30"/>
  <c r="M376" i="30"/>
  <c r="N376" i="30"/>
  <c r="Q376" i="30"/>
  <c r="J377" i="30"/>
  <c r="K377" i="30"/>
  <c r="L377" i="30"/>
  <c r="M377" i="30"/>
  <c r="N377" i="30"/>
  <c r="Q377" i="30"/>
  <c r="J378" i="30"/>
  <c r="K378" i="30"/>
  <c r="L378" i="30"/>
  <c r="M378" i="30"/>
  <c r="N378" i="30"/>
  <c r="Q378" i="30"/>
  <c r="J379" i="30"/>
  <c r="K379" i="30"/>
  <c r="L379" i="30"/>
  <c r="M379" i="30"/>
  <c r="N379" i="30"/>
  <c r="Q379" i="30"/>
  <c r="J380" i="30"/>
  <c r="K380" i="30"/>
  <c r="L380" i="30"/>
  <c r="M380" i="30"/>
  <c r="N380" i="30"/>
  <c r="Q380" i="30"/>
  <c r="J381" i="30"/>
  <c r="K381" i="30"/>
  <c r="L381" i="30"/>
  <c r="M381" i="30"/>
  <c r="N381" i="30"/>
  <c r="Q381" i="30"/>
  <c r="J382" i="30"/>
  <c r="K382" i="30"/>
  <c r="L382" i="30"/>
  <c r="M382" i="30"/>
  <c r="N382" i="30"/>
  <c r="Q382" i="30"/>
  <c r="J383" i="30"/>
  <c r="K383" i="30"/>
  <c r="L383" i="30"/>
  <c r="M383" i="30"/>
  <c r="N383" i="30"/>
  <c r="Q383" i="30"/>
  <c r="J384" i="30"/>
  <c r="K384" i="30"/>
  <c r="L384" i="30"/>
  <c r="M384" i="30"/>
  <c r="N384" i="30"/>
  <c r="Q384" i="30"/>
  <c r="J385" i="30"/>
  <c r="K385" i="30"/>
  <c r="L385" i="30"/>
  <c r="M385" i="30"/>
  <c r="N385" i="30"/>
  <c r="Q385" i="30"/>
  <c r="Q386" i="30"/>
  <c r="Q387" i="30"/>
  <c r="Q388" i="30"/>
  <c r="Q389" i="30"/>
  <c r="Q390" i="30"/>
  <c r="Q391" i="30"/>
  <c r="Q392" i="30"/>
  <c r="Q393" i="30"/>
  <c r="Q394" i="30"/>
  <c r="Q395" i="30"/>
  <c r="Q396" i="30"/>
  <c r="Q397" i="30"/>
  <c r="Q398" i="30"/>
  <c r="Q399" i="30"/>
  <c r="C19" i="32"/>
  <c r="D19" i="32"/>
  <c r="C20" i="32"/>
  <c r="D20" i="32"/>
  <c r="C21" i="32"/>
  <c r="D21" i="32"/>
  <c r="C22" i="32"/>
  <c r="D22" i="32"/>
  <c r="O320" i="30" l="1"/>
  <c r="P320" i="30" s="1"/>
  <c r="O316" i="30"/>
  <c r="P316" i="30" s="1"/>
  <c r="O224" i="30"/>
  <c r="P224" i="30" s="1"/>
  <c r="O435" i="30"/>
  <c r="P435" i="30" s="1"/>
  <c r="O385" i="30"/>
  <c r="P385" i="30" s="1"/>
  <c r="O377" i="30"/>
  <c r="P377" i="30" s="1"/>
  <c r="O369" i="30"/>
  <c r="P369" i="30" s="1"/>
  <c r="O361" i="30"/>
  <c r="P361" i="30" s="1"/>
  <c r="O345" i="30"/>
  <c r="P345" i="30" s="1"/>
  <c r="O337" i="30"/>
  <c r="P337" i="30" s="1"/>
  <c r="O329" i="30"/>
  <c r="P329" i="30" s="1"/>
  <c r="O313" i="30"/>
  <c r="P313" i="30" s="1"/>
  <c r="O393" i="30"/>
  <c r="P393" i="30" s="1"/>
  <c r="O352" i="30"/>
  <c r="P352" i="30" s="1"/>
  <c r="O370" i="30"/>
  <c r="P370" i="30" s="1"/>
  <c r="O366" i="30"/>
  <c r="P366" i="30" s="1"/>
  <c r="O354" i="30"/>
  <c r="P354" i="30" s="1"/>
  <c r="O338" i="30"/>
  <c r="P338" i="30" s="1"/>
  <c r="O334" i="30"/>
  <c r="P334" i="30" s="1"/>
  <c r="O322" i="30"/>
  <c r="P322" i="30" s="1"/>
  <c r="O298" i="30"/>
  <c r="P298" i="30" s="1"/>
  <c r="O294" i="30"/>
  <c r="P294" i="30" s="1"/>
  <c r="O290" i="30"/>
  <c r="P290" i="30" s="1"/>
  <c r="O286" i="30"/>
  <c r="P286" i="30" s="1"/>
  <c r="O282" i="30"/>
  <c r="P282" i="30" s="1"/>
  <c r="O278" i="30"/>
  <c r="P278" i="30" s="1"/>
  <c r="O274" i="30"/>
  <c r="P274" i="30" s="1"/>
  <c r="O270" i="30"/>
  <c r="P270" i="30" s="1"/>
  <c r="O266" i="30"/>
  <c r="P266" i="30" s="1"/>
  <c r="O262" i="30"/>
  <c r="P262" i="30" s="1"/>
  <c r="O258" i="30"/>
  <c r="P258" i="30" s="1"/>
  <c r="O254" i="30"/>
  <c r="P254" i="30" s="1"/>
  <c r="O250" i="30"/>
  <c r="P250" i="30" s="1"/>
  <c r="O246" i="30"/>
  <c r="P246" i="30" s="1"/>
  <c r="O242" i="30"/>
  <c r="P242" i="30" s="1"/>
  <c r="O238" i="30"/>
  <c r="P238" i="30" s="1"/>
  <c r="O234" i="30"/>
  <c r="P234" i="30" s="1"/>
  <c r="O230" i="30"/>
  <c r="P230" i="30" s="1"/>
  <c r="O226" i="30"/>
  <c r="P226" i="30" s="1"/>
  <c r="O222" i="30"/>
  <c r="P222" i="30" s="1"/>
  <c r="O443" i="30"/>
  <c r="P443" i="30" s="1"/>
  <c r="O348" i="30"/>
  <c r="P348" i="30" s="1"/>
  <c r="O379" i="30"/>
  <c r="P379" i="30" s="1"/>
  <c r="O363" i="30"/>
  <c r="P363" i="30" s="1"/>
  <c r="O347" i="30"/>
  <c r="P347" i="30" s="1"/>
  <c r="O331" i="30"/>
  <c r="P331" i="30" s="1"/>
  <c r="O315" i="30"/>
  <c r="P315" i="30" s="1"/>
  <c r="O440" i="30"/>
  <c r="P440" i="30" s="1"/>
  <c r="O442" i="30"/>
  <c r="P442" i="30" s="1"/>
  <c r="O386" i="30"/>
  <c r="P386" i="30" s="1"/>
  <c r="O353" i="30"/>
  <c r="P353" i="30" s="1"/>
  <c r="O321" i="30"/>
  <c r="P321" i="30" s="1"/>
  <c r="O397" i="30"/>
  <c r="P397" i="30" s="1"/>
  <c r="O416" i="30"/>
  <c r="P416" i="30" s="1"/>
  <c r="O388" i="30"/>
  <c r="P388" i="30" s="1"/>
  <c r="O391" i="30"/>
  <c r="P391" i="30" s="1"/>
  <c r="O437" i="30"/>
  <c r="P437" i="30" s="1"/>
  <c r="O412" i="30"/>
  <c r="P412" i="30" s="1"/>
  <c r="O431" i="30"/>
  <c r="P431" i="30" s="1"/>
  <c r="O383" i="30"/>
  <c r="P383" i="30" s="1"/>
  <c r="O327" i="30"/>
  <c r="P327" i="30" s="1"/>
  <c r="O323" i="30"/>
  <c r="P323" i="30" s="1"/>
  <c r="O400" i="30"/>
  <c r="P400" i="30" s="1"/>
  <c r="O441" i="30"/>
  <c r="P441" i="30" s="1"/>
  <c r="O402" i="30"/>
  <c r="P402" i="30" s="1"/>
  <c r="O413" i="30"/>
  <c r="P413" i="30" s="1"/>
  <c r="O415" i="30"/>
  <c r="P415" i="30" s="1"/>
  <c r="O426" i="30"/>
  <c r="P426" i="30" s="1"/>
  <c r="O428" i="30"/>
  <c r="P428" i="30" s="1"/>
  <c r="O436" i="30"/>
  <c r="P436" i="30" s="1"/>
  <c r="O439" i="30"/>
  <c r="P439" i="30" s="1"/>
  <c r="O401" i="30"/>
  <c r="P401" i="30" s="1"/>
  <c r="O425" i="30"/>
  <c r="P425" i="30" s="1"/>
  <c r="O375" i="30"/>
  <c r="P375" i="30" s="1"/>
  <c r="O374" i="30"/>
  <c r="P374" i="30" s="1"/>
  <c r="O371" i="30"/>
  <c r="P371" i="30" s="1"/>
  <c r="O309" i="30"/>
  <c r="P309" i="30" s="1"/>
  <c r="O396" i="30"/>
  <c r="P396" i="30" s="1"/>
  <c r="O399" i="30"/>
  <c r="P399" i="30" s="1"/>
  <c r="O410" i="30"/>
  <c r="P410" i="30" s="1"/>
  <c r="O421" i="30"/>
  <c r="P421" i="30" s="1"/>
  <c r="O424" i="30"/>
  <c r="P424" i="30" s="1"/>
  <c r="O359" i="30"/>
  <c r="P359" i="30" s="1"/>
  <c r="O355" i="30"/>
  <c r="P355" i="30" s="1"/>
  <c r="O404" i="30"/>
  <c r="P404" i="30" s="1"/>
  <c r="O407" i="30"/>
  <c r="P407" i="30" s="1"/>
  <c r="O418" i="30"/>
  <c r="P418" i="30" s="1"/>
  <c r="O429" i="30"/>
  <c r="P429" i="30" s="1"/>
  <c r="O432" i="30"/>
  <c r="P432" i="30" s="1"/>
  <c r="O339" i="30"/>
  <c r="P339" i="30" s="1"/>
  <c r="O420" i="30"/>
  <c r="P420" i="30" s="1"/>
  <c r="O423" i="30"/>
  <c r="P423" i="30" s="1"/>
  <c r="O434" i="30"/>
  <c r="P434" i="30" s="1"/>
  <c r="O445" i="30"/>
  <c r="P445" i="30" s="1"/>
  <c r="O448" i="30"/>
  <c r="P448" i="30" s="1"/>
  <c r="O376" i="30"/>
  <c r="P376" i="30" s="1"/>
  <c r="O307" i="30"/>
  <c r="P307" i="30" s="1"/>
  <c r="O389" i="30"/>
  <c r="P389" i="30" s="1"/>
  <c r="O392" i="30"/>
  <c r="P392" i="30" s="1"/>
  <c r="O409" i="30"/>
  <c r="P409" i="30" s="1"/>
  <c r="O381" i="30"/>
  <c r="P381" i="30" s="1"/>
  <c r="O341" i="30"/>
  <c r="P341" i="30" s="1"/>
  <c r="O394" i="30"/>
  <c r="P394" i="30" s="1"/>
  <c r="O405" i="30"/>
  <c r="P405" i="30" s="1"/>
  <c r="O408" i="30"/>
  <c r="P408" i="30" s="1"/>
  <c r="O417" i="30"/>
  <c r="P417" i="30" s="1"/>
  <c r="O433" i="30"/>
  <c r="P433" i="30" s="1"/>
  <c r="O444" i="30"/>
  <c r="P444" i="30" s="1"/>
  <c r="O447" i="30"/>
  <c r="P447" i="30" s="1"/>
  <c r="O380" i="30"/>
  <c r="P380" i="30" s="1"/>
  <c r="O384" i="30"/>
  <c r="P384" i="30" s="1"/>
  <c r="O367" i="30"/>
  <c r="P367" i="30" s="1"/>
  <c r="O362" i="30"/>
  <c r="P362" i="30" s="1"/>
  <c r="O349" i="30"/>
  <c r="P349" i="30" s="1"/>
  <c r="O335" i="30"/>
  <c r="P335" i="30" s="1"/>
  <c r="O330" i="30"/>
  <c r="P330" i="30" s="1"/>
  <c r="O317" i="30"/>
  <c r="P317" i="30" s="1"/>
  <c r="O303" i="30"/>
  <c r="P303" i="30" s="1"/>
  <c r="O299" i="30"/>
  <c r="P299" i="30" s="1"/>
  <c r="O295" i="30"/>
  <c r="P295" i="30" s="1"/>
  <c r="O291" i="30"/>
  <c r="P291" i="30" s="1"/>
  <c r="O287" i="30"/>
  <c r="P287" i="30" s="1"/>
  <c r="O283" i="30"/>
  <c r="P283" i="30" s="1"/>
  <c r="O279" i="30"/>
  <c r="P279" i="30" s="1"/>
  <c r="O275" i="30"/>
  <c r="P275" i="30" s="1"/>
  <c r="O271" i="30"/>
  <c r="P271" i="30" s="1"/>
  <c r="O267" i="30"/>
  <c r="P267" i="30" s="1"/>
  <c r="O263" i="30"/>
  <c r="P263" i="30" s="1"/>
  <c r="O259" i="30"/>
  <c r="P259" i="30" s="1"/>
  <c r="O255" i="30"/>
  <c r="P255" i="30" s="1"/>
  <c r="O251" i="30"/>
  <c r="P251" i="30" s="1"/>
  <c r="O247" i="30"/>
  <c r="P247" i="30" s="1"/>
  <c r="O243" i="30"/>
  <c r="P243" i="30" s="1"/>
  <c r="O239" i="30"/>
  <c r="P239" i="30" s="1"/>
  <c r="O235" i="30"/>
  <c r="P235" i="30" s="1"/>
  <c r="O231" i="30"/>
  <c r="P231" i="30" s="1"/>
  <c r="O227" i="30"/>
  <c r="P227" i="30" s="1"/>
  <c r="O223" i="30"/>
  <c r="P223" i="30" s="1"/>
  <c r="O372" i="30"/>
  <c r="P372" i="30" s="1"/>
  <c r="O358" i="30"/>
  <c r="P358" i="30" s="1"/>
  <c r="O344" i="30"/>
  <c r="P344" i="30" s="1"/>
  <c r="O340" i="30"/>
  <c r="P340" i="30" s="1"/>
  <c r="O326" i="30"/>
  <c r="P326" i="30" s="1"/>
  <c r="O312" i="30"/>
  <c r="P312" i="30" s="1"/>
  <c r="O308" i="30"/>
  <c r="P308" i="30" s="1"/>
  <c r="O350" i="30"/>
  <c r="P350" i="30" s="1"/>
  <c r="O336" i="30"/>
  <c r="P336" i="30" s="1"/>
  <c r="O332" i="30"/>
  <c r="P332" i="30" s="1"/>
  <c r="O382" i="30"/>
  <c r="P382" i="30" s="1"/>
  <c r="O378" i="30"/>
  <c r="P378" i="30" s="1"/>
  <c r="O373" i="30"/>
  <c r="P373" i="30" s="1"/>
  <c r="O365" i="30"/>
  <c r="P365" i="30" s="1"/>
  <c r="O351" i="30"/>
  <c r="P351" i="30" s="1"/>
  <c r="O346" i="30"/>
  <c r="P346" i="30" s="1"/>
  <c r="O333" i="30"/>
  <c r="P333" i="30" s="1"/>
  <c r="O319" i="30"/>
  <c r="P319" i="30" s="1"/>
  <c r="O314" i="30"/>
  <c r="P314" i="30" s="1"/>
  <c r="O306" i="30"/>
  <c r="P306" i="30" s="1"/>
  <c r="O229" i="30"/>
  <c r="P229" i="30" s="1"/>
  <c r="O225" i="30"/>
  <c r="P225" i="30" s="1"/>
  <c r="O221" i="30"/>
  <c r="P221" i="30" s="1"/>
  <c r="O368" i="30"/>
  <c r="P368" i="30" s="1"/>
  <c r="O364" i="30"/>
  <c r="P364" i="30" s="1"/>
  <c r="O318" i="30"/>
  <c r="P318" i="30" s="1"/>
  <c r="O360" i="30"/>
  <c r="P360" i="30" s="1"/>
  <c r="O356" i="30"/>
  <c r="P356" i="30" s="1"/>
  <c r="O342" i="30"/>
  <c r="P342" i="30" s="1"/>
  <c r="O328" i="30"/>
  <c r="P328" i="30" s="1"/>
  <c r="O324" i="30"/>
  <c r="P324" i="30" s="1"/>
  <c r="O310" i="30"/>
  <c r="P310" i="30" s="1"/>
  <c r="O357" i="30"/>
  <c r="P357" i="30" s="1"/>
  <c r="O343" i="30"/>
  <c r="P343" i="30" s="1"/>
  <c r="O325" i="30"/>
  <c r="P325" i="30" s="1"/>
  <c r="O311" i="30"/>
  <c r="P311" i="30" s="1"/>
  <c r="O304" i="30"/>
  <c r="P304" i="30" s="1"/>
  <c r="O305" i="30"/>
  <c r="P305" i="30" s="1"/>
  <c r="O296" i="30"/>
  <c r="P296" i="30" s="1"/>
  <c r="O288" i="30"/>
  <c r="P288" i="30" s="1"/>
  <c r="O284" i="30"/>
  <c r="P284" i="30" s="1"/>
  <c r="O280" i="30"/>
  <c r="P280" i="30" s="1"/>
  <c r="O276" i="30"/>
  <c r="P276" i="30" s="1"/>
  <c r="O272" i="30"/>
  <c r="P272" i="30" s="1"/>
  <c r="O268" i="30"/>
  <c r="P268" i="30" s="1"/>
  <c r="O264" i="30"/>
  <c r="P264" i="30" s="1"/>
  <c r="O260" i="30"/>
  <c r="P260" i="30" s="1"/>
  <c r="O256" i="30"/>
  <c r="P256" i="30" s="1"/>
  <c r="O252" i="30"/>
  <c r="P252" i="30" s="1"/>
  <c r="O248" i="30"/>
  <c r="P248" i="30" s="1"/>
  <c r="O244" i="30"/>
  <c r="P244" i="30" s="1"/>
  <c r="O240" i="30"/>
  <c r="P240" i="30" s="1"/>
  <c r="O236" i="30"/>
  <c r="P236" i="30" s="1"/>
  <c r="O232" i="30"/>
  <c r="P232" i="30" s="1"/>
  <c r="O228" i="30"/>
  <c r="P228" i="30" s="1"/>
  <c r="O300" i="30"/>
  <c r="P300" i="30" s="1"/>
  <c r="O292" i="30"/>
  <c r="P292" i="30" s="1"/>
  <c r="O301" i="30"/>
  <c r="P301" i="30" s="1"/>
  <c r="O293" i="30"/>
  <c r="P293" i="30" s="1"/>
  <c r="O285" i="30"/>
  <c r="P285" i="30" s="1"/>
  <c r="O277" i="30"/>
  <c r="P277" i="30" s="1"/>
  <c r="O273" i="30"/>
  <c r="P273" i="30" s="1"/>
  <c r="O269" i="30"/>
  <c r="P269" i="30" s="1"/>
  <c r="O265" i="30"/>
  <c r="P265" i="30" s="1"/>
  <c r="O261" i="30"/>
  <c r="P261" i="30" s="1"/>
  <c r="O257" i="30"/>
  <c r="P257" i="30" s="1"/>
  <c r="O253" i="30"/>
  <c r="P253" i="30" s="1"/>
  <c r="O249" i="30"/>
  <c r="P249" i="30" s="1"/>
  <c r="O245" i="30"/>
  <c r="P245" i="30" s="1"/>
  <c r="O241" i="30"/>
  <c r="P241" i="30" s="1"/>
  <c r="O237" i="30"/>
  <c r="P237" i="30" s="1"/>
  <c r="O233" i="30"/>
  <c r="P233" i="30" s="1"/>
  <c r="O297" i="30"/>
  <c r="P297" i="30" s="1"/>
  <c r="O289" i="30"/>
  <c r="P289" i="30" s="1"/>
  <c r="O281" i="30"/>
  <c r="P281" i="30" s="1"/>
  <c r="O302" i="30"/>
  <c r="P302" i="30" s="1"/>
  <c r="E95" i="3"/>
  <c r="D95" i="3"/>
  <c r="E94" i="3"/>
  <c r="D94" i="3"/>
  <c r="E93" i="3"/>
  <c r="D93" i="3"/>
  <c r="E92" i="3"/>
  <c r="D92" i="3"/>
  <c r="E91" i="3"/>
  <c r="D91" i="3"/>
  <c r="E90" i="3"/>
  <c r="D90" i="3"/>
  <c r="E89" i="3"/>
  <c r="D89" i="3"/>
  <c r="Q7" i="30"/>
  <c r="Q12" i="30"/>
  <c r="Q20" i="30"/>
  <c r="I4" i="27"/>
  <c r="I5" i="27"/>
  <c r="I6" i="27"/>
  <c r="I7" i="27"/>
  <c r="I8" i="27"/>
  <c r="I9" i="27"/>
  <c r="I10" i="27"/>
  <c r="I11" i="27"/>
  <c r="AQ44" i="3"/>
  <c r="AR44" i="3" s="1"/>
  <c r="AQ43" i="3"/>
  <c r="AR43" i="3" s="1"/>
  <c r="AQ42" i="3"/>
  <c r="AR42" i="3" s="1"/>
  <c r="AQ41" i="3"/>
  <c r="AR41" i="3" s="1"/>
  <c r="AQ40" i="3"/>
  <c r="AR40" i="3" s="1"/>
  <c r="AQ39" i="3"/>
  <c r="AR39" i="3" s="1"/>
  <c r="AQ38" i="3"/>
  <c r="AR38" i="3" s="1"/>
  <c r="AO44" i="3"/>
  <c r="AN44" i="3"/>
  <c r="AN43" i="3"/>
  <c r="AO43" i="3" s="1"/>
  <c r="AN42" i="3"/>
  <c r="AO42" i="3" s="1"/>
  <c r="AN41" i="3"/>
  <c r="AO41" i="3" s="1"/>
  <c r="AN40" i="3"/>
  <c r="AO40" i="3" s="1"/>
  <c r="AN39" i="3"/>
  <c r="AO39" i="3" s="1"/>
  <c r="AN38" i="3"/>
  <c r="AO38" i="3" s="1"/>
  <c r="AK44" i="3"/>
  <c r="AL44" i="3" s="1"/>
  <c r="AK43" i="3"/>
  <c r="AL43" i="3" s="1"/>
  <c r="AK42" i="3"/>
  <c r="AL42" i="3" s="1"/>
  <c r="AK41" i="3"/>
  <c r="AL41" i="3" s="1"/>
  <c r="AK40" i="3"/>
  <c r="AL40" i="3" s="1"/>
  <c r="AK39" i="3"/>
  <c r="AL39" i="3" s="1"/>
  <c r="AK38" i="3"/>
  <c r="AL38" i="3" s="1"/>
  <c r="AH44" i="3"/>
  <c r="AI44" i="3" s="1"/>
  <c r="AH43" i="3"/>
  <c r="AI43" i="3" s="1"/>
  <c r="AH42" i="3"/>
  <c r="AI42" i="3" s="1"/>
  <c r="AH41" i="3"/>
  <c r="AI41" i="3" s="1"/>
  <c r="AH40" i="3"/>
  <c r="AI40" i="3" s="1"/>
  <c r="AH39" i="3"/>
  <c r="AI39" i="3" s="1"/>
  <c r="AH38" i="3"/>
  <c r="AI38" i="3" s="1"/>
  <c r="AE44" i="3"/>
  <c r="AF44" i="3" s="1"/>
  <c r="AE43" i="3"/>
  <c r="AF43" i="3" s="1"/>
  <c r="AE42" i="3"/>
  <c r="AF42" i="3" s="1"/>
  <c r="AE41" i="3"/>
  <c r="AF41" i="3" s="1"/>
  <c r="AE40" i="3"/>
  <c r="AF40" i="3" s="1"/>
  <c r="AE39" i="3"/>
  <c r="AF39" i="3" s="1"/>
  <c r="AF38" i="3"/>
  <c r="AE38" i="3"/>
  <c r="AB44" i="3"/>
  <c r="AC44" i="3" s="1"/>
  <c r="AB43" i="3"/>
  <c r="AC43" i="3" s="1"/>
  <c r="AC42" i="3"/>
  <c r="AB42" i="3"/>
  <c r="AC41" i="3"/>
  <c r="AB41" i="3"/>
  <c r="AB40" i="3"/>
  <c r="AC40" i="3" s="1"/>
  <c r="AB39" i="3"/>
  <c r="AC39" i="3" s="1"/>
  <c r="AB38" i="3"/>
  <c r="AC38" i="3" s="1"/>
  <c r="Y44" i="3"/>
  <c r="Z44" i="3" s="1"/>
  <c r="Y43" i="3"/>
  <c r="Z43" i="3" s="1"/>
  <c r="Y42" i="3"/>
  <c r="Z42" i="3" s="1"/>
  <c r="Y41" i="3"/>
  <c r="Z41" i="3" s="1"/>
  <c r="Y40" i="3"/>
  <c r="Z40" i="3" s="1"/>
  <c r="Y39" i="3"/>
  <c r="Z39" i="3" s="1"/>
  <c r="Y38" i="3"/>
  <c r="Z38" i="3" s="1"/>
  <c r="V44" i="3"/>
  <c r="W44" i="3" s="1"/>
  <c r="V43" i="3"/>
  <c r="W43" i="3" s="1"/>
  <c r="V42" i="3"/>
  <c r="W42" i="3" s="1"/>
  <c r="V41" i="3"/>
  <c r="W41" i="3" s="1"/>
  <c r="V40" i="3"/>
  <c r="W40" i="3" s="1"/>
  <c r="V39" i="3"/>
  <c r="W39" i="3" s="1"/>
  <c r="V38" i="3"/>
  <c r="W38" i="3" s="1"/>
  <c r="S44" i="3"/>
  <c r="T44" i="3" s="1"/>
  <c r="T43" i="3"/>
  <c r="S43" i="3"/>
  <c r="S42" i="3"/>
  <c r="T42" i="3" s="1"/>
  <c r="S41" i="3"/>
  <c r="T41" i="3" s="1"/>
  <c r="S40" i="3"/>
  <c r="T40" i="3" s="1"/>
  <c r="S39" i="3"/>
  <c r="T39" i="3" s="1"/>
  <c r="S38" i="3"/>
  <c r="T38" i="3" s="1"/>
  <c r="P44" i="3"/>
  <c r="Q44" i="3" s="1"/>
  <c r="P43" i="3"/>
  <c r="Q43" i="3" s="1"/>
  <c r="P42" i="3"/>
  <c r="Q42" i="3" s="1"/>
  <c r="P41" i="3"/>
  <c r="Q41" i="3" s="1"/>
  <c r="P40" i="3"/>
  <c r="Q40" i="3" s="1"/>
  <c r="P39" i="3"/>
  <c r="Q39" i="3" s="1"/>
  <c r="P38" i="3"/>
  <c r="Q38" i="3" s="1"/>
  <c r="M44" i="3"/>
  <c r="N44" i="3" s="1"/>
  <c r="M43" i="3"/>
  <c r="N43" i="3" s="1"/>
  <c r="M42" i="3"/>
  <c r="N42" i="3" s="1"/>
  <c r="M41" i="3"/>
  <c r="N41" i="3" s="1"/>
  <c r="M40" i="3"/>
  <c r="N40" i="3" s="1"/>
  <c r="M39" i="3"/>
  <c r="N39" i="3" s="1"/>
  <c r="M38" i="3"/>
  <c r="N38" i="3" s="1"/>
  <c r="K44" i="3"/>
  <c r="K39" i="3"/>
  <c r="K40" i="3"/>
  <c r="K41" i="3"/>
  <c r="K42" i="3"/>
  <c r="K43" i="3"/>
  <c r="K38" i="3"/>
  <c r="H44" i="3"/>
  <c r="H39" i="3"/>
  <c r="H40" i="3"/>
  <c r="H41" i="3"/>
  <c r="H42" i="3"/>
  <c r="H43" i="3"/>
  <c r="H38" i="3"/>
  <c r="J44" i="3"/>
  <c r="J39" i="3"/>
  <c r="J40" i="3"/>
  <c r="J41" i="3"/>
  <c r="J42" i="3"/>
  <c r="J43" i="3"/>
  <c r="J38" i="3"/>
  <c r="AQ54" i="3"/>
  <c r="AR54" i="3" s="1"/>
  <c r="AQ53" i="3"/>
  <c r="AR53" i="3" s="1"/>
  <c r="AQ52" i="3"/>
  <c r="AR52" i="3" s="1"/>
  <c r="AQ51" i="3"/>
  <c r="AR51" i="3" s="1"/>
  <c r="AQ50" i="3"/>
  <c r="AR50" i="3" s="1"/>
  <c r="AQ49" i="3"/>
  <c r="AR49" i="3" s="1"/>
  <c r="AQ48" i="3"/>
  <c r="AR48" i="3" s="1"/>
  <c r="AN54" i="3"/>
  <c r="AO54" i="3" s="1"/>
  <c r="AN53" i="3"/>
  <c r="AO53" i="3" s="1"/>
  <c r="AN52" i="3"/>
  <c r="AO52" i="3" s="1"/>
  <c r="AN51" i="3"/>
  <c r="AO51" i="3" s="1"/>
  <c r="AN50" i="3"/>
  <c r="AO50" i="3" s="1"/>
  <c r="AN49" i="3"/>
  <c r="AO49" i="3" s="1"/>
  <c r="AN48" i="3"/>
  <c r="AO48" i="3" s="1"/>
  <c r="AK54" i="3"/>
  <c r="AL54" i="3" s="1"/>
  <c r="AK53" i="3"/>
  <c r="AL53" i="3" s="1"/>
  <c r="AK52" i="3"/>
  <c r="AL52" i="3" s="1"/>
  <c r="AK51" i="3"/>
  <c r="AL51" i="3" s="1"/>
  <c r="AK50" i="3"/>
  <c r="AL50" i="3" s="1"/>
  <c r="AK49" i="3"/>
  <c r="AL49" i="3" s="1"/>
  <c r="AK48" i="3"/>
  <c r="AL48" i="3" s="1"/>
  <c r="AH54" i="3"/>
  <c r="AI54" i="3" s="1"/>
  <c r="AH53" i="3"/>
  <c r="AI53" i="3" s="1"/>
  <c r="AH52" i="3"/>
  <c r="AI52" i="3" s="1"/>
  <c r="AH51" i="3"/>
  <c r="AI51" i="3" s="1"/>
  <c r="AH50" i="3"/>
  <c r="AI50" i="3" s="1"/>
  <c r="AI49" i="3"/>
  <c r="AH49" i="3"/>
  <c r="AH48" i="3"/>
  <c r="AI48" i="3" s="1"/>
  <c r="AE54" i="3"/>
  <c r="AF54" i="3" s="1"/>
  <c r="AE53" i="3"/>
  <c r="AF53" i="3" s="1"/>
  <c r="AE52" i="3"/>
  <c r="AF52" i="3" s="1"/>
  <c r="AE51" i="3"/>
  <c r="AF51" i="3" s="1"/>
  <c r="AE50" i="3"/>
  <c r="AF50" i="3" s="1"/>
  <c r="AE49" i="3"/>
  <c r="AF49" i="3" s="1"/>
  <c r="AE48" i="3"/>
  <c r="AF48" i="3" s="1"/>
  <c r="AB54" i="3"/>
  <c r="AC54" i="3" s="1"/>
  <c r="AB53" i="3"/>
  <c r="AC53" i="3" s="1"/>
  <c r="AB52" i="3"/>
  <c r="AC52" i="3" s="1"/>
  <c r="AB51" i="3"/>
  <c r="AC51" i="3" s="1"/>
  <c r="AB50" i="3"/>
  <c r="AC50" i="3" s="1"/>
  <c r="AB49" i="3"/>
  <c r="AC49" i="3" s="1"/>
  <c r="AB48" i="3"/>
  <c r="AC48" i="3" s="1"/>
  <c r="Y54" i="3"/>
  <c r="Z54" i="3" s="1"/>
  <c r="Z53" i="3"/>
  <c r="Y53" i="3"/>
  <c r="Y52" i="3"/>
  <c r="Z52" i="3" s="1"/>
  <c r="Y51" i="3"/>
  <c r="Z51" i="3" s="1"/>
  <c r="Y50" i="3"/>
  <c r="Z50" i="3" s="1"/>
  <c r="Y49" i="3"/>
  <c r="Z49" i="3" s="1"/>
  <c r="Y48" i="3"/>
  <c r="Z48" i="3" s="1"/>
  <c r="V54" i="3"/>
  <c r="W54" i="3" s="1"/>
  <c r="V53" i="3"/>
  <c r="W53" i="3" s="1"/>
  <c r="V52" i="3"/>
  <c r="W52" i="3" s="1"/>
  <c r="V51" i="3"/>
  <c r="W51" i="3" s="1"/>
  <c r="V50" i="3"/>
  <c r="W50" i="3" s="1"/>
  <c r="V49" i="3"/>
  <c r="W49" i="3" s="1"/>
  <c r="V48" i="3"/>
  <c r="W48" i="3" s="1"/>
  <c r="S54" i="3"/>
  <c r="T54" i="3" s="1"/>
  <c r="S53" i="3"/>
  <c r="T53" i="3" s="1"/>
  <c r="S52" i="3"/>
  <c r="T52" i="3" s="1"/>
  <c r="S51" i="3"/>
  <c r="T51" i="3" s="1"/>
  <c r="S50" i="3"/>
  <c r="T50" i="3" s="1"/>
  <c r="S49" i="3"/>
  <c r="T49" i="3" s="1"/>
  <c r="S48" i="3"/>
  <c r="T48" i="3" s="1"/>
  <c r="P54" i="3"/>
  <c r="Q54" i="3" s="1"/>
  <c r="P53" i="3"/>
  <c r="Q53" i="3" s="1"/>
  <c r="P52" i="3"/>
  <c r="Q52" i="3" s="1"/>
  <c r="P51" i="3"/>
  <c r="Q51" i="3" s="1"/>
  <c r="P50" i="3"/>
  <c r="Q50" i="3" s="1"/>
  <c r="P49" i="3"/>
  <c r="Q49" i="3" s="1"/>
  <c r="P48" i="3"/>
  <c r="Q48" i="3" s="1"/>
  <c r="M54" i="3"/>
  <c r="N54" i="3" s="1"/>
  <c r="M53" i="3"/>
  <c r="N53" i="3" s="1"/>
  <c r="M52" i="3"/>
  <c r="N52" i="3" s="1"/>
  <c r="M51" i="3"/>
  <c r="N51" i="3" s="1"/>
  <c r="M50" i="3"/>
  <c r="N50" i="3" s="1"/>
  <c r="N49" i="3"/>
  <c r="M49" i="3"/>
  <c r="M48" i="3"/>
  <c r="N48" i="3" s="1"/>
  <c r="K54" i="3"/>
  <c r="K48" i="3"/>
  <c r="K49" i="3"/>
  <c r="K50" i="3"/>
  <c r="K51" i="3"/>
  <c r="K52" i="3"/>
  <c r="K53" i="3"/>
  <c r="M46" i="3"/>
  <c r="P46" i="3" s="1"/>
  <c r="S46" i="3" s="1"/>
  <c r="V46" i="3" s="1"/>
  <c r="Y46" i="3" s="1"/>
  <c r="AB46" i="3" s="1"/>
  <c r="AE46" i="3" s="1"/>
  <c r="AH46" i="3" s="1"/>
  <c r="AK46" i="3" s="1"/>
  <c r="AN46" i="3" s="1"/>
  <c r="AQ46" i="3" s="1"/>
  <c r="M45" i="3"/>
  <c r="P45" i="3" s="1"/>
  <c r="S45" i="3" s="1"/>
  <c r="V45" i="3" s="1"/>
  <c r="Y45" i="3" s="1"/>
  <c r="AB45" i="3" s="1"/>
  <c r="AE45" i="3" s="1"/>
  <c r="AH45" i="3" s="1"/>
  <c r="AK45" i="3" s="1"/>
  <c r="AN45" i="3" s="1"/>
  <c r="AQ45" i="3" s="1"/>
  <c r="J54" i="3"/>
  <c r="J47" i="3"/>
  <c r="M47" i="3" s="1"/>
  <c r="P47" i="3" s="1"/>
  <c r="S47" i="3" s="1"/>
  <c r="V47" i="3" s="1"/>
  <c r="Y47" i="3" s="1"/>
  <c r="AB47" i="3" s="1"/>
  <c r="AE47" i="3" s="1"/>
  <c r="AH47" i="3" s="1"/>
  <c r="AK47" i="3" s="1"/>
  <c r="AN47" i="3" s="1"/>
  <c r="AQ47" i="3" s="1"/>
  <c r="J48" i="3"/>
  <c r="J49" i="3"/>
  <c r="J50" i="3"/>
  <c r="J51" i="3"/>
  <c r="J52" i="3"/>
  <c r="J53" i="3"/>
  <c r="J46" i="3"/>
  <c r="J45" i="3"/>
  <c r="H19" i="39" l="1"/>
  <c r="I39" i="29" l="1"/>
  <c r="G39" i="29"/>
  <c r="I38" i="29"/>
  <c r="G38" i="29"/>
  <c r="I37" i="29"/>
  <c r="G37" i="29"/>
  <c r="I36" i="29"/>
  <c r="G36" i="29"/>
  <c r="I35" i="29"/>
  <c r="G35" i="29"/>
  <c r="I34" i="29"/>
  <c r="G34" i="29"/>
  <c r="I33" i="29"/>
  <c r="G33" i="29"/>
  <c r="I32" i="29"/>
  <c r="G32" i="29"/>
  <c r="I31" i="29"/>
  <c r="G31" i="29"/>
  <c r="I30" i="29"/>
  <c r="G30" i="29"/>
  <c r="I29" i="29"/>
  <c r="G29" i="29"/>
  <c r="I28" i="29"/>
  <c r="G28" i="29"/>
  <c r="I27" i="29"/>
  <c r="G27" i="29"/>
  <c r="I26" i="29"/>
  <c r="G26" i="29"/>
  <c r="I25" i="29"/>
  <c r="G25" i="29"/>
  <c r="I24" i="29"/>
  <c r="G24" i="29"/>
  <c r="I23" i="29"/>
  <c r="G23" i="29"/>
  <c r="I22" i="29"/>
  <c r="G22" i="29"/>
  <c r="I21" i="29"/>
  <c r="G21" i="29"/>
  <c r="I20" i="29"/>
  <c r="G20" i="29"/>
  <c r="I19" i="29"/>
  <c r="G19" i="29"/>
  <c r="I18" i="29"/>
  <c r="G18" i="29"/>
  <c r="I17" i="29"/>
  <c r="G17" i="29"/>
  <c r="I16" i="29"/>
  <c r="G16" i="29"/>
  <c r="A64" i="37"/>
  <c r="H64" i="37" l="1"/>
  <c r="A63" i="37"/>
  <c r="B64" i="37"/>
  <c r="G4" i="29"/>
  <c r="I4" i="29"/>
  <c r="G5" i="29"/>
  <c r="I5" i="29"/>
  <c r="G6" i="29"/>
  <c r="I6" i="29"/>
  <c r="G7" i="29"/>
  <c r="I7" i="29"/>
  <c r="G8" i="29"/>
  <c r="I8" i="29"/>
  <c r="G9" i="29"/>
  <c r="I9" i="29"/>
  <c r="G10" i="29"/>
  <c r="I10" i="29"/>
  <c r="G11" i="29"/>
  <c r="I11" i="29"/>
  <c r="G12" i="29"/>
  <c r="I12" i="29"/>
  <c r="G13" i="29"/>
  <c r="I13" i="29"/>
  <c r="G14" i="29"/>
  <c r="I14" i="29"/>
  <c r="G15" i="29"/>
  <c r="I15" i="29"/>
  <c r="I5" i="4" l="1"/>
  <c r="I4" i="4"/>
  <c r="H5" i="4"/>
  <c r="H4" i="4"/>
  <c r="G5" i="4"/>
  <c r="G4" i="4"/>
  <c r="F5" i="4"/>
  <c r="F4" i="4"/>
  <c r="Q220" i="30"/>
  <c r="K220" i="30"/>
  <c r="J220" i="30"/>
  <c r="Q219" i="30"/>
  <c r="K219" i="30"/>
  <c r="J219" i="30"/>
  <c r="Q218" i="30"/>
  <c r="K218" i="30"/>
  <c r="J218" i="30"/>
  <c r="Q217" i="30"/>
  <c r="K217" i="30"/>
  <c r="J217" i="30"/>
  <c r="Q216" i="30"/>
  <c r="K216" i="30"/>
  <c r="J216" i="30"/>
  <c r="Q215" i="30"/>
  <c r="K215" i="30"/>
  <c r="J215" i="30"/>
  <c r="Q214" i="30"/>
  <c r="K214" i="30"/>
  <c r="J214" i="30"/>
  <c r="Q213" i="30"/>
  <c r="N213" i="30"/>
  <c r="M213" i="30"/>
  <c r="L213" i="30"/>
  <c r="K213" i="30"/>
  <c r="J213" i="30"/>
  <c r="Q212" i="30"/>
  <c r="K212" i="30"/>
  <c r="J212" i="30"/>
  <c r="Q211" i="30"/>
  <c r="K211" i="30"/>
  <c r="J211" i="30"/>
  <c r="Q210" i="30"/>
  <c r="K210" i="30"/>
  <c r="J210" i="30"/>
  <c r="Q209" i="30"/>
  <c r="K209" i="30"/>
  <c r="J209" i="30"/>
  <c r="Q208" i="30"/>
  <c r="K208" i="30"/>
  <c r="J208" i="30"/>
  <c r="Q207" i="30"/>
  <c r="K207" i="30"/>
  <c r="J207" i="30"/>
  <c r="Q206" i="30"/>
  <c r="K206" i="30"/>
  <c r="J206" i="30"/>
  <c r="Q205" i="30"/>
  <c r="K205" i="30"/>
  <c r="J205" i="30"/>
  <c r="Q204" i="30"/>
  <c r="K204" i="30"/>
  <c r="J204" i="30"/>
  <c r="Q203" i="30"/>
  <c r="K203" i="30"/>
  <c r="J203" i="30"/>
  <c r="Q202" i="30"/>
  <c r="K202" i="30"/>
  <c r="J202" i="30"/>
  <c r="Q201" i="30"/>
  <c r="K201" i="30"/>
  <c r="J201" i="30"/>
  <c r="Q200" i="30"/>
  <c r="K200" i="30"/>
  <c r="J200" i="30"/>
  <c r="Q199" i="30"/>
  <c r="K199" i="30"/>
  <c r="J199" i="30"/>
  <c r="Q198" i="30"/>
  <c r="K198" i="30"/>
  <c r="J198" i="30"/>
  <c r="Q197" i="30"/>
  <c r="K197" i="30"/>
  <c r="J197" i="30"/>
  <c r="Q196" i="30"/>
  <c r="K196" i="30"/>
  <c r="J196" i="30"/>
  <c r="Q195" i="30"/>
  <c r="K195" i="30"/>
  <c r="J195" i="30"/>
  <c r="Q194" i="30"/>
  <c r="N194" i="30"/>
  <c r="M194" i="30"/>
  <c r="L194" i="30"/>
  <c r="K194" i="30"/>
  <c r="J194" i="30"/>
  <c r="Q193" i="30"/>
  <c r="K193" i="30"/>
  <c r="J193" i="30"/>
  <c r="Q192" i="30"/>
  <c r="K192" i="30"/>
  <c r="J192" i="30"/>
  <c r="Q191" i="30"/>
  <c r="K191" i="30"/>
  <c r="J191" i="30"/>
  <c r="Q190" i="30"/>
  <c r="K190" i="30"/>
  <c r="J190" i="30"/>
  <c r="Q189" i="30"/>
  <c r="K189" i="30"/>
  <c r="J189" i="30"/>
  <c r="Q188" i="30"/>
  <c r="K188" i="30"/>
  <c r="J188" i="30"/>
  <c r="Q187" i="30"/>
  <c r="K187" i="30"/>
  <c r="J187" i="30"/>
  <c r="Q186" i="30"/>
  <c r="K186" i="30"/>
  <c r="J186" i="30"/>
  <c r="Q185" i="30"/>
  <c r="K185" i="30"/>
  <c r="J185" i="30"/>
  <c r="Q184" i="30"/>
  <c r="K184" i="30"/>
  <c r="J184" i="30"/>
  <c r="Q183" i="30"/>
  <c r="K183" i="30"/>
  <c r="J183" i="30"/>
  <c r="Q182" i="30"/>
  <c r="K182" i="30"/>
  <c r="J182" i="30"/>
  <c r="Q181" i="30"/>
  <c r="K181" i="30"/>
  <c r="J181" i="30"/>
  <c r="Q180" i="30"/>
  <c r="K180" i="30"/>
  <c r="J180" i="30"/>
  <c r="Q179" i="30"/>
  <c r="K179" i="30"/>
  <c r="J179" i="30"/>
  <c r="Q178" i="30"/>
  <c r="K178" i="30"/>
  <c r="J178" i="30"/>
  <c r="Q177" i="30"/>
  <c r="K177" i="30"/>
  <c r="J177" i="30"/>
  <c r="Q176" i="30"/>
  <c r="K176" i="30"/>
  <c r="J176" i="30"/>
  <c r="Q175" i="30"/>
  <c r="K175" i="30"/>
  <c r="J175" i="30"/>
  <c r="Q174" i="30"/>
  <c r="K174" i="30"/>
  <c r="J174" i="30"/>
  <c r="Q173" i="30"/>
  <c r="K173" i="30"/>
  <c r="J173" i="30"/>
  <c r="Q172" i="30"/>
  <c r="N172" i="30"/>
  <c r="M172" i="30"/>
  <c r="L172" i="30"/>
  <c r="K172" i="30"/>
  <c r="J172" i="30"/>
  <c r="Q171" i="30"/>
  <c r="K171" i="30"/>
  <c r="J171" i="30"/>
  <c r="Q170" i="30"/>
  <c r="K170" i="30"/>
  <c r="J170" i="30"/>
  <c r="J12" i="30"/>
  <c r="K12" i="30"/>
  <c r="L39" i="29"/>
  <c r="L38" i="29"/>
  <c r="L37" i="29"/>
  <c r="L36" i="29"/>
  <c r="L35" i="29"/>
  <c r="L34" i="29"/>
  <c r="L33" i="29"/>
  <c r="L32" i="29"/>
  <c r="L31" i="29"/>
  <c r="L30" i="29"/>
  <c r="L29" i="29"/>
  <c r="L28" i="29"/>
  <c r="L27" i="29"/>
  <c r="L26" i="29"/>
  <c r="L25" i="29"/>
  <c r="L24" i="29"/>
  <c r="L23" i="29"/>
  <c r="L22" i="29"/>
  <c r="L21" i="29"/>
  <c r="L20" i="29"/>
  <c r="L19" i="29"/>
  <c r="L18" i="29"/>
  <c r="L17" i="29"/>
  <c r="L16" i="29"/>
  <c r="L15" i="29"/>
  <c r="L14" i="29"/>
  <c r="L13" i="29"/>
  <c r="L12" i="29"/>
  <c r="L11" i="29"/>
  <c r="L10" i="29"/>
  <c r="L9" i="29"/>
  <c r="L8" i="29"/>
  <c r="L7" i="29"/>
  <c r="L6" i="29"/>
  <c r="L5" i="29"/>
  <c r="L4" i="29"/>
  <c r="L113" i="30"/>
  <c r="L117" i="30"/>
  <c r="L118" i="30"/>
  <c r="L148" i="30"/>
  <c r="H21" i="39"/>
  <c r="H20" i="39"/>
  <c r="H18" i="39"/>
  <c r="H17" i="39"/>
  <c r="H16" i="39"/>
  <c r="H15" i="39"/>
  <c r="H14" i="39"/>
  <c r="H13" i="39"/>
  <c r="H12" i="39"/>
  <c r="H11" i="39"/>
  <c r="H10" i="39"/>
  <c r="H9" i="39"/>
  <c r="H8" i="39"/>
  <c r="H7" i="39"/>
  <c r="H6" i="39"/>
  <c r="H4" i="39"/>
  <c r="H3" i="39"/>
  <c r="C5" i="35"/>
  <c r="D5" i="35"/>
  <c r="E5" i="35"/>
  <c r="F5" i="35"/>
  <c r="B14" i="35" s="1"/>
  <c r="G5" i="35"/>
  <c r="H5" i="35"/>
  <c r="I5" i="35"/>
  <c r="J5" i="35"/>
  <c r="K5" i="35"/>
  <c r="L5" i="35"/>
  <c r="M5" i="35"/>
  <c r="N5" i="35"/>
  <c r="O5" i="35"/>
  <c r="P5" i="35"/>
  <c r="K4" i="30"/>
  <c r="J17" i="32"/>
  <c r="J18" i="32"/>
  <c r="J19" i="32"/>
  <c r="J21" i="32"/>
  <c r="J23" i="32"/>
  <c r="BA14" i="20"/>
  <c r="AZ14" i="20"/>
  <c r="AY14" i="20"/>
  <c r="AX14" i="20"/>
  <c r="AW14" i="20"/>
  <c r="AV14" i="20"/>
  <c r="AU14" i="20"/>
  <c r="AT14" i="20"/>
  <c r="AS14" i="20"/>
  <c r="AR14" i="20"/>
  <c r="AQ14" i="20"/>
  <c r="AP14" i="20"/>
  <c r="AO14" i="20"/>
  <c r="AN14" i="20"/>
  <c r="AM14" i="20"/>
  <c r="AL14" i="20"/>
  <c r="AK14" i="20"/>
  <c r="AJ14" i="20"/>
  <c r="AI14" i="20"/>
  <c r="AH14" i="20"/>
  <c r="AG14" i="20"/>
  <c r="H2" i="10"/>
  <c r="H5" i="10" s="1"/>
  <c r="G2" i="10"/>
  <c r="G7" i="10" s="1"/>
  <c r="G8" i="10"/>
  <c r="G9" i="10"/>
  <c r="G10" i="10"/>
  <c r="G11" i="10"/>
  <c r="G14" i="10"/>
  <c r="G15" i="10"/>
  <c r="G16" i="10"/>
  <c r="G17" i="10"/>
  <c r="G20" i="10"/>
  <c r="G21" i="10"/>
  <c r="H2" i="9"/>
  <c r="H7" i="9" s="1"/>
  <c r="H9" i="9"/>
  <c r="H10" i="9"/>
  <c r="H14" i="9"/>
  <c r="H15" i="9"/>
  <c r="G2" i="9"/>
  <c r="G10" i="9" s="1"/>
  <c r="F2" i="10"/>
  <c r="F10" i="10" s="1"/>
  <c r="F2" i="9"/>
  <c r="G2" i="3" s="1"/>
  <c r="A2" i="14" s="1"/>
  <c r="I3" i="27"/>
  <c r="BR66" i="3"/>
  <c r="K67" i="3" s="1"/>
  <c r="BR45" i="3"/>
  <c r="BR35" i="3"/>
  <c r="BR126" i="3"/>
  <c r="K127" i="3" s="1"/>
  <c r="G40" i="37"/>
  <c r="G41" i="37"/>
  <c r="H41" i="37"/>
  <c r="G42" i="37"/>
  <c r="H42" i="37"/>
  <c r="G43" i="37"/>
  <c r="H43" i="37"/>
  <c r="G44" i="37"/>
  <c r="H44" i="37"/>
  <c r="G45" i="37"/>
  <c r="H45" i="37"/>
  <c r="G46" i="37"/>
  <c r="H46" i="37"/>
  <c r="G47" i="37"/>
  <c r="H47" i="37"/>
  <c r="G48" i="37"/>
  <c r="H48" i="37"/>
  <c r="G49" i="37"/>
  <c r="H49" i="37"/>
  <c r="G50" i="37"/>
  <c r="H50" i="37"/>
  <c r="G51" i="37"/>
  <c r="H51" i="37"/>
  <c r="G52" i="37"/>
  <c r="H52" i="37"/>
  <c r="G53" i="37"/>
  <c r="H53" i="37"/>
  <c r="G54" i="37"/>
  <c r="H54" i="37"/>
  <c r="G55" i="37"/>
  <c r="H55" i="37"/>
  <c r="G56" i="37"/>
  <c r="H56" i="37"/>
  <c r="G57" i="37"/>
  <c r="H57" i="37"/>
  <c r="G58" i="37"/>
  <c r="H58" i="37"/>
  <c r="G59" i="37"/>
  <c r="H59" i="37"/>
  <c r="G60" i="37"/>
  <c r="H60" i="37"/>
  <c r="G61" i="37"/>
  <c r="H61" i="37"/>
  <c r="G62" i="37"/>
  <c r="H62" i="37"/>
  <c r="L42" i="29"/>
  <c r="K42" i="29"/>
  <c r="K43" i="29"/>
  <c r="L43" i="29"/>
  <c r="L41" i="29"/>
  <c r="L44" i="29"/>
  <c r="L45" i="29"/>
  <c r="L46" i="29"/>
  <c r="L47" i="29"/>
  <c r="L48" i="29"/>
  <c r="L49" i="29"/>
  <c r="L50" i="29"/>
  <c r="L51" i="29"/>
  <c r="L52" i="29"/>
  <c r="L53" i="29"/>
  <c r="L54" i="29"/>
  <c r="L55" i="29"/>
  <c r="L56" i="29"/>
  <c r="L57" i="29"/>
  <c r="L58" i="29"/>
  <c r="L59" i="29"/>
  <c r="L60" i="29"/>
  <c r="L61" i="29"/>
  <c r="L62" i="29"/>
  <c r="L63" i="29"/>
  <c r="L64" i="29"/>
  <c r="X5" i="6"/>
  <c r="X4" i="6"/>
  <c r="Q20" i="37"/>
  <c r="R20" i="37" s="1"/>
  <c r="G4" i="37"/>
  <c r="G16" i="37"/>
  <c r="G5" i="33"/>
  <c r="G6" i="33"/>
  <c r="G7" i="33"/>
  <c r="G8" i="33"/>
  <c r="G9" i="33"/>
  <c r="G10" i="33"/>
  <c r="G11" i="33"/>
  <c r="G12" i="33"/>
  <c r="G13" i="33"/>
  <c r="G14" i="33"/>
  <c r="G15" i="33"/>
  <c r="G16" i="33"/>
  <c r="G17" i="33"/>
  <c r="K3" i="30"/>
  <c r="K5" i="30"/>
  <c r="K6" i="30"/>
  <c r="K7" i="30"/>
  <c r="K8" i="30"/>
  <c r="K9" i="30"/>
  <c r="K10" i="30"/>
  <c r="K11" i="30"/>
  <c r="G5" i="37"/>
  <c r="G6" i="37"/>
  <c r="H6" i="37"/>
  <c r="G7" i="37"/>
  <c r="G8" i="37"/>
  <c r="G9" i="37"/>
  <c r="G10" i="37"/>
  <c r="H10" i="37"/>
  <c r="G11" i="37"/>
  <c r="G12" i="37"/>
  <c r="H12" i="37"/>
  <c r="G13" i="37"/>
  <c r="H13" i="37"/>
  <c r="G14" i="37"/>
  <c r="H14" i="37"/>
  <c r="G15" i="37"/>
  <c r="H15" i="37"/>
  <c r="G17" i="37"/>
  <c r="G18" i="37"/>
  <c r="H18" i="37"/>
  <c r="G19" i="37"/>
  <c r="H19" i="37"/>
  <c r="G20" i="37"/>
  <c r="H20" i="37"/>
  <c r="G21" i="37"/>
  <c r="G22" i="37"/>
  <c r="H22" i="37"/>
  <c r="G23" i="37"/>
  <c r="H23" i="37"/>
  <c r="G24" i="37"/>
  <c r="H24" i="37"/>
  <c r="G25" i="37"/>
  <c r="H25" i="37"/>
  <c r="G26" i="37"/>
  <c r="H26" i="37"/>
  <c r="G27" i="37"/>
  <c r="H27" i="37"/>
  <c r="G28" i="37"/>
  <c r="G29" i="37"/>
  <c r="G30" i="37"/>
  <c r="H30" i="37"/>
  <c r="G31" i="37"/>
  <c r="H31" i="37"/>
  <c r="G32" i="37"/>
  <c r="H32" i="37"/>
  <c r="G33" i="37"/>
  <c r="G34" i="37"/>
  <c r="H34" i="37"/>
  <c r="G35" i="37"/>
  <c r="H35" i="37"/>
  <c r="G36" i="37"/>
  <c r="H36" i="37"/>
  <c r="G37" i="37"/>
  <c r="H37" i="37"/>
  <c r="G38" i="37"/>
  <c r="H38" i="37"/>
  <c r="G39" i="37"/>
  <c r="H39" i="37"/>
  <c r="K41" i="29"/>
  <c r="S27" i="37"/>
  <c r="S21" i="37"/>
  <c r="S14" i="37"/>
  <c r="S13" i="37"/>
  <c r="T10" i="37"/>
  <c r="T17" i="37"/>
  <c r="T18" i="37"/>
  <c r="T22" i="37"/>
  <c r="T23" i="37"/>
  <c r="T24" i="37"/>
  <c r="T25" i="37"/>
  <c r="T26" i="37"/>
  <c r="S10" i="37"/>
  <c r="S11" i="37"/>
  <c r="S17" i="37"/>
  <c r="S18" i="37"/>
  <c r="S19" i="37"/>
  <c r="S22" i="37"/>
  <c r="S23" i="37"/>
  <c r="S24" i="37"/>
  <c r="S25" i="37"/>
  <c r="S26" i="37"/>
  <c r="U27" i="37"/>
  <c r="Q27" i="37"/>
  <c r="R27" i="37" s="1"/>
  <c r="U26" i="37"/>
  <c r="Q26" i="37"/>
  <c r="R26" i="37" s="1"/>
  <c r="U5" i="37"/>
  <c r="U6" i="37"/>
  <c r="U7" i="37"/>
  <c r="U8" i="37"/>
  <c r="U9" i="37"/>
  <c r="U10" i="37"/>
  <c r="U11" i="37"/>
  <c r="U12" i="37"/>
  <c r="U13" i="37"/>
  <c r="U14" i="37"/>
  <c r="U15" i="37"/>
  <c r="U16" i="37"/>
  <c r="U17" i="37"/>
  <c r="U18" i="37"/>
  <c r="U19" i="37"/>
  <c r="U20" i="37"/>
  <c r="U21" i="37"/>
  <c r="U22" i="37"/>
  <c r="U23" i="37"/>
  <c r="U24" i="37"/>
  <c r="U25" i="37"/>
  <c r="U4" i="37"/>
  <c r="H42" i="26"/>
  <c r="H43" i="26"/>
  <c r="H44" i="26"/>
  <c r="H45" i="26"/>
  <c r="H46" i="26"/>
  <c r="H47" i="26"/>
  <c r="H48" i="26"/>
  <c r="H49" i="26"/>
  <c r="H50" i="26"/>
  <c r="H51" i="26"/>
  <c r="H52" i="26"/>
  <c r="H53" i="26"/>
  <c r="H54" i="26"/>
  <c r="H55" i="26"/>
  <c r="H56" i="26"/>
  <c r="H57" i="26"/>
  <c r="H58" i="26"/>
  <c r="H59" i="26"/>
  <c r="H60" i="26"/>
  <c r="H61" i="26"/>
  <c r="H62" i="26"/>
  <c r="H63" i="26"/>
  <c r="H64" i="26"/>
  <c r="H65" i="26"/>
  <c r="Q5" i="37"/>
  <c r="R5" i="37" s="1"/>
  <c r="H17" i="37" s="1"/>
  <c r="Q6" i="37"/>
  <c r="R6" i="37" s="1"/>
  <c r="Q7" i="37"/>
  <c r="R7" i="37" s="1"/>
  <c r="H7" i="37" s="1"/>
  <c r="Q8" i="37"/>
  <c r="R8" i="37" s="1"/>
  <c r="H8" i="37" s="1"/>
  <c r="Q9" i="37"/>
  <c r="R9" i="37" s="1"/>
  <c r="H21" i="37" s="1"/>
  <c r="Q10" i="37"/>
  <c r="R10" i="37" s="1"/>
  <c r="Q11" i="37"/>
  <c r="R11" i="37" s="1"/>
  <c r="H40" i="37" s="1"/>
  <c r="Q12" i="37"/>
  <c r="R12" i="37" s="1"/>
  <c r="Q13" i="37"/>
  <c r="R13" i="37" s="1"/>
  <c r="Q14" i="37"/>
  <c r="R14" i="37" s="1"/>
  <c r="Q15" i="37"/>
  <c r="R15" i="37" s="1"/>
  <c r="H11" i="37" s="1"/>
  <c r="Q16" i="37"/>
  <c r="R16" i="37" s="1"/>
  <c r="Q17" i="37"/>
  <c r="R17" i="37" s="1"/>
  <c r="Q18" i="37"/>
  <c r="R18" i="37" s="1"/>
  <c r="Q19" i="37"/>
  <c r="R19" i="37" s="1"/>
  <c r="Q21" i="37"/>
  <c r="R21" i="37" s="1"/>
  <c r="Q22" i="37"/>
  <c r="R22" i="37" s="1"/>
  <c r="Q23" i="37"/>
  <c r="R23" i="37" s="1"/>
  <c r="Q24" i="37"/>
  <c r="R24" i="37" s="1"/>
  <c r="Q25" i="37"/>
  <c r="R25" i="37" s="1"/>
  <c r="Q4" i="37"/>
  <c r="R4" i="37" s="1"/>
  <c r="H28" i="37" s="1"/>
  <c r="U14" i="29"/>
  <c r="V14" i="29" s="1"/>
  <c r="U17" i="29"/>
  <c r="U18" i="29"/>
  <c r="U21" i="29"/>
  <c r="U22" i="29"/>
  <c r="U23" i="29"/>
  <c r="U24" i="29"/>
  <c r="U25" i="29"/>
  <c r="U26" i="29"/>
  <c r="U27" i="29"/>
  <c r="I64" i="29"/>
  <c r="G64" i="29"/>
  <c r="I63" i="29"/>
  <c r="G63" i="29"/>
  <c r="I62" i="29"/>
  <c r="G62" i="29"/>
  <c r="I61" i="29"/>
  <c r="G61" i="29"/>
  <c r="I60" i="29"/>
  <c r="G60" i="29"/>
  <c r="I59" i="29"/>
  <c r="G59" i="29"/>
  <c r="I58" i="29"/>
  <c r="G58" i="29"/>
  <c r="I57" i="29"/>
  <c r="G57" i="29"/>
  <c r="I56" i="29"/>
  <c r="G56" i="29"/>
  <c r="I55" i="29"/>
  <c r="G55" i="29"/>
  <c r="I54" i="29"/>
  <c r="G54" i="29"/>
  <c r="I53" i="29"/>
  <c r="G53" i="29"/>
  <c r="I52" i="29"/>
  <c r="G52" i="29"/>
  <c r="I51" i="29"/>
  <c r="G51" i="29"/>
  <c r="I50" i="29"/>
  <c r="G50" i="29"/>
  <c r="I49" i="29"/>
  <c r="G49" i="29"/>
  <c r="I48" i="29"/>
  <c r="G48" i="29"/>
  <c r="I47" i="29"/>
  <c r="G47" i="29"/>
  <c r="I46" i="29"/>
  <c r="G46" i="29"/>
  <c r="I45" i="29"/>
  <c r="G45" i="29"/>
  <c r="I44" i="29"/>
  <c r="G44" i="29"/>
  <c r="I43" i="29"/>
  <c r="G43" i="29"/>
  <c r="P22" i="39"/>
  <c r="R22" i="39"/>
  <c r="K64" i="29"/>
  <c r="K63" i="29"/>
  <c r="K62" i="29"/>
  <c r="K61" i="29"/>
  <c r="K60" i="29"/>
  <c r="K59" i="29"/>
  <c r="K58" i="29"/>
  <c r="K57" i="29"/>
  <c r="K56" i="29"/>
  <c r="K55" i="29"/>
  <c r="K54" i="29"/>
  <c r="K53" i="29"/>
  <c r="U19" i="29"/>
  <c r="K52" i="29"/>
  <c r="K51" i="29"/>
  <c r="K50" i="29"/>
  <c r="K49" i="29"/>
  <c r="M49" i="29" s="1"/>
  <c r="K48" i="29"/>
  <c r="K47" i="29"/>
  <c r="K46" i="29"/>
  <c r="K45" i="29"/>
  <c r="M45" i="29" s="1"/>
  <c r="K44" i="29"/>
  <c r="U16" i="29"/>
  <c r="D12" i="34"/>
  <c r="D11" i="34"/>
  <c r="D10" i="34"/>
  <c r="D9" i="34"/>
  <c r="D8" i="34"/>
  <c r="D7" i="34"/>
  <c r="D6" i="34"/>
  <c r="D5" i="34"/>
  <c r="D17" i="33"/>
  <c r="D16" i="33"/>
  <c r="D15" i="33"/>
  <c r="D14" i="33"/>
  <c r="D13" i="33"/>
  <c r="D12" i="33"/>
  <c r="D11" i="33"/>
  <c r="D10" i="33"/>
  <c r="D9" i="33"/>
  <c r="D8" i="33"/>
  <c r="D7" i="33"/>
  <c r="D6" i="33"/>
  <c r="D5" i="33"/>
  <c r="D23" i="32"/>
  <c r="D18" i="32"/>
  <c r="D17" i="32"/>
  <c r="D16" i="32"/>
  <c r="G12" i="34"/>
  <c r="G11" i="34"/>
  <c r="G10" i="34"/>
  <c r="G9" i="34"/>
  <c r="G8" i="34"/>
  <c r="G7" i="34"/>
  <c r="G6" i="34"/>
  <c r="G5" i="34"/>
  <c r="C23" i="32"/>
  <c r="C18" i="32"/>
  <c r="C17" i="32"/>
  <c r="C16" i="32"/>
  <c r="S6" i="37"/>
  <c r="S16" i="37"/>
  <c r="G42" i="26"/>
  <c r="G43" i="26"/>
  <c r="G44" i="26"/>
  <c r="G45" i="26"/>
  <c r="G46" i="26"/>
  <c r="G47" i="26"/>
  <c r="G48" i="26"/>
  <c r="G49" i="26"/>
  <c r="G50" i="26"/>
  <c r="G51" i="26"/>
  <c r="G52" i="26"/>
  <c r="G53" i="26"/>
  <c r="G54" i="26"/>
  <c r="G55" i="26"/>
  <c r="G56" i="26"/>
  <c r="G57" i="26"/>
  <c r="G58" i="26"/>
  <c r="G59" i="26"/>
  <c r="G60" i="26"/>
  <c r="G61" i="26"/>
  <c r="G62" i="26"/>
  <c r="G63" i="26"/>
  <c r="G64" i="26"/>
  <c r="G65" i="26"/>
  <c r="I102" i="27"/>
  <c r="I101" i="27"/>
  <c r="I100" i="27"/>
  <c r="I99" i="27"/>
  <c r="I98" i="27"/>
  <c r="I97" i="27"/>
  <c r="I96" i="27"/>
  <c r="I95" i="27"/>
  <c r="I94" i="27"/>
  <c r="I93" i="27"/>
  <c r="I92" i="27"/>
  <c r="I91" i="27"/>
  <c r="I90" i="27"/>
  <c r="I89" i="27"/>
  <c r="I88" i="27"/>
  <c r="I87" i="27"/>
  <c r="I86" i="27"/>
  <c r="I85" i="27"/>
  <c r="I84" i="27"/>
  <c r="I83" i="27"/>
  <c r="I82" i="27"/>
  <c r="I81" i="27"/>
  <c r="I80" i="27"/>
  <c r="I79" i="27"/>
  <c r="I78" i="27"/>
  <c r="I77" i="27"/>
  <c r="I76" i="27"/>
  <c r="I75" i="27"/>
  <c r="I74" i="27"/>
  <c r="I73" i="27"/>
  <c r="I72" i="27"/>
  <c r="I71" i="27"/>
  <c r="I70" i="27"/>
  <c r="I69" i="27"/>
  <c r="I68" i="27"/>
  <c r="I67" i="27"/>
  <c r="I66" i="27"/>
  <c r="I65" i="27"/>
  <c r="I64" i="27"/>
  <c r="I63" i="27"/>
  <c r="I62" i="27"/>
  <c r="I61" i="27"/>
  <c r="I60" i="27"/>
  <c r="I59" i="27"/>
  <c r="I58" i="27"/>
  <c r="I57" i="27"/>
  <c r="I56" i="27"/>
  <c r="I55" i="27"/>
  <c r="I54" i="27"/>
  <c r="I53" i="27"/>
  <c r="I52" i="27"/>
  <c r="I51" i="27"/>
  <c r="I50" i="27"/>
  <c r="I49" i="27"/>
  <c r="I48" i="27"/>
  <c r="I47" i="27"/>
  <c r="I46" i="27"/>
  <c r="I45" i="27"/>
  <c r="E44" i="10"/>
  <c r="E43" i="10"/>
  <c r="E42" i="10"/>
  <c r="E41" i="10"/>
  <c r="E40" i="10"/>
  <c r="E39" i="10"/>
  <c r="E38" i="10"/>
  <c r="E37" i="10"/>
  <c r="E36" i="10"/>
  <c r="E35" i="10"/>
  <c r="C3" i="28"/>
  <c r="C4" i="28"/>
  <c r="C5" i="28"/>
  <c r="C6" i="28"/>
  <c r="Z2" i="9"/>
  <c r="Z15" i="9" s="1"/>
  <c r="I2" i="9"/>
  <c r="J2" i="9"/>
  <c r="K2" i="9"/>
  <c r="K11" i="9" s="1"/>
  <c r="L2" i="9"/>
  <c r="L6" i="9" s="1"/>
  <c r="M2" i="9"/>
  <c r="M9" i="9" s="1"/>
  <c r="N2" i="9"/>
  <c r="N8" i="9" s="1"/>
  <c r="O2" i="9"/>
  <c r="O6" i="9" s="1"/>
  <c r="P2" i="9"/>
  <c r="P10" i="9" s="1"/>
  <c r="Q2" i="9"/>
  <c r="Q10" i="9" s="1"/>
  <c r="R2" i="9"/>
  <c r="S2" i="9"/>
  <c r="T2" i="9"/>
  <c r="AW2" i="3" s="1"/>
  <c r="U2" i="9"/>
  <c r="U10" i="9" s="1"/>
  <c r="V2" i="9"/>
  <c r="BC2" i="3" s="1"/>
  <c r="W2" i="9"/>
  <c r="X2" i="9"/>
  <c r="Y2" i="9"/>
  <c r="BL2" i="3" s="1"/>
  <c r="A72" i="14" s="1"/>
  <c r="E47" i="9"/>
  <c r="E48" i="9"/>
  <c r="E49" i="9"/>
  <c r="E50" i="9"/>
  <c r="E51" i="9"/>
  <c r="E52" i="9"/>
  <c r="E53" i="9"/>
  <c r="E54" i="9"/>
  <c r="E55" i="9"/>
  <c r="E56" i="9"/>
  <c r="E67" i="9"/>
  <c r="E68" i="9"/>
  <c r="E69" i="9"/>
  <c r="E70" i="9"/>
  <c r="E71" i="9"/>
  <c r="E72" i="9"/>
  <c r="E73" i="9"/>
  <c r="E74" i="9"/>
  <c r="E75" i="9"/>
  <c r="E76" i="9"/>
  <c r="E16" i="9"/>
  <c r="E17" i="9"/>
  <c r="E18" i="9"/>
  <c r="E19" i="9"/>
  <c r="E20" i="9"/>
  <c r="E21" i="9"/>
  <c r="E22" i="9"/>
  <c r="E23" i="9"/>
  <c r="E24" i="9"/>
  <c r="E25" i="9"/>
  <c r="E26" i="9"/>
  <c r="E27" i="9"/>
  <c r="E28" i="9"/>
  <c r="E29" i="9"/>
  <c r="E30" i="9"/>
  <c r="E31" i="9"/>
  <c r="E32" i="9"/>
  <c r="E33" i="9"/>
  <c r="E34" i="9"/>
  <c r="E35" i="9"/>
  <c r="G2" i="36"/>
  <c r="E25" i="10"/>
  <c r="E26" i="10"/>
  <c r="E27" i="10"/>
  <c r="E28" i="10"/>
  <c r="E29" i="10"/>
  <c r="E30" i="10"/>
  <c r="E31" i="10"/>
  <c r="E32" i="10"/>
  <c r="E33" i="10"/>
  <c r="E34" i="10"/>
  <c r="E45" i="10"/>
  <c r="E46" i="10"/>
  <c r="E47" i="10"/>
  <c r="E48" i="10"/>
  <c r="E49" i="10"/>
  <c r="E50" i="10"/>
  <c r="E51" i="10"/>
  <c r="E52" i="10"/>
  <c r="E53" i="10"/>
  <c r="E54" i="10"/>
  <c r="C7" i="28"/>
  <c r="C12" i="28"/>
  <c r="C11" i="28"/>
  <c r="C10" i="28"/>
  <c r="C9" i="28"/>
  <c r="C8" i="28"/>
  <c r="C17" i="28"/>
  <c r="C16" i="28"/>
  <c r="C15" i="28"/>
  <c r="C14" i="28"/>
  <c r="C13" i="28"/>
  <c r="C22" i="28"/>
  <c r="C21" i="28"/>
  <c r="C20" i="28"/>
  <c r="C19" i="28"/>
  <c r="C18" i="28"/>
  <c r="C27" i="28"/>
  <c r="C26" i="28"/>
  <c r="C25" i="28"/>
  <c r="C24" i="28"/>
  <c r="C23" i="28"/>
  <c r="D103" i="28"/>
  <c r="E103" i="28" s="1"/>
  <c r="D98" i="28"/>
  <c r="F98" i="28" s="1"/>
  <c r="D93" i="28"/>
  <c r="E93" i="28" s="1"/>
  <c r="D88" i="28"/>
  <c r="F88" i="28" s="1"/>
  <c r="D83" i="28"/>
  <c r="F83" i="28" s="1"/>
  <c r="D78" i="28"/>
  <c r="F78" i="28" s="1"/>
  <c r="D73" i="28"/>
  <c r="F73" i="28" s="1"/>
  <c r="D68" i="28"/>
  <c r="F68" i="28" s="1"/>
  <c r="D63" i="28"/>
  <c r="F63" i="28" s="1"/>
  <c r="D58" i="28"/>
  <c r="F58" i="28" s="1"/>
  <c r="D53" i="28"/>
  <c r="F53" i="28" s="1"/>
  <c r="D48" i="28"/>
  <c r="F48" i="28" s="1"/>
  <c r="D43" i="28"/>
  <c r="F43" i="28" s="1"/>
  <c r="D38" i="28"/>
  <c r="E38" i="28" s="1"/>
  <c r="D33" i="28"/>
  <c r="E33" i="28" s="1"/>
  <c r="D28" i="28"/>
  <c r="D23" i="28"/>
  <c r="E23" i="28" s="1"/>
  <c r="D18" i="28"/>
  <c r="F18" i="28" s="1"/>
  <c r="D13" i="28"/>
  <c r="E13" i="28" s="1"/>
  <c r="D8" i="28"/>
  <c r="F8" i="28" s="1"/>
  <c r="D3" i="28"/>
  <c r="F3" i="28" s="1"/>
  <c r="H107" i="28"/>
  <c r="H106" i="28"/>
  <c r="J106" i="28" s="1"/>
  <c r="H105" i="28"/>
  <c r="J105" i="28"/>
  <c r="H104" i="28"/>
  <c r="J104" i="28" s="1"/>
  <c r="H102" i="28"/>
  <c r="H101" i="28"/>
  <c r="J101" i="28" s="1"/>
  <c r="H100" i="28"/>
  <c r="J100" i="28"/>
  <c r="H99" i="28"/>
  <c r="J99" i="28" s="1"/>
  <c r="H97" i="28"/>
  <c r="H96" i="28"/>
  <c r="J96" i="28" s="1"/>
  <c r="H95" i="28"/>
  <c r="J95" i="28" s="1"/>
  <c r="H94" i="28"/>
  <c r="J94" i="28" s="1"/>
  <c r="H92" i="28"/>
  <c r="H91" i="28"/>
  <c r="J91" i="28"/>
  <c r="H90" i="28"/>
  <c r="J90" i="28"/>
  <c r="H89" i="28"/>
  <c r="J89" i="28" s="1"/>
  <c r="H87" i="28"/>
  <c r="H86" i="28"/>
  <c r="J86" i="28" s="1"/>
  <c r="H85" i="28"/>
  <c r="J85" i="28" s="1"/>
  <c r="H84" i="28"/>
  <c r="J84" i="28" s="1"/>
  <c r="H82" i="28"/>
  <c r="H81" i="28"/>
  <c r="J81" i="28" s="1"/>
  <c r="H80" i="28"/>
  <c r="J80" i="28"/>
  <c r="H79" i="28"/>
  <c r="J79" i="28" s="1"/>
  <c r="H77" i="28"/>
  <c r="H76" i="28"/>
  <c r="J76" i="28" s="1"/>
  <c r="H75" i="28"/>
  <c r="J75" i="28" s="1"/>
  <c r="H74" i="28"/>
  <c r="J74" i="28" s="1"/>
  <c r="H72" i="28"/>
  <c r="H71" i="28"/>
  <c r="J71" i="28"/>
  <c r="H70" i="28"/>
  <c r="J70" i="28" s="1"/>
  <c r="H69" i="28"/>
  <c r="J69" i="28"/>
  <c r="H67" i="28"/>
  <c r="H66" i="28"/>
  <c r="J66" i="28" s="1"/>
  <c r="H65" i="28"/>
  <c r="J65" i="28" s="1"/>
  <c r="H64" i="28"/>
  <c r="J64" i="28"/>
  <c r="H62" i="28"/>
  <c r="H61" i="28"/>
  <c r="J61" i="28" s="1"/>
  <c r="H60" i="28"/>
  <c r="J60" i="28" s="1"/>
  <c r="H59" i="28"/>
  <c r="J59" i="28" s="1"/>
  <c r="H57" i="28"/>
  <c r="H56" i="28"/>
  <c r="J56" i="28" s="1"/>
  <c r="H55" i="28"/>
  <c r="J55" i="28" s="1"/>
  <c r="H54" i="28"/>
  <c r="J54" i="28" s="1"/>
  <c r="H52" i="28"/>
  <c r="H51" i="28"/>
  <c r="J51" i="28" s="1"/>
  <c r="H50" i="28"/>
  <c r="J50" i="28" s="1"/>
  <c r="H49" i="28"/>
  <c r="J49" i="28" s="1"/>
  <c r="H47" i="28"/>
  <c r="H46" i="28"/>
  <c r="J46" i="28" s="1"/>
  <c r="H45" i="28"/>
  <c r="J45" i="28" s="1"/>
  <c r="H44" i="28"/>
  <c r="J44" i="28" s="1"/>
  <c r="H42" i="28"/>
  <c r="H41" i="28"/>
  <c r="J41" i="28" s="1"/>
  <c r="H40" i="28"/>
  <c r="J40" i="28" s="1"/>
  <c r="H39" i="28"/>
  <c r="J39" i="28" s="1"/>
  <c r="H37" i="28"/>
  <c r="H36" i="28"/>
  <c r="J36" i="28" s="1"/>
  <c r="H35" i="28"/>
  <c r="J35" i="28" s="1"/>
  <c r="H34" i="28"/>
  <c r="J34" i="28" s="1"/>
  <c r="H32" i="28"/>
  <c r="H31" i="28"/>
  <c r="J31" i="28" s="1"/>
  <c r="H30" i="28"/>
  <c r="J30" i="28" s="1"/>
  <c r="H29" i="28"/>
  <c r="J29" i="28" s="1"/>
  <c r="H6" i="28"/>
  <c r="J6" i="28" s="1"/>
  <c r="C107" i="28"/>
  <c r="C106" i="28"/>
  <c r="C105" i="28"/>
  <c r="C104" i="28"/>
  <c r="C103" i="28"/>
  <c r="C102" i="28"/>
  <c r="C101" i="28"/>
  <c r="C100" i="28"/>
  <c r="C99" i="28"/>
  <c r="C98" i="28"/>
  <c r="C97" i="28"/>
  <c r="C96" i="28"/>
  <c r="C95" i="28"/>
  <c r="C94" i="28"/>
  <c r="C93" i="28"/>
  <c r="C92" i="28"/>
  <c r="C91" i="28"/>
  <c r="C90" i="28"/>
  <c r="C89" i="28"/>
  <c r="C88" i="28"/>
  <c r="C87" i="28"/>
  <c r="C86" i="28"/>
  <c r="C85" i="28"/>
  <c r="C84" i="28"/>
  <c r="C83" i="28"/>
  <c r="C82" i="28"/>
  <c r="C81" i="28"/>
  <c r="C80" i="28"/>
  <c r="C79" i="28"/>
  <c r="C78" i="28"/>
  <c r="C77" i="28"/>
  <c r="C76" i="28"/>
  <c r="C75" i="28"/>
  <c r="C74" i="28"/>
  <c r="C73" i="28"/>
  <c r="C72" i="28"/>
  <c r="C71" i="28"/>
  <c r="C70" i="28"/>
  <c r="C69" i="28"/>
  <c r="C68" i="28"/>
  <c r="C67" i="28"/>
  <c r="C66" i="28"/>
  <c r="C65" i="28"/>
  <c r="C64" i="28"/>
  <c r="C63" i="28"/>
  <c r="C62" i="28"/>
  <c r="C61" i="28"/>
  <c r="C60" i="28"/>
  <c r="C59" i="28"/>
  <c r="C58" i="28"/>
  <c r="C57" i="28"/>
  <c r="C56" i="28"/>
  <c r="C55" i="28"/>
  <c r="C54" i="28"/>
  <c r="C53" i="28"/>
  <c r="C52" i="28"/>
  <c r="C51" i="28"/>
  <c r="C50" i="28"/>
  <c r="C49" i="28"/>
  <c r="C48" i="28"/>
  <c r="C47" i="28"/>
  <c r="C46" i="28"/>
  <c r="C45" i="28"/>
  <c r="C44" i="28"/>
  <c r="C43" i="28"/>
  <c r="C42" i="28"/>
  <c r="C41" i="28"/>
  <c r="C40" i="28"/>
  <c r="C39" i="28"/>
  <c r="C38" i="28"/>
  <c r="C37" i="28"/>
  <c r="C36" i="28"/>
  <c r="C35" i="28"/>
  <c r="C34" i="28"/>
  <c r="C33" i="28"/>
  <c r="C32" i="28"/>
  <c r="C31" i="28"/>
  <c r="C30" i="28"/>
  <c r="C29" i="28"/>
  <c r="C28" i="28"/>
  <c r="E172" i="9"/>
  <c r="E173" i="9"/>
  <c r="E174" i="9"/>
  <c r="E175" i="9"/>
  <c r="E176" i="9"/>
  <c r="E177" i="9"/>
  <c r="E178" i="9"/>
  <c r="E179" i="9"/>
  <c r="E180" i="9"/>
  <c r="E181" i="9"/>
  <c r="E182" i="9"/>
  <c r="E183" i="9"/>
  <c r="E184" i="9"/>
  <c r="F11" i="11" s="1"/>
  <c r="E185" i="9"/>
  <c r="E186" i="9"/>
  <c r="E187" i="9"/>
  <c r="E188" i="9"/>
  <c r="E189" i="9"/>
  <c r="E190" i="9"/>
  <c r="E191" i="9"/>
  <c r="G3" i="36"/>
  <c r="G4" i="36"/>
  <c r="H5" i="39"/>
  <c r="E77" i="10"/>
  <c r="I2" i="10"/>
  <c r="J2" i="10"/>
  <c r="K2" i="10"/>
  <c r="L2" i="10"/>
  <c r="M2" i="10"/>
  <c r="M6" i="10" s="1"/>
  <c r="N2" i="10"/>
  <c r="O2" i="10"/>
  <c r="O8" i="10" s="1"/>
  <c r="P2" i="10"/>
  <c r="Q2" i="10"/>
  <c r="Q8" i="10" s="1"/>
  <c r="R2" i="10"/>
  <c r="S2" i="10"/>
  <c r="S9" i="10" s="1"/>
  <c r="T2" i="10"/>
  <c r="U2" i="10"/>
  <c r="U10" i="10" s="1"/>
  <c r="V2" i="10"/>
  <c r="V9" i="10" s="1"/>
  <c r="W2" i="10"/>
  <c r="W5" i="10" s="1"/>
  <c r="X2" i="10"/>
  <c r="X7" i="10" s="1"/>
  <c r="Y2" i="10"/>
  <c r="Z2" i="10"/>
  <c r="Z7" i="10" s="1"/>
  <c r="E78" i="10"/>
  <c r="E79" i="10"/>
  <c r="E80" i="10"/>
  <c r="E81" i="10"/>
  <c r="E82" i="10"/>
  <c r="E83" i="10"/>
  <c r="E84" i="10"/>
  <c r="E85" i="10"/>
  <c r="E96" i="10"/>
  <c r="E97" i="10"/>
  <c r="E98" i="10"/>
  <c r="E99" i="10"/>
  <c r="E100" i="10"/>
  <c r="E101" i="10"/>
  <c r="E102" i="10"/>
  <c r="E103" i="10"/>
  <c r="E104" i="10"/>
  <c r="E105" i="10"/>
  <c r="E66" i="10"/>
  <c r="E67" i="10"/>
  <c r="E68" i="10"/>
  <c r="E69" i="10"/>
  <c r="E70" i="10"/>
  <c r="E71" i="10"/>
  <c r="E72" i="10"/>
  <c r="E73" i="10"/>
  <c r="E74" i="10"/>
  <c r="E75" i="10"/>
  <c r="E76" i="10"/>
  <c r="E110" i="9"/>
  <c r="E111" i="9"/>
  <c r="E112" i="9"/>
  <c r="E113" i="9"/>
  <c r="E114" i="9"/>
  <c r="E115" i="9"/>
  <c r="E116" i="9"/>
  <c r="E117" i="9"/>
  <c r="E118" i="9"/>
  <c r="E119" i="9"/>
  <c r="E140" i="9"/>
  <c r="E141" i="9"/>
  <c r="E142" i="9"/>
  <c r="E143" i="9"/>
  <c r="E144" i="9"/>
  <c r="E145" i="9"/>
  <c r="E146" i="9"/>
  <c r="E147" i="9"/>
  <c r="E148" i="9"/>
  <c r="E149" i="9"/>
  <c r="E130" i="9"/>
  <c r="E131" i="9"/>
  <c r="E132" i="9"/>
  <c r="E133" i="9"/>
  <c r="E134" i="9"/>
  <c r="E135" i="9"/>
  <c r="E136" i="9"/>
  <c r="E137" i="9"/>
  <c r="E138" i="9"/>
  <c r="E139" i="9"/>
  <c r="E86" i="10"/>
  <c r="E87" i="10"/>
  <c r="E88" i="10"/>
  <c r="E89" i="10"/>
  <c r="E90" i="10"/>
  <c r="E91" i="10"/>
  <c r="E92" i="10"/>
  <c r="E93" i="10"/>
  <c r="E94" i="10"/>
  <c r="E95" i="10"/>
  <c r="K49" i="30"/>
  <c r="K50" i="30"/>
  <c r="K51" i="30"/>
  <c r="K52" i="30"/>
  <c r="K13" i="30"/>
  <c r="K14" i="30"/>
  <c r="K15" i="30"/>
  <c r="K16" i="30"/>
  <c r="K17" i="30"/>
  <c r="K18" i="30"/>
  <c r="K19" i="30"/>
  <c r="K20" i="30"/>
  <c r="K21" i="30"/>
  <c r="K22" i="30"/>
  <c r="K23" i="30"/>
  <c r="K24" i="30"/>
  <c r="K25" i="30"/>
  <c r="K26" i="30"/>
  <c r="K27" i="30"/>
  <c r="K28" i="30"/>
  <c r="K29" i="30"/>
  <c r="K30" i="30"/>
  <c r="K31" i="30"/>
  <c r="K32" i="30"/>
  <c r="K33" i="30"/>
  <c r="K34" i="30"/>
  <c r="K35" i="30"/>
  <c r="K36" i="30"/>
  <c r="K37" i="30"/>
  <c r="K38" i="30"/>
  <c r="K39" i="30"/>
  <c r="K40" i="30"/>
  <c r="K41" i="30"/>
  <c r="K42" i="30"/>
  <c r="K43" i="30"/>
  <c r="K44" i="30"/>
  <c r="K45" i="30"/>
  <c r="K46" i="30"/>
  <c r="K47" i="30"/>
  <c r="K48" i="30"/>
  <c r="K53" i="30"/>
  <c r="K54" i="30"/>
  <c r="K55" i="30"/>
  <c r="K56" i="30"/>
  <c r="K57" i="30"/>
  <c r="K58" i="30"/>
  <c r="K59" i="30"/>
  <c r="K60" i="30"/>
  <c r="K61" i="30"/>
  <c r="K62" i="30"/>
  <c r="K63" i="30"/>
  <c r="K64" i="30"/>
  <c r="K65" i="30"/>
  <c r="K66" i="30"/>
  <c r="K67" i="30"/>
  <c r="K68" i="30"/>
  <c r="K69" i="30"/>
  <c r="K70" i="30"/>
  <c r="K71" i="30"/>
  <c r="K72" i="30"/>
  <c r="K73" i="30"/>
  <c r="K74" i="30"/>
  <c r="K75" i="30"/>
  <c r="K76" i="30"/>
  <c r="K77" i="30"/>
  <c r="K78" i="30"/>
  <c r="K79" i="30"/>
  <c r="K80" i="30"/>
  <c r="K81" i="30"/>
  <c r="K82" i="30"/>
  <c r="K83" i="30"/>
  <c r="K84" i="30"/>
  <c r="K85" i="30"/>
  <c r="K86" i="30"/>
  <c r="K87" i="30"/>
  <c r="K88" i="30"/>
  <c r="K89" i="30"/>
  <c r="K90" i="30"/>
  <c r="K91" i="30"/>
  <c r="K92" i="30"/>
  <c r="K93" i="30"/>
  <c r="K94" i="30"/>
  <c r="K95" i="30"/>
  <c r="K96" i="30"/>
  <c r="K97" i="30"/>
  <c r="K98" i="30"/>
  <c r="K99" i="30"/>
  <c r="K100" i="30"/>
  <c r="K101" i="30"/>
  <c r="K102" i="30"/>
  <c r="K103" i="30"/>
  <c r="K104" i="30"/>
  <c r="K105" i="30"/>
  <c r="K106" i="30"/>
  <c r="K107" i="30"/>
  <c r="K108" i="30"/>
  <c r="K109" i="30"/>
  <c r="M110" i="30"/>
  <c r="N110" i="30"/>
  <c r="K110" i="30"/>
  <c r="K111" i="30"/>
  <c r="K112" i="30"/>
  <c r="M113" i="30"/>
  <c r="N113" i="30"/>
  <c r="K113" i="30"/>
  <c r="K114" i="30"/>
  <c r="K115" i="30"/>
  <c r="K116" i="30"/>
  <c r="M117" i="30"/>
  <c r="N117" i="30"/>
  <c r="K117" i="30"/>
  <c r="M118" i="30"/>
  <c r="N118" i="30"/>
  <c r="K118" i="30"/>
  <c r="K119" i="30"/>
  <c r="K120" i="30"/>
  <c r="K121" i="30"/>
  <c r="K122" i="30"/>
  <c r="K123" i="30"/>
  <c r="K124" i="30"/>
  <c r="K125" i="30"/>
  <c r="K126" i="30"/>
  <c r="K127" i="30"/>
  <c r="K128" i="30"/>
  <c r="K129" i="30"/>
  <c r="K130" i="30"/>
  <c r="K131" i="30"/>
  <c r="K132" i="30"/>
  <c r="K133" i="30"/>
  <c r="K134" i="30"/>
  <c r="K135" i="30"/>
  <c r="K136" i="30"/>
  <c r="K137" i="30"/>
  <c r="K138" i="30"/>
  <c r="K139" i="30"/>
  <c r="K140" i="30"/>
  <c r="K141" i="30"/>
  <c r="K142" i="30"/>
  <c r="K143" i="30"/>
  <c r="K144" i="30"/>
  <c r="K145" i="30"/>
  <c r="K146" i="30"/>
  <c r="K147" i="30"/>
  <c r="M148" i="30"/>
  <c r="N148" i="30"/>
  <c r="K148" i="30"/>
  <c r="K149" i="30"/>
  <c r="K150" i="30"/>
  <c r="K151" i="30"/>
  <c r="K152" i="30"/>
  <c r="K153" i="30"/>
  <c r="K154" i="30"/>
  <c r="K155" i="30"/>
  <c r="K156" i="30"/>
  <c r="K157" i="30"/>
  <c r="K158" i="30"/>
  <c r="K159" i="30"/>
  <c r="K160" i="30"/>
  <c r="K161" i="30"/>
  <c r="K162" i="30"/>
  <c r="K163" i="30"/>
  <c r="K164" i="30"/>
  <c r="K165" i="30"/>
  <c r="K166" i="30"/>
  <c r="K167" i="30"/>
  <c r="K168" i="30"/>
  <c r="K169" i="30"/>
  <c r="E2" i="36"/>
  <c r="I19" i="32"/>
  <c r="I20" i="32"/>
  <c r="I21" i="32"/>
  <c r="I22" i="32"/>
  <c r="I23" i="32"/>
  <c r="A6" i="35"/>
  <c r="A7" i="35"/>
  <c r="A8" i="35"/>
  <c r="A9" i="35"/>
  <c r="A10" i="35"/>
  <c r="A11" i="35"/>
  <c r="A12" i="35"/>
  <c r="A13" i="35"/>
  <c r="A14" i="35"/>
  <c r="A15" i="35"/>
  <c r="A16" i="35"/>
  <c r="A17" i="35"/>
  <c r="A18" i="35"/>
  <c r="A19" i="35"/>
  <c r="A20" i="35"/>
  <c r="A21" i="35"/>
  <c r="A22" i="35"/>
  <c r="E19" i="32" s="1"/>
  <c r="A23" i="35"/>
  <c r="E20" i="32" s="1"/>
  <c r="A24" i="35"/>
  <c r="E21" i="32" s="1"/>
  <c r="A25" i="35"/>
  <c r="E22" i="32" s="1"/>
  <c r="A26" i="35"/>
  <c r="F21" i="36"/>
  <c r="F20" i="36"/>
  <c r="F19" i="36"/>
  <c r="F18" i="36"/>
  <c r="F17" i="36"/>
  <c r="F16" i="36"/>
  <c r="F15" i="36"/>
  <c r="F14" i="36"/>
  <c r="F13" i="36"/>
  <c r="F12" i="36"/>
  <c r="F11" i="36"/>
  <c r="F10" i="36"/>
  <c r="F9" i="36"/>
  <c r="F8" i="36"/>
  <c r="F7" i="36"/>
  <c r="F6" i="36"/>
  <c r="F5" i="36"/>
  <c r="F4" i="36"/>
  <c r="I16" i="32" s="1"/>
  <c r="F3" i="36"/>
  <c r="F2" i="36"/>
  <c r="J3" i="30"/>
  <c r="J4" i="30"/>
  <c r="J5" i="30"/>
  <c r="J6" i="30"/>
  <c r="J7" i="30"/>
  <c r="J8" i="30"/>
  <c r="J9" i="30"/>
  <c r="J10" i="30"/>
  <c r="J11" i="30"/>
  <c r="J13" i="30"/>
  <c r="J14" i="30"/>
  <c r="J15" i="30"/>
  <c r="J16" i="30"/>
  <c r="J17" i="30"/>
  <c r="J18" i="30"/>
  <c r="J19" i="30"/>
  <c r="J20" i="30"/>
  <c r="J21" i="30"/>
  <c r="J22" i="30"/>
  <c r="J23" i="30"/>
  <c r="J24" i="30"/>
  <c r="J25" i="30"/>
  <c r="J26" i="30"/>
  <c r="J27" i="30"/>
  <c r="J28" i="30"/>
  <c r="J29" i="30"/>
  <c r="J30" i="30"/>
  <c r="J31" i="30"/>
  <c r="J32" i="30"/>
  <c r="J33" i="30"/>
  <c r="J34" i="30"/>
  <c r="J35" i="30"/>
  <c r="J36" i="30"/>
  <c r="J37" i="30"/>
  <c r="J38" i="30"/>
  <c r="J39" i="30"/>
  <c r="J40" i="30"/>
  <c r="J41" i="30"/>
  <c r="J42" i="30"/>
  <c r="J43" i="30"/>
  <c r="J44" i="30"/>
  <c r="J45" i="30"/>
  <c r="J46" i="30"/>
  <c r="J47" i="30"/>
  <c r="J48" i="30"/>
  <c r="J49" i="30"/>
  <c r="J50" i="30"/>
  <c r="J51" i="30"/>
  <c r="J52" i="30"/>
  <c r="J53" i="30"/>
  <c r="J54" i="30"/>
  <c r="J55" i="30"/>
  <c r="J56" i="30"/>
  <c r="J57" i="30"/>
  <c r="J58" i="30"/>
  <c r="J59" i="30"/>
  <c r="J60" i="30"/>
  <c r="J61" i="30"/>
  <c r="J62" i="30"/>
  <c r="J63" i="30"/>
  <c r="J64" i="30"/>
  <c r="J65" i="30"/>
  <c r="J66" i="30"/>
  <c r="J67" i="30"/>
  <c r="J68" i="30"/>
  <c r="J69" i="30"/>
  <c r="J70" i="30"/>
  <c r="J71" i="30"/>
  <c r="J72" i="30"/>
  <c r="J73" i="30"/>
  <c r="J74" i="30"/>
  <c r="J75" i="30"/>
  <c r="J76" i="30"/>
  <c r="J77" i="30"/>
  <c r="J78" i="30"/>
  <c r="J79" i="30"/>
  <c r="J80" i="30"/>
  <c r="J81" i="30"/>
  <c r="J82" i="30"/>
  <c r="J83" i="30"/>
  <c r="J84" i="30"/>
  <c r="J85" i="30"/>
  <c r="J86" i="30"/>
  <c r="J87" i="30"/>
  <c r="J88" i="30"/>
  <c r="J89" i="30"/>
  <c r="J90" i="30"/>
  <c r="J91" i="30"/>
  <c r="J92" i="30"/>
  <c r="J93" i="30"/>
  <c r="J94" i="30"/>
  <c r="J95" i="30"/>
  <c r="J96" i="30"/>
  <c r="J97" i="30"/>
  <c r="J98" i="30"/>
  <c r="J99" i="30"/>
  <c r="J100" i="30"/>
  <c r="J101" i="30"/>
  <c r="J102" i="30"/>
  <c r="J103" i="30"/>
  <c r="J104" i="30"/>
  <c r="J105" i="30"/>
  <c r="J106" i="30"/>
  <c r="J107" i="30"/>
  <c r="J108" i="30"/>
  <c r="J109" i="30"/>
  <c r="J110" i="30"/>
  <c r="J111" i="30"/>
  <c r="J112" i="30"/>
  <c r="J113" i="30"/>
  <c r="J114" i="30"/>
  <c r="J115" i="30"/>
  <c r="J116" i="30"/>
  <c r="J117" i="30"/>
  <c r="J118" i="30"/>
  <c r="J119" i="30"/>
  <c r="J120" i="30"/>
  <c r="J121" i="30"/>
  <c r="J122" i="30"/>
  <c r="J123" i="30"/>
  <c r="J124" i="30"/>
  <c r="J125" i="30"/>
  <c r="J126" i="30"/>
  <c r="J127" i="30"/>
  <c r="J128" i="30"/>
  <c r="J129" i="30"/>
  <c r="J130" i="30"/>
  <c r="J131" i="30"/>
  <c r="J132" i="30"/>
  <c r="J133" i="30"/>
  <c r="J134" i="30"/>
  <c r="J135" i="30"/>
  <c r="J136" i="30"/>
  <c r="J137" i="30"/>
  <c r="J138" i="30"/>
  <c r="J139" i="30"/>
  <c r="J140" i="30"/>
  <c r="J141" i="30"/>
  <c r="J142" i="30"/>
  <c r="J143" i="30"/>
  <c r="J144" i="30"/>
  <c r="J145" i="30"/>
  <c r="J146" i="30"/>
  <c r="J147" i="30"/>
  <c r="J148" i="30"/>
  <c r="J149" i="30"/>
  <c r="J150" i="30"/>
  <c r="J151" i="30"/>
  <c r="J152" i="30"/>
  <c r="J153" i="30"/>
  <c r="J154" i="30"/>
  <c r="J155" i="30"/>
  <c r="J156" i="30"/>
  <c r="J157" i="30"/>
  <c r="J158" i="30"/>
  <c r="J159" i="30"/>
  <c r="J160" i="30"/>
  <c r="J161" i="30"/>
  <c r="J162" i="30"/>
  <c r="J163" i="30"/>
  <c r="J164" i="30"/>
  <c r="J165" i="30"/>
  <c r="J166" i="30"/>
  <c r="J167" i="30"/>
  <c r="J168" i="30"/>
  <c r="J169" i="30"/>
  <c r="Q4" i="30"/>
  <c r="Q5" i="30"/>
  <c r="Q6" i="30"/>
  <c r="Q8" i="30"/>
  <c r="Q9" i="30"/>
  <c r="Q10" i="30"/>
  <c r="Q11" i="30"/>
  <c r="Q13" i="30"/>
  <c r="Q14" i="30"/>
  <c r="Q15" i="30"/>
  <c r="Q16" i="30"/>
  <c r="Q17" i="30"/>
  <c r="Q18" i="30"/>
  <c r="Q19" i="30"/>
  <c r="Q21" i="30"/>
  <c r="Q22" i="30"/>
  <c r="Q23" i="30"/>
  <c r="Q24" i="30"/>
  <c r="Q25" i="30"/>
  <c r="Q26" i="30"/>
  <c r="Q27" i="30"/>
  <c r="Q28" i="30"/>
  <c r="Q29" i="30"/>
  <c r="Q30" i="30"/>
  <c r="Q31" i="30"/>
  <c r="Q32" i="30"/>
  <c r="Q33" i="30"/>
  <c r="Q34" i="30"/>
  <c r="Q35" i="30"/>
  <c r="Q36" i="30"/>
  <c r="Q37" i="30"/>
  <c r="Q38" i="30"/>
  <c r="Q39" i="30"/>
  <c r="Q40" i="30"/>
  <c r="Q41" i="30"/>
  <c r="Q42" i="30"/>
  <c r="Q43" i="30"/>
  <c r="Q44" i="30"/>
  <c r="Q45" i="30"/>
  <c r="Q46" i="30"/>
  <c r="Q47" i="30"/>
  <c r="Q48" i="30"/>
  <c r="Q49" i="30"/>
  <c r="Q50" i="30"/>
  <c r="Q51" i="30"/>
  <c r="Q52" i="30"/>
  <c r="Q53" i="30"/>
  <c r="Q54" i="30"/>
  <c r="Q55" i="30"/>
  <c r="Q56" i="30"/>
  <c r="Q57" i="30"/>
  <c r="Q58" i="30"/>
  <c r="Q59" i="30"/>
  <c r="Q60" i="30"/>
  <c r="Q61" i="30"/>
  <c r="Q62" i="30"/>
  <c r="Q63" i="30"/>
  <c r="Q64" i="30"/>
  <c r="Q65" i="30"/>
  <c r="Q66" i="30"/>
  <c r="Q67" i="30"/>
  <c r="Q68" i="30"/>
  <c r="Q69" i="30"/>
  <c r="Q70" i="30"/>
  <c r="Q71" i="30"/>
  <c r="Q72" i="30"/>
  <c r="Q73" i="30"/>
  <c r="Q74" i="30"/>
  <c r="Q75" i="30"/>
  <c r="Q76" i="30"/>
  <c r="Q77" i="30"/>
  <c r="Q78" i="30"/>
  <c r="Q79" i="30"/>
  <c r="Q80" i="30"/>
  <c r="Q81" i="30"/>
  <c r="Q82" i="30"/>
  <c r="Q83" i="30"/>
  <c r="Q84" i="30"/>
  <c r="Q85" i="30"/>
  <c r="Q86" i="30"/>
  <c r="Q87" i="30"/>
  <c r="Q88" i="30"/>
  <c r="Q89" i="30"/>
  <c r="Q90" i="30"/>
  <c r="Q91" i="30"/>
  <c r="Q92" i="30"/>
  <c r="Q93" i="30"/>
  <c r="Q94" i="30"/>
  <c r="Q95" i="30"/>
  <c r="Q96" i="30"/>
  <c r="Q97" i="30"/>
  <c r="Q98" i="30"/>
  <c r="Q99" i="30"/>
  <c r="Q100" i="30"/>
  <c r="Q101" i="30"/>
  <c r="Q102" i="30"/>
  <c r="Q103" i="30"/>
  <c r="Q104" i="30"/>
  <c r="Q105" i="30"/>
  <c r="Q106" i="30"/>
  <c r="Q107" i="30"/>
  <c r="Q108" i="30"/>
  <c r="Q109" i="30"/>
  <c r="Q110" i="30"/>
  <c r="Q111" i="30"/>
  <c r="Q112" i="30"/>
  <c r="Q113" i="30"/>
  <c r="Q114" i="30"/>
  <c r="Q115" i="30"/>
  <c r="Q116" i="30"/>
  <c r="Q117" i="30"/>
  <c r="Q118" i="30"/>
  <c r="Q119" i="30"/>
  <c r="Q120" i="30"/>
  <c r="Q121" i="30"/>
  <c r="Q122" i="30"/>
  <c r="Q123" i="30"/>
  <c r="Q124" i="30"/>
  <c r="Q125" i="30"/>
  <c r="Q126" i="30"/>
  <c r="Q127" i="30"/>
  <c r="Q128" i="30"/>
  <c r="Q129" i="30"/>
  <c r="Q130" i="30"/>
  <c r="Q131" i="30"/>
  <c r="Q132" i="30"/>
  <c r="Q133" i="30"/>
  <c r="Q134" i="30"/>
  <c r="Q135" i="30"/>
  <c r="Q136" i="30"/>
  <c r="Q137" i="30"/>
  <c r="Q138" i="30"/>
  <c r="Q139" i="30"/>
  <c r="Q140" i="30"/>
  <c r="Q141" i="30"/>
  <c r="Q142" i="30"/>
  <c r="Q143" i="30"/>
  <c r="Q144" i="30"/>
  <c r="Q145" i="30"/>
  <c r="Q146" i="30"/>
  <c r="Q147" i="30"/>
  <c r="Q148" i="30"/>
  <c r="Q149" i="30"/>
  <c r="Q150" i="30"/>
  <c r="Q151" i="30"/>
  <c r="Q152" i="30"/>
  <c r="Q153" i="30"/>
  <c r="Q154" i="30"/>
  <c r="Q155" i="30"/>
  <c r="Q156" i="30"/>
  <c r="Q157" i="30"/>
  <c r="Q158" i="30"/>
  <c r="Q159" i="30"/>
  <c r="Q160" i="30"/>
  <c r="Q161" i="30"/>
  <c r="Q162" i="30"/>
  <c r="Q163" i="30"/>
  <c r="Q164" i="30"/>
  <c r="Q165" i="30"/>
  <c r="Q166" i="30"/>
  <c r="Q167" i="30"/>
  <c r="Q168" i="30"/>
  <c r="Q169" i="30"/>
  <c r="Q3" i="30"/>
  <c r="D8" i="1"/>
  <c r="AB79" i="3" s="1"/>
  <c r="AB126" i="3"/>
  <c r="AB127" i="3"/>
  <c r="AB128" i="3"/>
  <c r="AB129" i="3"/>
  <c r="AB130" i="3"/>
  <c r="AB131" i="3"/>
  <c r="AB132" i="3"/>
  <c r="AB133" i="3"/>
  <c r="AB134" i="3"/>
  <c r="AB135" i="3"/>
  <c r="Y126" i="3"/>
  <c r="Y127" i="3"/>
  <c r="Y128" i="3"/>
  <c r="Y129" i="3"/>
  <c r="Y130" i="3"/>
  <c r="Y131" i="3"/>
  <c r="Y132" i="3"/>
  <c r="Y133" i="3"/>
  <c r="Y134" i="3"/>
  <c r="Y135" i="3"/>
  <c r="V78" i="3"/>
  <c r="V81" i="3"/>
  <c r="V82" i="3"/>
  <c r="V83" i="3"/>
  <c r="V126" i="3"/>
  <c r="V127" i="3"/>
  <c r="V128" i="3"/>
  <c r="V129" i="3"/>
  <c r="V130" i="3"/>
  <c r="V131" i="3"/>
  <c r="V132" i="3"/>
  <c r="V133" i="3"/>
  <c r="V134" i="3"/>
  <c r="V135" i="3"/>
  <c r="S126" i="3"/>
  <c r="S127" i="3"/>
  <c r="S128" i="3"/>
  <c r="S129" i="3"/>
  <c r="S130" i="3"/>
  <c r="S131" i="3"/>
  <c r="S132" i="3"/>
  <c r="S133" i="3"/>
  <c r="S134" i="3"/>
  <c r="S135" i="3"/>
  <c r="P83" i="3"/>
  <c r="P126" i="3"/>
  <c r="P127" i="3"/>
  <c r="P128" i="3"/>
  <c r="P129" i="3"/>
  <c r="P130" i="3"/>
  <c r="P131" i="3"/>
  <c r="P132" i="3"/>
  <c r="P133" i="3"/>
  <c r="P134" i="3"/>
  <c r="P135" i="3"/>
  <c r="M81" i="3"/>
  <c r="M126" i="3"/>
  <c r="M127" i="3"/>
  <c r="M128" i="3"/>
  <c r="M129" i="3"/>
  <c r="M130" i="3"/>
  <c r="M131" i="3"/>
  <c r="M132" i="3"/>
  <c r="M133" i="3"/>
  <c r="M134" i="3"/>
  <c r="M135" i="3"/>
  <c r="J126" i="3"/>
  <c r="J127" i="3"/>
  <c r="J128" i="3"/>
  <c r="J129" i="3"/>
  <c r="J130" i="3"/>
  <c r="J131" i="3"/>
  <c r="J132" i="3"/>
  <c r="J133" i="3"/>
  <c r="J134" i="3"/>
  <c r="J135" i="3"/>
  <c r="AC116" i="3"/>
  <c r="AC117" i="3"/>
  <c r="AC118" i="3"/>
  <c r="AC119" i="3"/>
  <c r="AC120" i="3"/>
  <c r="AC121" i="3"/>
  <c r="AC122" i="3"/>
  <c r="AC123" i="3"/>
  <c r="AC124" i="3"/>
  <c r="AC125" i="3"/>
  <c r="AD125" i="3" s="1"/>
  <c r="AB116" i="3"/>
  <c r="AB117" i="3"/>
  <c r="AB118" i="3"/>
  <c r="AB119" i="3"/>
  <c r="AB120" i="3"/>
  <c r="AB121" i="3"/>
  <c r="AB122" i="3"/>
  <c r="AB123" i="3"/>
  <c r="AB124" i="3"/>
  <c r="AD124" i="3" s="1"/>
  <c r="AB125" i="3"/>
  <c r="Z116" i="3"/>
  <c r="AA116" i="3" s="1"/>
  <c r="Y116" i="3"/>
  <c r="Z117" i="3"/>
  <c r="AA117" i="3" s="1"/>
  <c r="Y117" i="3"/>
  <c r="Z118" i="3"/>
  <c r="Y118" i="3"/>
  <c r="Z119" i="3"/>
  <c r="Y119" i="3"/>
  <c r="Z120" i="3"/>
  <c r="Y120" i="3"/>
  <c r="AA120" i="3" s="1"/>
  <c r="Z121" i="3"/>
  <c r="Y121" i="3"/>
  <c r="Z122" i="3"/>
  <c r="Y122" i="3"/>
  <c r="AA122" i="3" s="1"/>
  <c r="Z123" i="3"/>
  <c r="Y123" i="3"/>
  <c r="Z124" i="3"/>
  <c r="Y124" i="3"/>
  <c r="Z125" i="3"/>
  <c r="Y125" i="3"/>
  <c r="W116" i="3"/>
  <c r="X116" i="3" s="1"/>
  <c r="V116" i="3"/>
  <c r="W117" i="3"/>
  <c r="V117" i="3"/>
  <c r="W118" i="3"/>
  <c r="V118" i="3"/>
  <c r="W119" i="3"/>
  <c r="V119" i="3"/>
  <c r="X119" i="3" s="1"/>
  <c r="W120" i="3"/>
  <c r="V120" i="3"/>
  <c r="W121" i="3"/>
  <c r="V121" i="3"/>
  <c r="X121" i="3" s="1"/>
  <c r="W122" i="3"/>
  <c r="V122" i="3"/>
  <c r="W123" i="3"/>
  <c r="V123" i="3"/>
  <c r="W124" i="3"/>
  <c r="V124" i="3"/>
  <c r="W125" i="3"/>
  <c r="V125" i="3"/>
  <c r="T116" i="3"/>
  <c r="S116" i="3"/>
  <c r="T117" i="3"/>
  <c r="U117" i="3" s="1"/>
  <c r="S117" i="3"/>
  <c r="T118" i="3"/>
  <c r="S118" i="3"/>
  <c r="T119" i="3"/>
  <c r="S119" i="3"/>
  <c r="T120" i="3"/>
  <c r="S120" i="3"/>
  <c r="T121" i="3"/>
  <c r="S121" i="3"/>
  <c r="T122" i="3"/>
  <c r="S122" i="3"/>
  <c r="T123" i="3"/>
  <c r="S123" i="3"/>
  <c r="T124" i="3"/>
  <c r="S124" i="3"/>
  <c r="T125" i="3"/>
  <c r="S125" i="3"/>
  <c r="Q116" i="3"/>
  <c r="P116" i="3"/>
  <c r="Q117" i="3"/>
  <c r="P117" i="3"/>
  <c r="Q118" i="3"/>
  <c r="R118" i="3" s="1"/>
  <c r="P118" i="3"/>
  <c r="Q119" i="3"/>
  <c r="P119" i="3"/>
  <c r="Q120" i="3"/>
  <c r="P120" i="3"/>
  <c r="Q121" i="3"/>
  <c r="P121" i="3"/>
  <c r="Q122" i="3"/>
  <c r="P122" i="3"/>
  <c r="Q123" i="3"/>
  <c r="P123" i="3"/>
  <c r="Q124" i="3"/>
  <c r="P124" i="3"/>
  <c r="R124" i="3"/>
  <c r="Q125" i="3"/>
  <c r="P125" i="3"/>
  <c r="N116" i="3"/>
  <c r="M116" i="3"/>
  <c r="N117" i="3"/>
  <c r="M117" i="3"/>
  <c r="N118" i="3"/>
  <c r="M118" i="3"/>
  <c r="N119" i="3"/>
  <c r="M119" i="3"/>
  <c r="N120" i="3"/>
  <c r="M120" i="3"/>
  <c r="O120" i="3" s="1"/>
  <c r="N121" i="3"/>
  <c r="M121" i="3"/>
  <c r="N122" i="3"/>
  <c r="M122" i="3"/>
  <c r="N123" i="3"/>
  <c r="M123" i="3"/>
  <c r="N124" i="3"/>
  <c r="O124" i="3" s="1"/>
  <c r="M124" i="3"/>
  <c r="N125" i="3"/>
  <c r="M125" i="3"/>
  <c r="O125" i="3" s="1"/>
  <c r="K116" i="3"/>
  <c r="J116" i="3"/>
  <c r="K117" i="3"/>
  <c r="J117" i="3"/>
  <c r="K118" i="3"/>
  <c r="J118" i="3"/>
  <c r="K119" i="3"/>
  <c r="J119" i="3"/>
  <c r="K120" i="3"/>
  <c r="J120" i="3"/>
  <c r="K121" i="3"/>
  <c r="J121" i="3"/>
  <c r="K122" i="3"/>
  <c r="J122" i="3"/>
  <c r="K123" i="3"/>
  <c r="J123" i="3"/>
  <c r="K124" i="3"/>
  <c r="J124" i="3"/>
  <c r="K125" i="3"/>
  <c r="J125" i="3"/>
  <c r="H116" i="3"/>
  <c r="G116" i="3"/>
  <c r="H117" i="3"/>
  <c r="G117" i="3"/>
  <c r="H118" i="3"/>
  <c r="G118" i="3"/>
  <c r="H119" i="3"/>
  <c r="G119" i="3"/>
  <c r="H120" i="3"/>
  <c r="G120" i="3"/>
  <c r="H121" i="3"/>
  <c r="G121" i="3"/>
  <c r="H122" i="3"/>
  <c r="G122" i="3"/>
  <c r="H123" i="3"/>
  <c r="G123" i="3"/>
  <c r="H124" i="3"/>
  <c r="G124" i="3"/>
  <c r="H125" i="3"/>
  <c r="G125" i="3"/>
  <c r="Z171" i="9"/>
  <c r="Y14" i="20" s="1"/>
  <c r="Y171" i="9"/>
  <c r="X14" i="20" s="1"/>
  <c r="X171" i="9"/>
  <c r="W14" i="20" s="1"/>
  <c r="W171" i="9"/>
  <c r="V14" i="20" s="1"/>
  <c r="V171" i="9"/>
  <c r="U14" i="20" s="1"/>
  <c r="U171" i="9"/>
  <c r="T14" i="20"/>
  <c r="T171" i="9"/>
  <c r="S14" i="20" s="1"/>
  <c r="S171" i="9"/>
  <c r="R14" i="20"/>
  <c r="R171" i="9"/>
  <c r="Q14" i="20" s="1"/>
  <c r="Q171" i="9"/>
  <c r="P14" i="20" s="1"/>
  <c r="P171" i="9"/>
  <c r="O14" i="20" s="1"/>
  <c r="O171" i="9"/>
  <c r="N14" i="20" s="1"/>
  <c r="N171" i="9"/>
  <c r="M14" i="20" s="1"/>
  <c r="M171" i="9"/>
  <c r="L14" i="20" s="1"/>
  <c r="L171" i="9"/>
  <c r="K14" i="20" s="1"/>
  <c r="K171" i="9"/>
  <c r="J14" i="20"/>
  <c r="J171" i="9"/>
  <c r="I14" i="20" s="1"/>
  <c r="I171" i="9"/>
  <c r="H14" i="20" s="1"/>
  <c r="H171" i="9"/>
  <c r="G14" i="20" s="1"/>
  <c r="G171" i="9"/>
  <c r="F14" i="20" s="1"/>
  <c r="F171" i="9"/>
  <c r="E14" i="20" s="1"/>
  <c r="AC106" i="3"/>
  <c r="AC107" i="3"/>
  <c r="AC108" i="3"/>
  <c r="AC109" i="3"/>
  <c r="AD109" i="3" s="1"/>
  <c r="AC110" i="3"/>
  <c r="AD110" i="3" s="1"/>
  <c r="AC111" i="3"/>
  <c r="AC112" i="3"/>
  <c r="AD112" i="3" s="1"/>
  <c r="AC113" i="3"/>
  <c r="AC114" i="3"/>
  <c r="AC115" i="3"/>
  <c r="AB106" i="3"/>
  <c r="AB107" i="3"/>
  <c r="AB108" i="3"/>
  <c r="AB109" i="3"/>
  <c r="AB110" i="3"/>
  <c r="AB111" i="3"/>
  <c r="AB112" i="3"/>
  <c r="AB113" i="3"/>
  <c r="AB114" i="3"/>
  <c r="AB115" i="3"/>
  <c r="Z106" i="3"/>
  <c r="AA106" i="3" s="1"/>
  <c r="Y106" i="3"/>
  <c r="Z107" i="3"/>
  <c r="Y107" i="3"/>
  <c r="AA107" i="3" s="1"/>
  <c r="Z108" i="3"/>
  <c r="Y108" i="3"/>
  <c r="Z109" i="3"/>
  <c r="Y109" i="3"/>
  <c r="AA109" i="3" s="1"/>
  <c r="Z110" i="3"/>
  <c r="Y110" i="3"/>
  <c r="Z111" i="3"/>
  <c r="Y111" i="3"/>
  <c r="Z112" i="3"/>
  <c r="Y112" i="3"/>
  <c r="Z113" i="3"/>
  <c r="Y113" i="3"/>
  <c r="AA113" i="3" s="1"/>
  <c r="Z114" i="3"/>
  <c r="Y114" i="3"/>
  <c r="Z115" i="3"/>
  <c r="Y115" i="3"/>
  <c r="W106" i="3"/>
  <c r="V106" i="3"/>
  <c r="W107" i="3"/>
  <c r="X107" i="3" s="1"/>
  <c r="V107" i="3"/>
  <c r="W108" i="3"/>
  <c r="V108" i="3"/>
  <c r="W109" i="3"/>
  <c r="V109" i="3"/>
  <c r="W110" i="3"/>
  <c r="V110" i="3"/>
  <c r="W111" i="3"/>
  <c r="V111" i="3"/>
  <c r="W112" i="3"/>
  <c r="V112" i="3"/>
  <c r="W113" i="3"/>
  <c r="V113" i="3"/>
  <c r="W114" i="3"/>
  <c r="V114" i="3"/>
  <c r="W115" i="3"/>
  <c r="V115" i="3"/>
  <c r="X115" i="3"/>
  <c r="T106" i="3"/>
  <c r="S106" i="3"/>
  <c r="T107" i="3"/>
  <c r="S107" i="3"/>
  <c r="T108" i="3"/>
  <c r="S108" i="3"/>
  <c r="T109" i="3"/>
  <c r="S109" i="3"/>
  <c r="T110" i="3"/>
  <c r="S110" i="3"/>
  <c r="T111" i="3"/>
  <c r="S111" i="3"/>
  <c r="T112" i="3"/>
  <c r="S112" i="3"/>
  <c r="U112" i="3" s="1"/>
  <c r="T113" i="3"/>
  <c r="S113" i="3"/>
  <c r="T114" i="3"/>
  <c r="S114" i="3"/>
  <c r="T115" i="3"/>
  <c r="S115" i="3"/>
  <c r="Q106" i="3"/>
  <c r="P106" i="3"/>
  <c r="Q107" i="3"/>
  <c r="R107" i="3" s="1"/>
  <c r="P107" i="3"/>
  <c r="Q108" i="3"/>
  <c r="P108" i="3"/>
  <c r="Q109" i="3"/>
  <c r="P109" i="3"/>
  <c r="Q110" i="3"/>
  <c r="P110" i="3"/>
  <c r="Q111" i="3"/>
  <c r="P111" i="3"/>
  <c r="R111" i="3" s="1"/>
  <c r="Q112" i="3"/>
  <c r="P112" i="3"/>
  <c r="R112" i="3"/>
  <c r="Q113" i="3"/>
  <c r="P113" i="3"/>
  <c r="Q114" i="3"/>
  <c r="P114" i="3"/>
  <c r="R114" i="3" s="1"/>
  <c r="Q115" i="3"/>
  <c r="P115" i="3"/>
  <c r="N106" i="3"/>
  <c r="M106" i="3"/>
  <c r="N107" i="3"/>
  <c r="M107" i="3"/>
  <c r="N108" i="3"/>
  <c r="M108" i="3"/>
  <c r="N109" i="3"/>
  <c r="M109" i="3"/>
  <c r="N110" i="3"/>
  <c r="M110" i="3"/>
  <c r="N111" i="3"/>
  <c r="M111" i="3"/>
  <c r="N112" i="3"/>
  <c r="M112" i="3"/>
  <c r="N113" i="3"/>
  <c r="M113" i="3"/>
  <c r="N114" i="3"/>
  <c r="M114" i="3"/>
  <c r="N115" i="3"/>
  <c r="M115" i="3"/>
  <c r="O115" i="3" s="1"/>
  <c r="K106" i="3"/>
  <c r="AI4" i="20" s="1"/>
  <c r="J106" i="3"/>
  <c r="K107" i="3"/>
  <c r="J107" i="3"/>
  <c r="L107" i="3" s="1"/>
  <c r="K108" i="3"/>
  <c r="J108" i="3"/>
  <c r="K109" i="3"/>
  <c r="J109" i="3"/>
  <c r="L109" i="3" s="1"/>
  <c r="K110" i="3"/>
  <c r="J110" i="3"/>
  <c r="K111" i="3"/>
  <c r="J111" i="3"/>
  <c r="K112" i="3"/>
  <c r="J112" i="3"/>
  <c r="K113" i="3"/>
  <c r="J113" i="3"/>
  <c r="K114" i="3"/>
  <c r="J114" i="3"/>
  <c r="K115" i="3"/>
  <c r="J115" i="3"/>
  <c r="H106" i="3"/>
  <c r="G106" i="3"/>
  <c r="H107" i="3"/>
  <c r="G107" i="3"/>
  <c r="H108" i="3"/>
  <c r="G108" i="3"/>
  <c r="H109" i="3"/>
  <c r="G109" i="3"/>
  <c r="H110" i="3"/>
  <c r="G110" i="3"/>
  <c r="H111" i="3"/>
  <c r="I111" i="3" s="1"/>
  <c r="G111" i="3"/>
  <c r="H112" i="3"/>
  <c r="G112" i="3"/>
  <c r="H113" i="3"/>
  <c r="G113" i="3"/>
  <c r="H114" i="3"/>
  <c r="G114" i="3"/>
  <c r="H115" i="3"/>
  <c r="G115" i="3"/>
  <c r="D18" i="20"/>
  <c r="Y2" i="20"/>
  <c r="X2" i="20"/>
  <c r="W2" i="20"/>
  <c r="V2" i="20"/>
  <c r="U2" i="20"/>
  <c r="T2" i="20"/>
  <c r="S2" i="20"/>
  <c r="R2" i="20"/>
  <c r="Q2" i="20"/>
  <c r="P2" i="20"/>
  <c r="O2" i="20"/>
  <c r="N2" i="20"/>
  <c r="M2" i="20"/>
  <c r="L2" i="20"/>
  <c r="K2" i="20"/>
  <c r="J2" i="20"/>
  <c r="I2" i="20"/>
  <c r="H2" i="20"/>
  <c r="G2" i="20"/>
  <c r="F2" i="20"/>
  <c r="E2" i="20"/>
  <c r="AG2" i="20"/>
  <c r="BA2" i="20"/>
  <c r="AZ2" i="20"/>
  <c r="AY2" i="20"/>
  <c r="AX2" i="20"/>
  <c r="AW2" i="20"/>
  <c r="AV2" i="20"/>
  <c r="AU2" i="20"/>
  <c r="AT2" i="20"/>
  <c r="AS2" i="20"/>
  <c r="AR2" i="20"/>
  <c r="AQ2" i="20"/>
  <c r="AP2" i="20"/>
  <c r="AO2" i="20"/>
  <c r="AN2" i="20"/>
  <c r="AM2" i="20"/>
  <c r="AL2" i="20"/>
  <c r="AK2" i="20"/>
  <c r="AJ2" i="20"/>
  <c r="AI2" i="20"/>
  <c r="AH2" i="20"/>
  <c r="G135" i="3"/>
  <c r="AE135" i="3"/>
  <c r="AH135" i="3"/>
  <c r="AK135" i="3"/>
  <c r="AN135" i="3"/>
  <c r="AQ135" i="3"/>
  <c r="AT135" i="3"/>
  <c r="AW135" i="3"/>
  <c r="AZ135" i="3"/>
  <c r="BC135" i="3"/>
  <c r="BF135" i="3"/>
  <c r="BI135" i="3"/>
  <c r="BL135" i="3"/>
  <c r="BO135" i="3"/>
  <c r="G134" i="3"/>
  <c r="AE134" i="3"/>
  <c r="AH134" i="3"/>
  <c r="AK134" i="3"/>
  <c r="AN134" i="3"/>
  <c r="AQ134" i="3"/>
  <c r="AT134" i="3"/>
  <c r="AW134" i="3"/>
  <c r="AZ134" i="3"/>
  <c r="BC134" i="3"/>
  <c r="BF134" i="3"/>
  <c r="BI134" i="3"/>
  <c r="BL134" i="3"/>
  <c r="BO134" i="3"/>
  <c r="G133" i="3"/>
  <c r="AE133" i="3"/>
  <c r="AH133" i="3"/>
  <c r="AK133" i="3"/>
  <c r="AN133" i="3"/>
  <c r="AQ133" i="3"/>
  <c r="AT133" i="3"/>
  <c r="AW133" i="3"/>
  <c r="AZ133" i="3"/>
  <c r="BC133" i="3"/>
  <c r="BF133" i="3"/>
  <c r="BI133" i="3"/>
  <c r="BL133" i="3"/>
  <c r="BO133" i="3"/>
  <c r="G132" i="3"/>
  <c r="AE132" i="3"/>
  <c r="AH132" i="3"/>
  <c r="AK132" i="3"/>
  <c r="AN132" i="3"/>
  <c r="AQ132" i="3"/>
  <c r="AT132" i="3"/>
  <c r="AW132" i="3"/>
  <c r="AZ132" i="3"/>
  <c r="BC132" i="3"/>
  <c r="BF132" i="3"/>
  <c r="BI132" i="3"/>
  <c r="BL132" i="3"/>
  <c r="BO132" i="3"/>
  <c r="G131" i="3"/>
  <c r="AE131" i="3"/>
  <c r="AH131" i="3"/>
  <c r="AK131" i="3"/>
  <c r="AN131" i="3"/>
  <c r="AQ131" i="3"/>
  <c r="AT131" i="3"/>
  <c r="AW131" i="3"/>
  <c r="AZ131" i="3"/>
  <c r="BC131" i="3"/>
  <c r="BF131" i="3"/>
  <c r="BI131" i="3"/>
  <c r="BL131" i="3"/>
  <c r="BO131" i="3"/>
  <c r="G130" i="3"/>
  <c r="AE130" i="3"/>
  <c r="AH130" i="3"/>
  <c r="AK130" i="3"/>
  <c r="AN130" i="3"/>
  <c r="AQ130" i="3"/>
  <c r="AT130" i="3"/>
  <c r="AW130" i="3"/>
  <c r="AZ130" i="3"/>
  <c r="BC130" i="3"/>
  <c r="BF130" i="3"/>
  <c r="BI130" i="3"/>
  <c r="BL130" i="3"/>
  <c r="BO130" i="3"/>
  <c r="G129" i="3"/>
  <c r="AE129" i="3"/>
  <c r="AH129" i="3"/>
  <c r="AK129" i="3"/>
  <c r="AN129" i="3"/>
  <c r="AQ129" i="3"/>
  <c r="AT129" i="3"/>
  <c r="AW129" i="3"/>
  <c r="AZ129" i="3"/>
  <c r="BC129" i="3"/>
  <c r="BF129" i="3"/>
  <c r="BI129" i="3"/>
  <c r="BL129" i="3"/>
  <c r="BO129" i="3"/>
  <c r="G128" i="3"/>
  <c r="AE128" i="3"/>
  <c r="AH128" i="3"/>
  <c r="AK128" i="3"/>
  <c r="AN128" i="3"/>
  <c r="AQ128" i="3"/>
  <c r="AT128" i="3"/>
  <c r="AW128" i="3"/>
  <c r="AZ128" i="3"/>
  <c r="BC128" i="3"/>
  <c r="BF128" i="3"/>
  <c r="BI128" i="3"/>
  <c r="BL128" i="3"/>
  <c r="BO128" i="3"/>
  <c r="G127" i="3"/>
  <c r="AE127" i="3"/>
  <c r="AH127" i="3"/>
  <c r="AK127" i="3"/>
  <c r="AN127" i="3"/>
  <c r="AQ127" i="3"/>
  <c r="AT127" i="3"/>
  <c r="AW127" i="3"/>
  <c r="AZ127" i="3"/>
  <c r="BC127" i="3"/>
  <c r="BF127" i="3"/>
  <c r="BI127" i="3"/>
  <c r="BL127" i="3"/>
  <c r="BO127" i="3"/>
  <c r="G126" i="3"/>
  <c r="AE126" i="3"/>
  <c r="AH126" i="3"/>
  <c r="AK126" i="3"/>
  <c r="AN126" i="3"/>
  <c r="AQ126" i="3"/>
  <c r="AT126" i="3"/>
  <c r="AW126" i="3"/>
  <c r="AZ126" i="3"/>
  <c r="BC126" i="3"/>
  <c r="BF126" i="3"/>
  <c r="BI126" i="3"/>
  <c r="BL126" i="3"/>
  <c r="BO126" i="3"/>
  <c r="AF125" i="3"/>
  <c r="AE125" i="3"/>
  <c r="AI125" i="3"/>
  <c r="AH125" i="3"/>
  <c r="AL125" i="3"/>
  <c r="AK125" i="3"/>
  <c r="AM125" i="3" s="1"/>
  <c r="AO125" i="3"/>
  <c r="AP125" i="3" s="1"/>
  <c r="AN125" i="3"/>
  <c r="AR125" i="3"/>
  <c r="AQ125" i="3"/>
  <c r="AU125" i="3"/>
  <c r="AT125" i="3"/>
  <c r="AV125" i="3" s="1"/>
  <c r="AX125" i="3"/>
  <c r="AY125" i="3" s="1"/>
  <c r="AW125" i="3"/>
  <c r="BA125" i="3"/>
  <c r="AZ125" i="3"/>
  <c r="BB125" i="3"/>
  <c r="BD125" i="3"/>
  <c r="BC125" i="3"/>
  <c r="BG125" i="3"/>
  <c r="BH125" i="3"/>
  <c r="BF125" i="3"/>
  <c r="BJ125" i="3"/>
  <c r="BI125" i="3"/>
  <c r="BM125" i="3"/>
  <c r="BN125" i="3" s="1"/>
  <c r="BL125" i="3"/>
  <c r="BP125" i="3"/>
  <c r="BO125" i="3"/>
  <c r="AF124" i="3"/>
  <c r="AE124" i="3"/>
  <c r="AI124" i="3"/>
  <c r="AH124" i="3"/>
  <c r="AL124" i="3"/>
  <c r="AK124" i="3"/>
  <c r="AO124" i="3"/>
  <c r="AN124" i="3"/>
  <c r="AR124" i="3"/>
  <c r="AQ124" i="3"/>
  <c r="AU124" i="3"/>
  <c r="AT124" i="3"/>
  <c r="AX124" i="3"/>
  <c r="AW124" i="3"/>
  <c r="BA124" i="3"/>
  <c r="BB124" i="3" s="1"/>
  <c r="AZ124" i="3"/>
  <c r="BD124" i="3"/>
  <c r="BC124" i="3"/>
  <c r="BG124" i="3"/>
  <c r="BF124" i="3"/>
  <c r="BH124" i="3" s="1"/>
  <c r="BJ124" i="3"/>
  <c r="BI124" i="3"/>
  <c r="BM124" i="3"/>
  <c r="BL124" i="3"/>
  <c r="BP124" i="3"/>
  <c r="BQ124" i="3" s="1"/>
  <c r="BO124" i="3"/>
  <c r="AF123" i="3"/>
  <c r="AE123" i="3"/>
  <c r="AI123" i="3"/>
  <c r="AH123" i="3"/>
  <c r="AL123" i="3"/>
  <c r="AK123" i="3"/>
  <c r="AO123" i="3"/>
  <c r="AN123" i="3"/>
  <c r="AR123" i="3"/>
  <c r="AQ123" i="3"/>
  <c r="AU123" i="3"/>
  <c r="AT123" i="3"/>
  <c r="AX123" i="3"/>
  <c r="AW123" i="3"/>
  <c r="BA123" i="3"/>
  <c r="AZ123" i="3"/>
  <c r="BD123" i="3"/>
  <c r="BC123" i="3"/>
  <c r="BG123" i="3"/>
  <c r="BF123" i="3"/>
  <c r="BJ123" i="3"/>
  <c r="BI123" i="3"/>
  <c r="BM123" i="3"/>
  <c r="BL123" i="3"/>
  <c r="BP123" i="3"/>
  <c r="BO123" i="3"/>
  <c r="AF122" i="3"/>
  <c r="AE122" i="3"/>
  <c r="AI122" i="3"/>
  <c r="AH122" i="3"/>
  <c r="AL122" i="3"/>
  <c r="AK122" i="3"/>
  <c r="AO122" i="3"/>
  <c r="AN122" i="3"/>
  <c r="AR122" i="3"/>
  <c r="AQ122" i="3"/>
  <c r="AU122" i="3"/>
  <c r="AV122" i="3" s="1"/>
  <c r="AT122" i="3"/>
  <c r="AX122" i="3"/>
  <c r="AW122" i="3"/>
  <c r="BA122" i="3"/>
  <c r="AZ122" i="3"/>
  <c r="BD122" i="3"/>
  <c r="BC122" i="3"/>
  <c r="BG122" i="3"/>
  <c r="BF122" i="3"/>
  <c r="BJ122" i="3"/>
  <c r="BI122" i="3"/>
  <c r="BM122" i="3"/>
  <c r="BL122" i="3"/>
  <c r="BN122" i="3" s="1"/>
  <c r="BP122" i="3"/>
  <c r="BQ122" i="3" s="1"/>
  <c r="BO122" i="3"/>
  <c r="AF121" i="3"/>
  <c r="AE121" i="3"/>
  <c r="AI121" i="3"/>
  <c r="AH121" i="3"/>
  <c r="AL121" i="3"/>
  <c r="AK121" i="3"/>
  <c r="AO121" i="3"/>
  <c r="AN121" i="3"/>
  <c r="AR121" i="3"/>
  <c r="AQ121" i="3"/>
  <c r="AU121" i="3"/>
  <c r="AV121" i="3" s="1"/>
  <c r="AT121" i="3"/>
  <c r="AX121" i="3"/>
  <c r="AY121" i="3" s="1"/>
  <c r="AW121" i="3"/>
  <c r="BA121" i="3"/>
  <c r="AZ121" i="3"/>
  <c r="BB121" i="3" s="1"/>
  <c r="BD121" i="3"/>
  <c r="BC121" i="3"/>
  <c r="BG121" i="3"/>
  <c r="BF121" i="3"/>
  <c r="BH121" i="3" s="1"/>
  <c r="BJ121" i="3"/>
  <c r="BK121" i="3" s="1"/>
  <c r="BI121" i="3"/>
  <c r="BM121" i="3"/>
  <c r="BL121" i="3"/>
  <c r="BN121" i="3" s="1"/>
  <c r="BP121" i="3"/>
  <c r="BO121" i="3"/>
  <c r="AF120" i="3"/>
  <c r="AE120" i="3"/>
  <c r="AI120" i="3"/>
  <c r="AH120" i="3"/>
  <c r="AL120" i="3"/>
  <c r="AK120" i="3"/>
  <c r="AO120" i="3"/>
  <c r="AP120" i="3" s="1"/>
  <c r="AN120" i="3"/>
  <c r="AR120" i="3"/>
  <c r="AQ120" i="3"/>
  <c r="AU120" i="3"/>
  <c r="AT120" i="3"/>
  <c r="AV120" i="3" s="1"/>
  <c r="AX120" i="3"/>
  <c r="AW120" i="3"/>
  <c r="BA120" i="3"/>
  <c r="AZ120" i="3"/>
  <c r="BD120" i="3"/>
  <c r="BE120" i="3" s="1"/>
  <c r="BC120" i="3"/>
  <c r="BG120" i="3"/>
  <c r="BH120" i="3" s="1"/>
  <c r="BF120" i="3"/>
  <c r="BJ120" i="3"/>
  <c r="BI120" i="3"/>
  <c r="BM120" i="3"/>
  <c r="BN120" i="3" s="1"/>
  <c r="BL120" i="3"/>
  <c r="BP120" i="3"/>
  <c r="BO120" i="3"/>
  <c r="AF119" i="3"/>
  <c r="AE119" i="3"/>
  <c r="AG119" i="3" s="1"/>
  <c r="AI119" i="3"/>
  <c r="AH119" i="3"/>
  <c r="AL119" i="3"/>
  <c r="AK119" i="3"/>
  <c r="AM119" i="3"/>
  <c r="AO119" i="3"/>
  <c r="AN119" i="3"/>
  <c r="AR119" i="3"/>
  <c r="AQ119" i="3"/>
  <c r="AU119" i="3"/>
  <c r="AT119" i="3"/>
  <c r="AV119" i="3" s="1"/>
  <c r="AX119" i="3"/>
  <c r="AW119" i="3"/>
  <c r="BA119" i="3"/>
  <c r="AZ119" i="3"/>
  <c r="BD119" i="3"/>
  <c r="BC119" i="3"/>
  <c r="BG119" i="3"/>
  <c r="BF119" i="3"/>
  <c r="BJ119" i="3"/>
  <c r="BI119" i="3"/>
  <c r="BM119" i="3"/>
  <c r="BL119" i="3"/>
  <c r="BP119" i="3"/>
  <c r="BO119" i="3"/>
  <c r="AF118" i="3"/>
  <c r="AE118" i="3"/>
  <c r="AI118" i="3"/>
  <c r="AH118" i="3"/>
  <c r="AL118" i="3"/>
  <c r="AK118" i="3"/>
  <c r="AO118" i="3"/>
  <c r="AN118" i="3"/>
  <c r="AP118" i="3" s="1"/>
  <c r="AR118" i="3"/>
  <c r="AQ118" i="3"/>
  <c r="AU118" i="3"/>
  <c r="AT118" i="3"/>
  <c r="AX118" i="3"/>
  <c r="AW118" i="3"/>
  <c r="AY118" i="3"/>
  <c r="BA118" i="3"/>
  <c r="AZ118" i="3"/>
  <c r="BD118" i="3"/>
  <c r="BE118" i="3" s="1"/>
  <c r="BC118" i="3"/>
  <c r="BG118" i="3"/>
  <c r="BF118" i="3"/>
  <c r="BH118" i="3" s="1"/>
  <c r="BJ118" i="3"/>
  <c r="BI118" i="3"/>
  <c r="BM118" i="3"/>
  <c r="BL118" i="3"/>
  <c r="BP118" i="3"/>
  <c r="BO118" i="3"/>
  <c r="AF117" i="3"/>
  <c r="AE117" i="3"/>
  <c r="AG117" i="3" s="1"/>
  <c r="AI117" i="3"/>
  <c r="AH117" i="3"/>
  <c r="AL117" i="3"/>
  <c r="AM117" i="3" s="1"/>
  <c r="AK117" i="3"/>
  <c r="AO117" i="3"/>
  <c r="AN117" i="3"/>
  <c r="AR117" i="3"/>
  <c r="AQ117" i="3"/>
  <c r="AU117" i="3"/>
  <c r="AT117" i="3"/>
  <c r="AX117" i="3"/>
  <c r="AW117" i="3"/>
  <c r="BA117" i="3"/>
  <c r="AZ117" i="3"/>
  <c r="BB117" i="3" s="1"/>
  <c r="BD117" i="3"/>
  <c r="BC117" i="3"/>
  <c r="BG117" i="3"/>
  <c r="BF117" i="3"/>
  <c r="BH117" i="3" s="1"/>
  <c r="BJ117" i="3"/>
  <c r="BI117" i="3"/>
  <c r="BM117" i="3"/>
  <c r="BL117" i="3"/>
  <c r="BP117" i="3"/>
  <c r="BO117" i="3"/>
  <c r="AF116" i="3"/>
  <c r="AE116" i="3"/>
  <c r="AG116" i="3" s="1"/>
  <c r="AI116" i="3"/>
  <c r="AH116" i="3"/>
  <c r="AL116" i="3"/>
  <c r="AK116" i="3"/>
  <c r="AO116" i="3"/>
  <c r="AN116" i="3"/>
  <c r="AR116" i="3"/>
  <c r="AQ116" i="3"/>
  <c r="AU116" i="3"/>
  <c r="AT116" i="3"/>
  <c r="AX116" i="3"/>
  <c r="AW116" i="3"/>
  <c r="BA116" i="3"/>
  <c r="AZ116" i="3"/>
  <c r="BD116" i="3"/>
  <c r="BE116" i="3" s="1"/>
  <c r="BC116" i="3"/>
  <c r="BG116" i="3"/>
  <c r="BH116" i="3" s="1"/>
  <c r="BF116" i="3"/>
  <c r="BJ116" i="3"/>
  <c r="BK116" i="3" s="1"/>
  <c r="BI116" i="3"/>
  <c r="BM116" i="3"/>
  <c r="BN116" i="3" s="1"/>
  <c r="BL116" i="3"/>
  <c r="BP116" i="3"/>
  <c r="BO116" i="3"/>
  <c r="AF115" i="3"/>
  <c r="AI115" i="3"/>
  <c r="AL115" i="3"/>
  <c r="AO115" i="3"/>
  <c r="AR115" i="3"/>
  <c r="AU115" i="3"/>
  <c r="AV115" i="3" s="1"/>
  <c r="AX115" i="3"/>
  <c r="BA115" i="3"/>
  <c r="BD115" i="3"/>
  <c r="BG115" i="3"/>
  <c r="BJ115" i="3"/>
  <c r="BM115" i="3"/>
  <c r="BP115" i="3"/>
  <c r="BQ115" i="3" s="1"/>
  <c r="AE115" i="3"/>
  <c r="AH115" i="3"/>
  <c r="AJ115" i="3" s="1"/>
  <c r="AK115" i="3"/>
  <c r="AN115" i="3"/>
  <c r="AQ115" i="3"/>
  <c r="AT115" i="3"/>
  <c r="AW115" i="3"/>
  <c r="AZ115" i="3"/>
  <c r="BC115" i="3"/>
  <c r="BF115" i="3"/>
  <c r="BI115" i="3"/>
  <c r="BL115" i="3"/>
  <c r="BO115" i="3"/>
  <c r="AF114" i="3"/>
  <c r="AI114" i="3"/>
  <c r="AJ114" i="3" s="1"/>
  <c r="AL114" i="3"/>
  <c r="AM114" i="3" s="1"/>
  <c r="AO114" i="3"/>
  <c r="AR114" i="3"/>
  <c r="AU114" i="3"/>
  <c r="AX114" i="3"/>
  <c r="AY114" i="3" s="1"/>
  <c r="BA114" i="3"/>
  <c r="BD114" i="3"/>
  <c r="BE114" i="3" s="1"/>
  <c r="BG114" i="3"/>
  <c r="BJ114" i="3"/>
  <c r="BM114" i="3"/>
  <c r="BP114" i="3"/>
  <c r="AE114" i="3"/>
  <c r="AH114" i="3"/>
  <c r="AK114" i="3"/>
  <c r="AN114" i="3"/>
  <c r="AQ114" i="3"/>
  <c r="AT114" i="3"/>
  <c r="AW114" i="3"/>
  <c r="AZ114" i="3"/>
  <c r="BC114" i="3"/>
  <c r="BF114" i="3"/>
  <c r="BI114" i="3"/>
  <c r="BL114" i="3"/>
  <c r="BN114" i="3" s="1"/>
  <c r="BO114" i="3"/>
  <c r="AF113" i="3"/>
  <c r="AI113" i="3"/>
  <c r="AL113" i="3"/>
  <c r="AO113" i="3"/>
  <c r="AR113" i="3"/>
  <c r="AU113" i="3"/>
  <c r="AX113" i="3"/>
  <c r="AY113" i="3" s="1"/>
  <c r="BA113" i="3"/>
  <c r="BD113" i="3"/>
  <c r="BG113" i="3"/>
  <c r="BJ113" i="3"/>
  <c r="BM113" i="3"/>
  <c r="BP113" i="3"/>
  <c r="BQ113" i="3" s="1"/>
  <c r="AE113" i="3"/>
  <c r="AH113" i="3"/>
  <c r="AK113" i="3"/>
  <c r="AN113" i="3"/>
  <c r="AQ113" i="3"/>
  <c r="AT113" i="3"/>
  <c r="AW113" i="3"/>
  <c r="AZ113" i="3"/>
  <c r="BC113" i="3"/>
  <c r="BF113" i="3"/>
  <c r="BI113" i="3"/>
  <c r="BL113" i="3"/>
  <c r="BO113" i="3"/>
  <c r="AF112" i="3"/>
  <c r="AI112" i="3"/>
  <c r="AL112" i="3"/>
  <c r="AM112" i="3" s="1"/>
  <c r="AO112" i="3"/>
  <c r="AR112" i="3"/>
  <c r="AU112" i="3"/>
  <c r="AX112" i="3"/>
  <c r="AY112" i="3" s="1"/>
  <c r="BA112" i="3"/>
  <c r="BB112" i="3" s="1"/>
  <c r="BD112" i="3"/>
  <c r="BG112" i="3"/>
  <c r="BJ112" i="3"/>
  <c r="BM112" i="3"/>
  <c r="BP112" i="3"/>
  <c r="AE112" i="3"/>
  <c r="AH112" i="3"/>
  <c r="AK112" i="3"/>
  <c r="AN112" i="3"/>
  <c r="AP112" i="3" s="1"/>
  <c r="AQ112" i="3"/>
  <c r="AT112" i="3"/>
  <c r="AW112" i="3"/>
  <c r="AZ112" i="3"/>
  <c r="BC112" i="3"/>
  <c r="BF112" i="3"/>
  <c r="BI112" i="3"/>
  <c r="BK112" i="3" s="1"/>
  <c r="BL112" i="3"/>
  <c r="BO112" i="3"/>
  <c r="AF111" i="3"/>
  <c r="AI111" i="3"/>
  <c r="AL111" i="3"/>
  <c r="AO111" i="3"/>
  <c r="AR111" i="3"/>
  <c r="AU111" i="3"/>
  <c r="AX111" i="3"/>
  <c r="BA111" i="3"/>
  <c r="BD111" i="3"/>
  <c r="BG111" i="3"/>
  <c r="BJ111" i="3"/>
  <c r="BK111" i="3" s="1"/>
  <c r="BM111" i="3"/>
  <c r="BN111" i="3" s="1"/>
  <c r="BP111" i="3"/>
  <c r="AE111" i="3"/>
  <c r="AG111" i="3" s="1"/>
  <c r="AH111" i="3"/>
  <c r="AK111" i="3"/>
  <c r="AN111" i="3"/>
  <c r="AQ111" i="3"/>
  <c r="AT111" i="3"/>
  <c r="AV111" i="3" s="1"/>
  <c r="AW111" i="3"/>
  <c r="AY111" i="3" s="1"/>
  <c r="AZ111" i="3"/>
  <c r="BC111" i="3"/>
  <c r="BE111" i="3" s="1"/>
  <c r="BF111" i="3"/>
  <c r="BI111" i="3"/>
  <c r="BL111" i="3"/>
  <c r="BO111" i="3"/>
  <c r="AF110" i="3"/>
  <c r="AI110" i="3"/>
  <c r="AL110" i="3"/>
  <c r="AO110" i="3"/>
  <c r="AR110" i="3"/>
  <c r="AU110" i="3"/>
  <c r="AV110" i="3" s="1"/>
  <c r="AX110" i="3"/>
  <c r="BA110" i="3"/>
  <c r="BB110" i="3" s="1"/>
  <c r="BD110" i="3"/>
  <c r="BG110" i="3"/>
  <c r="BJ110" i="3"/>
  <c r="BM110" i="3"/>
  <c r="BP110" i="3"/>
  <c r="AE110" i="3"/>
  <c r="AH110" i="3"/>
  <c r="AK110" i="3"/>
  <c r="AN110" i="3"/>
  <c r="AQ110" i="3"/>
  <c r="AT110" i="3"/>
  <c r="AW110" i="3"/>
  <c r="AZ110" i="3"/>
  <c r="BC110" i="3"/>
  <c r="BF110" i="3"/>
  <c r="BI110" i="3"/>
  <c r="BK110" i="3" s="1"/>
  <c r="BL110" i="3"/>
  <c r="BO110" i="3"/>
  <c r="AF109" i="3"/>
  <c r="AI109" i="3"/>
  <c r="AL109" i="3"/>
  <c r="AO109" i="3"/>
  <c r="AR109" i="3"/>
  <c r="AU109" i="3"/>
  <c r="AX109" i="3"/>
  <c r="BA109" i="3"/>
  <c r="BD109" i="3"/>
  <c r="BE109" i="3" s="1"/>
  <c r="BG109" i="3"/>
  <c r="BH109" i="3" s="1"/>
  <c r="BJ109" i="3"/>
  <c r="BM109" i="3"/>
  <c r="BP109" i="3"/>
  <c r="AE109" i="3"/>
  <c r="AH109" i="3"/>
  <c r="AK109" i="3"/>
  <c r="AN109" i="3"/>
  <c r="AQ109" i="3"/>
  <c r="AT109" i="3"/>
  <c r="AW109" i="3"/>
  <c r="AZ109" i="3"/>
  <c r="BC109" i="3"/>
  <c r="BF109" i="3"/>
  <c r="BI109" i="3"/>
  <c r="BL109" i="3"/>
  <c r="BO109" i="3"/>
  <c r="AF108" i="3"/>
  <c r="AI108" i="3"/>
  <c r="AL108" i="3"/>
  <c r="AO108" i="3"/>
  <c r="AR108" i="3"/>
  <c r="AU108" i="3"/>
  <c r="AX108" i="3"/>
  <c r="BA108" i="3"/>
  <c r="BD108" i="3"/>
  <c r="BG108" i="3"/>
  <c r="BJ108" i="3"/>
  <c r="BM108" i="3"/>
  <c r="BP108" i="3"/>
  <c r="BQ108" i="3" s="1"/>
  <c r="AE108" i="3"/>
  <c r="AH108" i="3"/>
  <c r="AK108" i="3"/>
  <c r="AN108" i="3"/>
  <c r="AQ108" i="3"/>
  <c r="AT108" i="3"/>
  <c r="AW108" i="3"/>
  <c r="AZ108" i="3"/>
  <c r="BC108" i="3"/>
  <c r="BE108" i="3" s="1"/>
  <c r="BF108" i="3"/>
  <c r="BH108" i="3" s="1"/>
  <c r="BI108" i="3"/>
  <c r="BL108" i="3"/>
  <c r="BO108" i="3"/>
  <c r="AF107" i="3"/>
  <c r="AG107" i="3" s="1"/>
  <c r="AI107" i="3"/>
  <c r="AJ107" i="3" s="1"/>
  <c r="AL107" i="3"/>
  <c r="AM107" i="3" s="1"/>
  <c r="AO107" i="3"/>
  <c r="AR107" i="3"/>
  <c r="AS107" i="3" s="1"/>
  <c r="AU107" i="3"/>
  <c r="AX107" i="3"/>
  <c r="BA107" i="3"/>
  <c r="BD107" i="3"/>
  <c r="BG107" i="3"/>
  <c r="BH107" i="3" s="1"/>
  <c r="BJ107" i="3"/>
  <c r="BM107" i="3"/>
  <c r="BP107" i="3"/>
  <c r="AE107" i="3"/>
  <c r="AH107" i="3"/>
  <c r="AK107" i="3"/>
  <c r="AN107" i="3"/>
  <c r="AQ107" i="3"/>
  <c r="AT107" i="3"/>
  <c r="AW107" i="3"/>
  <c r="AY107" i="3" s="1"/>
  <c r="AZ107" i="3"/>
  <c r="BC107" i="3"/>
  <c r="BF107" i="3"/>
  <c r="BI107" i="3"/>
  <c r="BL107" i="3"/>
  <c r="BO107" i="3"/>
  <c r="AF106" i="3"/>
  <c r="AG106" i="3" s="1"/>
  <c r="AI106" i="3"/>
  <c r="AL106" i="3"/>
  <c r="AO106" i="3"/>
  <c r="AR106" i="3"/>
  <c r="AU106" i="3"/>
  <c r="AX106" i="3"/>
  <c r="AY106" i="3" s="1"/>
  <c r="BA106" i="3"/>
  <c r="BD106" i="3"/>
  <c r="BG106" i="3"/>
  <c r="BJ106" i="3"/>
  <c r="BM106" i="3"/>
  <c r="BN106" i="3" s="1"/>
  <c r="BP106" i="3"/>
  <c r="AE106" i="3"/>
  <c r="AH106" i="3"/>
  <c r="AK106" i="3"/>
  <c r="AN106" i="3"/>
  <c r="AQ106" i="3"/>
  <c r="AT106" i="3"/>
  <c r="AW106" i="3"/>
  <c r="AZ106" i="3"/>
  <c r="BC106" i="3"/>
  <c r="BF106" i="3"/>
  <c r="BI106" i="3"/>
  <c r="BL106" i="3"/>
  <c r="BO106" i="3"/>
  <c r="D105" i="3"/>
  <c r="D104" i="3"/>
  <c r="D103" i="3"/>
  <c r="D102" i="3"/>
  <c r="D101" i="3"/>
  <c r="D100" i="3"/>
  <c r="D99" i="3"/>
  <c r="D98" i="3"/>
  <c r="D97" i="3"/>
  <c r="D96" i="3"/>
  <c r="H95" i="3"/>
  <c r="G95" i="3"/>
  <c r="K95" i="3"/>
  <c r="J95" i="3"/>
  <c r="N95" i="3"/>
  <c r="M95" i="3"/>
  <c r="Q95" i="3"/>
  <c r="P95" i="3"/>
  <c r="T95" i="3"/>
  <c r="S95" i="3"/>
  <c r="W95" i="3"/>
  <c r="V95" i="3"/>
  <c r="Z95" i="3"/>
  <c r="Y95" i="3"/>
  <c r="AC95" i="3"/>
  <c r="AB95" i="3"/>
  <c r="AF95" i="3"/>
  <c r="AE95" i="3"/>
  <c r="AI95" i="3"/>
  <c r="AH95" i="3"/>
  <c r="AL95" i="3"/>
  <c r="AK95" i="3"/>
  <c r="AO95" i="3"/>
  <c r="AN95" i="3"/>
  <c r="AR95" i="3"/>
  <c r="AQ95" i="3"/>
  <c r="AU95" i="3"/>
  <c r="AV95" i="3" s="1"/>
  <c r="AT95" i="3"/>
  <c r="AX95" i="3"/>
  <c r="AW95" i="3"/>
  <c r="BA95" i="3"/>
  <c r="AZ95" i="3"/>
  <c r="BD95" i="3"/>
  <c r="BC95" i="3"/>
  <c r="BG95" i="3"/>
  <c r="BF95" i="3"/>
  <c r="BJ95" i="3"/>
  <c r="BK95" i="3" s="1"/>
  <c r="BI95" i="3"/>
  <c r="BM95" i="3"/>
  <c r="BL95" i="3"/>
  <c r="BP95" i="3"/>
  <c r="BO95" i="3"/>
  <c r="H94" i="3"/>
  <c r="G94" i="3"/>
  <c r="K94" i="3"/>
  <c r="J94" i="3"/>
  <c r="N94" i="3"/>
  <c r="M94" i="3"/>
  <c r="Q94" i="3"/>
  <c r="P94" i="3"/>
  <c r="T94" i="3"/>
  <c r="S94" i="3"/>
  <c r="W94" i="3"/>
  <c r="V94" i="3"/>
  <c r="Z94" i="3"/>
  <c r="Y94" i="3"/>
  <c r="AC94" i="3"/>
  <c r="AB94" i="3"/>
  <c r="AF94" i="3"/>
  <c r="AE94" i="3"/>
  <c r="AG94" i="3" s="1"/>
  <c r="AI94" i="3"/>
  <c r="AH94" i="3"/>
  <c r="AL94" i="3"/>
  <c r="AK94" i="3"/>
  <c r="AO94" i="3"/>
  <c r="AN94" i="3"/>
  <c r="AR94" i="3"/>
  <c r="AQ94" i="3"/>
  <c r="AU94" i="3"/>
  <c r="AT94" i="3"/>
  <c r="AX94" i="3"/>
  <c r="AY94" i="3" s="1"/>
  <c r="AW94" i="3"/>
  <c r="BA94" i="3"/>
  <c r="AZ94" i="3"/>
  <c r="BD94" i="3"/>
  <c r="BC94" i="3"/>
  <c r="BG94" i="3"/>
  <c r="BH94" i="3" s="1"/>
  <c r="BF94" i="3"/>
  <c r="BJ94" i="3"/>
  <c r="BI94" i="3"/>
  <c r="BM94" i="3"/>
  <c r="BL94" i="3"/>
  <c r="BP94" i="3"/>
  <c r="BO94" i="3"/>
  <c r="H93" i="3"/>
  <c r="G93" i="3"/>
  <c r="K93" i="3"/>
  <c r="J93" i="3"/>
  <c r="N93" i="3"/>
  <c r="M93" i="3"/>
  <c r="Q93" i="3"/>
  <c r="P93" i="3"/>
  <c r="T93" i="3"/>
  <c r="S93" i="3"/>
  <c r="W93" i="3"/>
  <c r="V93" i="3"/>
  <c r="Z93" i="3"/>
  <c r="Y93" i="3"/>
  <c r="AC93" i="3"/>
  <c r="AB93" i="3"/>
  <c r="AF93" i="3"/>
  <c r="AE93" i="3"/>
  <c r="AI93" i="3"/>
  <c r="AH93" i="3"/>
  <c r="AL93" i="3"/>
  <c r="AK93" i="3"/>
  <c r="AO93" i="3"/>
  <c r="AN93" i="3"/>
  <c r="AR93" i="3"/>
  <c r="AQ93" i="3"/>
  <c r="AU93" i="3"/>
  <c r="AT93" i="3"/>
  <c r="AV93" i="3" s="1"/>
  <c r="AX93" i="3"/>
  <c r="AW93" i="3"/>
  <c r="AY93" i="3" s="1"/>
  <c r="BA93" i="3"/>
  <c r="AZ93" i="3"/>
  <c r="BD93" i="3"/>
  <c r="BC93" i="3"/>
  <c r="BE93" i="3"/>
  <c r="BG93" i="3"/>
  <c r="BF93" i="3"/>
  <c r="BJ93" i="3"/>
  <c r="BI93" i="3"/>
  <c r="BM93" i="3"/>
  <c r="BL93" i="3"/>
  <c r="BN93" i="3"/>
  <c r="BP93" i="3"/>
  <c r="BO93" i="3"/>
  <c r="H92" i="3"/>
  <c r="G92" i="3"/>
  <c r="K92" i="3"/>
  <c r="J92" i="3"/>
  <c r="N92" i="3"/>
  <c r="M92" i="3"/>
  <c r="Q92" i="3"/>
  <c r="P92" i="3"/>
  <c r="T92" i="3"/>
  <c r="S92" i="3"/>
  <c r="W92" i="3"/>
  <c r="V92" i="3"/>
  <c r="Z92" i="3"/>
  <c r="Y92" i="3"/>
  <c r="AC92" i="3"/>
  <c r="AB92" i="3"/>
  <c r="AF92" i="3"/>
  <c r="AE92" i="3"/>
  <c r="AI92" i="3"/>
  <c r="AH92" i="3"/>
  <c r="AL92" i="3"/>
  <c r="AK92" i="3"/>
  <c r="AO92" i="3"/>
  <c r="AN92" i="3"/>
  <c r="AR92" i="3"/>
  <c r="AQ92" i="3"/>
  <c r="AU92" i="3"/>
  <c r="AT92" i="3"/>
  <c r="AX92" i="3"/>
  <c r="AW92" i="3"/>
  <c r="BA92" i="3"/>
  <c r="AZ92" i="3"/>
  <c r="BD92" i="3"/>
  <c r="BC92" i="3"/>
  <c r="BG92" i="3"/>
  <c r="BF92" i="3"/>
  <c r="BH92" i="3" s="1"/>
  <c r="BJ92" i="3"/>
  <c r="BI92" i="3"/>
  <c r="BM92" i="3"/>
  <c r="BL92" i="3"/>
  <c r="BP92" i="3"/>
  <c r="BO92" i="3"/>
  <c r="BQ92" i="3"/>
  <c r="H91" i="3"/>
  <c r="G91" i="3"/>
  <c r="K91" i="3"/>
  <c r="J91" i="3"/>
  <c r="N91" i="3"/>
  <c r="M91" i="3"/>
  <c r="Q91" i="3"/>
  <c r="P91" i="3"/>
  <c r="T91" i="3"/>
  <c r="S91" i="3"/>
  <c r="W91" i="3"/>
  <c r="V91" i="3"/>
  <c r="Z91" i="3"/>
  <c r="Y91" i="3"/>
  <c r="AC91" i="3"/>
  <c r="AB91" i="3"/>
  <c r="AF91" i="3"/>
  <c r="AE91" i="3"/>
  <c r="AI91" i="3"/>
  <c r="AH91" i="3"/>
  <c r="AL91" i="3"/>
  <c r="AK91" i="3"/>
  <c r="AO91" i="3"/>
  <c r="AN91" i="3"/>
  <c r="AR91" i="3"/>
  <c r="AQ91" i="3"/>
  <c r="AU91" i="3"/>
  <c r="AT91" i="3"/>
  <c r="AX91" i="3"/>
  <c r="AW91" i="3"/>
  <c r="BA91" i="3"/>
  <c r="AZ91" i="3"/>
  <c r="BD91" i="3"/>
  <c r="BC91" i="3"/>
  <c r="BG91" i="3"/>
  <c r="BF91" i="3"/>
  <c r="BH91" i="3"/>
  <c r="BJ91" i="3"/>
  <c r="BK91" i="3" s="1"/>
  <c r="BI91" i="3"/>
  <c r="BM91" i="3"/>
  <c r="BL91" i="3"/>
  <c r="BP91" i="3"/>
  <c r="BO91" i="3"/>
  <c r="H90" i="3"/>
  <c r="G90" i="3"/>
  <c r="K90" i="3"/>
  <c r="J90" i="3"/>
  <c r="N90" i="3"/>
  <c r="M90" i="3"/>
  <c r="Q90" i="3"/>
  <c r="P90" i="3"/>
  <c r="T90" i="3"/>
  <c r="S90" i="3"/>
  <c r="W90" i="3"/>
  <c r="V90" i="3"/>
  <c r="Z90" i="3"/>
  <c r="Y90" i="3"/>
  <c r="AC90" i="3"/>
  <c r="AB90" i="3"/>
  <c r="AF90" i="3"/>
  <c r="AE90" i="3"/>
  <c r="AI90" i="3"/>
  <c r="AH90" i="3"/>
  <c r="AL90" i="3"/>
  <c r="AK90" i="3"/>
  <c r="AO90" i="3"/>
  <c r="AN90" i="3"/>
  <c r="AR90" i="3"/>
  <c r="AQ90" i="3"/>
  <c r="AU90" i="3"/>
  <c r="AT90" i="3"/>
  <c r="AX90" i="3"/>
  <c r="AW90" i="3"/>
  <c r="BA90" i="3"/>
  <c r="AZ90" i="3"/>
  <c r="BD90" i="3"/>
  <c r="BC90" i="3"/>
  <c r="BE90" i="3" s="1"/>
  <c r="BG90" i="3"/>
  <c r="BF90" i="3"/>
  <c r="BJ90" i="3"/>
  <c r="BK90" i="3" s="1"/>
  <c r="BI90" i="3"/>
  <c r="BM90" i="3"/>
  <c r="BL90" i="3"/>
  <c r="BP90" i="3"/>
  <c r="BO90" i="3"/>
  <c r="H89" i="3"/>
  <c r="G89" i="3"/>
  <c r="K89" i="3"/>
  <c r="J89" i="3"/>
  <c r="N89" i="3"/>
  <c r="M89" i="3"/>
  <c r="Q89" i="3"/>
  <c r="P89" i="3"/>
  <c r="T89" i="3"/>
  <c r="S89" i="3"/>
  <c r="W89" i="3"/>
  <c r="V89" i="3"/>
  <c r="Z89" i="3"/>
  <c r="Y89" i="3"/>
  <c r="AC89" i="3"/>
  <c r="AB89" i="3"/>
  <c r="AF89" i="3"/>
  <c r="AE89" i="3"/>
  <c r="AI89" i="3"/>
  <c r="AH89" i="3"/>
  <c r="AL89" i="3"/>
  <c r="AK89" i="3"/>
  <c r="AO89" i="3"/>
  <c r="AN89" i="3"/>
  <c r="AR89" i="3"/>
  <c r="AQ89" i="3"/>
  <c r="AU89" i="3"/>
  <c r="AT89" i="3"/>
  <c r="AV89" i="3" s="1"/>
  <c r="AX89" i="3"/>
  <c r="AY89" i="3" s="1"/>
  <c r="AW89" i="3"/>
  <c r="BA89" i="3"/>
  <c r="AZ89" i="3"/>
  <c r="BD89" i="3"/>
  <c r="BC89" i="3"/>
  <c r="BG89" i="3"/>
  <c r="BF89" i="3"/>
  <c r="BJ89" i="3"/>
  <c r="BI89" i="3"/>
  <c r="BM89" i="3"/>
  <c r="BL89" i="3"/>
  <c r="BN89" i="3" s="1"/>
  <c r="BP89" i="3"/>
  <c r="BO89" i="3"/>
  <c r="BQ89" i="3" s="1"/>
  <c r="H88" i="3"/>
  <c r="G88" i="3"/>
  <c r="K88" i="3"/>
  <c r="J88" i="3"/>
  <c r="L88" i="3" s="1"/>
  <c r="N88" i="3"/>
  <c r="M88" i="3"/>
  <c r="O88" i="3" s="1"/>
  <c r="Q88" i="3"/>
  <c r="P88" i="3"/>
  <c r="T88" i="3"/>
  <c r="S88" i="3"/>
  <c r="W88" i="3"/>
  <c r="V88" i="3"/>
  <c r="X88" i="3" s="1"/>
  <c r="Z88" i="3"/>
  <c r="Y88" i="3"/>
  <c r="AA88" i="3" s="1"/>
  <c r="AC88" i="3"/>
  <c r="AB88" i="3"/>
  <c r="AD88" i="3" s="1"/>
  <c r="AF88" i="3"/>
  <c r="AE88" i="3"/>
  <c r="AI88" i="3"/>
  <c r="AH88" i="3"/>
  <c r="AL88" i="3"/>
  <c r="AK88" i="3"/>
  <c r="AM88" i="3" s="1"/>
  <c r="AO88" i="3"/>
  <c r="AN88" i="3"/>
  <c r="AR88" i="3"/>
  <c r="AQ88" i="3"/>
  <c r="AS88" i="3" s="1"/>
  <c r="AU88" i="3"/>
  <c r="AT88" i="3"/>
  <c r="AV88" i="3" s="1"/>
  <c r="AX88" i="3"/>
  <c r="AW88" i="3"/>
  <c r="BA88" i="3"/>
  <c r="AZ88" i="3"/>
  <c r="BD88" i="3"/>
  <c r="BC88" i="3"/>
  <c r="BG88" i="3"/>
  <c r="BH88" i="3" s="1"/>
  <c r="BF88" i="3"/>
  <c r="BJ88" i="3"/>
  <c r="BI88" i="3"/>
  <c r="BM88" i="3"/>
  <c r="BL88" i="3"/>
  <c r="BP88" i="3"/>
  <c r="BO88" i="3"/>
  <c r="BQ88" i="3" s="1"/>
  <c r="H87" i="3"/>
  <c r="G87" i="3"/>
  <c r="K87" i="3"/>
  <c r="J87" i="3"/>
  <c r="N87" i="3"/>
  <c r="M87" i="3"/>
  <c r="Q87" i="3"/>
  <c r="P87" i="3"/>
  <c r="T87" i="3"/>
  <c r="S87" i="3"/>
  <c r="W87" i="3"/>
  <c r="V87" i="3"/>
  <c r="Z87" i="3"/>
  <c r="Y87" i="3"/>
  <c r="AC87" i="3"/>
  <c r="AB87" i="3"/>
  <c r="AF87" i="3"/>
  <c r="AE87" i="3"/>
  <c r="AI87" i="3"/>
  <c r="AJ87" i="3" s="1"/>
  <c r="AH87" i="3"/>
  <c r="AL87" i="3"/>
  <c r="AK87" i="3"/>
  <c r="AO87" i="3"/>
  <c r="AN87" i="3"/>
  <c r="AP87" i="3" s="1"/>
  <c r="AR87" i="3"/>
  <c r="AQ87" i="3"/>
  <c r="AU87" i="3"/>
  <c r="AT87" i="3"/>
  <c r="AX87" i="3"/>
  <c r="AY87" i="3" s="1"/>
  <c r="AW87" i="3"/>
  <c r="BA87" i="3"/>
  <c r="AZ87" i="3"/>
  <c r="BD87" i="3"/>
  <c r="BC87" i="3"/>
  <c r="BG87" i="3"/>
  <c r="BF87" i="3"/>
  <c r="BJ87" i="3"/>
  <c r="BI87" i="3"/>
  <c r="BM87" i="3"/>
  <c r="BL87" i="3"/>
  <c r="BP87" i="3"/>
  <c r="BO87" i="3"/>
  <c r="BQ87" i="3" s="1"/>
  <c r="H86" i="3"/>
  <c r="G86" i="3"/>
  <c r="K86" i="3"/>
  <c r="J86" i="3"/>
  <c r="N86" i="3"/>
  <c r="O86" i="3"/>
  <c r="M86" i="3"/>
  <c r="Q86" i="3"/>
  <c r="P86" i="3"/>
  <c r="T86" i="3"/>
  <c r="S86" i="3"/>
  <c r="W86" i="3"/>
  <c r="V86" i="3"/>
  <c r="Z86" i="3"/>
  <c r="Y86" i="3"/>
  <c r="AC86" i="3"/>
  <c r="AB86" i="3"/>
  <c r="AF86" i="3"/>
  <c r="AE86" i="3"/>
  <c r="AI86" i="3"/>
  <c r="AH86" i="3"/>
  <c r="AL86" i="3"/>
  <c r="AK86" i="3"/>
  <c r="AO86" i="3"/>
  <c r="AN86" i="3"/>
  <c r="AR86" i="3"/>
  <c r="AQ86" i="3"/>
  <c r="AU86" i="3"/>
  <c r="AT86" i="3"/>
  <c r="AX86" i="3"/>
  <c r="AY86" i="3" s="1"/>
  <c r="AW86" i="3"/>
  <c r="BA86" i="3"/>
  <c r="AZ86" i="3"/>
  <c r="BD86" i="3"/>
  <c r="BC86" i="3"/>
  <c r="BG86" i="3"/>
  <c r="BH86" i="3" s="1"/>
  <c r="BF86" i="3"/>
  <c r="BJ86" i="3"/>
  <c r="BI86" i="3"/>
  <c r="BM86" i="3"/>
  <c r="BL86" i="3"/>
  <c r="BP86" i="3"/>
  <c r="BQ86" i="3"/>
  <c r="BO86" i="3"/>
  <c r="G85" i="3"/>
  <c r="AN84" i="3"/>
  <c r="AQ84" i="3"/>
  <c r="AW84" i="3"/>
  <c r="AW83" i="3"/>
  <c r="BF83" i="3"/>
  <c r="AE82" i="3"/>
  <c r="AH81" i="3"/>
  <c r="AN81" i="3"/>
  <c r="AT78" i="3"/>
  <c r="AZ78" i="3"/>
  <c r="BC77" i="3"/>
  <c r="BI77" i="3"/>
  <c r="BL77" i="3"/>
  <c r="G76" i="3"/>
  <c r="BO76" i="3"/>
  <c r="G75" i="3"/>
  <c r="J75" i="3"/>
  <c r="M75" i="3"/>
  <c r="P75" i="3"/>
  <c r="S75" i="3"/>
  <c r="V75" i="3"/>
  <c r="Y75" i="3"/>
  <c r="AB75" i="3"/>
  <c r="AE75" i="3"/>
  <c r="AH75" i="3"/>
  <c r="AK75" i="3"/>
  <c r="AN75" i="3"/>
  <c r="AQ75" i="3"/>
  <c r="AT75" i="3"/>
  <c r="AW75" i="3"/>
  <c r="AZ75" i="3"/>
  <c r="BC75" i="3"/>
  <c r="BF75" i="3"/>
  <c r="BI75" i="3"/>
  <c r="BL75" i="3"/>
  <c r="BO75" i="3"/>
  <c r="G74" i="3"/>
  <c r="J74" i="3"/>
  <c r="M74" i="3"/>
  <c r="P74" i="3"/>
  <c r="S74" i="3"/>
  <c r="V74" i="3"/>
  <c r="Y74" i="3"/>
  <c r="AB74" i="3"/>
  <c r="AE74" i="3"/>
  <c r="AH74" i="3"/>
  <c r="AK74" i="3"/>
  <c r="AN74" i="3"/>
  <c r="AQ74" i="3"/>
  <c r="AT74" i="3"/>
  <c r="AW74" i="3"/>
  <c r="AZ74" i="3"/>
  <c r="BC74" i="3"/>
  <c r="BF74" i="3"/>
  <c r="BI74" i="3"/>
  <c r="BL74" i="3"/>
  <c r="BO74" i="3"/>
  <c r="G73" i="3"/>
  <c r="J73" i="3"/>
  <c r="M73" i="3"/>
  <c r="P73" i="3"/>
  <c r="S73" i="3"/>
  <c r="V73" i="3"/>
  <c r="Y73" i="3"/>
  <c r="AB73" i="3"/>
  <c r="AE73" i="3"/>
  <c r="AH73" i="3"/>
  <c r="AK73" i="3"/>
  <c r="AN73" i="3"/>
  <c r="AQ73" i="3"/>
  <c r="AT73" i="3"/>
  <c r="AW73" i="3"/>
  <c r="AZ73" i="3"/>
  <c r="BC73" i="3"/>
  <c r="BF73" i="3"/>
  <c r="BI73" i="3"/>
  <c r="BL73" i="3"/>
  <c r="BO73" i="3"/>
  <c r="G72" i="3"/>
  <c r="J72" i="3"/>
  <c r="M72" i="3"/>
  <c r="P72" i="3"/>
  <c r="S72" i="3"/>
  <c r="V72" i="3"/>
  <c r="Y72" i="3"/>
  <c r="AB72" i="3"/>
  <c r="AE72" i="3"/>
  <c r="AH72" i="3"/>
  <c r="AK72" i="3"/>
  <c r="AN72" i="3"/>
  <c r="AQ72" i="3"/>
  <c r="AT72" i="3"/>
  <c r="AW72" i="3"/>
  <c r="AZ72" i="3"/>
  <c r="BC72" i="3"/>
  <c r="BF72" i="3"/>
  <c r="BI72" i="3"/>
  <c r="BL72" i="3"/>
  <c r="BO72" i="3"/>
  <c r="G71" i="3"/>
  <c r="J71" i="3"/>
  <c r="M71" i="3"/>
  <c r="P71" i="3"/>
  <c r="S71" i="3"/>
  <c r="V71" i="3"/>
  <c r="Y71" i="3"/>
  <c r="AB71" i="3"/>
  <c r="AE71" i="3"/>
  <c r="AH71" i="3"/>
  <c r="AK71" i="3"/>
  <c r="AN71" i="3"/>
  <c r="AQ71" i="3"/>
  <c r="AT71" i="3"/>
  <c r="AW71" i="3"/>
  <c r="AZ71" i="3"/>
  <c r="BC71" i="3"/>
  <c r="BF71" i="3"/>
  <c r="BI71" i="3"/>
  <c r="BL71" i="3"/>
  <c r="BO71" i="3"/>
  <c r="G70" i="3"/>
  <c r="J70" i="3"/>
  <c r="M70" i="3"/>
  <c r="P70" i="3"/>
  <c r="S70" i="3"/>
  <c r="V70" i="3"/>
  <c r="Y70" i="3"/>
  <c r="AB70" i="3"/>
  <c r="AE70" i="3"/>
  <c r="AH70" i="3"/>
  <c r="AK70" i="3"/>
  <c r="AN70" i="3"/>
  <c r="AQ70" i="3"/>
  <c r="AT70" i="3"/>
  <c r="AW70" i="3"/>
  <c r="AZ70" i="3"/>
  <c r="BC70" i="3"/>
  <c r="BF70" i="3"/>
  <c r="BI70" i="3"/>
  <c r="BL70" i="3"/>
  <c r="BO70" i="3"/>
  <c r="G69" i="3"/>
  <c r="J69" i="3"/>
  <c r="M69" i="3"/>
  <c r="P69" i="3"/>
  <c r="S69" i="3"/>
  <c r="V69" i="3"/>
  <c r="Y69" i="3"/>
  <c r="AB69" i="3"/>
  <c r="AE69" i="3"/>
  <c r="AH69" i="3"/>
  <c r="AK69" i="3"/>
  <c r="AN69" i="3"/>
  <c r="AQ69" i="3"/>
  <c r="AT69" i="3"/>
  <c r="AW69" i="3"/>
  <c r="AZ69" i="3"/>
  <c r="BC69" i="3"/>
  <c r="BF69" i="3"/>
  <c r="BI69" i="3"/>
  <c r="BL69" i="3"/>
  <c r="BO69" i="3"/>
  <c r="G68" i="3"/>
  <c r="J68" i="3"/>
  <c r="M68" i="3"/>
  <c r="P68" i="3"/>
  <c r="S68" i="3"/>
  <c r="V68" i="3"/>
  <c r="Y68" i="3"/>
  <c r="AB68" i="3"/>
  <c r="AE68" i="3"/>
  <c r="AH68" i="3"/>
  <c r="AK68" i="3"/>
  <c r="AN68" i="3"/>
  <c r="AQ68" i="3"/>
  <c r="AT68" i="3"/>
  <c r="AW68" i="3"/>
  <c r="AZ68" i="3"/>
  <c r="BC68" i="3"/>
  <c r="BF68" i="3"/>
  <c r="BI68" i="3"/>
  <c r="BL68" i="3"/>
  <c r="BO68" i="3"/>
  <c r="G67" i="3"/>
  <c r="J67" i="3"/>
  <c r="M67" i="3"/>
  <c r="P67" i="3"/>
  <c r="S67" i="3"/>
  <c r="V67" i="3"/>
  <c r="Y67" i="3"/>
  <c r="AB67" i="3"/>
  <c r="AE67" i="3"/>
  <c r="AH67" i="3"/>
  <c r="AK67" i="3"/>
  <c r="AN67" i="3"/>
  <c r="AQ67" i="3"/>
  <c r="AT67" i="3"/>
  <c r="AW67" i="3"/>
  <c r="AZ67" i="3"/>
  <c r="BC67" i="3"/>
  <c r="BF67" i="3"/>
  <c r="BI67" i="3"/>
  <c r="BL67" i="3"/>
  <c r="BO67" i="3"/>
  <c r="G66" i="3"/>
  <c r="J66" i="3"/>
  <c r="M66" i="3"/>
  <c r="P66" i="3"/>
  <c r="S66" i="3"/>
  <c r="V66" i="3"/>
  <c r="Y66" i="3"/>
  <c r="AB66" i="3"/>
  <c r="AE66" i="3"/>
  <c r="AH66" i="3"/>
  <c r="AK66" i="3"/>
  <c r="AN66" i="3"/>
  <c r="AQ66" i="3"/>
  <c r="AT66" i="3"/>
  <c r="AW66" i="3"/>
  <c r="AZ66" i="3"/>
  <c r="BC66" i="3"/>
  <c r="BF66" i="3"/>
  <c r="BI66" i="3"/>
  <c r="BL66" i="3"/>
  <c r="BO66" i="3"/>
  <c r="I64" i="3"/>
  <c r="L64" i="3"/>
  <c r="O64" i="3"/>
  <c r="R64" i="3"/>
  <c r="U64" i="3"/>
  <c r="X64" i="3"/>
  <c r="AA64" i="3"/>
  <c r="AD64" i="3"/>
  <c r="AG64" i="3"/>
  <c r="AJ64" i="3"/>
  <c r="AM64" i="3"/>
  <c r="AP64" i="3"/>
  <c r="AS64" i="3"/>
  <c r="AV64" i="3"/>
  <c r="AY64" i="3"/>
  <c r="BB64" i="3"/>
  <c r="BE64" i="3"/>
  <c r="BH64" i="3"/>
  <c r="BK64" i="3"/>
  <c r="BN64" i="3"/>
  <c r="BQ64" i="3"/>
  <c r="E64" i="3"/>
  <c r="D64" i="3"/>
  <c r="I63" i="3"/>
  <c r="L63" i="3"/>
  <c r="O63" i="3"/>
  <c r="R63" i="3"/>
  <c r="U63" i="3"/>
  <c r="X63" i="3"/>
  <c r="AA63" i="3"/>
  <c r="AD63" i="3"/>
  <c r="AG63" i="3"/>
  <c r="AJ63" i="3"/>
  <c r="AM63" i="3"/>
  <c r="AP63" i="3"/>
  <c r="AS63" i="3"/>
  <c r="AV63" i="3"/>
  <c r="AY63" i="3"/>
  <c r="BB63" i="3"/>
  <c r="BE63" i="3"/>
  <c r="BH63" i="3"/>
  <c r="BK63" i="3"/>
  <c r="BN63" i="3"/>
  <c r="BQ63" i="3"/>
  <c r="E63" i="3"/>
  <c r="D63" i="3"/>
  <c r="I62" i="3"/>
  <c r="L62" i="3"/>
  <c r="O62" i="3"/>
  <c r="R62" i="3"/>
  <c r="U62" i="3"/>
  <c r="X62" i="3"/>
  <c r="AA62" i="3"/>
  <c r="AD62" i="3"/>
  <c r="AG62" i="3"/>
  <c r="AJ62" i="3"/>
  <c r="AM62" i="3"/>
  <c r="AP62" i="3"/>
  <c r="AS62" i="3"/>
  <c r="AV62" i="3"/>
  <c r="AY62" i="3"/>
  <c r="BB62" i="3"/>
  <c r="BE62" i="3"/>
  <c r="BH62" i="3"/>
  <c r="BK62" i="3"/>
  <c r="BN62" i="3"/>
  <c r="BQ62" i="3"/>
  <c r="E62" i="3"/>
  <c r="D62" i="3"/>
  <c r="I61" i="3"/>
  <c r="L61" i="3"/>
  <c r="O61" i="3"/>
  <c r="R61" i="3"/>
  <c r="U61" i="3"/>
  <c r="X61" i="3"/>
  <c r="AA61" i="3"/>
  <c r="AD61" i="3"/>
  <c r="AG61" i="3"/>
  <c r="AJ61" i="3"/>
  <c r="AM61" i="3"/>
  <c r="AP61" i="3"/>
  <c r="AS61" i="3"/>
  <c r="AV61" i="3"/>
  <c r="AY61" i="3"/>
  <c r="BB61" i="3"/>
  <c r="BE61" i="3"/>
  <c r="BH61" i="3"/>
  <c r="BK61" i="3"/>
  <c r="BN61" i="3"/>
  <c r="BQ61" i="3"/>
  <c r="E61" i="3"/>
  <c r="D61" i="3"/>
  <c r="I60" i="3"/>
  <c r="L60" i="3"/>
  <c r="O60" i="3"/>
  <c r="R60" i="3"/>
  <c r="U60" i="3"/>
  <c r="X60" i="3"/>
  <c r="AA60" i="3"/>
  <c r="AD60" i="3"/>
  <c r="AG60" i="3"/>
  <c r="AJ60" i="3"/>
  <c r="AM60" i="3"/>
  <c r="AP60" i="3"/>
  <c r="AS60" i="3"/>
  <c r="AV60" i="3"/>
  <c r="AY60" i="3"/>
  <c r="BB60" i="3"/>
  <c r="BE60" i="3"/>
  <c r="BH60" i="3"/>
  <c r="BK60" i="3"/>
  <c r="BN60" i="3"/>
  <c r="BQ60" i="3"/>
  <c r="E60" i="3"/>
  <c r="D60" i="3"/>
  <c r="I59" i="3"/>
  <c r="L59" i="3"/>
  <c r="O59" i="3"/>
  <c r="R59" i="3"/>
  <c r="U59" i="3"/>
  <c r="X59" i="3"/>
  <c r="AA59" i="3"/>
  <c r="AD59" i="3"/>
  <c r="AG59" i="3"/>
  <c r="AJ59" i="3"/>
  <c r="AM59" i="3"/>
  <c r="AP59" i="3"/>
  <c r="AS59" i="3"/>
  <c r="AV59" i="3"/>
  <c r="AY59" i="3"/>
  <c r="BB59" i="3"/>
  <c r="BE59" i="3"/>
  <c r="BH59" i="3"/>
  <c r="BK59" i="3"/>
  <c r="BN59" i="3"/>
  <c r="BQ59" i="3"/>
  <c r="E59" i="3"/>
  <c r="D59" i="3"/>
  <c r="I58" i="3"/>
  <c r="L58" i="3"/>
  <c r="O58" i="3"/>
  <c r="R58" i="3"/>
  <c r="U58" i="3"/>
  <c r="X58" i="3"/>
  <c r="AA58" i="3"/>
  <c r="AD58" i="3"/>
  <c r="AG58" i="3"/>
  <c r="AJ58" i="3"/>
  <c r="AM58" i="3"/>
  <c r="AP58" i="3"/>
  <c r="AS58" i="3"/>
  <c r="AV58" i="3"/>
  <c r="AY58" i="3"/>
  <c r="BB58" i="3"/>
  <c r="BE58" i="3"/>
  <c r="BH58" i="3"/>
  <c r="BK58" i="3"/>
  <c r="BN58" i="3"/>
  <c r="BQ58" i="3"/>
  <c r="E58" i="3"/>
  <c r="D58" i="3"/>
  <c r="I57" i="3"/>
  <c r="L57" i="3"/>
  <c r="O57" i="3"/>
  <c r="R57" i="3"/>
  <c r="U57" i="3"/>
  <c r="X57" i="3"/>
  <c r="AA57" i="3"/>
  <c r="AD57" i="3"/>
  <c r="AG57" i="3"/>
  <c r="AJ57" i="3"/>
  <c r="AM57" i="3"/>
  <c r="AP57" i="3"/>
  <c r="AS57" i="3"/>
  <c r="AV57" i="3"/>
  <c r="AY57" i="3"/>
  <c r="BB57" i="3"/>
  <c r="BE57" i="3"/>
  <c r="BH57" i="3"/>
  <c r="BK57" i="3"/>
  <c r="BN57" i="3"/>
  <c r="BQ57" i="3"/>
  <c r="E57" i="3"/>
  <c r="D57" i="3"/>
  <c r="I56" i="3"/>
  <c r="L56" i="3"/>
  <c r="O56" i="3"/>
  <c r="R56" i="3"/>
  <c r="U56" i="3"/>
  <c r="X56" i="3"/>
  <c r="AA56" i="3"/>
  <c r="AD56" i="3"/>
  <c r="AG56" i="3"/>
  <c r="AJ56" i="3"/>
  <c r="AM56" i="3"/>
  <c r="AP56" i="3"/>
  <c r="AS56" i="3"/>
  <c r="AV56" i="3"/>
  <c r="AY56" i="3"/>
  <c r="BB56" i="3"/>
  <c r="BE56" i="3"/>
  <c r="BH56" i="3"/>
  <c r="BK56" i="3"/>
  <c r="BN56" i="3"/>
  <c r="BQ56" i="3"/>
  <c r="E56" i="3"/>
  <c r="D56" i="3"/>
  <c r="I55" i="3"/>
  <c r="L55" i="3"/>
  <c r="O55" i="3"/>
  <c r="R55" i="3"/>
  <c r="U55" i="3"/>
  <c r="X55" i="3"/>
  <c r="AA55" i="3"/>
  <c r="AD55" i="3"/>
  <c r="AG55" i="3"/>
  <c r="AJ55" i="3"/>
  <c r="AM55" i="3"/>
  <c r="AP55" i="3"/>
  <c r="AS55" i="3"/>
  <c r="AV55" i="3"/>
  <c r="AY55" i="3"/>
  <c r="BB55" i="3"/>
  <c r="BE55" i="3"/>
  <c r="BH55" i="3"/>
  <c r="BK55" i="3"/>
  <c r="BN55" i="3"/>
  <c r="BQ55" i="3"/>
  <c r="E55" i="3"/>
  <c r="D55" i="3"/>
  <c r="E54" i="3"/>
  <c r="D54" i="3"/>
  <c r="E53" i="3"/>
  <c r="D53" i="3"/>
  <c r="F53" i="3" s="1"/>
  <c r="E52" i="3"/>
  <c r="D52" i="3"/>
  <c r="E51" i="3"/>
  <c r="D51" i="3"/>
  <c r="F51" i="3" s="1"/>
  <c r="E50" i="3"/>
  <c r="D50" i="3"/>
  <c r="E49" i="3"/>
  <c r="D49" i="3"/>
  <c r="E48" i="3"/>
  <c r="D48" i="3"/>
  <c r="E47" i="3"/>
  <c r="D47" i="3"/>
  <c r="E46" i="3"/>
  <c r="D46" i="3"/>
  <c r="E45" i="3"/>
  <c r="D45" i="3"/>
  <c r="I14" i="3"/>
  <c r="L14" i="3"/>
  <c r="O14" i="3"/>
  <c r="R14" i="3"/>
  <c r="U14" i="3"/>
  <c r="X14" i="3"/>
  <c r="AA14" i="3"/>
  <c r="AD14" i="3"/>
  <c r="AG14" i="3"/>
  <c r="AJ14" i="3"/>
  <c r="AM14" i="3"/>
  <c r="AP14" i="3"/>
  <c r="AS14" i="3"/>
  <c r="AV14" i="3"/>
  <c r="AY14" i="3"/>
  <c r="BB14" i="3"/>
  <c r="BE14" i="3"/>
  <c r="BH14" i="3"/>
  <c r="BK14" i="3"/>
  <c r="BN14" i="3"/>
  <c r="BQ14" i="3"/>
  <c r="I13" i="3"/>
  <c r="L13" i="3"/>
  <c r="O13" i="3"/>
  <c r="R13" i="3"/>
  <c r="U13" i="3"/>
  <c r="X13" i="3"/>
  <c r="AA13" i="3"/>
  <c r="AD13" i="3"/>
  <c r="AG13" i="3"/>
  <c r="AJ13" i="3"/>
  <c r="AM13" i="3"/>
  <c r="AP13" i="3"/>
  <c r="AS13" i="3"/>
  <c r="AV13" i="3"/>
  <c r="AY13" i="3"/>
  <c r="BB13" i="3"/>
  <c r="BE13" i="3"/>
  <c r="BH13" i="3"/>
  <c r="BK13" i="3"/>
  <c r="BN13" i="3"/>
  <c r="BQ13" i="3"/>
  <c r="I12" i="3"/>
  <c r="L12" i="3"/>
  <c r="O12" i="3"/>
  <c r="R12" i="3"/>
  <c r="U12" i="3"/>
  <c r="X12" i="3"/>
  <c r="AA12" i="3"/>
  <c r="AD12" i="3"/>
  <c r="AG12" i="3"/>
  <c r="AJ12" i="3"/>
  <c r="AM12" i="3"/>
  <c r="AP12" i="3"/>
  <c r="AS12" i="3"/>
  <c r="AV12" i="3"/>
  <c r="AY12" i="3"/>
  <c r="BB12" i="3"/>
  <c r="BE12" i="3"/>
  <c r="BH12" i="3"/>
  <c r="BK12" i="3"/>
  <c r="BN12" i="3"/>
  <c r="BQ12" i="3"/>
  <c r="I11" i="3"/>
  <c r="L11" i="3"/>
  <c r="O11" i="3"/>
  <c r="R11" i="3"/>
  <c r="U11" i="3"/>
  <c r="X11" i="3"/>
  <c r="AA11" i="3"/>
  <c r="AD11" i="3"/>
  <c r="AG11" i="3"/>
  <c r="AJ11" i="3"/>
  <c r="AM11" i="3"/>
  <c r="AP11" i="3"/>
  <c r="AS11" i="3"/>
  <c r="AV11" i="3"/>
  <c r="AY11" i="3"/>
  <c r="BB11" i="3"/>
  <c r="BE11" i="3"/>
  <c r="BH11" i="3"/>
  <c r="BK11" i="3"/>
  <c r="BN11" i="3"/>
  <c r="BQ11" i="3"/>
  <c r="I10" i="3"/>
  <c r="L10" i="3"/>
  <c r="O10" i="3"/>
  <c r="R10" i="3"/>
  <c r="U10" i="3"/>
  <c r="X10" i="3"/>
  <c r="AA10" i="3"/>
  <c r="AD10" i="3"/>
  <c r="AG10" i="3"/>
  <c r="AJ10" i="3"/>
  <c r="AM10" i="3"/>
  <c r="AP10" i="3"/>
  <c r="AS10" i="3"/>
  <c r="AV10" i="3"/>
  <c r="AY10" i="3"/>
  <c r="BB10" i="3"/>
  <c r="BE10" i="3"/>
  <c r="BH10" i="3"/>
  <c r="BK10" i="3"/>
  <c r="BN10" i="3"/>
  <c r="BQ10" i="3"/>
  <c r="I9" i="3"/>
  <c r="L9" i="3"/>
  <c r="O9" i="3"/>
  <c r="R9" i="3"/>
  <c r="U9" i="3"/>
  <c r="X9" i="3"/>
  <c r="AA9" i="3"/>
  <c r="AD9" i="3"/>
  <c r="AG9" i="3"/>
  <c r="AJ9" i="3"/>
  <c r="AM9" i="3"/>
  <c r="AP9" i="3"/>
  <c r="AS9" i="3"/>
  <c r="AV9" i="3"/>
  <c r="AY9" i="3"/>
  <c r="BB9" i="3"/>
  <c r="BE9" i="3"/>
  <c r="BH9" i="3"/>
  <c r="BK9" i="3"/>
  <c r="BN9" i="3"/>
  <c r="BQ9" i="3"/>
  <c r="I8" i="3"/>
  <c r="L8" i="3"/>
  <c r="O8" i="3"/>
  <c r="R8" i="3"/>
  <c r="U8" i="3"/>
  <c r="X8" i="3"/>
  <c r="AA8" i="3"/>
  <c r="AD8" i="3"/>
  <c r="AG8" i="3"/>
  <c r="AJ8" i="3"/>
  <c r="AM8" i="3"/>
  <c r="AP8" i="3"/>
  <c r="AS8" i="3"/>
  <c r="AV8" i="3"/>
  <c r="AY8" i="3"/>
  <c r="BB8" i="3"/>
  <c r="BE8" i="3"/>
  <c r="BH8" i="3"/>
  <c r="BK8" i="3"/>
  <c r="BN8" i="3"/>
  <c r="BQ8" i="3"/>
  <c r="I7" i="3"/>
  <c r="L7" i="3"/>
  <c r="O7" i="3"/>
  <c r="R7" i="3"/>
  <c r="U7" i="3"/>
  <c r="X7" i="3"/>
  <c r="AA7" i="3"/>
  <c r="AD7" i="3"/>
  <c r="AG7" i="3"/>
  <c r="AJ7" i="3"/>
  <c r="AM7" i="3"/>
  <c r="AP7" i="3"/>
  <c r="AS7" i="3"/>
  <c r="AV7" i="3"/>
  <c r="AY7" i="3"/>
  <c r="BB7" i="3"/>
  <c r="BE7" i="3"/>
  <c r="BH7" i="3"/>
  <c r="BK7" i="3"/>
  <c r="BN7" i="3"/>
  <c r="BQ7" i="3"/>
  <c r="I6" i="3"/>
  <c r="L6" i="3"/>
  <c r="O6" i="3"/>
  <c r="R6" i="3"/>
  <c r="U6" i="3"/>
  <c r="X6" i="3"/>
  <c r="AA6" i="3"/>
  <c r="AD6" i="3"/>
  <c r="AG6" i="3"/>
  <c r="AJ6" i="3"/>
  <c r="AM6" i="3"/>
  <c r="AP6" i="3"/>
  <c r="AS6" i="3"/>
  <c r="AV6" i="3"/>
  <c r="AY6" i="3"/>
  <c r="BB6" i="3"/>
  <c r="BE6" i="3"/>
  <c r="BH6" i="3"/>
  <c r="BK6" i="3"/>
  <c r="BN6" i="3"/>
  <c r="BQ6" i="3"/>
  <c r="BO2" i="3"/>
  <c r="A107" i="14" s="1"/>
  <c r="BI2" i="3"/>
  <c r="A37" i="14" s="1"/>
  <c r="BF2" i="3"/>
  <c r="AN2" i="3"/>
  <c r="M2" i="3"/>
  <c r="AM54" i="3"/>
  <c r="AJ54" i="3"/>
  <c r="AG54" i="3"/>
  <c r="AD54" i="3"/>
  <c r="AA54" i="3"/>
  <c r="X54" i="3"/>
  <c r="U54" i="3"/>
  <c r="R54" i="3"/>
  <c r="O54" i="3"/>
  <c r="L54" i="3"/>
  <c r="AM53" i="3"/>
  <c r="AJ53" i="3"/>
  <c r="AG53" i="3"/>
  <c r="AD53" i="3"/>
  <c r="AA53" i="3"/>
  <c r="X53" i="3"/>
  <c r="U53" i="3"/>
  <c r="R53" i="3"/>
  <c r="O53" i="3"/>
  <c r="L53" i="3"/>
  <c r="AM52" i="3"/>
  <c r="AJ52" i="3"/>
  <c r="AG52" i="3"/>
  <c r="AD52" i="3"/>
  <c r="AA52" i="3"/>
  <c r="X52" i="3"/>
  <c r="U52" i="3"/>
  <c r="R52" i="3"/>
  <c r="O52" i="3"/>
  <c r="L52" i="3"/>
  <c r="AM51" i="3"/>
  <c r="AJ51" i="3"/>
  <c r="AG51" i="3"/>
  <c r="AD51" i="3"/>
  <c r="AA51" i="3"/>
  <c r="X51" i="3"/>
  <c r="U51" i="3"/>
  <c r="R51" i="3"/>
  <c r="O51" i="3"/>
  <c r="L51" i="3"/>
  <c r="AM50" i="3"/>
  <c r="AJ50" i="3"/>
  <c r="AG50" i="3"/>
  <c r="AD50" i="3"/>
  <c r="AA50" i="3"/>
  <c r="X50" i="3"/>
  <c r="U50" i="3"/>
  <c r="R50" i="3"/>
  <c r="O50" i="3"/>
  <c r="L50" i="3"/>
  <c r="AM49" i="3"/>
  <c r="AJ49" i="3"/>
  <c r="AG49" i="3"/>
  <c r="AD49" i="3"/>
  <c r="AA49" i="3"/>
  <c r="X49" i="3"/>
  <c r="U49" i="3"/>
  <c r="R49" i="3"/>
  <c r="O49" i="3"/>
  <c r="L49" i="3"/>
  <c r="AM48" i="3"/>
  <c r="AJ48" i="3"/>
  <c r="AG48" i="3"/>
  <c r="AD48" i="3"/>
  <c r="AA48" i="3"/>
  <c r="X48" i="3"/>
  <c r="U48" i="3"/>
  <c r="R48" i="3"/>
  <c r="O48" i="3"/>
  <c r="L48" i="3"/>
  <c r="AM47" i="3"/>
  <c r="AJ47" i="3"/>
  <c r="AG47" i="3"/>
  <c r="AD47" i="3"/>
  <c r="AA47" i="3"/>
  <c r="X47" i="3"/>
  <c r="U47" i="3"/>
  <c r="R47" i="3"/>
  <c r="O47" i="3"/>
  <c r="L47" i="3"/>
  <c r="AM46" i="3"/>
  <c r="AJ46" i="3"/>
  <c r="AG46" i="3"/>
  <c r="AD46" i="3"/>
  <c r="AA46" i="3"/>
  <c r="X46" i="3"/>
  <c r="U46" i="3"/>
  <c r="R46" i="3"/>
  <c r="O46" i="3"/>
  <c r="L46" i="3"/>
  <c r="AM45" i="3"/>
  <c r="AJ45" i="3"/>
  <c r="AG45" i="3"/>
  <c r="AD45" i="3"/>
  <c r="AA45" i="3"/>
  <c r="X45" i="3"/>
  <c r="U45" i="3"/>
  <c r="R45" i="3"/>
  <c r="O45" i="3"/>
  <c r="L45" i="3"/>
  <c r="AM44" i="3"/>
  <c r="AJ44" i="3"/>
  <c r="AG44" i="3"/>
  <c r="AD44" i="3"/>
  <c r="AA44" i="3"/>
  <c r="X44" i="3"/>
  <c r="U44" i="3"/>
  <c r="R44" i="3"/>
  <c r="O44" i="3"/>
  <c r="L44" i="3"/>
  <c r="AM43" i="3"/>
  <c r="AJ43" i="3"/>
  <c r="AG43" i="3"/>
  <c r="AD43" i="3"/>
  <c r="AA43" i="3"/>
  <c r="X43" i="3"/>
  <c r="U43" i="3"/>
  <c r="R43" i="3"/>
  <c r="O43" i="3"/>
  <c r="L43" i="3"/>
  <c r="AM42" i="3"/>
  <c r="AJ42" i="3"/>
  <c r="AG42" i="3"/>
  <c r="AD42" i="3"/>
  <c r="AA42" i="3"/>
  <c r="X42" i="3"/>
  <c r="U42" i="3"/>
  <c r="R42" i="3"/>
  <c r="O42" i="3"/>
  <c r="L42" i="3"/>
  <c r="AM41" i="3"/>
  <c r="AJ41" i="3"/>
  <c r="AG41" i="3"/>
  <c r="AD41" i="3"/>
  <c r="AA41" i="3"/>
  <c r="X41" i="3"/>
  <c r="U41" i="3"/>
  <c r="R41" i="3"/>
  <c r="O41" i="3"/>
  <c r="L41" i="3"/>
  <c r="AM40" i="3"/>
  <c r="AJ40" i="3"/>
  <c r="AG40" i="3"/>
  <c r="AD40" i="3"/>
  <c r="AA40" i="3"/>
  <c r="X40" i="3"/>
  <c r="U40" i="3"/>
  <c r="R40" i="3"/>
  <c r="O40" i="3"/>
  <c r="L40" i="3"/>
  <c r="AM39" i="3"/>
  <c r="AJ39" i="3"/>
  <c r="AG39" i="3"/>
  <c r="AD39" i="3"/>
  <c r="AA39" i="3"/>
  <c r="X39" i="3"/>
  <c r="U39" i="3"/>
  <c r="R39" i="3"/>
  <c r="O39" i="3"/>
  <c r="L39" i="3"/>
  <c r="AM38" i="3"/>
  <c r="AJ38" i="3"/>
  <c r="AG38" i="3"/>
  <c r="AD38" i="3"/>
  <c r="AA38" i="3"/>
  <c r="X38" i="3"/>
  <c r="U38" i="3"/>
  <c r="R38" i="3"/>
  <c r="O38" i="3"/>
  <c r="L38" i="3"/>
  <c r="AM37" i="3"/>
  <c r="AJ37" i="3"/>
  <c r="AG37" i="3"/>
  <c r="AD37" i="3"/>
  <c r="AA37" i="3"/>
  <c r="X37" i="3"/>
  <c r="U37" i="3"/>
  <c r="R37" i="3"/>
  <c r="O37" i="3"/>
  <c r="L37" i="3"/>
  <c r="AM36" i="3"/>
  <c r="AJ36" i="3"/>
  <c r="AG36" i="3"/>
  <c r="AD36" i="3"/>
  <c r="AA36" i="3"/>
  <c r="X36" i="3"/>
  <c r="U36" i="3"/>
  <c r="R36" i="3"/>
  <c r="O36" i="3"/>
  <c r="L36" i="3"/>
  <c r="AM35" i="3"/>
  <c r="AJ35" i="3"/>
  <c r="AG35" i="3"/>
  <c r="AD35" i="3"/>
  <c r="AA35" i="3"/>
  <c r="X35" i="3"/>
  <c r="U35" i="3"/>
  <c r="R35" i="3"/>
  <c r="O35" i="3"/>
  <c r="L35" i="3"/>
  <c r="AM34" i="3"/>
  <c r="AJ34" i="3"/>
  <c r="AG34" i="3"/>
  <c r="AD34" i="3"/>
  <c r="AA34" i="3"/>
  <c r="X34" i="3"/>
  <c r="U34" i="3"/>
  <c r="R34" i="3"/>
  <c r="O34" i="3"/>
  <c r="L34" i="3"/>
  <c r="AM33" i="3"/>
  <c r="AJ33" i="3"/>
  <c r="AG33" i="3"/>
  <c r="AD33" i="3"/>
  <c r="AA33" i="3"/>
  <c r="X33" i="3"/>
  <c r="U33" i="3"/>
  <c r="R33" i="3"/>
  <c r="O33" i="3"/>
  <c r="L33" i="3"/>
  <c r="AM32" i="3"/>
  <c r="AJ32" i="3"/>
  <c r="AG32" i="3"/>
  <c r="AD32" i="3"/>
  <c r="AA32" i="3"/>
  <c r="X32" i="3"/>
  <c r="U32" i="3"/>
  <c r="R32" i="3"/>
  <c r="O32" i="3"/>
  <c r="L32" i="3"/>
  <c r="AM31" i="3"/>
  <c r="AJ31" i="3"/>
  <c r="AG31" i="3"/>
  <c r="AD31" i="3"/>
  <c r="AA31" i="3"/>
  <c r="X31" i="3"/>
  <c r="U31" i="3"/>
  <c r="R31" i="3"/>
  <c r="O31" i="3"/>
  <c r="L31" i="3"/>
  <c r="AM30" i="3"/>
  <c r="AJ30" i="3"/>
  <c r="AG30" i="3"/>
  <c r="AD30" i="3"/>
  <c r="AA30" i="3"/>
  <c r="X30" i="3"/>
  <c r="U30" i="3"/>
  <c r="R30" i="3"/>
  <c r="O30" i="3"/>
  <c r="L30" i="3"/>
  <c r="AM29" i="3"/>
  <c r="AJ29" i="3"/>
  <c r="AG29" i="3"/>
  <c r="AD29" i="3"/>
  <c r="AA29" i="3"/>
  <c r="X29" i="3"/>
  <c r="U29" i="3"/>
  <c r="R29" i="3"/>
  <c r="O29" i="3"/>
  <c r="L29" i="3"/>
  <c r="AM28" i="3"/>
  <c r="AJ28" i="3"/>
  <c r="AG28" i="3"/>
  <c r="AD28" i="3"/>
  <c r="AA28" i="3"/>
  <c r="X28" i="3"/>
  <c r="U28" i="3"/>
  <c r="R28" i="3"/>
  <c r="O28" i="3"/>
  <c r="L28" i="3"/>
  <c r="AM27" i="3"/>
  <c r="AJ27" i="3"/>
  <c r="AG27" i="3"/>
  <c r="AD27" i="3"/>
  <c r="AA27" i="3"/>
  <c r="X27" i="3"/>
  <c r="U27" i="3"/>
  <c r="R27" i="3"/>
  <c r="O27" i="3"/>
  <c r="L27" i="3"/>
  <c r="AM26" i="3"/>
  <c r="AJ26" i="3"/>
  <c r="AG26" i="3"/>
  <c r="AD26" i="3"/>
  <c r="AA26" i="3"/>
  <c r="X26" i="3"/>
  <c r="U26" i="3"/>
  <c r="R26" i="3"/>
  <c r="O26" i="3"/>
  <c r="L26" i="3"/>
  <c r="AM25" i="3"/>
  <c r="AJ25" i="3"/>
  <c r="AG25" i="3"/>
  <c r="AD25" i="3"/>
  <c r="AA25" i="3"/>
  <c r="X25" i="3"/>
  <c r="U25" i="3"/>
  <c r="R25" i="3"/>
  <c r="O25" i="3"/>
  <c r="L25" i="3"/>
  <c r="AM24" i="3"/>
  <c r="AJ24" i="3"/>
  <c r="AG24" i="3"/>
  <c r="AD24" i="3"/>
  <c r="AA24" i="3"/>
  <c r="X24" i="3"/>
  <c r="U24" i="3"/>
  <c r="R24" i="3"/>
  <c r="O24" i="3"/>
  <c r="L24" i="3"/>
  <c r="AM23" i="3"/>
  <c r="AJ23" i="3"/>
  <c r="AG23" i="3"/>
  <c r="AD23" i="3"/>
  <c r="AA23" i="3"/>
  <c r="X23" i="3"/>
  <c r="U23" i="3"/>
  <c r="R23" i="3"/>
  <c r="O23" i="3"/>
  <c r="L23" i="3"/>
  <c r="AM22" i="3"/>
  <c r="AJ22" i="3"/>
  <c r="AG22" i="3"/>
  <c r="AD22" i="3"/>
  <c r="AA22" i="3"/>
  <c r="X22" i="3"/>
  <c r="U22" i="3"/>
  <c r="R22" i="3"/>
  <c r="O22" i="3"/>
  <c r="L22" i="3"/>
  <c r="AM21" i="3"/>
  <c r="AJ21" i="3"/>
  <c r="AG21" i="3"/>
  <c r="AD21" i="3"/>
  <c r="AA21" i="3"/>
  <c r="X21" i="3"/>
  <c r="U21" i="3"/>
  <c r="R21" i="3"/>
  <c r="O21" i="3"/>
  <c r="L21" i="3"/>
  <c r="AM20" i="3"/>
  <c r="AJ20" i="3"/>
  <c r="AG20" i="3"/>
  <c r="AD20" i="3"/>
  <c r="AA20" i="3"/>
  <c r="X20" i="3"/>
  <c r="U20" i="3"/>
  <c r="R20" i="3"/>
  <c r="O20" i="3"/>
  <c r="L20" i="3"/>
  <c r="AM19" i="3"/>
  <c r="AJ19" i="3"/>
  <c r="AG19" i="3"/>
  <c r="AD19" i="3"/>
  <c r="AA19" i="3"/>
  <c r="X19" i="3"/>
  <c r="U19" i="3"/>
  <c r="R19" i="3"/>
  <c r="O19" i="3"/>
  <c r="L19" i="3"/>
  <c r="AM18" i="3"/>
  <c r="AJ18" i="3"/>
  <c r="AG18" i="3"/>
  <c r="AD18" i="3"/>
  <c r="AA18" i="3"/>
  <c r="X18" i="3"/>
  <c r="U18" i="3"/>
  <c r="R18" i="3"/>
  <c r="O18" i="3"/>
  <c r="L18" i="3"/>
  <c r="AM17" i="3"/>
  <c r="AJ17" i="3"/>
  <c r="AG17" i="3"/>
  <c r="AD17" i="3"/>
  <c r="AA17" i="3"/>
  <c r="X17" i="3"/>
  <c r="U17" i="3"/>
  <c r="R17" i="3"/>
  <c r="O17" i="3"/>
  <c r="L17" i="3"/>
  <c r="AM16" i="3"/>
  <c r="AJ16" i="3"/>
  <c r="AG16" i="3"/>
  <c r="AD16" i="3"/>
  <c r="AA16" i="3"/>
  <c r="X16" i="3"/>
  <c r="U16" i="3"/>
  <c r="R16" i="3"/>
  <c r="O16" i="3"/>
  <c r="L16" i="3"/>
  <c r="AM15" i="3"/>
  <c r="AJ15" i="3"/>
  <c r="AG15" i="3"/>
  <c r="AD15" i="3"/>
  <c r="AA15" i="3"/>
  <c r="X15" i="3"/>
  <c r="U15" i="3"/>
  <c r="R15" i="3"/>
  <c r="O15" i="3"/>
  <c r="L15" i="3"/>
  <c r="AM5" i="3"/>
  <c r="AJ5" i="3"/>
  <c r="AG5" i="3"/>
  <c r="AD5" i="3"/>
  <c r="AA5" i="3"/>
  <c r="X5" i="3"/>
  <c r="U5" i="3"/>
  <c r="R5" i="3"/>
  <c r="O5" i="3"/>
  <c r="L5" i="3"/>
  <c r="AV106" i="3"/>
  <c r="AP106" i="3"/>
  <c r="BB54" i="3"/>
  <c r="AY54" i="3"/>
  <c r="AV54" i="3"/>
  <c r="AS54" i="3"/>
  <c r="AP54" i="3"/>
  <c r="BB53" i="3"/>
  <c r="AY53" i="3"/>
  <c r="AV53" i="3"/>
  <c r="AS53" i="3"/>
  <c r="AP53" i="3"/>
  <c r="BB52" i="3"/>
  <c r="AY52" i="3"/>
  <c r="AV52" i="3"/>
  <c r="AS52" i="3"/>
  <c r="AP52" i="3"/>
  <c r="BB51" i="3"/>
  <c r="AY51" i="3"/>
  <c r="AV51" i="3"/>
  <c r="AS51" i="3"/>
  <c r="AP51" i="3"/>
  <c r="BB50" i="3"/>
  <c r="AY50" i="3"/>
  <c r="AV50" i="3"/>
  <c r="AS50" i="3"/>
  <c r="AP50" i="3"/>
  <c r="BB49" i="3"/>
  <c r="AY49" i="3"/>
  <c r="AV49" i="3"/>
  <c r="AS49" i="3"/>
  <c r="AP49" i="3"/>
  <c r="BB48" i="3"/>
  <c r="AY48" i="3"/>
  <c r="AV48" i="3"/>
  <c r="AS48" i="3"/>
  <c r="AP48" i="3"/>
  <c r="BB47" i="3"/>
  <c r="AY47" i="3"/>
  <c r="AV47" i="3"/>
  <c r="AS47" i="3"/>
  <c r="AP47" i="3"/>
  <c r="BB46" i="3"/>
  <c r="AY46" i="3"/>
  <c r="AV46" i="3"/>
  <c r="AS46" i="3"/>
  <c r="AP46" i="3"/>
  <c r="BB45" i="3"/>
  <c r="AY45" i="3"/>
  <c r="AV45" i="3"/>
  <c r="AS45" i="3"/>
  <c r="AP45" i="3"/>
  <c r="BB44" i="3"/>
  <c r="AY44" i="3"/>
  <c r="AV44" i="3"/>
  <c r="AS44" i="3"/>
  <c r="AP44" i="3"/>
  <c r="BB43" i="3"/>
  <c r="AY43" i="3"/>
  <c r="AV43" i="3"/>
  <c r="AS43" i="3"/>
  <c r="AP43" i="3"/>
  <c r="BB42" i="3"/>
  <c r="AY42" i="3"/>
  <c r="AV42" i="3"/>
  <c r="AS42" i="3"/>
  <c r="AP42" i="3"/>
  <c r="BB41" i="3"/>
  <c r="AY41" i="3"/>
  <c r="AV41" i="3"/>
  <c r="AS41" i="3"/>
  <c r="AP41" i="3"/>
  <c r="BB40" i="3"/>
  <c r="AY40" i="3"/>
  <c r="AV40" i="3"/>
  <c r="AS40" i="3"/>
  <c r="AP40" i="3"/>
  <c r="BB39" i="3"/>
  <c r="AY39" i="3"/>
  <c r="AV39" i="3"/>
  <c r="AS39" i="3"/>
  <c r="AP39" i="3"/>
  <c r="BB38" i="3"/>
  <c r="AY38" i="3"/>
  <c r="AV38" i="3"/>
  <c r="AS38" i="3"/>
  <c r="AP38" i="3"/>
  <c r="BB37" i="3"/>
  <c r="AY37" i="3"/>
  <c r="AV37" i="3"/>
  <c r="AS37" i="3"/>
  <c r="AP37" i="3"/>
  <c r="BB36" i="3"/>
  <c r="AY36" i="3"/>
  <c r="AV36" i="3"/>
  <c r="AS36" i="3"/>
  <c r="AP36" i="3"/>
  <c r="BB35" i="3"/>
  <c r="AY35" i="3"/>
  <c r="AV35" i="3"/>
  <c r="AS35" i="3"/>
  <c r="AP35" i="3"/>
  <c r="BB34" i="3"/>
  <c r="AY34" i="3"/>
  <c r="AV34" i="3"/>
  <c r="AS34" i="3"/>
  <c r="AP34" i="3"/>
  <c r="BB33" i="3"/>
  <c r="AY33" i="3"/>
  <c r="AV33" i="3"/>
  <c r="AS33" i="3"/>
  <c r="AP33" i="3"/>
  <c r="BB32" i="3"/>
  <c r="AY32" i="3"/>
  <c r="AV32" i="3"/>
  <c r="AS32" i="3"/>
  <c r="AP32" i="3"/>
  <c r="BB31" i="3"/>
  <c r="AY31" i="3"/>
  <c r="AV31" i="3"/>
  <c r="AS31" i="3"/>
  <c r="AP31" i="3"/>
  <c r="BB30" i="3"/>
  <c r="AY30" i="3"/>
  <c r="AV30" i="3"/>
  <c r="AS30" i="3"/>
  <c r="AP30" i="3"/>
  <c r="BB29" i="3"/>
  <c r="AY29" i="3"/>
  <c r="AV29" i="3"/>
  <c r="AS29" i="3"/>
  <c r="AP29" i="3"/>
  <c r="BB28" i="3"/>
  <c r="AY28" i="3"/>
  <c r="AV28" i="3"/>
  <c r="AS28" i="3"/>
  <c r="AP28" i="3"/>
  <c r="BB27" i="3"/>
  <c r="AY27" i="3"/>
  <c r="AV27" i="3"/>
  <c r="AS27" i="3"/>
  <c r="AP27" i="3"/>
  <c r="BB26" i="3"/>
  <c r="AY26" i="3"/>
  <c r="AV26" i="3"/>
  <c r="AS26" i="3"/>
  <c r="AP26" i="3"/>
  <c r="BB25" i="3"/>
  <c r="AY25" i="3"/>
  <c r="AV25" i="3"/>
  <c r="AS25" i="3"/>
  <c r="AP25" i="3"/>
  <c r="BB24" i="3"/>
  <c r="AY24" i="3"/>
  <c r="AV24" i="3"/>
  <c r="AS24" i="3"/>
  <c r="AP24" i="3"/>
  <c r="BB23" i="3"/>
  <c r="AY23" i="3"/>
  <c r="AV23" i="3"/>
  <c r="AS23" i="3"/>
  <c r="AP23" i="3"/>
  <c r="BB22" i="3"/>
  <c r="AY22" i="3"/>
  <c r="AV22" i="3"/>
  <c r="AS22" i="3"/>
  <c r="AP22" i="3"/>
  <c r="BB21" i="3"/>
  <c r="AY21" i="3"/>
  <c r="AV21" i="3"/>
  <c r="AS21" i="3"/>
  <c r="AP21" i="3"/>
  <c r="BB20" i="3"/>
  <c r="AY20" i="3"/>
  <c r="AV20" i="3"/>
  <c r="AS20" i="3"/>
  <c r="AP20" i="3"/>
  <c r="BB19" i="3"/>
  <c r="AY19" i="3"/>
  <c r="AV19" i="3"/>
  <c r="AS19" i="3"/>
  <c r="AP19" i="3"/>
  <c r="BB18" i="3"/>
  <c r="AY18" i="3"/>
  <c r="AV18" i="3"/>
  <c r="AS18" i="3"/>
  <c r="AP18" i="3"/>
  <c r="BB17" i="3"/>
  <c r="AY17" i="3"/>
  <c r="AV17" i="3"/>
  <c r="AS17" i="3"/>
  <c r="AP17" i="3"/>
  <c r="BB16" i="3"/>
  <c r="AY16" i="3"/>
  <c r="AV16" i="3"/>
  <c r="AS16" i="3"/>
  <c r="AP16" i="3"/>
  <c r="BB15" i="3"/>
  <c r="AY15" i="3"/>
  <c r="AV15" i="3"/>
  <c r="AS15" i="3"/>
  <c r="AP15" i="3"/>
  <c r="BB5" i="3"/>
  <c r="AY5" i="3"/>
  <c r="AV5" i="3"/>
  <c r="AS5" i="3"/>
  <c r="AP5" i="3"/>
  <c r="BB106" i="3"/>
  <c r="AM109" i="3"/>
  <c r="I12" i="27"/>
  <c r="I13" i="27"/>
  <c r="I14" i="27"/>
  <c r="I15" i="27"/>
  <c r="I16" i="27"/>
  <c r="I17" i="27"/>
  <c r="I18" i="27"/>
  <c r="I19" i="27"/>
  <c r="I20" i="27"/>
  <c r="I21" i="27"/>
  <c r="I22" i="27"/>
  <c r="I23" i="27"/>
  <c r="I24" i="27"/>
  <c r="I25" i="27"/>
  <c r="I26" i="27"/>
  <c r="I27" i="27"/>
  <c r="I28" i="27"/>
  <c r="I29" i="27"/>
  <c r="I30" i="27"/>
  <c r="I31" i="27"/>
  <c r="I32" i="27"/>
  <c r="I33" i="27"/>
  <c r="I34" i="27"/>
  <c r="I35" i="27"/>
  <c r="I36" i="27"/>
  <c r="I37" i="27"/>
  <c r="I38" i="27"/>
  <c r="I39" i="27"/>
  <c r="I40" i="27"/>
  <c r="I41" i="27"/>
  <c r="I42" i="27"/>
  <c r="I43" i="27"/>
  <c r="I44" i="27"/>
  <c r="C2" i="36"/>
  <c r="C3" i="36"/>
  <c r="E3" i="36"/>
  <c r="C4" i="36"/>
  <c r="E4" i="36"/>
  <c r="C5" i="36"/>
  <c r="E5" i="36"/>
  <c r="C6" i="36"/>
  <c r="E6" i="36"/>
  <c r="C7" i="36"/>
  <c r="E7" i="36"/>
  <c r="C8" i="36"/>
  <c r="E8" i="36"/>
  <c r="C9" i="36"/>
  <c r="E9" i="36"/>
  <c r="C10" i="36"/>
  <c r="E10" i="36"/>
  <c r="C11" i="36"/>
  <c r="E11" i="36"/>
  <c r="C12" i="36"/>
  <c r="E12" i="36"/>
  <c r="C13" i="36"/>
  <c r="E13" i="36"/>
  <c r="C14" i="36"/>
  <c r="E14" i="36"/>
  <c r="C15" i="36"/>
  <c r="E15" i="36"/>
  <c r="C16" i="36"/>
  <c r="E16" i="36"/>
  <c r="C17" i="36"/>
  <c r="E17" i="36"/>
  <c r="C18" i="36"/>
  <c r="E18" i="36"/>
  <c r="C19" i="36"/>
  <c r="E19" i="36"/>
  <c r="C20" i="36"/>
  <c r="E20" i="36"/>
  <c r="C21" i="36"/>
  <c r="E21" i="36"/>
  <c r="E23" i="32"/>
  <c r="H3" i="32"/>
  <c r="H4" i="32"/>
  <c r="H5" i="32"/>
  <c r="H6" i="32"/>
  <c r="H7" i="32"/>
  <c r="H8" i="32"/>
  <c r="H9" i="32"/>
  <c r="H10" i="32"/>
  <c r="H11" i="32"/>
  <c r="H12" i="32"/>
  <c r="H13" i="32"/>
  <c r="H14" i="32"/>
  <c r="H15" i="32"/>
  <c r="H16" i="32"/>
  <c r="H17" i="32"/>
  <c r="H18" i="32"/>
  <c r="H19" i="32"/>
  <c r="H20" i="32"/>
  <c r="H21" i="32"/>
  <c r="H22" i="32"/>
  <c r="H23" i="32"/>
  <c r="H24" i="28"/>
  <c r="J24" i="28" s="1"/>
  <c r="H19" i="28"/>
  <c r="J19" i="28" s="1"/>
  <c r="H14" i="28"/>
  <c r="J14" i="28" s="1"/>
  <c r="H9" i="28"/>
  <c r="J9" i="28" s="1"/>
  <c r="H25" i="28"/>
  <c r="J25" i="28"/>
  <c r="H27" i="28"/>
  <c r="H26" i="28"/>
  <c r="J26" i="28" s="1"/>
  <c r="H22" i="28"/>
  <c r="H21" i="28"/>
  <c r="J21" i="28" s="1"/>
  <c r="H20" i="28"/>
  <c r="J20" i="28" s="1"/>
  <c r="H17" i="28"/>
  <c r="H16" i="28"/>
  <c r="J16" i="28" s="1"/>
  <c r="H15" i="28"/>
  <c r="J15" i="28" s="1"/>
  <c r="H12" i="28"/>
  <c r="H11" i="28"/>
  <c r="J11" i="28" s="1"/>
  <c r="H10" i="28"/>
  <c r="J10" i="28"/>
  <c r="H7" i="28"/>
  <c r="H5" i="28"/>
  <c r="J5" i="28" s="1"/>
  <c r="H4" i="28"/>
  <c r="J4" i="28" s="1"/>
  <c r="BH54" i="3"/>
  <c r="BH53" i="3"/>
  <c r="BH52" i="3"/>
  <c r="BH51" i="3"/>
  <c r="BH50" i="3"/>
  <c r="BH49" i="3"/>
  <c r="BH48" i="3"/>
  <c r="BH47" i="3"/>
  <c r="BH46" i="3"/>
  <c r="BH45" i="3"/>
  <c r="BH44" i="3"/>
  <c r="BH43" i="3"/>
  <c r="BH42" i="3"/>
  <c r="BH41" i="3"/>
  <c r="BH40" i="3"/>
  <c r="BH39" i="3"/>
  <c r="BH38" i="3"/>
  <c r="BH37" i="3"/>
  <c r="BH36" i="3"/>
  <c r="BH35" i="3"/>
  <c r="BH34" i="3"/>
  <c r="BH33" i="3"/>
  <c r="BH32" i="3"/>
  <c r="BH31" i="3"/>
  <c r="BH30" i="3"/>
  <c r="BH29" i="3"/>
  <c r="BH28" i="3"/>
  <c r="BH27" i="3"/>
  <c r="BH26" i="3"/>
  <c r="BH25" i="3"/>
  <c r="BH24" i="3"/>
  <c r="BH23" i="3"/>
  <c r="BH22" i="3"/>
  <c r="BH21" i="3"/>
  <c r="BH20" i="3"/>
  <c r="BH19" i="3"/>
  <c r="BH18" i="3"/>
  <c r="BH17" i="3"/>
  <c r="BH16" i="3"/>
  <c r="BH15" i="3"/>
  <c r="BH5" i="3"/>
  <c r="BE54" i="3"/>
  <c r="BE53" i="3"/>
  <c r="BE52" i="3"/>
  <c r="BE51" i="3"/>
  <c r="BE50" i="3"/>
  <c r="BE49" i="3"/>
  <c r="BE48" i="3"/>
  <c r="BE47" i="3"/>
  <c r="BE46" i="3"/>
  <c r="BE45" i="3"/>
  <c r="BE44" i="3"/>
  <c r="BE43" i="3"/>
  <c r="BE42" i="3"/>
  <c r="BE41" i="3"/>
  <c r="BE40" i="3"/>
  <c r="BE39" i="3"/>
  <c r="BE38" i="3"/>
  <c r="BE37" i="3"/>
  <c r="BE36" i="3"/>
  <c r="BE35" i="3"/>
  <c r="BE34" i="3"/>
  <c r="BE33" i="3"/>
  <c r="BE32" i="3"/>
  <c r="BE31" i="3"/>
  <c r="BE30" i="3"/>
  <c r="BE29" i="3"/>
  <c r="BE28" i="3"/>
  <c r="BE27" i="3"/>
  <c r="BE26" i="3"/>
  <c r="BE25" i="3"/>
  <c r="BE24" i="3"/>
  <c r="BE23" i="3"/>
  <c r="BE22" i="3"/>
  <c r="BE21" i="3"/>
  <c r="BE20" i="3"/>
  <c r="BE19" i="3"/>
  <c r="BE18" i="3"/>
  <c r="BE17" i="3"/>
  <c r="BE16" i="3"/>
  <c r="BE15" i="3"/>
  <c r="BE5" i="3"/>
  <c r="E138" i="14"/>
  <c r="E137" i="14"/>
  <c r="E136" i="14"/>
  <c r="E135" i="14"/>
  <c r="E134" i="14"/>
  <c r="E133" i="14"/>
  <c r="E132" i="14"/>
  <c r="E131" i="14"/>
  <c r="E130" i="14"/>
  <c r="E129" i="14"/>
  <c r="E128" i="14"/>
  <c r="D128" i="14" s="1"/>
  <c r="E127" i="14"/>
  <c r="D127" i="14" s="1"/>
  <c r="E126" i="14"/>
  <c r="D126" i="14" s="1"/>
  <c r="E125" i="14"/>
  <c r="D125" i="14" s="1"/>
  <c r="E124" i="14"/>
  <c r="D124" i="14"/>
  <c r="E123" i="14"/>
  <c r="D123" i="14" s="1"/>
  <c r="E122" i="14"/>
  <c r="D122" i="14" s="1"/>
  <c r="E121" i="14"/>
  <c r="D121" i="14"/>
  <c r="E120" i="14"/>
  <c r="D120" i="14" s="1"/>
  <c r="E119" i="14"/>
  <c r="D119" i="14" s="1"/>
  <c r="E118" i="14"/>
  <c r="E117" i="14"/>
  <c r="D117" i="14" s="1"/>
  <c r="E116" i="14"/>
  <c r="E115" i="14"/>
  <c r="E114" i="14"/>
  <c r="E113" i="14"/>
  <c r="D113" i="14" s="1"/>
  <c r="E112" i="14"/>
  <c r="D112" i="14" s="1"/>
  <c r="E111" i="14"/>
  <c r="E110" i="14"/>
  <c r="E109" i="14"/>
  <c r="E103" i="14"/>
  <c r="E102" i="14"/>
  <c r="E101" i="14"/>
  <c r="E100" i="14"/>
  <c r="E99" i="14"/>
  <c r="E98" i="14"/>
  <c r="E97" i="14"/>
  <c r="E96" i="14"/>
  <c r="E95" i="14"/>
  <c r="E94" i="14"/>
  <c r="E93" i="14"/>
  <c r="D93" i="14" s="1"/>
  <c r="E92" i="14"/>
  <c r="D92" i="14" s="1"/>
  <c r="E91" i="14"/>
  <c r="D91" i="14" s="1"/>
  <c r="E90" i="14"/>
  <c r="D90" i="14" s="1"/>
  <c r="E89" i="14"/>
  <c r="D89" i="14"/>
  <c r="E88" i="14"/>
  <c r="D88" i="14" s="1"/>
  <c r="E87" i="14"/>
  <c r="D87" i="14" s="1"/>
  <c r="E86" i="14"/>
  <c r="D86" i="14" s="1"/>
  <c r="E85" i="14"/>
  <c r="D85" i="14" s="1"/>
  <c r="E84" i="14"/>
  <c r="D84" i="14"/>
  <c r="E83" i="14"/>
  <c r="E82" i="14"/>
  <c r="E81" i="14"/>
  <c r="D81" i="14" s="1"/>
  <c r="E80" i="14"/>
  <c r="D80" i="14" s="1"/>
  <c r="E79" i="14"/>
  <c r="D79" i="14" s="1"/>
  <c r="E78" i="14"/>
  <c r="D78" i="14" s="1"/>
  <c r="E77" i="14"/>
  <c r="D77" i="14" s="1"/>
  <c r="E76" i="14"/>
  <c r="E75" i="14"/>
  <c r="D75" i="14" s="1"/>
  <c r="E74" i="14"/>
  <c r="E68" i="14"/>
  <c r="E67" i="14"/>
  <c r="E66" i="14"/>
  <c r="E65" i="14"/>
  <c r="E64" i="14"/>
  <c r="E63" i="14"/>
  <c r="E62" i="14"/>
  <c r="E61" i="14"/>
  <c r="E60" i="14"/>
  <c r="E59" i="14"/>
  <c r="E58" i="14"/>
  <c r="D58" i="14" s="1"/>
  <c r="E57" i="14"/>
  <c r="D57" i="14"/>
  <c r="E56" i="14"/>
  <c r="D56" i="14" s="1"/>
  <c r="E55" i="14"/>
  <c r="D55" i="14" s="1"/>
  <c r="E54" i="14"/>
  <c r="D54" i="14" s="1"/>
  <c r="E53" i="14"/>
  <c r="D53" i="14" s="1"/>
  <c r="E52" i="14"/>
  <c r="D52" i="14" s="1"/>
  <c r="E51" i="14"/>
  <c r="D51" i="14" s="1"/>
  <c r="E50" i="14"/>
  <c r="D50" i="14" s="1"/>
  <c r="E49" i="14"/>
  <c r="D49" i="14" s="1"/>
  <c r="E48" i="14"/>
  <c r="D48" i="14" s="1"/>
  <c r="E47" i="14"/>
  <c r="E46" i="14"/>
  <c r="D46" i="14" s="1"/>
  <c r="E45" i="14"/>
  <c r="E44" i="14"/>
  <c r="E43" i="14"/>
  <c r="E42" i="14"/>
  <c r="E41" i="14"/>
  <c r="E40" i="14"/>
  <c r="E39" i="14"/>
  <c r="D39" i="14" s="1"/>
  <c r="E33" i="14"/>
  <c r="E32" i="14"/>
  <c r="E31" i="14"/>
  <c r="E30" i="14"/>
  <c r="E29" i="14"/>
  <c r="E28" i="14"/>
  <c r="E27" i="14"/>
  <c r="E26" i="14"/>
  <c r="E25" i="14"/>
  <c r="E24" i="14"/>
  <c r="E23" i="14"/>
  <c r="D23" i="14" s="1"/>
  <c r="E22" i="14"/>
  <c r="D22" i="14" s="1"/>
  <c r="E21" i="14"/>
  <c r="D21" i="14" s="1"/>
  <c r="E20" i="14"/>
  <c r="D20" i="14" s="1"/>
  <c r="E19" i="14"/>
  <c r="D19" i="14" s="1"/>
  <c r="E18" i="14"/>
  <c r="D18" i="14" s="1"/>
  <c r="E17" i="14"/>
  <c r="D17" i="14" s="1"/>
  <c r="E16" i="14"/>
  <c r="D16" i="14" s="1"/>
  <c r="E15" i="14"/>
  <c r="D15" i="14" s="1"/>
  <c r="E14" i="14"/>
  <c r="D14" i="14" s="1"/>
  <c r="E13" i="14"/>
  <c r="E12" i="14"/>
  <c r="E11" i="14"/>
  <c r="D11" i="14" s="1"/>
  <c r="E10" i="14"/>
  <c r="E9" i="14"/>
  <c r="D9" i="14" s="1"/>
  <c r="E8" i="14"/>
  <c r="E7" i="14"/>
  <c r="E6" i="14"/>
  <c r="E5" i="14"/>
  <c r="D5" i="14" s="1"/>
  <c r="E4" i="14"/>
  <c r="D4" i="14" s="1"/>
  <c r="M11" i="11"/>
  <c r="M13" i="6" s="1"/>
  <c r="N13" i="6" s="1"/>
  <c r="E11" i="11"/>
  <c r="E3" i="18"/>
  <c r="E4" i="17"/>
  <c r="M27" i="11"/>
  <c r="L27" i="11"/>
  <c r="K27" i="11"/>
  <c r="J27" i="11"/>
  <c r="I27" i="11"/>
  <c r="H27" i="11"/>
  <c r="F8" i="4" s="1"/>
  <c r="G27" i="11"/>
  <c r="F27" i="11"/>
  <c r="E27" i="11"/>
  <c r="C5" i="6" s="1"/>
  <c r="D27" i="11"/>
  <c r="C4" i="6" s="1"/>
  <c r="M25" i="11"/>
  <c r="I13" i="4" s="1"/>
  <c r="L25" i="11"/>
  <c r="I12" i="4" s="1"/>
  <c r="K25" i="11"/>
  <c r="I11" i="4" s="1"/>
  <c r="J25" i="11"/>
  <c r="I10" i="6" s="1"/>
  <c r="I25" i="11"/>
  <c r="I9" i="4" s="1"/>
  <c r="H25" i="11"/>
  <c r="I8" i="4" s="1"/>
  <c r="G25" i="11"/>
  <c r="I7" i="4" s="1"/>
  <c r="F25" i="11"/>
  <c r="I6" i="6" s="1"/>
  <c r="E25" i="11"/>
  <c r="M23" i="11"/>
  <c r="F13" i="6" s="1"/>
  <c r="L23" i="11"/>
  <c r="G12" i="4" s="1"/>
  <c r="K23" i="11"/>
  <c r="G11" i="4" s="1"/>
  <c r="J23" i="11"/>
  <c r="I23" i="11"/>
  <c r="F9" i="6" s="1"/>
  <c r="H23" i="11"/>
  <c r="G8" i="4" s="1"/>
  <c r="G23" i="11"/>
  <c r="G7" i="4" s="1"/>
  <c r="F23" i="11"/>
  <c r="F6" i="6" s="1"/>
  <c r="E23" i="11"/>
  <c r="F5" i="6" s="1"/>
  <c r="D23" i="11"/>
  <c r="F4" i="6" s="1"/>
  <c r="K11" i="11"/>
  <c r="M11" i="6" s="1"/>
  <c r="N11" i="6" s="1"/>
  <c r="BN108" i="3"/>
  <c r="D111" i="14"/>
  <c r="D110" i="14"/>
  <c r="BQ54" i="3"/>
  <c r="BN54" i="3"/>
  <c r="BK54" i="3"/>
  <c r="I54" i="3"/>
  <c r="BQ53" i="3"/>
  <c r="BN53" i="3"/>
  <c r="BK53" i="3"/>
  <c r="I53" i="3"/>
  <c r="BQ52" i="3"/>
  <c r="BN52" i="3"/>
  <c r="BK52" i="3"/>
  <c r="I52" i="3"/>
  <c r="BQ51" i="3"/>
  <c r="BN51" i="3"/>
  <c r="BK51" i="3"/>
  <c r="I51" i="3"/>
  <c r="BQ50" i="3"/>
  <c r="BN50" i="3"/>
  <c r="BK50" i="3"/>
  <c r="I50" i="3"/>
  <c r="BQ49" i="3"/>
  <c r="BN49" i="3"/>
  <c r="BK49" i="3"/>
  <c r="I49" i="3"/>
  <c r="BQ48" i="3"/>
  <c r="BN48" i="3"/>
  <c r="BK48" i="3"/>
  <c r="I48" i="3"/>
  <c r="BQ47" i="3"/>
  <c r="BN47" i="3"/>
  <c r="BK47" i="3"/>
  <c r="I47" i="3"/>
  <c r="BQ46" i="3"/>
  <c r="BN46" i="3"/>
  <c r="BK46" i="3"/>
  <c r="I46" i="3"/>
  <c r="BQ45" i="3"/>
  <c r="BN45" i="3"/>
  <c r="BK45" i="3"/>
  <c r="I45" i="3"/>
  <c r="BQ44" i="3"/>
  <c r="BN44" i="3"/>
  <c r="BK44" i="3"/>
  <c r="I44" i="3"/>
  <c r="BQ43" i="3"/>
  <c r="BN43" i="3"/>
  <c r="BK43" i="3"/>
  <c r="I43" i="3"/>
  <c r="BQ42" i="3"/>
  <c r="BN42" i="3"/>
  <c r="BK42" i="3"/>
  <c r="I42" i="3"/>
  <c r="BQ41" i="3"/>
  <c r="BN41" i="3"/>
  <c r="BK41" i="3"/>
  <c r="I41" i="3"/>
  <c r="BQ40" i="3"/>
  <c r="BN40" i="3"/>
  <c r="BK40" i="3"/>
  <c r="I40" i="3"/>
  <c r="BQ39" i="3"/>
  <c r="BN39" i="3"/>
  <c r="BK39" i="3"/>
  <c r="I39" i="3"/>
  <c r="BQ38" i="3"/>
  <c r="BN38" i="3"/>
  <c r="BK38" i="3"/>
  <c r="I38" i="3"/>
  <c r="BQ37" i="3"/>
  <c r="BN37" i="3"/>
  <c r="BK37" i="3"/>
  <c r="I37" i="3"/>
  <c r="BQ36" i="3"/>
  <c r="BN36" i="3"/>
  <c r="BK36" i="3"/>
  <c r="I36" i="3"/>
  <c r="BQ35" i="3"/>
  <c r="BN35" i="3"/>
  <c r="BK35" i="3"/>
  <c r="I35" i="3"/>
  <c r="BQ34" i="3"/>
  <c r="BN34" i="3"/>
  <c r="BK34" i="3"/>
  <c r="I34" i="3"/>
  <c r="BQ33" i="3"/>
  <c r="BN33" i="3"/>
  <c r="BK33" i="3"/>
  <c r="I33" i="3"/>
  <c r="BQ32" i="3"/>
  <c r="BN32" i="3"/>
  <c r="BK32" i="3"/>
  <c r="I32" i="3"/>
  <c r="BQ31" i="3"/>
  <c r="BN31" i="3"/>
  <c r="BK31" i="3"/>
  <c r="I31" i="3"/>
  <c r="BQ30" i="3"/>
  <c r="BN30" i="3"/>
  <c r="BK30" i="3"/>
  <c r="I30" i="3"/>
  <c r="BQ29" i="3"/>
  <c r="BN29" i="3"/>
  <c r="BK29" i="3"/>
  <c r="I29" i="3"/>
  <c r="BQ28" i="3"/>
  <c r="BN28" i="3"/>
  <c r="BK28" i="3"/>
  <c r="I28" i="3"/>
  <c r="BQ27" i="3"/>
  <c r="BN27" i="3"/>
  <c r="BK27" i="3"/>
  <c r="I27" i="3"/>
  <c r="BQ26" i="3"/>
  <c r="BN26" i="3"/>
  <c r="BK26" i="3"/>
  <c r="I26" i="3"/>
  <c r="BQ25" i="3"/>
  <c r="BN25" i="3"/>
  <c r="BK25" i="3"/>
  <c r="I25" i="3"/>
  <c r="BN24" i="3"/>
  <c r="I24" i="3"/>
  <c r="BQ23" i="3"/>
  <c r="BN23" i="3"/>
  <c r="BN22" i="3"/>
  <c r="BK22" i="3"/>
  <c r="BQ21" i="3"/>
  <c r="BQ20" i="3"/>
  <c r="BN20" i="3"/>
  <c r="I20" i="3"/>
  <c r="BN19" i="3"/>
  <c r="BK19" i="3"/>
  <c r="BN18" i="3"/>
  <c r="BK18" i="3"/>
  <c r="BQ5" i="3"/>
  <c r="BN5" i="3"/>
  <c r="BK5" i="3"/>
  <c r="I5" i="3"/>
  <c r="O14" i="6"/>
  <c r="L14" i="6"/>
  <c r="M14" i="4"/>
  <c r="K14" i="4"/>
  <c r="J14" i="4"/>
  <c r="L13" i="4"/>
  <c r="L12" i="4"/>
  <c r="L11" i="4"/>
  <c r="L10" i="4"/>
  <c r="L9" i="4"/>
  <c r="L8" i="4"/>
  <c r="L7" i="4"/>
  <c r="L6" i="4"/>
  <c r="L5" i="4"/>
  <c r="L4" i="4"/>
  <c r="I11" i="11"/>
  <c r="J11" i="11"/>
  <c r="L11" i="11"/>
  <c r="BK15" i="3"/>
  <c r="BK16" i="3"/>
  <c r="BN17" i="3"/>
  <c r="BN21" i="3"/>
  <c r="I19" i="3"/>
  <c r="I23" i="3"/>
  <c r="I18" i="3"/>
  <c r="I22" i="3"/>
  <c r="I15" i="3"/>
  <c r="I17" i="3"/>
  <c r="I21" i="3"/>
  <c r="BK17" i="3"/>
  <c r="BQ17" i="3"/>
  <c r="BN109" i="3"/>
  <c r="BQ111" i="3"/>
  <c r="BQ18" i="3"/>
  <c r="BQ19" i="3"/>
  <c r="BK20" i="3"/>
  <c r="BK21" i="3"/>
  <c r="BQ22" i="3"/>
  <c r="BK23" i="3"/>
  <c r="BK24" i="3"/>
  <c r="BQ24" i="3"/>
  <c r="D10" i="14"/>
  <c r="BQ15" i="3"/>
  <c r="BQ16" i="3"/>
  <c r="I16" i="3"/>
  <c r="BN15" i="3"/>
  <c r="BN16" i="3"/>
  <c r="D25" i="11"/>
  <c r="I4" i="6" s="1"/>
  <c r="E25" i="17"/>
  <c r="AF14" i="20"/>
  <c r="BH111" i="3"/>
  <c r="T19" i="37"/>
  <c r="T27" i="37"/>
  <c r="T14" i="37"/>
  <c r="T13" i="37"/>
  <c r="L106" i="3"/>
  <c r="U118" i="3"/>
  <c r="O122" i="3"/>
  <c r="X122" i="3"/>
  <c r="T21" i="37"/>
  <c r="U15" i="29"/>
  <c r="V15" i="29" s="1"/>
  <c r="I9" i="32" l="1"/>
  <c r="I11" i="32"/>
  <c r="I3" i="32"/>
  <c r="J78" i="3"/>
  <c r="E18" i="32"/>
  <c r="E3" i="17"/>
  <c r="H9" i="37"/>
  <c r="H5" i="37"/>
  <c r="H33" i="37"/>
  <c r="H29" i="37"/>
  <c r="AS95" i="3"/>
  <c r="AJ90" i="3"/>
  <c r="AA95" i="3"/>
  <c r="AM90" i="3"/>
  <c r="AJ92" i="3"/>
  <c r="AJ93" i="3"/>
  <c r="AM95" i="3"/>
  <c r="AJ94" i="3"/>
  <c r="I95" i="3"/>
  <c r="AP91" i="3"/>
  <c r="I91" i="3"/>
  <c r="AA94" i="3"/>
  <c r="AJ91" i="3"/>
  <c r="AM89" i="3"/>
  <c r="AP95" i="3"/>
  <c r="AD92" i="3"/>
  <c r="X94" i="3"/>
  <c r="L92" i="3"/>
  <c r="L93" i="3"/>
  <c r="L91" i="3"/>
  <c r="F54" i="3"/>
  <c r="F45" i="3"/>
  <c r="AS119" i="3"/>
  <c r="AS93" i="3"/>
  <c r="AS115" i="3"/>
  <c r="AS117" i="3"/>
  <c r="AP107" i="3"/>
  <c r="AP113" i="3"/>
  <c r="AP114" i="3"/>
  <c r="AP94" i="3"/>
  <c r="AP92" i="3"/>
  <c r="AP115" i="3"/>
  <c r="AP111" i="3"/>
  <c r="AP86" i="3"/>
  <c r="AM118" i="3"/>
  <c r="AM121" i="3"/>
  <c r="AM108" i="3"/>
  <c r="AM122" i="3"/>
  <c r="AM87" i="3"/>
  <c r="AJ116" i="3"/>
  <c r="AG86" i="3"/>
  <c r="AG124" i="3"/>
  <c r="AG120" i="3"/>
  <c r="AG110" i="3"/>
  <c r="AG88" i="3"/>
  <c r="AD113" i="3"/>
  <c r="AD117" i="3"/>
  <c r="AD94" i="3"/>
  <c r="AD91" i="3"/>
  <c r="AA110" i="3"/>
  <c r="X91" i="3"/>
  <c r="U122" i="3"/>
  <c r="U94" i="3"/>
  <c r="U116" i="3"/>
  <c r="U90" i="3"/>
  <c r="U111" i="3"/>
  <c r="U88" i="3"/>
  <c r="U86" i="3"/>
  <c r="U123" i="3"/>
  <c r="R117" i="3"/>
  <c r="R94" i="3"/>
  <c r="R92" i="3"/>
  <c r="R89" i="3"/>
  <c r="R108" i="3"/>
  <c r="O108" i="3"/>
  <c r="O107" i="3"/>
  <c r="O114" i="3"/>
  <c r="O119" i="3"/>
  <c r="L121" i="3"/>
  <c r="L114" i="3"/>
  <c r="L112" i="3"/>
  <c r="L122" i="3"/>
  <c r="L120" i="3"/>
  <c r="B17" i="35"/>
  <c r="B19" i="35"/>
  <c r="B10" i="35"/>
  <c r="E7" i="32" s="1"/>
  <c r="L18" i="30" s="1"/>
  <c r="B11" i="35"/>
  <c r="E8" i="32" s="1"/>
  <c r="L120" i="30" s="1"/>
  <c r="B18" i="35"/>
  <c r="E15" i="32" s="1"/>
  <c r="B22" i="35"/>
  <c r="B15" i="35"/>
  <c r="B9" i="35"/>
  <c r="E6" i="32" s="1"/>
  <c r="L110" i="30" s="1"/>
  <c r="O110" i="30" s="1"/>
  <c r="P110" i="30" s="1"/>
  <c r="B25" i="35"/>
  <c r="B21" i="35"/>
  <c r="B26" i="35"/>
  <c r="B23" i="35"/>
  <c r="B12" i="35"/>
  <c r="E9" i="32" s="1"/>
  <c r="B20" i="35"/>
  <c r="B13" i="35"/>
  <c r="I114" i="3"/>
  <c r="I118" i="3"/>
  <c r="I113" i="3"/>
  <c r="I94" i="3"/>
  <c r="I108" i="3"/>
  <c r="BC78" i="3"/>
  <c r="V77" i="3"/>
  <c r="AQ78" i="3"/>
  <c r="M80" i="3"/>
  <c r="AE79" i="3"/>
  <c r="S83" i="3"/>
  <c r="BI80" i="3"/>
  <c r="S78" i="3"/>
  <c r="BF80" i="3"/>
  <c r="S76" i="3"/>
  <c r="AH78" i="3"/>
  <c r="M77" i="3"/>
  <c r="S85" i="3"/>
  <c r="BC80" i="3"/>
  <c r="AZ80" i="3"/>
  <c r="AW81" i="3"/>
  <c r="AQ81" i="3"/>
  <c r="AB84" i="3"/>
  <c r="AB82" i="3"/>
  <c r="Y85" i="3"/>
  <c r="Y84" i="3"/>
  <c r="BO77" i="3"/>
  <c r="AT84" i="3"/>
  <c r="P85" i="3"/>
  <c r="Y83" i="3"/>
  <c r="Y79" i="3"/>
  <c r="P82" i="3"/>
  <c r="AK84" i="3"/>
  <c r="AH84" i="3"/>
  <c r="S9" i="37"/>
  <c r="S8" i="37"/>
  <c r="S7" i="37"/>
  <c r="S5" i="37"/>
  <c r="S15" i="37"/>
  <c r="S4" i="37"/>
  <c r="S12" i="37"/>
  <c r="I23" i="37"/>
  <c r="I31" i="37"/>
  <c r="L24" i="30"/>
  <c r="M47" i="29"/>
  <c r="M50" i="29"/>
  <c r="Y2" i="3"/>
  <c r="AB2" i="3"/>
  <c r="G12" i="10"/>
  <c r="G5" i="10"/>
  <c r="V2" i="3"/>
  <c r="G24" i="10"/>
  <c r="I7" i="32"/>
  <c r="J43" i="9" s="1"/>
  <c r="F103" i="28"/>
  <c r="I10" i="32"/>
  <c r="I13" i="32"/>
  <c r="P66" i="9" s="1"/>
  <c r="I14" i="32"/>
  <c r="Q63" i="9" s="1"/>
  <c r="I12" i="32"/>
  <c r="O64" i="9" s="1"/>
  <c r="I8" i="32"/>
  <c r="K44" i="9" s="1"/>
  <c r="I6" i="32"/>
  <c r="I4" i="32"/>
  <c r="G61" i="9" s="1"/>
  <c r="I17" i="32"/>
  <c r="T40" i="9" s="1"/>
  <c r="I18" i="32"/>
  <c r="U43" i="9" s="1"/>
  <c r="I15" i="32"/>
  <c r="R61" i="9" s="1"/>
  <c r="E63" i="28"/>
  <c r="F13" i="28"/>
  <c r="E88" i="28"/>
  <c r="F93" i="28"/>
  <c r="E98" i="28"/>
  <c r="F38" i="28"/>
  <c r="E8" i="28"/>
  <c r="E43" i="28"/>
  <c r="E3" i="28"/>
  <c r="J7" i="28" s="1"/>
  <c r="I7" i="28" s="1"/>
  <c r="E48" i="28"/>
  <c r="F14" i="10"/>
  <c r="J2" i="3"/>
  <c r="G13" i="10"/>
  <c r="AE2" i="3"/>
  <c r="H12" i="9"/>
  <c r="AK2" i="3"/>
  <c r="H11" i="9"/>
  <c r="H8" i="9"/>
  <c r="E58" i="28"/>
  <c r="E18" i="28"/>
  <c r="F23" i="28"/>
  <c r="H6" i="9"/>
  <c r="H20" i="10"/>
  <c r="E83" i="28"/>
  <c r="F33" i="28"/>
  <c r="G23" i="10"/>
  <c r="G19" i="10"/>
  <c r="G18" i="10"/>
  <c r="K40" i="11"/>
  <c r="D109" i="14"/>
  <c r="AJ89" i="3"/>
  <c r="BN95" i="3"/>
  <c r="BH106" i="3"/>
  <c r="BQ110" i="3"/>
  <c r="AP110" i="3"/>
  <c r="BN112" i="3"/>
  <c r="L123" i="3"/>
  <c r="AA121" i="3"/>
  <c r="G11" i="11"/>
  <c r="M7" i="6" s="1"/>
  <c r="N7" i="6" s="1"/>
  <c r="O7" i="10"/>
  <c r="BK87" i="3"/>
  <c r="BK88" i="3"/>
  <c r="AG89" i="3"/>
  <c r="AG90" i="3"/>
  <c r="BK94" i="3"/>
  <c r="BE106" i="3"/>
  <c r="AM110" i="3"/>
  <c r="AM116" i="3"/>
  <c r="BN119" i="3"/>
  <c r="AS120" i="3"/>
  <c r="BQ123" i="3"/>
  <c r="AJ123" i="3"/>
  <c r="AP124" i="3"/>
  <c r="AD108" i="3"/>
  <c r="E122" i="3"/>
  <c r="D10" i="4" s="1"/>
  <c r="W10" i="4" s="1"/>
  <c r="R122" i="3"/>
  <c r="U121" i="3"/>
  <c r="AA86" i="3"/>
  <c r="D45" i="14"/>
  <c r="AJ110" i="3"/>
  <c r="BH112" i="3"/>
  <c r="BN123" i="3"/>
  <c r="I115" i="3"/>
  <c r="U113" i="3"/>
  <c r="X113" i="3"/>
  <c r="AD107" i="3"/>
  <c r="I123" i="3"/>
  <c r="X120" i="3"/>
  <c r="W14" i="10"/>
  <c r="W11" i="10"/>
  <c r="F52" i="3"/>
  <c r="AD89" i="3"/>
  <c r="BH90" i="3"/>
  <c r="BH93" i="3"/>
  <c r="AY115" i="3"/>
  <c r="BB118" i="3"/>
  <c r="BH119" i="3"/>
  <c r="BE122" i="3"/>
  <c r="AJ124" i="3"/>
  <c r="O113" i="3"/>
  <c r="AA111" i="3"/>
  <c r="AD115" i="3"/>
  <c r="I122" i="3"/>
  <c r="R120" i="3"/>
  <c r="AA119" i="3"/>
  <c r="G12" i="9"/>
  <c r="AD114" i="3"/>
  <c r="D115" i="14"/>
  <c r="X87" i="3"/>
  <c r="AA89" i="3"/>
  <c r="BQ106" i="3"/>
  <c r="BB107" i="3"/>
  <c r="AJ111" i="3"/>
  <c r="AV112" i="3"/>
  <c r="BE119" i="3"/>
  <c r="BH123" i="3"/>
  <c r="BN124" i="3"/>
  <c r="D129" i="3"/>
  <c r="P7" i="4" s="1"/>
  <c r="BE86" i="3"/>
  <c r="BE94" i="3"/>
  <c r="U87" i="3"/>
  <c r="X89" i="3"/>
  <c r="AJ109" i="3"/>
  <c r="AS112" i="3"/>
  <c r="BE113" i="3"/>
  <c r="BQ114" i="3"/>
  <c r="BQ117" i="3"/>
  <c r="B1" i="34"/>
  <c r="B2" i="34" s="1"/>
  <c r="D5" i="32" s="1"/>
  <c r="F55" i="3"/>
  <c r="AV107" i="3"/>
  <c r="BB113" i="3"/>
  <c r="AP121" i="3"/>
  <c r="BE123" i="3"/>
  <c r="BN117" i="3"/>
  <c r="AI17" i="20"/>
  <c r="AI16" i="20" s="1"/>
  <c r="F4" i="20"/>
  <c r="L4" i="20"/>
  <c r="U110" i="3"/>
  <c r="O118" i="3"/>
  <c r="AV87" i="3"/>
  <c r="R88" i="3"/>
  <c r="AV90" i="3"/>
  <c r="AY91" i="3"/>
  <c r="O92" i="3"/>
  <c r="R93" i="3"/>
  <c r="R95" i="3"/>
  <c r="AY119" i="3"/>
  <c r="BQ121" i="3"/>
  <c r="U109" i="3"/>
  <c r="F11" i="10"/>
  <c r="F17" i="10"/>
  <c r="F21" i="10"/>
  <c r="F22" i="10"/>
  <c r="F16" i="10"/>
  <c r="F18" i="10"/>
  <c r="F19" i="10"/>
  <c r="F20" i="10"/>
  <c r="F24" i="10"/>
  <c r="F23" i="10"/>
  <c r="G3" i="39"/>
  <c r="K15" i="9"/>
  <c r="BE124" i="3"/>
  <c r="AD106" i="3"/>
  <c r="X125" i="3"/>
  <c r="K12" i="9"/>
  <c r="AV91" i="3"/>
  <c r="O91" i="3"/>
  <c r="AS122" i="3"/>
  <c r="D7" i="14"/>
  <c r="L87" i="3"/>
  <c r="AS89" i="3"/>
  <c r="O89" i="3"/>
  <c r="AS92" i="3"/>
  <c r="AP108" i="3"/>
  <c r="BB109" i="3"/>
  <c r="BK113" i="3"/>
  <c r="AJ113" i="3"/>
  <c r="BH115" i="3"/>
  <c r="BB116" i="3"/>
  <c r="AJ121" i="3"/>
  <c r="BK125" i="3"/>
  <c r="U108" i="3"/>
  <c r="U125" i="3"/>
  <c r="O14" i="9"/>
  <c r="F10" i="3"/>
  <c r="AS111" i="3"/>
  <c r="BE112" i="3"/>
  <c r="AY109" i="3"/>
  <c r="BE117" i="3"/>
  <c r="BQ118" i="3"/>
  <c r="C40" i="37"/>
  <c r="O12" i="9"/>
  <c r="AJ108" i="3"/>
  <c r="BB115" i="3"/>
  <c r="O10" i="9"/>
  <c r="F48" i="3"/>
  <c r="AM86" i="3"/>
  <c r="I88" i="3"/>
  <c r="I93" i="3"/>
  <c r="AM94" i="3"/>
  <c r="AJ118" i="3"/>
  <c r="BB120" i="3"/>
  <c r="AY124" i="3"/>
  <c r="X106" i="3"/>
  <c r="U124" i="3"/>
  <c r="AD120" i="3"/>
  <c r="O8" i="9"/>
  <c r="D107" i="3"/>
  <c r="R5" i="6" s="1"/>
  <c r="AG118" i="3"/>
  <c r="D106" i="3"/>
  <c r="R4" i="6" s="1"/>
  <c r="U4" i="6" s="1"/>
  <c r="AA115" i="3"/>
  <c r="W4" i="20" s="1"/>
  <c r="Z14" i="9"/>
  <c r="F49" i="3"/>
  <c r="BQ90" i="3"/>
  <c r="D114" i="14"/>
  <c r="BQ95" i="3"/>
  <c r="AS113" i="3"/>
  <c r="BK118" i="3"/>
  <c r="AD111" i="3"/>
  <c r="M64" i="29"/>
  <c r="O12" i="10"/>
  <c r="D76" i="14"/>
  <c r="BK106" i="3"/>
  <c r="AM115" i="3"/>
  <c r="AM123" i="3"/>
  <c r="H11" i="11"/>
  <c r="O11" i="10"/>
  <c r="H40" i="11"/>
  <c r="M8" i="6"/>
  <c r="N8" i="6" s="1"/>
  <c r="D127" i="3"/>
  <c r="P5" i="4" s="1"/>
  <c r="E53" i="28"/>
  <c r="BN86" i="3"/>
  <c r="O87" i="3"/>
  <c r="AJ88" i="3"/>
  <c r="O93" i="3"/>
  <c r="BH114" i="3"/>
  <c r="AM124" i="3"/>
  <c r="I106" i="3"/>
  <c r="E106" i="3"/>
  <c r="S4" i="6" s="1"/>
  <c r="L108" i="3"/>
  <c r="H4" i="20" s="1"/>
  <c r="O111" i="3"/>
  <c r="X112" i="3"/>
  <c r="E40" i="11"/>
  <c r="M5" i="6"/>
  <c r="N5" i="6" s="1"/>
  <c r="S6" i="9"/>
  <c r="S7" i="9"/>
  <c r="AT2" i="3"/>
  <c r="S8" i="9"/>
  <c r="D131" i="3"/>
  <c r="P9" i="4" s="1"/>
  <c r="M40" i="11"/>
  <c r="BH87" i="3"/>
  <c r="BE88" i="3"/>
  <c r="BE92" i="3"/>
  <c r="AG93" i="3"/>
  <c r="AY95" i="3"/>
  <c r="AS106" i="3"/>
  <c r="AG121" i="3"/>
  <c r="AG125" i="3"/>
  <c r="L115" i="3"/>
  <c r="E119" i="3"/>
  <c r="D7" i="4" s="1"/>
  <c r="D110" i="3"/>
  <c r="R8" i="6" s="1"/>
  <c r="BB88" i="3"/>
  <c r="BB89" i="3"/>
  <c r="BB119" i="3"/>
  <c r="BK123" i="3"/>
  <c r="O116" i="3"/>
  <c r="E17" i="32"/>
  <c r="Q13" i="9"/>
  <c r="Q6" i="9"/>
  <c r="Q8" i="9"/>
  <c r="V6" i="10"/>
  <c r="I40" i="11"/>
  <c r="M9" i="6"/>
  <c r="N9" i="6" s="1"/>
  <c r="P17" i="20"/>
  <c r="P16" i="20" s="1"/>
  <c r="E171" i="9"/>
  <c r="C20" i="39" s="1"/>
  <c r="AJ86" i="3"/>
  <c r="AG87" i="3"/>
  <c r="AY108" i="3"/>
  <c r="AP109" i="3"/>
  <c r="AG109" i="3"/>
  <c r="BB111" i="3"/>
  <c r="G4" i="20"/>
  <c r="O109" i="3"/>
  <c r="D112" i="3"/>
  <c r="H10" i="4" s="1"/>
  <c r="U120" i="3"/>
  <c r="B1" i="33"/>
  <c r="B2" i="33" s="1"/>
  <c r="C5" i="32" s="1"/>
  <c r="E16" i="32"/>
  <c r="D47" i="14"/>
  <c r="AZ17" i="20"/>
  <c r="AZ16" i="20" s="1"/>
  <c r="D11" i="11"/>
  <c r="F61" i="3"/>
  <c r="E78" i="28"/>
  <c r="D116" i="14"/>
  <c r="AY92" i="3"/>
  <c r="AA93" i="3"/>
  <c r="AS94" i="3"/>
  <c r="AY120" i="3"/>
  <c r="D122" i="3"/>
  <c r="C10" i="4" s="1"/>
  <c r="V10" i="4" s="1"/>
  <c r="BQ125" i="3"/>
  <c r="L113" i="3"/>
  <c r="I125" i="3"/>
  <c r="I117" i="3"/>
  <c r="R125" i="3"/>
  <c r="Q11" i="9"/>
  <c r="Y5" i="10"/>
  <c r="Y11" i="10"/>
  <c r="I5" i="10"/>
  <c r="I9" i="10"/>
  <c r="M7" i="9"/>
  <c r="M89" i="9" s="1"/>
  <c r="M11" i="9"/>
  <c r="M80" i="9" s="1"/>
  <c r="M12" i="9"/>
  <c r="M13" i="9"/>
  <c r="M14" i="9"/>
  <c r="Y14" i="10"/>
  <c r="D14" i="20"/>
  <c r="I116" i="3"/>
  <c r="X13" i="10"/>
  <c r="X5" i="10"/>
  <c r="S9" i="9"/>
  <c r="Y13" i="10"/>
  <c r="AV92" i="3"/>
  <c r="BQ120" i="3"/>
  <c r="I124" i="3"/>
  <c r="AD123" i="3"/>
  <c r="F57" i="3"/>
  <c r="D71" i="3"/>
  <c r="BB86" i="3"/>
  <c r="AD86" i="3"/>
  <c r="AA87" i="3"/>
  <c r="BQ91" i="3"/>
  <c r="AA91" i="3"/>
  <c r="E116" i="3"/>
  <c r="D4" i="4" s="1"/>
  <c r="W4" i="4" s="1"/>
  <c r="AA123" i="3"/>
  <c r="AD122" i="3"/>
  <c r="U9" i="9"/>
  <c r="Z5" i="10"/>
  <c r="D86" i="3"/>
  <c r="D41" i="14"/>
  <c r="D43" i="14"/>
  <c r="AG108" i="3"/>
  <c r="BK109" i="3"/>
  <c r="AS110" i="3"/>
  <c r="AM113" i="3"/>
  <c r="G13" i="9"/>
  <c r="D108" i="3"/>
  <c r="H6" i="4" s="1"/>
  <c r="B24" i="35"/>
  <c r="B16" i="35"/>
  <c r="E13" i="32" s="1"/>
  <c r="U5" i="10"/>
  <c r="U12" i="10"/>
  <c r="U13" i="10"/>
  <c r="U14" i="10"/>
  <c r="AV86" i="3"/>
  <c r="AP88" i="3"/>
  <c r="AP93" i="3"/>
  <c r="BH95" i="3"/>
  <c r="O95" i="3"/>
  <c r="AY117" i="3"/>
  <c r="AV118" i="3"/>
  <c r="AY123" i="3"/>
  <c r="E115" i="3"/>
  <c r="S13" i="6" s="1"/>
  <c r="X114" i="3"/>
  <c r="L124" i="3"/>
  <c r="F13" i="10"/>
  <c r="I8" i="10"/>
  <c r="F7" i="3"/>
  <c r="I6" i="10"/>
  <c r="G8" i="9"/>
  <c r="G9" i="9"/>
  <c r="G14" i="9"/>
  <c r="G15" i="9"/>
  <c r="D69" i="3"/>
  <c r="X86" i="3"/>
  <c r="BN87" i="3"/>
  <c r="U89" i="3"/>
  <c r="AP90" i="3"/>
  <c r="AM91" i="3"/>
  <c r="BK92" i="3"/>
  <c r="AM92" i="3"/>
  <c r="BE95" i="3"/>
  <c r="AJ95" i="3"/>
  <c r="BN118" i="3"/>
  <c r="BE121" i="3"/>
  <c r="AG122" i="3"/>
  <c r="BK124" i="3"/>
  <c r="I107" i="3"/>
  <c r="I121" i="3"/>
  <c r="E112" i="3"/>
  <c r="S10" i="6" s="1"/>
  <c r="BQ116" i="3"/>
  <c r="BK120" i="3"/>
  <c r="AG123" i="3"/>
  <c r="I112" i="3"/>
  <c r="AA118" i="3"/>
  <c r="O10" i="10"/>
  <c r="G40" i="11"/>
  <c r="AH2" i="3"/>
  <c r="F13" i="3"/>
  <c r="F47" i="3"/>
  <c r="F59" i="3"/>
  <c r="AW78" i="3"/>
  <c r="AH82" i="3"/>
  <c r="AS86" i="3"/>
  <c r="AS87" i="3"/>
  <c r="BN88" i="3"/>
  <c r="AY90" i="3"/>
  <c r="AD90" i="3"/>
  <c r="BQ93" i="3"/>
  <c r="AD93" i="3"/>
  <c r="BQ94" i="3"/>
  <c r="BK108" i="3"/>
  <c r="BB108" i="3"/>
  <c r="AS109" i="3"/>
  <c r="BN110" i="3"/>
  <c r="BH113" i="3"/>
  <c r="AG115" i="3"/>
  <c r="AP117" i="3"/>
  <c r="AS118" i="3"/>
  <c r="BK119" i="3"/>
  <c r="AP119" i="3"/>
  <c r="AJ122" i="3"/>
  <c r="BB123" i="3"/>
  <c r="O110" i="3"/>
  <c r="U115" i="3"/>
  <c r="X111" i="3"/>
  <c r="AA114" i="3"/>
  <c r="AA124" i="3"/>
  <c r="M82" i="3"/>
  <c r="P84" i="3"/>
  <c r="S79" i="3"/>
  <c r="V80" i="3"/>
  <c r="Y81" i="3"/>
  <c r="K14" i="9"/>
  <c r="D13" i="14"/>
  <c r="AK78" i="3"/>
  <c r="AZ83" i="3"/>
  <c r="BK86" i="3"/>
  <c r="AA90" i="3"/>
  <c r="X92" i="3"/>
  <c r="X93" i="3"/>
  <c r="X95" i="3"/>
  <c r="AS108" i="3"/>
  <c r="BE110" i="3"/>
  <c r="AM111" i="3"/>
  <c r="BQ112" i="3"/>
  <c r="AG114" i="3"/>
  <c r="BK115" i="3"/>
  <c r="AP116" i="3"/>
  <c r="AM120" i="3"/>
  <c r="BB122" i="3"/>
  <c r="AV123" i="3"/>
  <c r="AV124" i="3"/>
  <c r="U114" i="3"/>
  <c r="X109" i="3"/>
  <c r="I119" i="3"/>
  <c r="R121" i="3"/>
  <c r="AD121" i="3"/>
  <c r="J83" i="3"/>
  <c r="M79" i="3"/>
  <c r="P79" i="3"/>
  <c r="I5" i="32"/>
  <c r="H45" i="9" s="1"/>
  <c r="AV113" i="3"/>
  <c r="E113" i="3"/>
  <c r="S11" i="6" s="1"/>
  <c r="D109" i="3"/>
  <c r="H7" i="4" s="1"/>
  <c r="AG112" i="3"/>
  <c r="F50" i="3"/>
  <c r="AH79" i="3"/>
  <c r="AZ84" i="3"/>
  <c r="D42" i="14"/>
  <c r="AS90" i="3"/>
  <c r="X90" i="3"/>
  <c r="U91" i="3"/>
  <c r="U95" i="3"/>
  <c r="BE107" i="3"/>
  <c r="AV108" i="3"/>
  <c r="BQ109" i="3"/>
  <c r="BH110" i="3"/>
  <c r="AY110" i="3"/>
  <c r="BN115" i="3"/>
  <c r="BE115" i="3"/>
  <c r="AJ117" i="3"/>
  <c r="AJ120" i="3"/>
  <c r="AY122" i="3"/>
  <c r="AS124" i="3"/>
  <c r="AS125" i="3"/>
  <c r="E109" i="3"/>
  <c r="AA112" i="3"/>
  <c r="AD119" i="3"/>
  <c r="J76" i="3"/>
  <c r="I15" i="37"/>
  <c r="O11" i="9"/>
  <c r="W13" i="10"/>
  <c r="D6" i="14"/>
  <c r="D83" i="14"/>
  <c r="F63" i="3"/>
  <c r="D73" i="3"/>
  <c r="BF77" i="3"/>
  <c r="AT81" i="3"/>
  <c r="AE85" i="3"/>
  <c r="AD87" i="3"/>
  <c r="AY88" i="3"/>
  <c r="AG91" i="3"/>
  <c r="BB93" i="3"/>
  <c r="BB94" i="3"/>
  <c r="L94" i="3"/>
  <c r="BB95" i="3"/>
  <c r="AV109" i="3"/>
  <c r="AG113" i="3"/>
  <c r="BK114" i="3"/>
  <c r="AY116" i="3"/>
  <c r="AV117" i="3"/>
  <c r="BQ119" i="3"/>
  <c r="BE125" i="3"/>
  <c r="AJ125" i="3"/>
  <c r="O112" i="3"/>
  <c r="R115" i="3"/>
  <c r="D124" i="3"/>
  <c r="C12" i="4" s="1"/>
  <c r="V12" i="4" s="1"/>
  <c r="D119" i="3"/>
  <c r="C7" i="4" s="1"/>
  <c r="V7" i="4" s="1"/>
  <c r="AD118" i="3"/>
  <c r="AB85" i="3"/>
  <c r="R123" i="3"/>
  <c r="M55" i="29"/>
  <c r="M59" i="29"/>
  <c r="M63" i="29"/>
  <c r="M54" i="29"/>
  <c r="M57" i="29"/>
  <c r="M61" i="29"/>
  <c r="M44" i="29"/>
  <c r="M48" i="29"/>
  <c r="M52" i="29"/>
  <c r="M56" i="29"/>
  <c r="M60" i="29"/>
  <c r="I11" i="37"/>
  <c r="I54" i="37"/>
  <c r="I35" i="37"/>
  <c r="I27" i="37"/>
  <c r="I19" i="37"/>
  <c r="I10" i="37"/>
  <c r="C4" i="37"/>
  <c r="I32" i="37"/>
  <c r="I24" i="37"/>
  <c r="I7" i="37"/>
  <c r="I39" i="37"/>
  <c r="I14" i="37"/>
  <c r="I5" i="37"/>
  <c r="I57" i="37"/>
  <c r="I56" i="37"/>
  <c r="I55" i="37"/>
  <c r="I61" i="37"/>
  <c r="I60" i="37"/>
  <c r="I52" i="37"/>
  <c r="I59" i="37"/>
  <c r="M62" i="29"/>
  <c r="M46" i="29"/>
  <c r="M43" i="29"/>
  <c r="M42" i="29"/>
  <c r="M58" i="29"/>
  <c r="AR4" i="20"/>
  <c r="AS123" i="3"/>
  <c r="L89" i="3"/>
  <c r="AS116" i="3"/>
  <c r="BK117" i="3"/>
  <c r="J79" i="9"/>
  <c r="J6" i="9"/>
  <c r="J10" i="9"/>
  <c r="J14" i="9"/>
  <c r="J7" i="9"/>
  <c r="J8" i="9"/>
  <c r="J9" i="9"/>
  <c r="J11" i="9"/>
  <c r="J12" i="9"/>
  <c r="J13" i="9"/>
  <c r="J15" i="9"/>
  <c r="O121" i="3"/>
  <c r="E121" i="3"/>
  <c r="D9" i="4" s="1"/>
  <c r="Y44" i="9"/>
  <c r="Y58" i="9"/>
  <c r="Y62" i="9"/>
  <c r="Y66" i="9"/>
  <c r="Y59" i="9"/>
  <c r="Y63" i="9"/>
  <c r="Y9" i="9"/>
  <c r="Y64" i="9"/>
  <c r="Y65" i="9"/>
  <c r="Y40" i="9"/>
  <c r="Y45" i="9"/>
  <c r="Y60" i="9"/>
  <c r="Y61" i="9"/>
  <c r="Y42" i="9"/>
  <c r="Y46" i="9"/>
  <c r="Y57" i="9"/>
  <c r="Y37" i="9"/>
  <c r="Y39" i="9"/>
  <c r="Y6" i="9"/>
  <c r="Y41" i="9"/>
  <c r="Y43" i="9"/>
  <c r="Y11" i="9"/>
  <c r="Y38" i="9"/>
  <c r="Y10" i="9"/>
  <c r="Y12" i="9"/>
  <c r="Y13" i="9"/>
  <c r="Y14" i="9"/>
  <c r="Y15" i="9"/>
  <c r="Y7" i="9"/>
  <c r="Y8" i="9"/>
  <c r="I9" i="9"/>
  <c r="I13" i="9"/>
  <c r="I6" i="9"/>
  <c r="I7" i="9"/>
  <c r="I8" i="9"/>
  <c r="I10" i="9"/>
  <c r="I11" i="9"/>
  <c r="I12" i="9"/>
  <c r="I14" i="9"/>
  <c r="I15" i="9"/>
  <c r="AH17" i="20"/>
  <c r="AH16" i="20" s="1"/>
  <c r="D117" i="3"/>
  <c r="C5" i="4" s="1"/>
  <c r="V5" i="4" s="1"/>
  <c r="F17" i="20"/>
  <c r="F16" i="20" s="1"/>
  <c r="R86" i="3"/>
  <c r="BB90" i="3"/>
  <c r="AM93" i="3"/>
  <c r="AS121" i="3"/>
  <c r="L111" i="3"/>
  <c r="D111" i="3"/>
  <c r="I4" i="20"/>
  <c r="AK4" i="20"/>
  <c r="F40" i="11"/>
  <c r="M6" i="6"/>
  <c r="N6" i="6" s="1"/>
  <c r="D88" i="3"/>
  <c r="O17" i="20"/>
  <c r="O16" i="20" s="1"/>
  <c r="P2" i="3"/>
  <c r="F12" i="3"/>
  <c r="D74" i="3"/>
  <c r="I89" i="3"/>
  <c r="D114" i="3"/>
  <c r="E73" i="28"/>
  <c r="X59" i="9"/>
  <c r="X63" i="9"/>
  <c r="X37" i="9"/>
  <c r="X64" i="9"/>
  <c r="X65" i="9"/>
  <c r="X66" i="9"/>
  <c r="X15" i="9"/>
  <c r="X41" i="9"/>
  <c r="X46" i="9"/>
  <c r="X39" i="9"/>
  <c r="X60" i="9"/>
  <c r="X9" i="9"/>
  <c r="X57" i="9"/>
  <c r="X13" i="9"/>
  <c r="X62" i="9"/>
  <c r="X43" i="9"/>
  <c r="X45" i="9"/>
  <c r="X38" i="9"/>
  <c r="X58" i="9"/>
  <c r="X61" i="9"/>
  <c r="X40" i="9"/>
  <c r="X42" i="9"/>
  <c r="X44" i="9"/>
  <c r="X6" i="9"/>
  <c r="X7" i="9"/>
  <c r="X8" i="9"/>
  <c r="X10" i="9"/>
  <c r="X11" i="9"/>
  <c r="X12" i="9"/>
  <c r="X14" i="9"/>
  <c r="Z97" i="9"/>
  <c r="Z88" i="9"/>
  <c r="Z94" i="9"/>
  <c r="Z85" i="9"/>
  <c r="Z91" i="9"/>
  <c r="Z82" i="9"/>
  <c r="Z80" i="9"/>
  <c r="Z102" i="9"/>
  <c r="Z81" i="9"/>
  <c r="Z121" i="9"/>
  <c r="Z106" i="9"/>
  <c r="Z79" i="9"/>
  <c r="Z83" i="9"/>
  <c r="Z87" i="9"/>
  <c r="Z123" i="9"/>
  <c r="Z108" i="9"/>
  <c r="Z93" i="9"/>
  <c r="Z124" i="9"/>
  <c r="Z109" i="9"/>
  <c r="Z125" i="9"/>
  <c r="Z126" i="9"/>
  <c r="Z86" i="9"/>
  <c r="Z92" i="9"/>
  <c r="Z120" i="9"/>
  <c r="Z98" i="9"/>
  <c r="Z96" i="9"/>
  <c r="Z129" i="9"/>
  <c r="Z100" i="9"/>
  <c r="Z105" i="9"/>
  <c r="Z42" i="9"/>
  <c r="Z66" i="9"/>
  <c r="Z89" i="9"/>
  <c r="Z62" i="9"/>
  <c r="Z84" i="9"/>
  <c r="Z127" i="9"/>
  <c r="Z103" i="9"/>
  <c r="Z40" i="9"/>
  <c r="Z45" i="9"/>
  <c r="Z59" i="9"/>
  <c r="Z60" i="9"/>
  <c r="Z61" i="9"/>
  <c r="Z90" i="9"/>
  <c r="Z95" i="9"/>
  <c r="Z122" i="9"/>
  <c r="Z44" i="9"/>
  <c r="Z12" i="9"/>
  <c r="Z104" i="9"/>
  <c r="Z46" i="9"/>
  <c r="Z57" i="9"/>
  <c r="Z128" i="9"/>
  <c r="Z37" i="9"/>
  <c r="Z39" i="9"/>
  <c r="Z65" i="9"/>
  <c r="Z41" i="9"/>
  <c r="Z107" i="9"/>
  <c r="Z43" i="9"/>
  <c r="Z64" i="9"/>
  <c r="Z101" i="9"/>
  <c r="Z38" i="9"/>
  <c r="Z58" i="9"/>
  <c r="Z63" i="9"/>
  <c r="Z6" i="9"/>
  <c r="Z7" i="9"/>
  <c r="Z8" i="9"/>
  <c r="Z9" i="9"/>
  <c r="Z10" i="9"/>
  <c r="Z11" i="9"/>
  <c r="F79" i="9"/>
  <c r="F43" i="9"/>
  <c r="F63" i="9"/>
  <c r="F89" i="9"/>
  <c r="F120" i="9"/>
  <c r="F42" i="9"/>
  <c r="F44" i="9"/>
  <c r="F100" i="9"/>
  <c r="F60" i="9"/>
  <c r="F13" i="9"/>
  <c r="F61" i="9"/>
  <c r="F62" i="9"/>
  <c r="F64" i="9"/>
  <c r="F40" i="9"/>
  <c r="F65" i="9"/>
  <c r="F41" i="9"/>
  <c r="F66" i="9"/>
  <c r="F45" i="9"/>
  <c r="F46" i="9"/>
  <c r="F6" i="9"/>
  <c r="F7" i="9"/>
  <c r="F8" i="9"/>
  <c r="F9" i="9"/>
  <c r="F10" i="9"/>
  <c r="F11" i="9"/>
  <c r="F12" i="9"/>
  <c r="F14" i="9"/>
  <c r="F15" i="9"/>
  <c r="Z13" i="9"/>
  <c r="W37" i="9"/>
  <c r="W45" i="9"/>
  <c r="W59" i="9"/>
  <c r="W63" i="9"/>
  <c r="W38" i="9"/>
  <c r="W41" i="9"/>
  <c r="W46" i="9"/>
  <c r="W39" i="9"/>
  <c r="W44" i="9"/>
  <c r="W58" i="9"/>
  <c r="W57" i="9"/>
  <c r="W65" i="9"/>
  <c r="W62" i="9"/>
  <c r="W43" i="9"/>
  <c r="W8" i="9"/>
  <c r="W64" i="9"/>
  <c r="W61" i="9"/>
  <c r="W40" i="9"/>
  <c r="W42" i="9"/>
  <c r="W60" i="9"/>
  <c r="W66" i="9"/>
  <c r="W11" i="9"/>
  <c r="W12" i="9"/>
  <c r="W13" i="9"/>
  <c r="W14" i="9"/>
  <c r="W15" i="9"/>
  <c r="W6" i="9"/>
  <c r="W7" i="9"/>
  <c r="W9" i="9"/>
  <c r="W10" i="9"/>
  <c r="BN94" i="3"/>
  <c r="L17" i="20"/>
  <c r="L16" i="20" s="1"/>
  <c r="AN17" i="20"/>
  <c r="AN16" i="20" s="1"/>
  <c r="F11" i="3"/>
  <c r="F8" i="3"/>
  <c r="F64" i="3"/>
  <c r="BE87" i="3"/>
  <c r="E114" i="3"/>
  <c r="E10" i="32"/>
  <c r="E14" i="32"/>
  <c r="E12" i="32"/>
  <c r="E11" i="32"/>
  <c r="I1" i="27"/>
  <c r="Z61" i="10"/>
  <c r="Z58" i="10"/>
  <c r="Z65" i="10"/>
  <c r="Z63" i="10"/>
  <c r="Z59" i="10"/>
  <c r="Z17" i="10"/>
  <c r="Z64" i="10"/>
  <c r="Z57" i="10"/>
  <c r="Z62" i="10"/>
  <c r="Z56" i="10"/>
  <c r="Z20" i="10"/>
  <c r="Z10" i="10"/>
  <c r="Z21" i="10"/>
  <c r="Z60" i="10"/>
  <c r="Z6" i="10"/>
  <c r="Z15" i="10"/>
  <c r="Z16" i="10"/>
  <c r="Z18" i="10"/>
  <c r="Z11" i="10"/>
  <c r="Z19" i="10"/>
  <c r="Z22" i="10"/>
  <c r="Z23" i="10"/>
  <c r="Z24" i="10"/>
  <c r="Z8" i="10"/>
  <c r="Z9" i="10"/>
  <c r="Z12" i="10"/>
  <c r="Z13" i="10"/>
  <c r="Z14" i="10"/>
  <c r="J10" i="10"/>
  <c r="J20" i="10"/>
  <c r="J21" i="10"/>
  <c r="J22" i="10"/>
  <c r="J23" i="10"/>
  <c r="J24" i="10"/>
  <c r="J5" i="10"/>
  <c r="J9" i="10"/>
  <c r="J15" i="10"/>
  <c r="J16" i="10"/>
  <c r="J17" i="10"/>
  <c r="J18" i="10"/>
  <c r="J19" i="10"/>
  <c r="J6" i="10"/>
  <c r="J7" i="10"/>
  <c r="J8" i="10"/>
  <c r="J11" i="10"/>
  <c r="J12" i="10"/>
  <c r="J13" i="10"/>
  <c r="J14" i="10"/>
  <c r="AA108" i="3"/>
  <c r="AX4" i="20"/>
  <c r="V4" i="20"/>
  <c r="X124" i="3"/>
  <c r="E124" i="3"/>
  <c r="D12" i="4" s="1"/>
  <c r="W12" i="4" s="1"/>
  <c r="R90" i="3"/>
  <c r="X110" i="3"/>
  <c r="AU4" i="20"/>
  <c r="BK93" i="3"/>
  <c r="AV116" i="3"/>
  <c r="I109" i="3"/>
  <c r="D123" i="3"/>
  <c r="C11" i="4" s="1"/>
  <c r="V11" i="4" s="1"/>
  <c r="U119" i="3"/>
  <c r="M41" i="29"/>
  <c r="U20" i="29"/>
  <c r="K2" i="29"/>
  <c r="D41" i="29"/>
  <c r="E117" i="3"/>
  <c r="D5" i="4" s="1"/>
  <c r="W5" i="4" s="1"/>
  <c r="D115" i="3"/>
  <c r="J4" i="20"/>
  <c r="E108" i="3"/>
  <c r="AK17" i="20"/>
  <c r="AK16" i="20" s="1"/>
  <c r="I17" i="20"/>
  <c r="I16" i="20" s="1"/>
  <c r="E123" i="3"/>
  <c r="D11" i="4" s="1"/>
  <c r="W11" i="4" s="1"/>
  <c r="E68" i="28"/>
  <c r="F62" i="3"/>
  <c r="BK89" i="3"/>
  <c r="BB92" i="3"/>
  <c r="D126" i="3"/>
  <c r="P4" i="4" s="1"/>
  <c r="D134" i="3"/>
  <c r="P12" i="4" s="1"/>
  <c r="U79" i="9"/>
  <c r="U93" i="9"/>
  <c r="U13" i="9"/>
  <c r="U11" i="9"/>
  <c r="U12" i="9"/>
  <c r="U14" i="9"/>
  <c r="U15" i="9"/>
  <c r="U6" i="9"/>
  <c r="U98" i="9" s="1"/>
  <c r="U7" i="9"/>
  <c r="U97" i="9" s="1"/>
  <c r="U8" i="9"/>
  <c r="AZ2" i="3"/>
  <c r="C28" i="37"/>
  <c r="J40" i="11"/>
  <c r="M10" i="6"/>
  <c r="N10" i="6" s="1"/>
  <c r="U107" i="3"/>
  <c r="F28" i="28"/>
  <c r="E28" i="28"/>
  <c r="D120" i="3"/>
  <c r="C8" i="4" s="1"/>
  <c r="V8" i="4" s="1"/>
  <c r="F60" i="3"/>
  <c r="D72" i="3"/>
  <c r="D133" i="3"/>
  <c r="P11" i="4" s="1"/>
  <c r="S20" i="37"/>
  <c r="G2" i="37"/>
  <c r="L40" i="11"/>
  <c r="M12" i="6"/>
  <c r="N12" i="6" s="1"/>
  <c r="F58" i="3"/>
  <c r="D75" i="3"/>
  <c r="E86" i="3"/>
  <c r="D87" i="3"/>
  <c r="E88" i="3"/>
  <c r="AX17" i="20"/>
  <c r="AX16" i="20" s="1"/>
  <c r="V17" i="20"/>
  <c r="V16" i="20" s="1"/>
  <c r="O90" i="3"/>
  <c r="U93" i="3"/>
  <c r="E120" i="3"/>
  <c r="D8" i="4" s="1"/>
  <c r="I120" i="3"/>
  <c r="D116" i="3"/>
  <c r="C4" i="4" s="1"/>
  <c r="D118" i="14"/>
  <c r="F56" i="3"/>
  <c r="I87" i="3"/>
  <c r="AS91" i="3"/>
  <c r="D12" i="14"/>
  <c r="L95" i="3"/>
  <c r="D132" i="3"/>
  <c r="P10" i="4" s="1"/>
  <c r="AN4" i="20"/>
  <c r="AQ17" i="20"/>
  <c r="AQ16" i="20" s="1"/>
  <c r="S2" i="3"/>
  <c r="G20" i="39"/>
  <c r="G21" i="39"/>
  <c r="D44" i="14"/>
  <c r="D74" i="14"/>
  <c r="D66" i="3"/>
  <c r="D68" i="3"/>
  <c r="AK76" i="3"/>
  <c r="BL80" i="3"/>
  <c r="BC83" i="3"/>
  <c r="AV94" i="3"/>
  <c r="R113" i="3"/>
  <c r="D113" i="3"/>
  <c r="R106" i="3"/>
  <c r="M4" i="20"/>
  <c r="AO4" i="20"/>
  <c r="X4" i="20"/>
  <c r="AZ4" i="20"/>
  <c r="X118" i="3"/>
  <c r="AU17" i="20"/>
  <c r="AU16" i="20" s="1"/>
  <c r="E118" i="3"/>
  <c r="D6" i="4" s="1"/>
  <c r="W6" i="4" s="1"/>
  <c r="J77" i="3"/>
  <c r="M78" i="3"/>
  <c r="P81" i="3"/>
  <c r="S77" i="3"/>
  <c r="V79" i="3"/>
  <c r="Y82" i="3"/>
  <c r="L117" i="3"/>
  <c r="M17" i="20"/>
  <c r="M16" i="20" s="1"/>
  <c r="R116" i="3"/>
  <c r="AO17" i="20"/>
  <c r="AO16" i="20" s="1"/>
  <c r="X123" i="3"/>
  <c r="D135" i="3"/>
  <c r="P13" i="4" s="1"/>
  <c r="AH4" i="20"/>
  <c r="L110" i="3"/>
  <c r="AG92" i="3"/>
  <c r="AL17" i="20"/>
  <c r="AL16" i="20" s="1"/>
  <c r="C11" i="11"/>
  <c r="S17" i="20"/>
  <c r="S16" i="20" s="1"/>
  <c r="D118" i="3"/>
  <c r="C6" i="4" s="1"/>
  <c r="V6" i="4" s="1"/>
  <c r="R17" i="20"/>
  <c r="R16" i="20" s="1"/>
  <c r="AT17" i="20"/>
  <c r="AT16" i="20" s="1"/>
  <c r="X117" i="3"/>
  <c r="AB76" i="3"/>
  <c r="V84" i="3"/>
  <c r="S80" i="3"/>
  <c r="P76" i="3"/>
  <c r="J84" i="3"/>
  <c r="AB77" i="3"/>
  <c r="V85" i="3"/>
  <c r="S81" i="3"/>
  <c r="P77" i="3"/>
  <c r="J85" i="3"/>
  <c r="AB78" i="3"/>
  <c r="S82" i="3"/>
  <c r="P78" i="3"/>
  <c r="AB80" i="3"/>
  <c r="Y76" i="3"/>
  <c r="S84" i="3"/>
  <c r="P80" i="3"/>
  <c r="M76" i="3"/>
  <c r="M83" i="3"/>
  <c r="J79" i="3"/>
  <c r="BF85" i="3"/>
  <c r="BI84" i="3"/>
  <c r="BI83" i="3"/>
  <c r="BI82" i="3"/>
  <c r="BI81" i="3"/>
  <c r="BO80" i="3"/>
  <c r="BO79" i="3"/>
  <c r="G77" i="3"/>
  <c r="M84" i="3"/>
  <c r="J80" i="3"/>
  <c r="BI85" i="3"/>
  <c r="BL84" i="3"/>
  <c r="BL83" i="3"/>
  <c r="BL82" i="3"/>
  <c r="BL81" i="3"/>
  <c r="G78" i="3"/>
  <c r="M85" i="3"/>
  <c r="J81" i="3"/>
  <c r="BL85" i="3"/>
  <c r="BO84" i="3"/>
  <c r="BO83" i="3"/>
  <c r="BO82" i="3"/>
  <c r="BO81" i="3"/>
  <c r="G79" i="3"/>
  <c r="AE77" i="3"/>
  <c r="AE76" i="3"/>
  <c r="J82" i="3"/>
  <c r="BO85" i="3"/>
  <c r="G83" i="3"/>
  <c r="D83" i="3" s="1"/>
  <c r="G82" i="3"/>
  <c r="G81" i="3"/>
  <c r="G80" i="3"/>
  <c r="AE78" i="3"/>
  <c r="AH77" i="3"/>
  <c r="AH76" i="3"/>
  <c r="AB81" i="3"/>
  <c r="Y78" i="3"/>
  <c r="AE84" i="3"/>
  <c r="AK81" i="3"/>
  <c r="AK80" i="3"/>
  <c r="AK79" i="3"/>
  <c r="AN78" i="3"/>
  <c r="AQ77" i="3"/>
  <c r="AQ76" i="3"/>
  <c r="AB83" i="3"/>
  <c r="Y80" i="3"/>
  <c r="V76" i="3"/>
  <c r="AH85" i="3"/>
  <c r="AK85" i="3"/>
  <c r="BC84" i="3"/>
  <c r="AK82" i="3"/>
  <c r="AZ81" i="3"/>
  <c r="AN79" i="3"/>
  <c r="BF78" i="3"/>
  <c r="AN76" i="3"/>
  <c r="BL79" i="3"/>
  <c r="AN85" i="3"/>
  <c r="BF84" i="3"/>
  <c r="AN82" i="3"/>
  <c r="BC81" i="3"/>
  <c r="AQ79" i="3"/>
  <c r="BI78" i="3"/>
  <c r="AT76" i="3"/>
  <c r="AQ85" i="3"/>
  <c r="AE83" i="3"/>
  <c r="AQ82" i="3"/>
  <c r="BF81" i="3"/>
  <c r="AT79" i="3"/>
  <c r="BL78" i="3"/>
  <c r="AW76" i="3"/>
  <c r="AT83" i="3"/>
  <c r="AZ77" i="3"/>
  <c r="AT85" i="3"/>
  <c r="AT82" i="3"/>
  <c r="AE80" i="3"/>
  <c r="AW79" i="3"/>
  <c r="BO78" i="3"/>
  <c r="AZ76" i="3"/>
  <c r="AW85" i="3"/>
  <c r="AH83" i="3"/>
  <c r="AW82" i="3"/>
  <c r="AH80" i="3"/>
  <c r="AZ79" i="3"/>
  <c r="AK77" i="3"/>
  <c r="BC76" i="3"/>
  <c r="AZ85" i="3"/>
  <c r="AK83" i="3"/>
  <c r="AZ82" i="3"/>
  <c r="AN80" i="3"/>
  <c r="BC79" i="3"/>
  <c r="AN77" i="3"/>
  <c r="BF76" i="3"/>
  <c r="AE81" i="3"/>
  <c r="BC85" i="3"/>
  <c r="AN83" i="3"/>
  <c r="BC82" i="3"/>
  <c r="AQ80" i="3"/>
  <c r="BF79" i="3"/>
  <c r="AT77" i="3"/>
  <c r="BI76" i="3"/>
  <c r="Y77" i="3"/>
  <c r="AW80" i="3"/>
  <c r="G84" i="3"/>
  <c r="AQ83" i="3"/>
  <c r="BF82" i="3"/>
  <c r="AT80" i="3"/>
  <c r="BI79" i="3"/>
  <c r="AW77" i="3"/>
  <c r="BL76" i="3"/>
  <c r="T21" i="10"/>
  <c r="T8" i="10"/>
  <c r="T9" i="10"/>
  <c r="T15" i="10"/>
  <c r="T16" i="10"/>
  <c r="T13" i="10"/>
  <c r="T17" i="10"/>
  <c r="T18" i="10"/>
  <c r="T19" i="10"/>
  <c r="T20" i="10"/>
  <c r="T22" i="10"/>
  <c r="T23" i="10"/>
  <c r="T24" i="10"/>
  <c r="T5" i="10"/>
  <c r="T6" i="10"/>
  <c r="T7" i="10"/>
  <c r="T10" i="10"/>
  <c r="T11" i="10"/>
  <c r="T12" i="10"/>
  <c r="T57" i="10" s="1"/>
  <c r="T14" i="10"/>
  <c r="R87" i="3"/>
  <c r="AP123" i="3"/>
  <c r="AQ4" i="20"/>
  <c r="O4" i="20"/>
  <c r="BH89" i="3"/>
  <c r="I92" i="3"/>
  <c r="BK122" i="3"/>
  <c r="R110" i="3"/>
  <c r="U106" i="3"/>
  <c r="L116" i="3"/>
  <c r="G17" i="20"/>
  <c r="G16" i="20" s="1"/>
  <c r="AP89" i="3"/>
  <c r="BA17" i="20"/>
  <c r="BA16" i="20" s="1"/>
  <c r="AD116" i="3"/>
  <c r="D67" i="3"/>
  <c r="I86" i="3"/>
  <c r="BN90" i="3"/>
  <c r="L90" i="3"/>
  <c r="BB91" i="3"/>
  <c r="R91" i="3"/>
  <c r="BN92" i="3"/>
  <c r="AD95" i="3"/>
  <c r="U4" i="20"/>
  <c r="AA125" i="3"/>
  <c r="BB87" i="3"/>
  <c r="AG95" i="3"/>
  <c r="AJ119" i="3"/>
  <c r="AP122" i="3"/>
  <c r="D40" i="14"/>
  <c r="D82" i="14"/>
  <c r="P4" i="20"/>
  <c r="AR17" i="20"/>
  <c r="AR16" i="20" s="1"/>
  <c r="F5" i="3"/>
  <c r="C11" i="6"/>
  <c r="F11" i="4"/>
  <c r="F14" i="3"/>
  <c r="D70" i="3"/>
  <c r="BE89" i="3"/>
  <c r="AA92" i="3"/>
  <c r="AL4" i="20"/>
  <c r="O106" i="3"/>
  <c r="R109" i="3"/>
  <c r="R4" i="20"/>
  <c r="AT4" i="20"/>
  <c r="M7" i="10"/>
  <c r="F10" i="4"/>
  <c r="C10" i="6"/>
  <c r="C12" i="6"/>
  <c r="F12" i="4"/>
  <c r="D8" i="14"/>
  <c r="I90" i="3"/>
  <c r="AJ112" i="3"/>
  <c r="S4" i="20"/>
  <c r="X108" i="3"/>
  <c r="Y17" i="20"/>
  <c r="Y16" i="20" s="1"/>
  <c r="C13" i="6"/>
  <c r="F13" i="4"/>
  <c r="BB114" i="3"/>
  <c r="N19" i="10"/>
  <c r="N6" i="10"/>
  <c r="N24" i="10"/>
  <c r="N11" i="10"/>
  <c r="N15" i="10"/>
  <c r="N16" i="10"/>
  <c r="N17" i="10"/>
  <c r="N18" i="10"/>
  <c r="N20" i="10"/>
  <c r="N21" i="10"/>
  <c r="N22" i="10"/>
  <c r="N23" i="10"/>
  <c r="N5" i="10"/>
  <c r="N7" i="10"/>
  <c r="N8" i="10"/>
  <c r="N9" i="10"/>
  <c r="N10" i="10"/>
  <c r="N12" i="10"/>
  <c r="N13" i="10"/>
  <c r="N14" i="10"/>
  <c r="L86" i="3"/>
  <c r="BE91" i="3"/>
  <c r="AW4" i="20"/>
  <c r="E107" i="3"/>
  <c r="F6" i="3"/>
  <c r="F46" i="3"/>
  <c r="AM106" i="3"/>
  <c r="BQ107" i="3"/>
  <c r="BN113" i="3"/>
  <c r="E111" i="3"/>
  <c r="D121" i="3"/>
  <c r="C9" i="4" s="1"/>
  <c r="V9" i="4" s="1"/>
  <c r="J17" i="20"/>
  <c r="J16" i="20" s="1"/>
  <c r="O117" i="3"/>
  <c r="U17" i="20"/>
  <c r="U16" i="20" s="1"/>
  <c r="X17" i="20"/>
  <c r="X16" i="20" s="1"/>
  <c r="D130" i="3"/>
  <c r="P8" i="4" s="1"/>
  <c r="P14" i="4" s="1"/>
  <c r="D128" i="3"/>
  <c r="P6" i="4" s="1"/>
  <c r="M15" i="10"/>
  <c r="M11" i="10"/>
  <c r="M16" i="10"/>
  <c r="M17" i="10"/>
  <c r="M18" i="10"/>
  <c r="M19" i="10"/>
  <c r="M20" i="10"/>
  <c r="M21" i="10"/>
  <c r="M22" i="10"/>
  <c r="M23" i="10"/>
  <c r="M8" i="10"/>
  <c r="M24" i="10"/>
  <c r="M13" i="10"/>
  <c r="M14" i="10"/>
  <c r="M5" i="10"/>
  <c r="M9" i="10"/>
  <c r="M10" i="10"/>
  <c r="M12" i="10"/>
  <c r="F9" i="3"/>
  <c r="E87" i="3"/>
  <c r="AJ106" i="3"/>
  <c r="BN107" i="3"/>
  <c r="AV114" i="3"/>
  <c r="D125" i="3"/>
  <c r="C13" i="4" s="1"/>
  <c r="V13" i="4" s="1"/>
  <c r="G11" i="39"/>
  <c r="L21" i="10"/>
  <c r="L16" i="10"/>
  <c r="L23" i="10"/>
  <c r="L6" i="10"/>
  <c r="L24" i="10"/>
  <c r="L10" i="10"/>
  <c r="L14" i="10"/>
  <c r="L15" i="10"/>
  <c r="L17" i="10"/>
  <c r="L18" i="10"/>
  <c r="L19" i="10"/>
  <c r="L20" i="10"/>
  <c r="L22" i="10"/>
  <c r="L5" i="10"/>
  <c r="L57" i="10" s="1"/>
  <c r="L7" i="10"/>
  <c r="L8" i="10"/>
  <c r="L9" i="10"/>
  <c r="L11" i="10"/>
  <c r="L12" i="10"/>
  <c r="L13" i="10"/>
  <c r="BN91" i="3"/>
  <c r="U92" i="3"/>
  <c r="O94" i="3"/>
  <c r="BK107" i="3"/>
  <c r="AS114" i="3"/>
  <c r="I110" i="3"/>
  <c r="E110" i="3"/>
  <c r="BA4" i="20"/>
  <c r="Y4" i="20"/>
  <c r="L125" i="3"/>
  <c r="O123" i="3"/>
  <c r="R119" i="3"/>
  <c r="K23" i="10"/>
  <c r="K5" i="10"/>
  <c r="K12" i="10"/>
  <c r="K15" i="10"/>
  <c r="K16" i="10"/>
  <c r="K17" i="10"/>
  <c r="K18" i="10"/>
  <c r="K19" i="10"/>
  <c r="K20" i="10"/>
  <c r="K21" i="10"/>
  <c r="K22" i="10"/>
  <c r="K24" i="10"/>
  <c r="K11" i="10"/>
  <c r="K13" i="10"/>
  <c r="K14" i="10"/>
  <c r="K6" i="10"/>
  <c r="K7" i="10"/>
  <c r="K8" i="10"/>
  <c r="K9" i="10"/>
  <c r="K10" i="10"/>
  <c r="T7" i="9"/>
  <c r="T87" i="9"/>
  <c r="T8" i="9"/>
  <c r="T12" i="9"/>
  <c r="T6" i="9"/>
  <c r="T9" i="9"/>
  <c r="T10" i="9"/>
  <c r="T11" i="9"/>
  <c r="T13" i="9"/>
  <c r="T14" i="9"/>
  <c r="T15" i="9"/>
  <c r="F56" i="10"/>
  <c r="F8" i="10"/>
  <c r="F15" i="10"/>
  <c r="F12" i="10"/>
  <c r="F5" i="10"/>
  <c r="F6" i="10"/>
  <c r="F7" i="10"/>
  <c r="F9" i="10"/>
  <c r="BH122" i="3"/>
  <c r="L119" i="3"/>
  <c r="S37" i="9"/>
  <c r="S40" i="9"/>
  <c r="S60" i="9"/>
  <c r="S64" i="9"/>
  <c r="S41" i="9"/>
  <c r="S42" i="9"/>
  <c r="S45" i="9"/>
  <c r="S13" i="9"/>
  <c r="S43" i="9"/>
  <c r="S65" i="9"/>
  <c r="S10" i="9"/>
  <c r="S62" i="9"/>
  <c r="S15" i="9"/>
  <c r="S61" i="9"/>
  <c r="S38" i="9"/>
  <c r="S58" i="9"/>
  <c r="S66" i="9"/>
  <c r="S44" i="9"/>
  <c r="S63" i="9"/>
  <c r="S46" i="9"/>
  <c r="S57" i="9"/>
  <c r="S12" i="9"/>
  <c r="S14" i="9"/>
  <c r="I44" i="37"/>
  <c r="Q13" i="10"/>
  <c r="R9" i="9"/>
  <c r="R6" i="9"/>
  <c r="R7" i="9"/>
  <c r="R8" i="9"/>
  <c r="R10" i="9"/>
  <c r="R11" i="9"/>
  <c r="R12" i="9"/>
  <c r="R13" i="9"/>
  <c r="R14" i="9"/>
  <c r="R15" i="9"/>
  <c r="Q12" i="10"/>
  <c r="L118" i="3"/>
  <c r="AW17" i="20"/>
  <c r="AW16" i="20" s="1"/>
  <c r="Q11" i="10"/>
  <c r="Q9" i="10"/>
  <c r="M51" i="29"/>
  <c r="M53" i="29"/>
  <c r="D53" i="29"/>
  <c r="F6" i="4"/>
  <c r="C6" i="6"/>
  <c r="S18" i="10"/>
  <c r="S13" i="10"/>
  <c r="S20" i="10"/>
  <c r="S21" i="10"/>
  <c r="S22" i="10"/>
  <c r="S23" i="10"/>
  <c r="S24" i="10"/>
  <c r="S6" i="10"/>
  <c r="S15" i="10"/>
  <c r="S16" i="10"/>
  <c r="S17" i="10"/>
  <c r="S19" i="10"/>
  <c r="S5" i="10"/>
  <c r="S7" i="10"/>
  <c r="S8" i="10"/>
  <c r="S14" i="10"/>
  <c r="F7" i="4"/>
  <c r="C7" i="6"/>
  <c r="R17" i="10"/>
  <c r="R8" i="10"/>
  <c r="R15" i="10"/>
  <c r="R16" i="10"/>
  <c r="R18" i="10"/>
  <c r="R19" i="10"/>
  <c r="R12" i="10"/>
  <c r="R20" i="10"/>
  <c r="R21" i="10"/>
  <c r="R22" i="10"/>
  <c r="R23" i="10"/>
  <c r="R24" i="10"/>
  <c r="R5" i="10"/>
  <c r="R6" i="10"/>
  <c r="R7" i="10"/>
  <c r="R9" i="10"/>
  <c r="R10" i="10"/>
  <c r="R11" i="10"/>
  <c r="R13" i="10"/>
  <c r="R14" i="10"/>
  <c r="S12" i="10"/>
  <c r="E125" i="3"/>
  <c r="D13" i="4" s="1"/>
  <c r="W13" i="4" s="1"/>
  <c r="AQ2" i="3"/>
  <c r="Q23" i="10"/>
  <c r="Q15" i="10"/>
  <c r="Q7" i="10"/>
  <c r="Q18" i="10"/>
  <c r="Q10" i="10"/>
  <c r="Q19" i="10"/>
  <c r="Q20" i="10"/>
  <c r="Q21" i="10"/>
  <c r="Q22" i="10"/>
  <c r="Q14" i="10"/>
  <c r="Q24" i="10"/>
  <c r="Q16" i="10"/>
  <c r="Q17" i="10"/>
  <c r="Q5" i="10"/>
  <c r="Q6" i="10"/>
  <c r="I9" i="37"/>
  <c r="C52" i="37"/>
  <c r="S11" i="10"/>
  <c r="F9" i="4"/>
  <c r="C9" i="6"/>
  <c r="P22" i="10"/>
  <c r="P12" i="10"/>
  <c r="P15" i="10"/>
  <c r="P16" i="10"/>
  <c r="P17" i="10"/>
  <c r="P7" i="10"/>
  <c r="P18" i="10"/>
  <c r="P19" i="10"/>
  <c r="P20" i="10"/>
  <c r="P21" i="10"/>
  <c r="P23" i="10"/>
  <c r="P24" i="10"/>
  <c r="P5" i="10"/>
  <c r="P6" i="10"/>
  <c r="P8" i="10"/>
  <c r="P9" i="10"/>
  <c r="P10" i="10"/>
  <c r="P11" i="10"/>
  <c r="P13" i="10"/>
  <c r="P14" i="10"/>
  <c r="K13" i="9"/>
  <c r="K38" i="9"/>
  <c r="K7" i="9"/>
  <c r="K6" i="9"/>
  <c r="K8" i="9"/>
  <c r="K9" i="9"/>
  <c r="I33" i="37"/>
  <c r="I25" i="37"/>
  <c r="I17" i="37"/>
  <c r="I8" i="37"/>
  <c r="K10" i="9"/>
  <c r="S11" i="9"/>
  <c r="S10" i="10"/>
  <c r="O19" i="10"/>
  <c r="O16" i="10"/>
  <c r="O5" i="10"/>
  <c r="O17" i="10"/>
  <c r="O18" i="10"/>
  <c r="O20" i="10"/>
  <c r="O21" i="10"/>
  <c r="O9" i="10"/>
  <c r="O22" i="10"/>
  <c r="O23" i="10"/>
  <c r="O24" i="10"/>
  <c r="O13" i="10"/>
  <c r="O15" i="10"/>
  <c r="V37" i="9"/>
  <c r="V38" i="9"/>
  <c r="V39" i="9"/>
  <c r="V11" i="9"/>
  <c r="V63" i="9"/>
  <c r="V59" i="9"/>
  <c r="V44" i="9"/>
  <c r="V58" i="9"/>
  <c r="V57" i="9"/>
  <c r="V6" i="9"/>
  <c r="V46" i="9"/>
  <c r="V65" i="9"/>
  <c r="V62" i="9"/>
  <c r="V10" i="9"/>
  <c r="V41" i="9"/>
  <c r="V43" i="9"/>
  <c r="V45" i="9"/>
  <c r="V64" i="9"/>
  <c r="V15" i="9"/>
  <c r="V61" i="9"/>
  <c r="V40" i="9"/>
  <c r="V42" i="9"/>
  <c r="V60" i="9"/>
  <c r="V66" i="9"/>
  <c r="I51" i="37"/>
  <c r="I43" i="37"/>
  <c r="M8" i="9"/>
  <c r="O7" i="9"/>
  <c r="V14" i="9"/>
  <c r="O6" i="10"/>
  <c r="U9" i="10"/>
  <c r="W10" i="10"/>
  <c r="Y10" i="10"/>
  <c r="I6" i="37"/>
  <c r="I58" i="37"/>
  <c r="V13" i="9"/>
  <c r="U8" i="10"/>
  <c r="W8" i="10"/>
  <c r="Y9" i="10"/>
  <c r="I38" i="37"/>
  <c r="I30" i="37"/>
  <c r="I22" i="37"/>
  <c r="I13" i="37"/>
  <c r="I50" i="37"/>
  <c r="I42" i="37"/>
  <c r="N15" i="9"/>
  <c r="P13" i="9"/>
  <c r="V12" i="9"/>
  <c r="U6" i="10"/>
  <c r="U59" i="10" s="1"/>
  <c r="W6" i="10"/>
  <c r="Y8" i="10"/>
  <c r="L15" i="9"/>
  <c r="N14" i="9"/>
  <c r="P12" i="9"/>
  <c r="V9" i="9"/>
  <c r="Y7" i="10"/>
  <c r="I37" i="37"/>
  <c r="I29" i="37"/>
  <c r="I21" i="37"/>
  <c r="I12" i="37"/>
  <c r="L14" i="9"/>
  <c r="N13" i="9"/>
  <c r="P11" i="9"/>
  <c r="V8" i="9"/>
  <c r="Y6" i="10"/>
  <c r="Q60" i="9"/>
  <c r="Q64" i="9"/>
  <c r="Q42" i="9"/>
  <c r="Q43" i="9"/>
  <c r="Q65" i="9"/>
  <c r="Q9" i="9"/>
  <c r="Q7" i="9"/>
  <c r="Q12" i="9"/>
  <c r="L12" i="9"/>
  <c r="N10" i="9"/>
  <c r="V7" i="9"/>
  <c r="V12" i="10"/>
  <c r="X14" i="10"/>
  <c r="Y23" i="10"/>
  <c r="Y22" i="10"/>
  <c r="Y12" i="10"/>
  <c r="Y24" i="10"/>
  <c r="Y15" i="10"/>
  <c r="Y16" i="10"/>
  <c r="Y17" i="10"/>
  <c r="Y18" i="10"/>
  <c r="Y19" i="10"/>
  <c r="Y20" i="10"/>
  <c r="Y21" i="10"/>
  <c r="I19" i="10"/>
  <c r="I7" i="10"/>
  <c r="I11" i="10"/>
  <c r="I15" i="10"/>
  <c r="I16" i="10"/>
  <c r="I17" i="10"/>
  <c r="I18" i="10"/>
  <c r="I20" i="10"/>
  <c r="I21" i="10"/>
  <c r="I22" i="10"/>
  <c r="I23" i="10"/>
  <c r="I24" i="10"/>
  <c r="P61" i="9"/>
  <c r="P65" i="9"/>
  <c r="P45" i="9"/>
  <c r="P58" i="9"/>
  <c r="P15" i="9"/>
  <c r="P38" i="9"/>
  <c r="P62" i="9"/>
  <c r="P14" i="9"/>
  <c r="P64" i="9"/>
  <c r="P6" i="9"/>
  <c r="P63" i="9"/>
  <c r="P46" i="9"/>
  <c r="I48" i="37"/>
  <c r="I40" i="37"/>
  <c r="L11" i="9"/>
  <c r="N9" i="9"/>
  <c r="P9" i="9"/>
  <c r="P79" i="9" s="1"/>
  <c r="V11" i="10"/>
  <c r="G79" i="9"/>
  <c r="G89" i="9"/>
  <c r="G120" i="9"/>
  <c r="G7" i="9"/>
  <c r="G64" i="9"/>
  <c r="G6" i="9"/>
  <c r="G11" i="9"/>
  <c r="G100" i="9"/>
  <c r="X17" i="10"/>
  <c r="X18" i="10"/>
  <c r="X15" i="10"/>
  <c r="X16" i="10"/>
  <c r="X19" i="10"/>
  <c r="X6" i="10"/>
  <c r="X20" i="10"/>
  <c r="X21" i="10"/>
  <c r="X22" i="10"/>
  <c r="X23" i="10"/>
  <c r="X10" i="10"/>
  <c r="X24" i="10"/>
  <c r="O45" i="9"/>
  <c r="O46" i="9"/>
  <c r="O9" i="9"/>
  <c r="O13" i="9"/>
  <c r="O63" i="9"/>
  <c r="O60" i="9"/>
  <c r="O62" i="9"/>
  <c r="L10" i="9"/>
  <c r="P8" i="9"/>
  <c r="I14" i="10"/>
  <c r="V10" i="10"/>
  <c r="X12" i="10"/>
  <c r="W19" i="10"/>
  <c r="W24" i="10"/>
  <c r="W9" i="10"/>
  <c r="W22" i="10"/>
  <c r="W7" i="10"/>
  <c r="W23" i="10"/>
  <c r="W12" i="10"/>
  <c r="W15" i="10"/>
  <c r="W16" i="10"/>
  <c r="W17" i="10"/>
  <c r="W18" i="10"/>
  <c r="W20" i="10"/>
  <c r="W21" i="10"/>
  <c r="G8" i="39"/>
  <c r="N43" i="9"/>
  <c r="N45" i="9"/>
  <c r="N57" i="9"/>
  <c r="N46" i="9"/>
  <c r="N11" i="9"/>
  <c r="N44" i="9"/>
  <c r="N38" i="9"/>
  <c r="N66" i="9"/>
  <c r="N12" i="9"/>
  <c r="N41" i="9"/>
  <c r="N64" i="9"/>
  <c r="N58" i="9"/>
  <c r="N61" i="9"/>
  <c r="N42" i="9"/>
  <c r="N63" i="9"/>
  <c r="N37" i="9"/>
  <c r="N62" i="9"/>
  <c r="N65" i="9"/>
  <c r="L8" i="9"/>
  <c r="N7" i="9"/>
  <c r="P7" i="9"/>
  <c r="I13" i="10"/>
  <c r="X11" i="10"/>
  <c r="G14" i="39"/>
  <c r="V14" i="10"/>
  <c r="V15" i="10"/>
  <c r="V13" i="10"/>
  <c r="V16" i="10"/>
  <c r="V17" i="10"/>
  <c r="V18" i="10"/>
  <c r="V19" i="10"/>
  <c r="V20" i="10"/>
  <c r="V21" i="10"/>
  <c r="V22" i="10"/>
  <c r="V5" i="10"/>
  <c r="V23" i="10"/>
  <c r="V24" i="10"/>
  <c r="M6" i="9"/>
  <c r="M10" i="9"/>
  <c r="M40" i="9"/>
  <c r="M60" i="9"/>
  <c r="C16" i="37"/>
  <c r="I62" i="37"/>
  <c r="N6" i="9"/>
  <c r="Q15" i="9"/>
  <c r="I12" i="10"/>
  <c r="V8" i="10"/>
  <c r="X9" i="10"/>
  <c r="U15" i="10"/>
  <c r="U21" i="10"/>
  <c r="U22" i="10"/>
  <c r="U23" i="10"/>
  <c r="U24" i="10"/>
  <c r="U7" i="10"/>
  <c r="U11" i="10"/>
  <c r="U16" i="10"/>
  <c r="U17" i="10"/>
  <c r="U18" i="10"/>
  <c r="U19" i="10"/>
  <c r="U20" i="10"/>
  <c r="L45" i="9"/>
  <c r="L57" i="9"/>
  <c r="L58" i="9"/>
  <c r="L62" i="9"/>
  <c r="L66" i="9"/>
  <c r="L44" i="9"/>
  <c r="L7" i="9"/>
  <c r="L37" i="9"/>
  <c r="L42" i="9"/>
  <c r="L41" i="9"/>
  <c r="L9" i="9"/>
  <c r="L43" i="9"/>
  <c r="L64" i="9"/>
  <c r="L13" i="9"/>
  <c r="L61" i="9"/>
  <c r="L38" i="9"/>
  <c r="L63" i="9"/>
  <c r="L46" i="9"/>
  <c r="L65" i="9"/>
  <c r="I34" i="37"/>
  <c r="I26" i="37"/>
  <c r="I18" i="37"/>
  <c r="I46" i="37"/>
  <c r="M15" i="9"/>
  <c r="O15" i="9"/>
  <c r="Q14" i="9"/>
  <c r="I10" i="10"/>
  <c r="O14" i="10"/>
  <c r="V7" i="10"/>
  <c r="X8" i="10"/>
  <c r="H21" i="10"/>
  <c r="H14" i="10"/>
  <c r="H56" i="10"/>
  <c r="H19" i="10"/>
  <c r="H100" i="9"/>
  <c r="H18" i="10"/>
  <c r="H17" i="10"/>
  <c r="H16" i="10"/>
  <c r="H15" i="10"/>
  <c r="I53" i="37"/>
  <c r="I49" i="37"/>
  <c r="I41" i="37"/>
  <c r="H79" i="9"/>
  <c r="H89" i="9"/>
  <c r="H120" i="9"/>
  <c r="H13" i="10"/>
  <c r="H12" i="10"/>
  <c r="H11" i="10"/>
  <c r="I47" i="37"/>
  <c r="H10" i="10"/>
  <c r="G56" i="10"/>
  <c r="G6" i="10"/>
  <c r="G22" i="10"/>
  <c r="H9" i="10"/>
  <c r="H24" i="10"/>
  <c r="H8" i="10"/>
  <c r="H23" i="10"/>
  <c r="H7" i="10"/>
  <c r="I36" i="37"/>
  <c r="I28" i="37"/>
  <c r="I20" i="37"/>
  <c r="I45" i="37"/>
  <c r="H13" i="9"/>
  <c r="H22" i="10"/>
  <c r="H6" i="10"/>
  <c r="B7" i="35"/>
  <c r="E4" i="32" s="1"/>
  <c r="B6" i="35"/>
  <c r="E3" i="32" s="1"/>
  <c r="B8" i="35"/>
  <c r="E5" i="32" s="1"/>
  <c r="F8" i="6"/>
  <c r="L28" i="11"/>
  <c r="I9" i="6"/>
  <c r="F11" i="6"/>
  <c r="G9" i="4"/>
  <c r="F12" i="6"/>
  <c r="G13" i="4"/>
  <c r="F7" i="6"/>
  <c r="I13" i="6"/>
  <c r="I8" i="6"/>
  <c r="I6" i="4"/>
  <c r="I10" i="4"/>
  <c r="I11" i="6"/>
  <c r="J28" i="11"/>
  <c r="G6" i="4"/>
  <c r="G10" i="4"/>
  <c r="F10" i="6"/>
  <c r="I12" i="6"/>
  <c r="I5" i="6"/>
  <c r="I7" i="6"/>
  <c r="C8" i="6"/>
  <c r="C25" i="11"/>
  <c r="D28" i="11"/>
  <c r="K28" i="11"/>
  <c r="C27" i="11"/>
  <c r="I28" i="11"/>
  <c r="L14" i="4"/>
  <c r="L15" i="4"/>
  <c r="AF18" i="20" s="1"/>
  <c r="AF131" i="3"/>
  <c r="AG131" i="3" s="1"/>
  <c r="O172" i="30"/>
  <c r="P172" i="30" s="1"/>
  <c r="O213" i="30"/>
  <c r="P213" i="30" s="1"/>
  <c r="O194" i="30"/>
  <c r="P194" i="30" s="1"/>
  <c r="O117" i="30"/>
  <c r="P117" i="30" s="1"/>
  <c r="O113" i="30"/>
  <c r="P113" i="30" s="1"/>
  <c r="O148" i="30"/>
  <c r="P148" i="30" s="1"/>
  <c r="O118" i="30"/>
  <c r="P118" i="30" s="1"/>
  <c r="AF134" i="3"/>
  <c r="AG134" i="3" s="1"/>
  <c r="AR130" i="3"/>
  <c r="AS130" i="3" s="1"/>
  <c r="H127" i="3"/>
  <c r="I127" i="3" s="1"/>
  <c r="F28" i="11"/>
  <c r="AL134" i="3"/>
  <c r="AM134" i="3" s="1"/>
  <c r="T128" i="3"/>
  <c r="U128" i="3" s="1"/>
  <c r="BJ134" i="3"/>
  <c r="BK134" i="3" s="1"/>
  <c r="AC133" i="3"/>
  <c r="AD133" i="3" s="1"/>
  <c r="Z132" i="3"/>
  <c r="AA132" i="3" s="1"/>
  <c r="H134" i="3"/>
  <c r="I134" i="3" s="1"/>
  <c r="AO126" i="3"/>
  <c r="AP126" i="3" s="1"/>
  <c r="AO131" i="3"/>
  <c r="AP131" i="3" s="1"/>
  <c r="W128" i="3"/>
  <c r="X128" i="3" s="1"/>
  <c r="Q135" i="3"/>
  <c r="R135" i="3" s="1"/>
  <c r="BD131" i="3"/>
  <c r="BE131" i="3" s="1"/>
  <c r="BM126" i="3"/>
  <c r="D94" i="14" s="1"/>
  <c r="AU132" i="3"/>
  <c r="AV132" i="3" s="1"/>
  <c r="AL127" i="3"/>
  <c r="AM127" i="3" s="1"/>
  <c r="BJ129" i="3"/>
  <c r="D62" i="14" s="1"/>
  <c r="AL132" i="3"/>
  <c r="AM132" i="3" s="1"/>
  <c r="AF126" i="3"/>
  <c r="AG126" i="3" s="1"/>
  <c r="Z128" i="3"/>
  <c r="AA128" i="3" s="1"/>
  <c r="AX130" i="3"/>
  <c r="AY130" i="3" s="1"/>
  <c r="AF133" i="3"/>
  <c r="AG133" i="3" s="1"/>
  <c r="T134" i="3"/>
  <c r="U134" i="3" s="1"/>
  <c r="E28" i="11"/>
  <c r="C23" i="11"/>
  <c r="M28" i="11"/>
  <c r="H28" i="11"/>
  <c r="G28" i="11"/>
  <c r="AU133" i="3"/>
  <c r="AV133" i="3" s="1"/>
  <c r="AI127" i="3"/>
  <c r="AJ127" i="3" s="1"/>
  <c r="AX129" i="3"/>
  <c r="AY129" i="3" s="1"/>
  <c r="W126" i="3"/>
  <c r="X126" i="3" s="1"/>
  <c r="BM133" i="3"/>
  <c r="BN133" i="3" s="1"/>
  <c r="AR133" i="3"/>
  <c r="AS133" i="3" s="1"/>
  <c r="AR132" i="3"/>
  <c r="AS132" i="3" s="1"/>
  <c r="W135" i="3"/>
  <c r="X135" i="3" s="1"/>
  <c r="AX131" i="3"/>
  <c r="AY131" i="3" s="1"/>
  <c r="BP127" i="3"/>
  <c r="D130" i="14" s="1"/>
  <c r="BP133" i="3"/>
  <c r="D136" i="14" s="1"/>
  <c r="AX135" i="3"/>
  <c r="AY135" i="3" s="1"/>
  <c r="AI131" i="3"/>
  <c r="AJ131" i="3" s="1"/>
  <c r="AO127" i="3"/>
  <c r="AP127" i="3" s="1"/>
  <c r="AL129" i="3"/>
  <c r="AM129" i="3" s="1"/>
  <c r="N131" i="3"/>
  <c r="O131" i="3" s="1"/>
  <c r="AU135" i="3"/>
  <c r="AV135" i="3" s="1"/>
  <c r="BD127" i="3"/>
  <c r="BE127" i="3" s="1"/>
  <c r="T135" i="3"/>
  <c r="U135" i="3" s="1"/>
  <c r="AF132" i="3"/>
  <c r="AG132" i="3" s="1"/>
  <c r="BD135" i="3"/>
  <c r="BE135" i="3" s="1"/>
  <c r="BA127" i="3"/>
  <c r="BB127" i="3" s="1"/>
  <c r="AC134" i="3"/>
  <c r="AD134" i="3" s="1"/>
  <c r="AC132" i="3"/>
  <c r="AD132" i="3" s="1"/>
  <c r="AR131" i="3"/>
  <c r="AS131" i="3" s="1"/>
  <c r="AC131" i="3"/>
  <c r="AD131" i="3" s="1"/>
  <c r="T133" i="3"/>
  <c r="U133" i="3" s="1"/>
  <c r="Q128" i="3"/>
  <c r="R128" i="3" s="1"/>
  <c r="Q131" i="3"/>
  <c r="R131" i="3" s="1"/>
  <c r="BM134" i="3"/>
  <c r="BN134" i="3" s="1"/>
  <c r="AF127" i="3"/>
  <c r="AG127" i="3" s="1"/>
  <c r="AL135" i="3"/>
  <c r="AM135" i="3" s="1"/>
  <c r="Z126" i="3"/>
  <c r="AA126" i="3" s="1"/>
  <c r="AX126" i="3"/>
  <c r="AY126" i="3" s="1"/>
  <c r="AF129" i="3"/>
  <c r="AG129" i="3" s="1"/>
  <c r="N134" i="3"/>
  <c r="O134" i="3" s="1"/>
  <c r="BG135" i="3"/>
  <c r="BH135" i="3" s="1"/>
  <c r="AI130" i="3"/>
  <c r="AJ130" i="3" s="1"/>
  <c r="BD126" i="3"/>
  <c r="BE126" i="3" s="1"/>
  <c r="H133" i="3"/>
  <c r="I133" i="3" s="1"/>
  <c r="AC130" i="3"/>
  <c r="AD130" i="3" s="1"/>
  <c r="BJ132" i="3"/>
  <c r="D65" i="14" s="1"/>
  <c r="Z133" i="3"/>
  <c r="AA133" i="3" s="1"/>
  <c r="BD128" i="3"/>
  <c r="BE128" i="3" s="1"/>
  <c r="Q126" i="3"/>
  <c r="R126" i="3" s="1"/>
  <c r="AL130" i="3"/>
  <c r="AM130" i="3" s="1"/>
  <c r="BA135" i="3"/>
  <c r="BB135" i="3" s="1"/>
  <c r="Q129" i="3"/>
  <c r="R129" i="3" s="1"/>
  <c r="BJ127" i="3"/>
  <c r="BK127" i="3" s="1"/>
  <c r="BG128" i="3"/>
  <c r="BH128" i="3" s="1"/>
  <c r="AC128" i="3"/>
  <c r="AD128" i="3" s="1"/>
  <c r="AI126" i="3"/>
  <c r="AJ126" i="3" s="1"/>
  <c r="BM130" i="3"/>
  <c r="D98" i="14" s="1"/>
  <c r="W132" i="3"/>
  <c r="X132" i="3" s="1"/>
  <c r="Z131" i="3"/>
  <c r="AA131" i="3" s="1"/>
  <c r="AC127" i="3"/>
  <c r="AD127" i="3" s="1"/>
  <c r="N126" i="3"/>
  <c r="O126" i="3" s="1"/>
  <c r="BA132" i="3"/>
  <c r="BB132" i="3" s="1"/>
  <c r="AL128" i="3"/>
  <c r="AM128" i="3" s="1"/>
  <c r="BD130" i="3"/>
  <c r="BE130" i="3" s="1"/>
  <c r="H132" i="3"/>
  <c r="I132" i="3" s="1"/>
  <c r="AX133" i="3"/>
  <c r="AY133" i="3" s="1"/>
  <c r="AO129" i="3"/>
  <c r="AP129" i="3" s="1"/>
  <c r="BA134" i="3"/>
  <c r="BB134" i="3" s="1"/>
  <c r="AR134" i="3"/>
  <c r="AS134" i="3" s="1"/>
  <c r="AR135" i="3"/>
  <c r="AS135" i="3" s="1"/>
  <c r="BJ135" i="3"/>
  <c r="D68" i="14" s="1"/>
  <c r="AX132" i="3"/>
  <c r="AY132" i="3" s="1"/>
  <c r="Q127" i="3"/>
  <c r="R127" i="3" s="1"/>
  <c r="BM131" i="3"/>
  <c r="BP135" i="3"/>
  <c r="D138" i="14" s="1"/>
  <c r="AO134" i="3"/>
  <c r="AP134" i="3" s="1"/>
  <c r="BP134" i="3"/>
  <c r="BQ134" i="3" s="1"/>
  <c r="AF128" i="3"/>
  <c r="AG128" i="3" s="1"/>
  <c r="N128" i="3"/>
  <c r="O128" i="3" s="1"/>
  <c r="Q132" i="3"/>
  <c r="R132" i="3" s="1"/>
  <c r="BP128" i="3"/>
  <c r="D131" i="14" s="1"/>
  <c r="AR126" i="3"/>
  <c r="AS126" i="3" s="1"/>
  <c r="AX128" i="3"/>
  <c r="AY128" i="3" s="1"/>
  <c r="Q130" i="3"/>
  <c r="R130" i="3" s="1"/>
  <c r="BM132" i="3"/>
  <c r="D100" i="14" s="1"/>
  <c r="AI135" i="3"/>
  <c r="AJ135" i="3" s="1"/>
  <c r="W127" i="3"/>
  <c r="X127" i="3" s="1"/>
  <c r="BG126" i="3"/>
  <c r="BH126" i="3" s="1"/>
  <c r="T126" i="3"/>
  <c r="U126" i="3" s="1"/>
  <c r="AU130" i="3"/>
  <c r="AV130" i="3" s="1"/>
  <c r="BJ126" i="3"/>
  <c r="BK126" i="3" s="1"/>
  <c r="AI128" i="3"/>
  <c r="AJ128" i="3" s="1"/>
  <c r="BG127" i="3"/>
  <c r="BH127" i="3" s="1"/>
  <c r="T129" i="3"/>
  <c r="U129" i="3" s="1"/>
  <c r="BJ133" i="3"/>
  <c r="BK133" i="3" s="1"/>
  <c r="BM128" i="3"/>
  <c r="D96" i="14" s="1"/>
  <c r="BJ131" i="3"/>
  <c r="BK131" i="3" s="1"/>
  <c r="BD129" i="3"/>
  <c r="BE129" i="3" s="1"/>
  <c r="AO128" i="3"/>
  <c r="AP128" i="3" s="1"/>
  <c r="W134" i="3"/>
  <c r="X134" i="3" s="1"/>
  <c r="AO135" i="3"/>
  <c r="AP135" i="3" s="1"/>
  <c r="BG134" i="3"/>
  <c r="BH134" i="3" s="1"/>
  <c r="AO132" i="3"/>
  <c r="AP132" i="3" s="1"/>
  <c r="Z127" i="3"/>
  <c r="AA127" i="3" s="1"/>
  <c r="AI134" i="3"/>
  <c r="AJ134" i="3" s="1"/>
  <c r="AU127" i="3"/>
  <c r="AV127" i="3" s="1"/>
  <c r="Z134" i="3"/>
  <c r="AA134" i="3" s="1"/>
  <c r="AC129" i="3"/>
  <c r="AD129" i="3" s="1"/>
  <c r="AL131" i="3"/>
  <c r="AM131" i="3" s="1"/>
  <c r="AX127" i="3"/>
  <c r="AY127" i="3" s="1"/>
  <c r="AI129" i="3"/>
  <c r="AJ129" i="3" s="1"/>
  <c r="BM129" i="3"/>
  <c r="D97" i="14" s="1"/>
  <c r="Z135" i="3"/>
  <c r="AA135" i="3" s="1"/>
  <c r="BA126" i="3"/>
  <c r="BB126" i="3" s="1"/>
  <c r="BD133" i="3"/>
  <c r="BE133" i="3" s="1"/>
  <c r="N130" i="3"/>
  <c r="O130" i="3" s="1"/>
  <c r="BG130" i="3"/>
  <c r="BH130" i="3" s="1"/>
  <c r="Q133" i="3"/>
  <c r="R133" i="3" s="1"/>
  <c r="AC135" i="3"/>
  <c r="AD135" i="3" s="1"/>
  <c r="AO133" i="3"/>
  <c r="AP133" i="3" s="1"/>
  <c r="AI133" i="3"/>
  <c r="AJ133" i="3" s="1"/>
  <c r="Z130" i="3"/>
  <c r="AA130" i="3" s="1"/>
  <c r="AU128" i="3"/>
  <c r="AV128" i="3" s="1"/>
  <c r="BA129" i="3"/>
  <c r="BB129" i="3" s="1"/>
  <c r="AR129" i="3"/>
  <c r="AS129" i="3" s="1"/>
  <c r="BP129" i="3"/>
  <c r="D132" i="14" s="1"/>
  <c r="AR127" i="3"/>
  <c r="AS127" i="3" s="1"/>
  <c r="BA131" i="3"/>
  <c r="BB131" i="3" s="1"/>
  <c r="BJ128" i="3"/>
  <c r="BK128" i="3" s="1"/>
  <c r="BD132" i="3"/>
  <c r="BE132" i="3" s="1"/>
  <c r="N133" i="3"/>
  <c r="O133" i="3" s="1"/>
  <c r="BM135" i="3"/>
  <c r="D103" i="14" s="1"/>
  <c r="T132" i="3"/>
  <c r="U132" i="3" s="1"/>
  <c r="H129" i="3"/>
  <c r="I129" i="3" s="1"/>
  <c r="AF130" i="3"/>
  <c r="AG130" i="3" s="1"/>
  <c r="N135" i="3"/>
  <c r="O135" i="3" s="1"/>
  <c r="AI132" i="3"/>
  <c r="AJ132" i="3" s="1"/>
  <c r="BP132" i="3"/>
  <c r="BQ132" i="3" s="1"/>
  <c r="T127" i="3"/>
  <c r="U127" i="3" s="1"/>
  <c r="AR128" i="3"/>
  <c r="AS128" i="3" s="1"/>
  <c r="N127" i="3"/>
  <c r="O127" i="3" s="1"/>
  <c r="AL133" i="3"/>
  <c r="AM133" i="3" s="1"/>
  <c r="AU131" i="3"/>
  <c r="AV131" i="3" s="1"/>
  <c r="BP130" i="3"/>
  <c r="D133" i="14" s="1"/>
  <c r="BP126" i="3"/>
  <c r="D129" i="14" s="1"/>
  <c r="AL126" i="3"/>
  <c r="AM126" i="3" s="1"/>
  <c r="AF135" i="3"/>
  <c r="AG135" i="3" s="1"/>
  <c r="W131" i="3"/>
  <c r="X131" i="3" s="1"/>
  <c r="H126" i="3"/>
  <c r="I126" i="3" s="1"/>
  <c r="BG131" i="3"/>
  <c r="BH131" i="3" s="1"/>
  <c r="Q134" i="3"/>
  <c r="R134" i="3" s="1"/>
  <c r="BA133" i="3"/>
  <c r="BB133" i="3" s="1"/>
  <c r="BJ130" i="3"/>
  <c r="D63" i="14" s="1"/>
  <c r="BD134" i="3"/>
  <c r="BE134" i="3" s="1"/>
  <c r="AU129" i="3"/>
  <c r="AV129" i="3" s="1"/>
  <c r="BP131" i="3"/>
  <c r="BQ131" i="3" s="1"/>
  <c r="AX134" i="3"/>
  <c r="AY134" i="3" s="1"/>
  <c r="BM127" i="3"/>
  <c r="D95" i="14" s="1"/>
  <c r="BA128" i="3"/>
  <c r="BB128" i="3" s="1"/>
  <c r="BG133" i="3"/>
  <c r="BH133" i="3" s="1"/>
  <c r="Z129" i="3"/>
  <c r="AA129" i="3" s="1"/>
  <c r="H130" i="3"/>
  <c r="I130" i="3" s="1"/>
  <c r="W129" i="3"/>
  <c r="X129" i="3" s="1"/>
  <c r="H131" i="3"/>
  <c r="D29" i="14" s="1"/>
  <c r="T130" i="3"/>
  <c r="U130" i="3" s="1"/>
  <c r="AU134" i="3"/>
  <c r="AV134" i="3" s="1"/>
  <c r="BA130" i="3"/>
  <c r="BB130" i="3" s="1"/>
  <c r="BG132" i="3"/>
  <c r="BH132" i="3" s="1"/>
  <c r="BG129" i="3"/>
  <c r="BH129" i="3" s="1"/>
  <c r="W130" i="3"/>
  <c r="X130" i="3" s="1"/>
  <c r="H135" i="3"/>
  <c r="I135" i="3" s="1"/>
  <c r="AC126" i="3"/>
  <c r="AD126" i="3" s="1"/>
  <c r="AO130" i="3"/>
  <c r="AP130" i="3" s="1"/>
  <c r="W133" i="3"/>
  <c r="X133" i="3" s="1"/>
  <c r="T131" i="3"/>
  <c r="U131" i="3" s="1"/>
  <c r="AU126" i="3"/>
  <c r="AV126" i="3" s="1"/>
  <c r="N132" i="3"/>
  <c r="O132" i="3" s="1"/>
  <c r="H128" i="3"/>
  <c r="I128" i="3" s="1"/>
  <c r="N129" i="3"/>
  <c r="O129" i="3" s="1"/>
  <c r="N71" i="3"/>
  <c r="O71" i="3" s="1"/>
  <c r="N101" i="3" s="1"/>
  <c r="O101" i="3" s="1"/>
  <c r="BA69" i="3"/>
  <c r="BA79" i="3" s="1"/>
  <c r="BG74" i="3"/>
  <c r="BH74" i="3" s="1"/>
  <c r="BG104" i="3" s="1"/>
  <c r="BH104" i="3" s="1"/>
  <c r="AR70" i="3"/>
  <c r="AS70" i="3" s="1"/>
  <c r="AR100" i="3" s="1"/>
  <c r="AS100" i="3" s="1"/>
  <c r="BD69" i="3"/>
  <c r="BD79" i="3" s="1"/>
  <c r="BG75" i="3"/>
  <c r="BH75" i="3" s="1"/>
  <c r="BG105" i="3" s="1"/>
  <c r="BH105" i="3" s="1"/>
  <c r="AI66" i="3"/>
  <c r="AI76" i="3" s="1"/>
  <c r="AJ76" i="3" s="1"/>
  <c r="AO69" i="3"/>
  <c r="AP69" i="3" s="1"/>
  <c r="AO99" i="3" s="1"/>
  <c r="AP99" i="3" s="1"/>
  <c r="Q66" i="3"/>
  <c r="R66" i="3" s="1"/>
  <c r="Q96" i="3" s="1"/>
  <c r="R96" i="3" s="1"/>
  <c r="BP74" i="3"/>
  <c r="BQ74" i="3" s="1"/>
  <c r="BP104" i="3" s="1"/>
  <c r="BQ104" i="3" s="1"/>
  <c r="AC70" i="3"/>
  <c r="AD70" i="3" s="1"/>
  <c r="AC100" i="3" s="1"/>
  <c r="AD100" i="3" s="1"/>
  <c r="N70" i="3"/>
  <c r="N80" i="3" s="1"/>
  <c r="BM72" i="3"/>
  <c r="BN72" i="3" s="1"/>
  <c r="BM102" i="3" s="1"/>
  <c r="BN102" i="3" s="1"/>
  <c r="H68" i="3"/>
  <c r="I68" i="3" s="1"/>
  <c r="H98" i="3" s="1"/>
  <c r="I98" i="3" s="1"/>
  <c r="BJ69" i="3"/>
  <c r="BK69" i="3" s="1"/>
  <c r="BJ99" i="3" s="1"/>
  <c r="BK99" i="3" s="1"/>
  <c r="T74" i="3"/>
  <c r="U74" i="3" s="1"/>
  <c r="T104" i="3" s="1"/>
  <c r="U104" i="3" s="1"/>
  <c r="AX69" i="3"/>
  <c r="AX79" i="3" s="1"/>
  <c r="W75" i="3"/>
  <c r="X75" i="3" s="1"/>
  <c r="W105" i="3" s="1"/>
  <c r="X105" i="3" s="1"/>
  <c r="Z71" i="3"/>
  <c r="Z81" i="3" s="1"/>
  <c r="BG73" i="3"/>
  <c r="BH73" i="3" s="1"/>
  <c r="BG103" i="3" s="1"/>
  <c r="BH103" i="3" s="1"/>
  <c r="BP73" i="3"/>
  <c r="BQ73" i="3" s="1"/>
  <c r="BP103" i="3" s="1"/>
  <c r="BQ103" i="3" s="1"/>
  <c r="Z72" i="3"/>
  <c r="Z82" i="3" s="1"/>
  <c r="BM70" i="3"/>
  <c r="BN70" i="3" s="1"/>
  <c r="BM100" i="3" s="1"/>
  <c r="BN100" i="3" s="1"/>
  <c r="AU67" i="3"/>
  <c r="AU77" i="3" s="1"/>
  <c r="AV77" i="3" s="1"/>
  <c r="AU71" i="3"/>
  <c r="AV71" i="3" s="1"/>
  <c r="AU101" i="3" s="1"/>
  <c r="AV101" i="3" s="1"/>
  <c r="H4" i="37"/>
  <c r="I4" i="37" s="1"/>
  <c r="H16" i="37"/>
  <c r="I16" i="37" s="1"/>
  <c r="H73" i="3"/>
  <c r="I73" i="3" s="1"/>
  <c r="H103" i="3" s="1"/>
  <c r="I103" i="3" s="1"/>
  <c r="BA66" i="3"/>
  <c r="BA72" i="3"/>
  <c r="BB72" i="3" s="1"/>
  <c r="BA102" i="3" s="1"/>
  <c r="BB102" i="3" s="1"/>
  <c r="H75" i="3"/>
  <c r="BA68" i="3"/>
  <c r="BB68" i="3" s="1"/>
  <c r="BA98" i="3" s="1"/>
  <c r="BB98" i="3" s="1"/>
  <c r="Q75" i="3"/>
  <c r="R75" i="3" s="1"/>
  <c r="Q105" i="3" s="1"/>
  <c r="R105" i="3" s="1"/>
  <c r="BD68" i="3"/>
  <c r="AL74" i="3"/>
  <c r="AR72" i="3"/>
  <c r="AS72" i="3" s="1"/>
  <c r="AR102" i="3" s="1"/>
  <c r="AS102" i="3" s="1"/>
  <c r="AL73" i="3"/>
  <c r="AC75" i="3"/>
  <c r="AU72" i="3"/>
  <c r="AU82" i="3" s="1"/>
  <c r="BD67" i="3"/>
  <c r="Z74" i="3"/>
  <c r="AA74" i="3" s="1"/>
  <c r="Z104" i="3" s="1"/>
  <c r="AA104" i="3" s="1"/>
  <c r="BA75" i="3"/>
  <c r="BA85" i="3" s="1"/>
  <c r="AF74" i="3"/>
  <c r="AG74" i="3" s="1"/>
  <c r="AF104" i="3" s="1"/>
  <c r="AG104" i="3" s="1"/>
  <c r="AX66" i="3"/>
  <c r="AY66" i="3" s="1"/>
  <c r="AX96" i="3" s="1"/>
  <c r="AY96" i="3" s="1"/>
  <c r="BG71" i="3"/>
  <c r="T68" i="3"/>
  <c r="T78" i="3" s="1"/>
  <c r="AX67" i="3"/>
  <c r="T70" i="3"/>
  <c r="Q68" i="3"/>
  <c r="AL67" i="3"/>
  <c r="AL77" i="3" s="1"/>
  <c r="BJ66" i="3"/>
  <c r="BJ76" i="3" s="1"/>
  <c r="BK76" i="3" s="1"/>
  <c r="AC69" i="3"/>
  <c r="AL68" i="3"/>
  <c r="AM68" i="3" s="1"/>
  <c r="AL98" i="3" s="1"/>
  <c r="AM98" i="3" s="1"/>
  <c r="BJ72" i="3"/>
  <c r="BJ82" i="3" s="1"/>
  <c r="T73" i="3"/>
  <c r="AO68" i="3"/>
  <c r="AP68" i="3" s="1"/>
  <c r="AO98" i="3" s="1"/>
  <c r="AP98" i="3" s="1"/>
  <c r="BJ74" i="3"/>
  <c r="BJ84" i="3" s="1"/>
  <c r="AL69" i="3"/>
  <c r="AC68" i="3"/>
  <c r="AD68" i="3" s="1"/>
  <c r="AC98" i="3" s="1"/>
  <c r="AD98" i="3" s="1"/>
  <c r="AO67" i="3"/>
  <c r="AP67" i="3" s="1"/>
  <c r="AO97" i="3" s="1"/>
  <c r="AP97" i="3" s="1"/>
  <c r="AI72" i="3"/>
  <c r="AJ72" i="3" s="1"/>
  <c r="AI102" i="3" s="1"/>
  <c r="AJ102" i="3" s="1"/>
  <c r="AX71" i="3"/>
  <c r="AY71" i="3" s="1"/>
  <c r="AX101" i="3" s="1"/>
  <c r="AY101" i="3" s="1"/>
  <c r="Z68" i="3"/>
  <c r="AL66" i="3"/>
  <c r="Z73" i="3"/>
  <c r="AA73" i="3" s="1"/>
  <c r="Z103" i="3" s="1"/>
  <c r="AA103" i="3" s="1"/>
  <c r="W71" i="3"/>
  <c r="X71" i="3" s="1"/>
  <c r="W101" i="3" s="1"/>
  <c r="X101" i="3" s="1"/>
  <c r="BM66" i="3"/>
  <c r="AR73" i="3"/>
  <c r="H74" i="3"/>
  <c r="AF70" i="3"/>
  <c r="AO71" i="3"/>
  <c r="H67" i="3"/>
  <c r="N74" i="3"/>
  <c r="H71" i="3"/>
  <c r="AC74" i="3"/>
  <c r="AF67" i="3"/>
  <c r="W72" i="3"/>
  <c r="X72" i="3" s="1"/>
  <c r="W102" i="3" s="1"/>
  <c r="X102" i="3" s="1"/>
  <c r="BG72" i="3"/>
  <c r="BG82" i="3" s="1"/>
  <c r="BH82" i="3" s="1"/>
  <c r="W68" i="3"/>
  <c r="X68" i="3" s="1"/>
  <c r="W98" i="3" s="1"/>
  <c r="X98" i="3" s="1"/>
  <c r="BP72" i="3"/>
  <c r="H69" i="3"/>
  <c r="I69" i="3" s="1"/>
  <c r="H99" i="3" s="1"/>
  <c r="I99" i="3" s="1"/>
  <c r="AL72" i="3"/>
  <c r="AM72" i="3" s="1"/>
  <c r="AL102" i="3" s="1"/>
  <c r="AM102" i="3" s="1"/>
  <c r="Z70" i="3"/>
  <c r="AA70" i="3" s="1"/>
  <c r="Z100" i="3" s="1"/>
  <c r="AA100" i="3" s="1"/>
  <c r="AR75" i="3"/>
  <c r="AS75" i="3" s="1"/>
  <c r="AR105" i="3" s="1"/>
  <c r="AS105" i="3" s="1"/>
  <c r="BP70" i="3"/>
  <c r="BQ70" i="3" s="1"/>
  <c r="BP100" i="3" s="1"/>
  <c r="BQ100" i="3" s="1"/>
  <c r="Z69" i="3"/>
  <c r="AA69" i="3" s="1"/>
  <c r="Z99" i="3" s="1"/>
  <c r="AA99" i="3" s="1"/>
  <c r="BD75" i="3"/>
  <c r="BD85" i="3" s="1"/>
  <c r="AO75" i="3"/>
  <c r="AO85" i="3" s="1"/>
  <c r="AF68" i="3"/>
  <c r="AF78" i="3" s="1"/>
  <c r="Z67" i="3"/>
  <c r="AA67" i="3" s="1"/>
  <c r="Z97" i="3" s="1"/>
  <c r="AA97" i="3" s="1"/>
  <c r="BP67" i="3"/>
  <c r="BQ67" i="3" s="1"/>
  <c r="BP97" i="3" s="1"/>
  <c r="BQ97" i="3" s="1"/>
  <c r="BG68" i="3"/>
  <c r="BH68" i="3" s="1"/>
  <c r="BG98" i="3" s="1"/>
  <c r="BH98" i="3" s="1"/>
  <c r="H72" i="3"/>
  <c r="I72" i="3" s="1"/>
  <c r="H102" i="3" s="1"/>
  <c r="I102" i="3" s="1"/>
  <c r="N68" i="3"/>
  <c r="AX74" i="3"/>
  <c r="AX84" i="3" s="1"/>
  <c r="AY84" i="3" s="1"/>
  <c r="BD71" i="3"/>
  <c r="Q74" i="3"/>
  <c r="Q84" i="3" s="1"/>
  <c r="AX75" i="3"/>
  <c r="AY75" i="3" s="1"/>
  <c r="AX105" i="3" s="1"/>
  <c r="AY105" i="3" s="1"/>
  <c r="W73" i="3"/>
  <c r="X73" i="3" s="1"/>
  <c r="W103" i="3" s="1"/>
  <c r="X103" i="3" s="1"/>
  <c r="BG70" i="3"/>
  <c r="BG80" i="3" s="1"/>
  <c r="BH80" i="3" s="1"/>
  <c r="BJ71" i="3"/>
  <c r="BK71" i="3" s="1"/>
  <c r="BJ101" i="3" s="1"/>
  <c r="BK101" i="3" s="1"/>
  <c r="AI68" i="3"/>
  <c r="AJ68" i="3" s="1"/>
  <c r="AI98" i="3" s="1"/>
  <c r="AJ98" i="3" s="1"/>
  <c r="BM67" i="3"/>
  <c r="BN67" i="3" s="1"/>
  <c r="BM97" i="3" s="1"/>
  <c r="BN97" i="3" s="1"/>
  <c r="AI69" i="3"/>
  <c r="AJ69" i="3" s="1"/>
  <c r="AI99" i="3" s="1"/>
  <c r="AJ99" i="3" s="1"/>
  <c r="AI73" i="3"/>
  <c r="AJ73" i="3" s="1"/>
  <c r="AI103" i="3" s="1"/>
  <c r="AJ103" i="3" s="1"/>
  <c r="AL71" i="3"/>
  <c r="AM71" i="3" s="1"/>
  <c r="AL101" i="3" s="1"/>
  <c r="AM101" i="3" s="1"/>
  <c r="BG66" i="3"/>
  <c r="BH66" i="3" s="1"/>
  <c r="BG96" i="3" s="1"/>
  <c r="BH96" i="3" s="1"/>
  <c r="W66" i="3"/>
  <c r="X66" i="3" s="1"/>
  <c r="W96" i="3" s="1"/>
  <c r="X96" i="3" s="1"/>
  <c r="BJ68" i="3"/>
  <c r="BK68" i="3" s="1"/>
  <c r="BJ98" i="3" s="1"/>
  <c r="BK98" i="3" s="1"/>
  <c r="Z66" i="3"/>
  <c r="AA66" i="3" s="1"/>
  <c r="Z96" i="3" s="1"/>
  <c r="AA96" i="3" s="1"/>
  <c r="AX72" i="3"/>
  <c r="AX82" i="3" s="1"/>
  <c r="N73" i="3"/>
  <c r="N83" i="3" s="1"/>
  <c r="BM73" i="3"/>
  <c r="BN73" i="3" s="1"/>
  <c r="BM103" i="3" s="1"/>
  <c r="BN103" i="3" s="1"/>
  <c r="N75" i="3"/>
  <c r="O75" i="3" s="1"/>
  <c r="N105" i="3" s="1"/>
  <c r="O105" i="3" s="1"/>
  <c r="AU69" i="3"/>
  <c r="AU79" i="3" s="1"/>
  <c r="Q69" i="3"/>
  <c r="R69" i="3" s="1"/>
  <c r="Q99" i="3" s="1"/>
  <c r="R99" i="3" s="1"/>
  <c r="AX70" i="3"/>
  <c r="AY70" i="3" s="1"/>
  <c r="AX100" i="3" s="1"/>
  <c r="AY100" i="3" s="1"/>
  <c r="N67" i="3"/>
  <c r="O67" i="3" s="1"/>
  <c r="N97" i="3" s="1"/>
  <c r="O97" i="3" s="1"/>
  <c r="AU66" i="3"/>
  <c r="AV66" i="3" s="1"/>
  <c r="AU96" i="3" s="1"/>
  <c r="AV96" i="3" s="1"/>
  <c r="BM71" i="3"/>
  <c r="BN71" i="3" s="1"/>
  <c r="BM101" i="3" s="1"/>
  <c r="BN101" i="3" s="1"/>
  <c r="AC71" i="3"/>
  <c r="AX73" i="3"/>
  <c r="AY73" i="3" s="1"/>
  <c r="AX103" i="3" s="1"/>
  <c r="AY103" i="3" s="1"/>
  <c r="BP68" i="3"/>
  <c r="BQ68" i="3" s="1"/>
  <c r="BP98" i="3" s="1"/>
  <c r="BQ98" i="3" s="1"/>
  <c r="Q73" i="3"/>
  <c r="R73" i="3" s="1"/>
  <c r="Q103" i="3" s="1"/>
  <c r="R103" i="3" s="1"/>
  <c r="AU74" i="3"/>
  <c r="AV74" i="3" s="1"/>
  <c r="AU104" i="3" s="1"/>
  <c r="AV104" i="3" s="1"/>
  <c r="AI67" i="3"/>
  <c r="AJ67" i="3" s="1"/>
  <c r="AI97" i="3" s="1"/>
  <c r="AJ97" i="3" s="1"/>
  <c r="BA70" i="3"/>
  <c r="BA80" i="3" s="1"/>
  <c r="BB80" i="3" s="1"/>
  <c r="BG69" i="3"/>
  <c r="BH69" i="3" s="1"/>
  <c r="BG99" i="3" s="1"/>
  <c r="BH99" i="3" s="1"/>
  <c r="H70" i="3"/>
  <c r="I70" i="3" s="1"/>
  <c r="H100" i="3" s="1"/>
  <c r="I100" i="3" s="1"/>
  <c r="BD66" i="3"/>
  <c r="BE66" i="3" s="1"/>
  <c r="BD96" i="3" s="1"/>
  <c r="BE96" i="3" s="1"/>
  <c r="AF75" i="3"/>
  <c r="AG75" i="3" s="1"/>
  <c r="AF105" i="3" s="1"/>
  <c r="AG105" i="3" s="1"/>
  <c r="AC66" i="3"/>
  <c r="AC76" i="3" s="1"/>
  <c r="BD70" i="3"/>
  <c r="BE70" i="3" s="1"/>
  <c r="BD100" i="3" s="1"/>
  <c r="BE100" i="3" s="1"/>
  <c r="Q71" i="3"/>
  <c r="R71" i="3" s="1"/>
  <c r="Q101" i="3" s="1"/>
  <c r="R101" i="3" s="1"/>
  <c r="BA73" i="3"/>
  <c r="BA83" i="3" s="1"/>
  <c r="N69" i="3"/>
  <c r="O69" i="3" s="1"/>
  <c r="N99" i="3" s="1"/>
  <c r="O99" i="3" s="1"/>
  <c r="AO70" i="3"/>
  <c r="AP70" i="3" s="1"/>
  <c r="AO100" i="3" s="1"/>
  <c r="AP100" i="3" s="1"/>
  <c r="AC72" i="3"/>
  <c r="AD72" i="3" s="1"/>
  <c r="AC102" i="3" s="1"/>
  <c r="AD102" i="3" s="1"/>
  <c r="AR74" i="3"/>
  <c r="AS74" i="3" s="1"/>
  <c r="AR104" i="3" s="1"/>
  <c r="AS104" i="3" s="1"/>
  <c r="AF72" i="3"/>
  <c r="AG72" i="3" s="1"/>
  <c r="AF102" i="3" s="1"/>
  <c r="AG102" i="3" s="1"/>
  <c r="W70" i="3"/>
  <c r="W80" i="3" s="1"/>
  <c r="AI71" i="3"/>
  <c r="AJ71" i="3" s="1"/>
  <c r="AI101" i="3" s="1"/>
  <c r="AJ101" i="3" s="1"/>
  <c r="AL70" i="3"/>
  <c r="AM70" i="3" s="1"/>
  <c r="AL100" i="3" s="1"/>
  <c r="AM100" i="3" s="1"/>
  <c r="BP66" i="3"/>
  <c r="BQ66" i="3" s="1"/>
  <c r="BP96" i="3" s="1"/>
  <c r="BQ96" i="3" s="1"/>
  <c r="AX68" i="3"/>
  <c r="AY68" i="3" s="1"/>
  <c r="AX98" i="3" s="1"/>
  <c r="AY98" i="3" s="1"/>
  <c r="Q67" i="3"/>
  <c r="R67" i="3" s="1"/>
  <c r="Q97" i="3" s="1"/>
  <c r="R97" i="3" s="1"/>
  <c r="BJ75" i="3"/>
  <c r="BK75" i="3" s="1"/>
  <c r="BJ105" i="3" s="1"/>
  <c r="BK105" i="3" s="1"/>
  <c r="AR67" i="3"/>
  <c r="AS67" i="3" s="1"/>
  <c r="AR97" i="3" s="1"/>
  <c r="AS97" i="3" s="1"/>
  <c r="BP75" i="3"/>
  <c r="BQ75" i="3" s="1"/>
  <c r="BP105" i="3" s="1"/>
  <c r="BQ105" i="3" s="1"/>
  <c r="AF71" i="3"/>
  <c r="AG71" i="3" s="1"/>
  <c r="AF101" i="3" s="1"/>
  <c r="AG101" i="3" s="1"/>
  <c r="BA71" i="3"/>
  <c r="BA81" i="3" s="1"/>
  <c r="H66" i="3"/>
  <c r="I66" i="3" s="1"/>
  <c r="H96" i="3" s="1"/>
  <c r="I96" i="3" s="1"/>
  <c r="T72" i="3"/>
  <c r="T82" i="3" s="1"/>
  <c r="BA74" i="3"/>
  <c r="BB74" i="3" s="1"/>
  <c r="BA104" i="3" s="1"/>
  <c r="BB104" i="3" s="1"/>
  <c r="BP69" i="3"/>
  <c r="BQ69" i="3" s="1"/>
  <c r="BP99" i="3" s="1"/>
  <c r="BQ99" i="3" s="1"/>
  <c r="AU73" i="3"/>
  <c r="AU83" i="3" s="1"/>
  <c r="AC67" i="3"/>
  <c r="AC77" i="3" s="1"/>
  <c r="BP71" i="3"/>
  <c r="BQ71" i="3" s="1"/>
  <c r="BP101" i="3" s="1"/>
  <c r="BQ101" i="3" s="1"/>
  <c r="T69" i="3"/>
  <c r="U69" i="3" s="1"/>
  <c r="T99" i="3" s="1"/>
  <c r="U99" i="3" s="1"/>
  <c r="BJ73" i="3"/>
  <c r="BK73" i="3" s="1"/>
  <c r="BJ103" i="3" s="1"/>
  <c r="BK103" i="3" s="1"/>
  <c r="AR71" i="3"/>
  <c r="AR81" i="3" s="1"/>
  <c r="BD73" i="3"/>
  <c r="BE73" i="3" s="1"/>
  <c r="BD103" i="3" s="1"/>
  <c r="BE103" i="3" s="1"/>
  <c r="AU70" i="3"/>
  <c r="AV70" i="3" s="1"/>
  <c r="AU100" i="3" s="1"/>
  <c r="AV100" i="3" s="1"/>
  <c r="T71" i="3"/>
  <c r="U71" i="3" s="1"/>
  <c r="T101" i="3" s="1"/>
  <c r="U101" i="3" s="1"/>
  <c r="AF66" i="3"/>
  <c r="AF76" i="3" s="1"/>
  <c r="BM74" i="3"/>
  <c r="BN74" i="3" s="1"/>
  <c r="BM104" i="3" s="1"/>
  <c r="BN104" i="3" s="1"/>
  <c r="BJ67" i="3"/>
  <c r="BJ77" i="3" s="1"/>
  <c r="BK77" i="3" s="1"/>
  <c r="AR68" i="3"/>
  <c r="AR78" i="3" s="1"/>
  <c r="AF73" i="3"/>
  <c r="AG73" i="3" s="1"/>
  <c r="AF103" i="3" s="1"/>
  <c r="AG103" i="3" s="1"/>
  <c r="N66" i="3"/>
  <c r="O66" i="3" s="1"/>
  <c r="N96" i="3" s="1"/>
  <c r="O96" i="3" s="1"/>
  <c r="AR69" i="3"/>
  <c r="AR79" i="3" s="1"/>
  <c r="T67" i="3"/>
  <c r="U67" i="3" s="1"/>
  <c r="T97" i="3" s="1"/>
  <c r="U97" i="3" s="1"/>
  <c r="BM69" i="3"/>
  <c r="BN69" i="3" s="1"/>
  <c r="BM99" i="3" s="1"/>
  <c r="BN99" i="3" s="1"/>
  <c r="T75" i="3"/>
  <c r="U75" i="3" s="1"/>
  <c r="T105" i="3" s="1"/>
  <c r="U105" i="3" s="1"/>
  <c r="BJ70" i="3"/>
  <c r="BK70" i="3" s="1"/>
  <c r="BJ100" i="3" s="1"/>
  <c r="BK100" i="3" s="1"/>
  <c r="AC73" i="3"/>
  <c r="AD73" i="3" s="1"/>
  <c r="AC103" i="3" s="1"/>
  <c r="AD103" i="3" s="1"/>
  <c r="AF69" i="3"/>
  <c r="AG69" i="3" s="1"/>
  <c r="AF99" i="3" s="1"/>
  <c r="AG99" i="3" s="1"/>
  <c r="AR66" i="3"/>
  <c r="AS66" i="3" s="1"/>
  <c r="AR96" i="3" s="1"/>
  <c r="AS96" i="3" s="1"/>
  <c r="W74" i="3"/>
  <c r="W84" i="3" s="1"/>
  <c r="AI75" i="3"/>
  <c r="AI85" i="3" s="1"/>
  <c r="BD74" i="3"/>
  <c r="BE74" i="3" s="1"/>
  <c r="BD104" i="3" s="1"/>
  <c r="BE104" i="3" s="1"/>
  <c r="AO74" i="3"/>
  <c r="AP74" i="3" s="1"/>
  <c r="AO104" i="3" s="1"/>
  <c r="AP104" i="3" s="1"/>
  <c r="W69" i="3"/>
  <c r="X69" i="3" s="1"/>
  <c r="W99" i="3" s="1"/>
  <c r="X99" i="3" s="1"/>
  <c r="AO66" i="3"/>
  <c r="AP66" i="3" s="1"/>
  <c r="AO96" i="3" s="1"/>
  <c r="AP96" i="3" s="1"/>
  <c r="Z75" i="3"/>
  <c r="AA75" i="3" s="1"/>
  <c r="Z105" i="3" s="1"/>
  <c r="AA105" i="3" s="1"/>
  <c r="BM75" i="3"/>
  <c r="BN75" i="3" s="1"/>
  <c r="BM105" i="3" s="1"/>
  <c r="BN105" i="3" s="1"/>
  <c r="Q72" i="3"/>
  <c r="R72" i="3" s="1"/>
  <c r="Q102" i="3" s="1"/>
  <c r="R102" i="3" s="1"/>
  <c r="BG67" i="3"/>
  <c r="BG77" i="3" s="1"/>
  <c r="BH77" i="3" s="1"/>
  <c r="Q70" i="3"/>
  <c r="R70" i="3" s="1"/>
  <c r="Q100" i="3" s="1"/>
  <c r="R100" i="3" s="1"/>
  <c r="BA67" i="3"/>
  <c r="BB67" i="3" s="1"/>
  <c r="BA97" i="3" s="1"/>
  <c r="BB97" i="3" s="1"/>
  <c r="BD72" i="3"/>
  <c r="BD82" i="3" s="1"/>
  <c r="AL75" i="3"/>
  <c r="AM75" i="3" s="1"/>
  <c r="AL105" i="3" s="1"/>
  <c r="AM105" i="3" s="1"/>
  <c r="T66" i="3"/>
  <c r="T76" i="3" s="1"/>
  <c r="U76" i="3" s="1"/>
  <c r="W67" i="3"/>
  <c r="W77" i="3" s="1"/>
  <c r="X77" i="3" s="1"/>
  <c r="BM68" i="3"/>
  <c r="BM78" i="3" s="1"/>
  <c r="AI70" i="3"/>
  <c r="AJ70" i="3" s="1"/>
  <c r="AI100" i="3" s="1"/>
  <c r="AJ100" i="3" s="1"/>
  <c r="AU75" i="3"/>
  <c r="AV75" i="3" s="1"/>
  <c r="AU105" i="3" s="1"/>
  <c r="AV105" i="3" s="1"/>
  <c r="AO73" i="3"/>
  <c r="AP73" i="3" s="1"/>
  <c r="AO103" i="3" s="1"/>
  <c r="AP103" i="3" s="1"/>
  <c r="AO72" i="3"/>
  <c r="AP72" i="3" s="1"/>
  <c r="AO102" i="3" s="1"/>
  <c r="AP102" i="3" s="1"/>
  <c r="AI74" i="3"/>
  <c r="AJ74" i="3" s="1"/>
  <c r="AI104" i="3" s="1"/>
  <c r="AJ104" i="3" s="1"/>
  <c r="AU68" i="3"/>
  <c r="AV68" i="3" s="1"/>
  <c r="AU98" i="3" s="1"/>
  <c r="AV98" i="3" s="1"/>
  <c r="N72" i="3"/>
  <c r="N82" i="3" s="1"/>
  <c r="K74" i="3"/>
  <c r="L74" i="3" s="1"/>
  <c r="K104" i="3" s="1"/>
  <c r="L104" i="3" s="1"/>
  <c r="K135" i="3"/>
  <c r="K133" i="3"/>
  <c r="K131" i="3"/>
  <c r="L127" i="3"/>
  <c r="K134" i="3"/>
  <c r="K130" i="3"/>
  <c r="K126" i="3"/>
  <c r="K129" i="3"/>
  <c r="K132" i="3"/>
  <c r="K128" i="3"/>
  <c r="K71" i="3"/>
  <c r="K81" i="3" s="1"/>
  <c r="K70" i="3"/>
  <c r="K80" i="3" s="1"/>
  <c r="K69" i="3"/>
  <c r="K68" i="3"/>
  <c r="L68" i="3" s="1"/>
  <c r="K98" i="3" s="1"/>
  <c r="K75" i="3"/>
  <c r="K85" i="3" s="1"/>
  <c r="K73" i="3"/>
  <c r="K72" i="3"/>
  <c r="K77" i="3"/>
  <c r="L67" i="3"/>
  <c r="K66" i="3"/>
  <c r="K64" i="9" l="1"/>
  <c r="K42" i="9"/>
  <c r="K40" i="9"/>
  <c r="G46" i="9"/>
  <c r="T16" i="37"/>
  <c r="D85" i="3"/>
  <c r="AS78" i="3"/>
  <c r="BB81" i="3"/>
  <c r="D80" i="3"/>
  <c r="D79" i="3"/>
  <c r="D84" i="3"/>
  <c r="D81" i="3"/>
  <c r="S9" i="4" s="1"/>
  <c r="Y9" i="4" s="1"/>
  <c r="D82" i="3"/>
  <c r="S10" i="4" s="1"/>
  <c r="J22" i="32"/>
  <c r="J20" i="32"/>
  <c r="L26" i="30"/>
  <c r="L52" i="30"/>
  <c r="L121" i="30"/>
  <c r="C14" i="6"/>
  <c r="S89" i="9"/>
  <c r="S80" i="9"/>
  <c r="S86" i="9"/>
  <c r="S79" i="9"/>
  <c r="S60" i="10"/>
  <c r="S98" i="9"/>
  <c r="S93" i="9"/>
  <c r="S88" i="9"/>
  <c r="S84" i="9"/>
  <c r="S81" i="9"/>
  <c r="O80" i="3"/>
  <c r="F94" i="3"/>
  <c r="X6" i="4"/>
  <c r="AP85" i="3"/>
  <c r="AM77" i="3"/>
  <c r="X5" i="4"/>
  <c r="F109" i="3"/>
  <c r="AV4" i="20"/>
  <c r="Q17" i="20"/>
  <c r="Q16" i="20" s="1"/>
  <c r="F120" i="3"/>
  <c r="U82" i="3"/>
  <c r="R84" i="3"/>
  <c r="R6" i="6"/>
  <c r="U6" i="6" s="1"/>
  <c r="B6" i="2" s="1"/>
  <c r="E9" i="4"/>
  <c r="X10" i="4"/>
  <c r="R10" i="6"/>
  <c r="T10" i="6" s="1"/>
  <c r="W9" i="4"/>
  <c r="X9" i="4" s="1"/>
  <c r="F93" i="3"/>
  <c r="E7" i="4"/>
  <c r="U5" i="6"/>
  <c r="B5" i="2" s="1"/>
  <c r="AJ4" i="20"/>
  <c r="H8" i="4"/>
  <c r="X13" i="4"/>
  <c r="W7" i="4"/>
  <c r="X11" i="4"/>
  <c r="E5" i="4"/>
  <c r="F123" i="3"/>
  <c r="M96" i="30"/>
  <c r="M214" i="30"/>
  <c r="M144" i="30"/>
  <c r="D3" i="32"/>
  <c r="D4" i="32"/>
  <c r="D15" i="32"/>
  <c r="D14" i="32"/>
  <c r="D10" i="32"/>
  <c r="D13" i="32"/>
  <c r="D12" i="32"/>
  <c r="M3" i="30" s="1"/>
  <c r="D11" i="32"/>
  <c r="D9" i="32"/>
  <c r="M9" i="30" s="1"/>
  <c r="D8" i="32"/>
  <c r="M120" i="30" s="1"/>
  <c r="D7" i="32"/>
  <c r="D6" i="32"/>
  <c r="N144" i="30"/>
  <c r="N214" i="30"/>
  <c r="N96" i="30"/>
  <c r="C7" i="32"/>
  <c r="C6" i="32"/>
  <c r="C10" i="32"/>
  <c r="C15" i="32"/>
  <c r="C13" i="32"/>
  <c r="C12" i="32"/>
  <c r="N3" i="30" s="1"/>
  <c r="C11" i="32"/>
  <c r="C14" i="32"/>
  <c r="N11" i="30" s="1"/>
  <c r="C9" i="32"/>
  <c r="C8" i="32"/>
  <c r="N120" i="30" s="1"/>
  <c r="C4" i="32"/>
  <c r="C3" i="32"/>
  <c r="F125" i="3"/>
  <c r="F119" i="3"/>
  <c r="D14" i="4"/>
  <c r="X7" i="4"/>
  <c r="X12" i="4"/>
  <c r="F112" i="3"/>
  <c r="E10" i="4"/>
  <c r="E12" i="4"/>
  <c r="F106" i="3"/>
  <c r="E4" i="4"/>
  <c r="AG4" i="20"/>
  <c r="V4" i="4"/>
  <c r="B4" i="2" s="1"/>
  <c r="BB83" i="3"/>
  <c r="X84" i="3"/>
  <c r="U78" i="3"/>
  <c r="AV82" i="3"/>
  <c r="BE82" i="3"/>
  <c r="AG76" i="3"/>
  <c r="BK82" i="3"/>
  <c r="AS81" i="3"/>
  <c r="AJ85" i="3"/>
  <c r="AD77" i="3"/>
  <c r="BE85" i="3"/>
  <c r="BK84" i="3"/>
  <c r="AY82" i="3"/>
  <c r="O83" i="3"/>
  <c r="AG78" i="3"/>
  <c r="AD76" i="3"/>
  <c r="AA82" i="3"/>
  <c r="BE79" i="3"/>
  <c r="BB79" i="3"/>
  <c r="O82" i="3"/>
  <c r="AV79" i="3"/>
  <c r="AY79" i="3"/>
  <c r="X80" i="3"/>
  <c r="AV83" i="3"/>
  <c r="BB85" i="3"/>
  <c r="BN78" i="3"/>
  <c r="AA81" i="3"/>
  <c r="L80" i="3"/>
  <c r="AS79" i="3"/>
  <c r="L81" i="3"/>
  <c r="W62" i="10"/>
  <c r="X56" i="10"/>
  <c r="P61" i="10"/>
  <c r="W87" i="9"/>
  <c r="N81" i="9"/>
  <c r="L96" i="9"/>
  <c r="W61" i="10"/>
  <c r="Y89" i="9"/>
  <c r="Y98" i="9"/>
  <c r="J83" i="9"/>
  <c r="X89" i="9"/>
  <c r="O97" i="9"/>
  <c r="K86" i="9"/>
  <c r="R64" i="10"/>
  <c r="J97" i="9"/>
  <c r="Y62" i="10"/>
  <c r="Y85" i="9"/>
  <c r="M84" i="9"/>
  <c r="Y59" i="10"/>
  <c r="X80" i="9"/>
  <c r="W97" i="9"/>
  <c r="W89" i="9"/>
  <c r="X94" i="9"/>
  <c r="K60" i="10"/>
  <c r="W65" i="10"/>
  <c r="X84" i="9"/>
  <c r="Q91" i="9"/>
  <c r="W59" i="10"/>
  <c r="O94" i="9"/>
  <c r="X90" i="9"/>
  <c r="W58" i="10"/>
  <c r="X86" i="9"/>
  <c r="W56" i="10"/>
  <c r="R96" i="9"/>
  <c r="J62" i="10"/>
  <c r="L87" i="9"/>
  <c r="W92" i="9"/>
  <c r="G63" i="10"/>
  <c r="K97" i="9"/>
  <c r="M60" i="10"/>
  <c r="W79" i="9"/>
  <c r="X79" i="9"/>
  <c r="X62" i="10"/>
  <c r="J65" i="10"/>
  <c r="X65" i="10"/>
  <c r="K92" i="9"/>
  <c r="T7" i="37"/>
  <c r="T5" i="37"/>
  <c r="T6" i="37"/>
  <c r="T8" i="37"/>
  <c r="T4" i="37"/>
  <c r="T9" i="37"/>
  <c r="T15" i="37"/>
  <c r="V20" i="37"/>
  <c r="T12" i="37"/>
  <c r="V22" i="37"/>
  <c r="L149" i="30"/>
  <c r="L109" i="30"/>
  <c r="L112" i="30"/>
  <c r="L48" i="30"/>
  <c r="L32" i="30"/>
  <c r="L37" i="30"/>
  <c r="L147" i="30"/>
  <c r="L169" i="30"/>
  <c r="L101" i="30"/>
  <c r="L78" i="30"/>
  <c r="L183" i="30"/>
  <c r="L181" i="30"/>
  <c r="L115" i="30"/>
  <c r="L182" i="30"/>
  <c r="L160" i="30"/>
  <c r="L161" i="30"/>
  <c r="L30" i="30"/>
  <c r="L74" i="30"/>
  <c r="L75" i="30"/>
  <c r="L217" i="30"/>
  <c r="L195" i="30"/>
  <c r="L16" i="30"/>
  <c r="L60" i="30"/>
  <c r="L126" i="30"/>
  <c r="L203" i="30"/>
  <c r="L170" i="30"/>
  <c r="L122" i="30"/>
  <c r="L12" i="30"/>
  <c r="L61" i="30"/>
  <c r="L127" i="30"/>
  <c r="L202" i="30"/>
  <c r="L191" i="30"/>
  <c r="L62" i="30"/>
  <c r="L132" i="30"/>
  <c r="L210" i="30"/>
  <c r="L19" i="30"/>
  <c r="L41" i="30"/>
  <c r="L63" i="30"/>
  <c r="L129" i="30"/>
  <c r="L220" i="30"/>
  <c r="L198" i="30"/>
  <c r="L42" i="30"/>
  <c r="L64" i="30"/>
  <c r="L130" i="30"/>
  <c r="L152" i="30"/>
  <c r="L154" i="30"/>
  <c r="L57" i="30"/>
  <c r="L21" i="30"/>
  <c r="L43" i="30"/>
  <c r="L65" i="30"/>
  <c r="L131" i="30"/>
  <c r="L153" i="30"/>
  <c r="L22" i="30"/>
  <c r="L44" i="30"/>
  <c r="L66" i="30"/>
  <c r="L23" i="30"/>
  <c r="L45" i="30"/>
  <c r="L67" i="30"/>
  <c r="L133" i="30"/>
  <c r="L155" i="30"/>
  <c r="L201" i="30"/>
  <c r="L190" i="30"/>
  <c r="L68" i="30"/>
  <c r="L90" i="30"/>
  <c r="L134" i="30"/>
  <c r="L156" i="30"/>
  <c r="L135" i="30"/>
  <c r="L70" i="30"/>
  <c r="L114" i="30"/>
  <c r="L158" i="30"/>
  <c r="L58" i="30"/>
  <c r="L25" i="30"/>
  <c r="L69" i="30"/>
  <c r="L157" i="30"/>
  <c r="L123" i="30"/>
  <c r="L197" i="30"/>
  <c r="L199" i="30"/>
  <c r="L27" i="30"/>
  <c r="L49" i="30"/>
  <c r="L71" i="30"/>
  <c r="L159" i="30"/>
  <c r="L193" i="30"/>
  <c r="L171" i="30"/>
  <c r="L28" i="30"/>
  <c r="L50" i="30"/>
  <c r="L14" i="30"/>
  <c r="L124" i="30"/>
  <c r="L29" i="30"/>
  <c r="L51" i="30"/>
  <c r="L200" i="30"/>
  <c r="L56" i="30"/>
  <c r="L53" i="30"/>
  <c r="L119" i="30"/>
  <c r="L54" i="30"/>
  <c r="L196" i="30"/>
  <c r="L15" i="30"/>
  <c r="L125" i="30"/>
  <c r="L219" i="30"/>
  <c r="L215" i="30"/>
  <c r="L144" i="30"/>
  <c r="L214" i="30"/>
  <c r="L96" i="30"/>
  <c r="L128" i="30"/>
  <c r="L46" i="30"/>
  <c r="L47" i="30"/>
  <c r="L33" i="30"/>
  <c r="L36" i="30"/>
  <c r="L39" i="30"/>
  <c r="L107" i="30"/>
  <c r="L20" i="30"/>
  <c r="L108" i="30"/>
  <c r="L34" i="30"/>
  <c r="L35" i="30"/>
  <c r="L31" i="30"/>
  <c r="L38" i="30"/>
  <c r="L105" i="30"/>
  <c r="L111" i="30"/>
  <c r="L163" i="30"/>
  <c r="L206" i="30"/>
  <c r="L82" i="30"/>
  <c r="L104" i="30"/>
  <c r="L192" i="30"/>
  <c r="L79" i="30"/>
  <c r="L83" i="30"/>
  <c r="L40" i="30"/>
  <c r="L84" i="30"/>
  <c r="L106" i="30"/>
  <c r="L150" i="30"/>
  <c r="L85" i="30"/>
  <c r="L151" i="30"/>
  <c r="L13" i="30"/>
  <c r="L145" i="30"/>
  <c r="L209" i="30"/>
  <c r="L86" i="30"/>
  <c r="L87" i="30"/>
  <c r="L205" i="30"/>
  <c r="L212" i="30"/>
  <c r="L136" i="30"/>
  <c r="L167" i="30"/>
  <c r="L146" i="30"/>
  <c r="L77" i="30"/>
  <c r="L208" i="30"/>
  <c r="L137" i="30"/>
  <c r="L143" i="30"/>
  <c r="L80" i="30"/>
  <c r="L204" i="30"/>
  <c r="L72" i="30"/>
  <c r="L94" i="30"/>
  <c r="L138" i="30"/>
  <c r="L73" i="30"/>
  <c r="L95" i="30"/>
  <c r="L139" i="30"/>
  <c r="L211" i="30"/>
  <c r="L140" i="30"/>
  <c r="L97" i="30"/>
  <c r="L141" i="30"/>
  <c r="L76" i="30"/>
  <c r="L98" i="30"/>
  <c r="L142" i="30"/>
  <c r="L207" i="30"/>
  <c r="L59" i="30"/>
  <c r="L81" i="30"/>
  <c r="L103" i="30"/>
  <c r="L184" i="30"/>
  <c r="L173" i="30"/>
  <c r="L165" i="30"/>
  <c r="L168" i="30"/>
  <c r="L17" i="30"/>
  <c r="L180" i="30"/>
  <c r="L102" i="30"/>
  <c r="L187" i="30"/>
  <c r="L176" i="30"/>
  <c r="L99" i="30"/>
  <c r="L166" i="30"/>
  <c r="L216" i="30"/>
  <c r="L88" i="30"/>
  <c r="L89" i="30"/>
  <c r="L92" i="30"/>
  <c r="L179" i="30"/>
  <c r="L175" i="30"/>
  <c r="L55" i="30"/>
  <c r="L188" i="30"/>
  <c r="L91" i="30"/>
  <c r="L186" i="30"/>
  <c r="L93" i="30"/>
  <c r="L100" i="30"/>
  <c r="L177" i="30"/>
  <c r="L116" i="30"/>
  <c r="L164" i="30"/>
  <c r="L189" i="30"/>
  <c r="L178" i="30"/>
  <c r="L162" i="30"/>
  <c r="L174" i="30"/>
  <c r="L218" i="30"/>
  <c r="L185" i="30"/>
  <c r="F14" i="4"/>
  <c r="M65" i="9"/>
  <c r="M61" i="9"/>
  <c r="M44" i="9"/>
  <c r="M42" i="9"/>
  <c r="M63" i="9"/>
  <c r="O39" i="9"/>
  <c r="O66" i="9"/>
  <c r="M64" i="9"/>
  <c r="M43" i="9"/>
  <c r="M66" i="9"/>
  <c r="M62" i="9"/>
  <c r="M45" i="9"/>
  <c r="M46" i="9"/>
  <c r="I62" i="9"/>
  <c r="I44" i="9"/>
  <c r="J65" i="9"/>
  <c r="J64" i="9"/>
  <c r="J63" i="9"/>
  <c r="L58" i="10"/>
  <c r="M81" i="9"/>
  <c r="P58" i="10"/>
  <c r="L56" i="10"/>
  <c r="N58" i="10"/>
  <c r="N61" i="10"/>
  <c r="O63" i="10"/>
  <c r="M57" i="10"/>
  <c r="P65" i="10"/>
  <c r="M95" i="9"/>
  <c r="M90" i="9"/>
  <c r="N90" i="9"/>
  <c r="M64" i="10"/>
  <c r="M93" i="9"/>
  <c r="P86" i="9"/>
  <c r="P62" i="10"/>
  <c r="Q87" i="9"/>
  <c r="M98" i="9"/>
  <c r="M87" i="9"/>
  <c r="P57" i="10"/>
  <c r="Q63" i="10"/>
  <c r="R97" i="9"/>
  <c r="M61" i="10"/>
  <c r="M82" i="9"/>
  <c r="P59" i="10"/>
  <c r="P64" i="10"/>
  <c r="R91" i="9"/>
  <c r="R81" i="9"/>
  <c r="O89" i="9"/>
  <c r="M79" i="9"/>
  <c r="M96" i="9"/>
  <c r="M85" i="9"/>
  <c r="M94" i="9"/>
  <c r="N85" i="9"/>
  <c r="N64" i="10"/>
  <c r="M97" i="9"/>
  <c r="L65" i="10"/>
  <c r="R88" i="9"/>
  <c r="Q88" i="9"/>
  <c r="R80" i="9"/>
  <c r="R89" i="9"/>
  <c r="W100" i="9"/>
  <c r="X100" i="9"/>
  <c r="J94" i="9"/>
  <c r="J61" i="10"/>
  <c r="K65" i="10"/>
  <c r="H97" i="9"/>
  <c r="J93" i="9"/>
  <c r="I90" i="9"/>
  <c r="I95" i="9"/>
  <c r="J56" i="10"/>
  <c r="W120" i="9"/>
  <c r="I94" i="9"/>
  <c r="I81" i="9"/>
  <c r="Y100" i="9"/>
  <c r="I86" i="9"/>
  <c r="X120" i="9"/>
  <c r="X124" i="9"/>
  <c r="Y106" i="9"/>
  <c r="Y122" i="9"/>
  <c r="W129" i="9"/>
  <c r="Y95" i="9"/>
  <c r="Y126" i="9"/>
  <c r="Y90" i="9"/>
  <c r="Y120" i="9"/>
  <c r="X101" i="9"/>
  <c r="Y128" i="9"/>
  <c r="Y81" i="9"/>
  <c r="Y79" i="9"/>
  <c r="Y96" i="9"/>
  <c r="Y82" i="9"/>
  <c r="W125" i="9"/>
  <c r="Y91" i="9"/>
  <c r="W128" i="9"/>
  <c r="Y94" i="9"/>
  <c r="Y104" i="9"/>
  <c r="Y127" i="9"/>
  <c r="Y88" i="9"/>
  <c r="Y61" i="10"/>
  <c r="X106" i="9"/>
  <c r="Y102" i="9"/>
  <c r="Y92" i="9"/>
  <c r="Y97" i="9"/>
  <c r="Y56" i="10"/>
  <c r="Y80" i="9"/>
  <c r="Y86" i="9"/>
  <c r="Y57" i="10"/>
  <c r="Y125" i="9"/>
  <c r="Y64" i="10"/>
  <c r="Y124" i="9"/>
  <c r="Y109" i="9"/>
  <c r="X123" i="9"/>
  <c r="Y129" i="9"/>
  <c r="Y93" i="9"/>
  <c r="Y101" i="9"/>
  <c r="Y108" i="9"/>
  <c r="Y87" i="9"/>
  <c r="Y63" i="10"/>
  <c r="Y60" i="10"/>
  <c r="Y83" i="9"/>
  <c r="Y65" i="10"/>
  <c r="Y84" i="9"/>
  <c r="Y58" i="10"/>
  <c r="Y121" i="9"/>
  <c r="Y107" i="9"/>
  <c r="Y103" i="9"/>
  <c r="Y123" i="9"/>
  <c r="W122" i="9"/>
  <c r="Y105" i="9"/>
  <c r="W108" i="9"/>
  <c r="W104" i="9"/>
  <c r="X125" i="9"/>
  <c r="W107" i="9"/>
  <c r="X109" i="9"/>
  <c r="X93" i="9"/>
  <c r="W102" i="9"/>
  <c r="W126" i="9"/>
  <c r="X129" i="9"/>
  <c r="X104" i="9"/>
  <c r="X108" i="9"/>
  <c r="W80" i="9"/>
  <c r="W124" i="9"/>
  <c r="W84" i="9"/>
  <c r="X105" i="9"/>
  <c r="X96" i="9"/>
  <c r="W86" i="9"/>
  <c r="W109" i="9"/>
  <c r="X83" i="9"/>
  <c r="X61" i="10"/>
  <c r="X60" i="10"/>
  <c r="W83" i="9"/>
  <c r="X95" i="9"/>
  <c r="X87" i="9"/>
  <c r="W106" i="9"/>
  <c r="W94" i="9"/>
  <c r="X107" i="9"/>
  <c r="X103" i="9"/>
  <c r="W103" i="9"/>
  <c r="W127" i="9"/>
  <c r="X121" i="9"/>
  <c r="X82" i="9"/>
  <c r="W93" i="9"/>
  <c r="X81" i="9"/>
  <c r="X91" i="9"/>
  <c r="X63" i="10"/>
  <c r="W88" i="9"/>
  <c r="W60" i="10"/>
  <c r="X64" i="10"/>
  <c r="W105" i="9"/>
  <c r="W98" i="9"/>
  <c r="X128" i="9"/>
  <c r="X88" i="9"/>
  <c r="W101" i="9"/>
  <c r="X97" i="9"/>
  <c r="X58" i="10"/>
  <c r="W95" i="9"/>
  <c r="W57" i="10"/>
  <c r="X59" i="10"/>
  <c r="W81" i="9"/>
  <c r="W82" i="9"/>
  <c r="X102" i="9"/>
  <c r="X98" i="9"/>
  <c r="X85" i="9"/>
  <c r="X57" i="10"/>
  <c r="W90" i="9"/>
  <c r="W63" i="10"/>
  <c r="W123" i="9"/>
  <c r="W96" i="9"/>
  <c r="W91" i="9"/>
  <c r="X122" i="9"/>
  <c r="W85" i="9"/>
  <c r="W64" i="10"/>
  <c r="X126" i="9"/>
  <c r="W121" i="9"/>
  <c r="X92" i="9"/>
  <c r="X127" i="9"/>
  <c r="R65" i="9"/>
  <c r="J66" i="9"/>
  <c r="M41" i="9"/>
  <c r="J44" i="9"/>
  <c r="J60" i="9"/>
  <c r="J40" i="9"/>
  <c r="J42" i="9"/>
  <c r="J41" i="9"/>
  <c r="J62" i="9"/>
  <c r="T58" i="9"/>
  <c r="I38" i="9"/>
  <c r="O59" i="9"/>
  <c r="J46" i="9"/>
  <c r="K61" i="9"/>
  <c r="J61" i="9"/>
  <c r="O41" i="9"/>
  <c r="J45" i="9"/>
  <c r="O42" i="9"/>
  <c r="K65" i="9"/>
  <c r="Q61" i="9"/>
  <c r="G45" i="9"/>
  <c r="Q44" i="9"/>
  <c r="P57" i="9"/>
  <c r="Q40" i="9"/>
  <c r="I66" i="9"/>
  <c r="P43" i="9"/>
  <c r="Q46" i="9"/>
  <c r="P44" i="9"/>
  <c r="Q66" i="9"/>
  <c r="P37" i="9"/>
  <c r="P41" i="9"/>
  <c r="Q45" i="9"/>
  <c r="Q41" i="9"/>
  <c r="P42" i="9"/>
  <c r="Q62" i="9"/>
  <c r="I46" i="9"/>
  <c r="I41" i="9"/>
  <c r="O65" i="9"/>
  <c r="I65" i="9"/>
  <c r="U64" i="9"/>
  <c r="O61" i="9"/>
  <c r="I64" i="9"/>
  <c r="O44" i="9"/>
  <c r="I43" i="9"/>
  <c r="K45" i="9"/>
  <c r="T66" i="9"/>
  <c r="I63" i="9"/>
  <c r="T44" i="9"/>
  <c r="T42" i="9"/>
  <c r="T57" i="9"/>
  <c r="R44" i="9"/>
  <c r="U45" i="9"/>
  <c r="O38" i="9"/>
  <c r="K66" i="9"/>
  <c r="T61" i="9"/>
  <c r="T43" i="9"/>
  <c r="R46" i="9"/>
  <c r="U42" i="9"/>
  <c r="O43" i="9"/>
  <c r="G43" i="9"/>
  <c r="K62" i="9"/>
  <c r="T41" i="9"/>
  <c r="U44" i="9"/>
  <c r="G44" i="9"/>
  <c r="O40" i="9"/>
  <c r="K58" i="9"/>
  <c r="T39" i="9"/>
  <c r="G41" i="9"/>
  <c r="K43" i="9"/>
  <c r="T38" i="9"/>
  <c r="U61" i="9"/>
  <c r="I45" i="9"/>
  <c r="U41" i="9"/>
  <c r="K46" i="9"/>
  <c r="T64" i="9"/>
  <c r="U65" i="9"/>
  <c r="U57" i="9"/>
  <c r="U58" i="9"/>
  <c r="U62" i="9"/>
  <c r="R66" i="9"/>
  <c r="U60" i="9"/>
  <c r="G37" i="9"/>
  <c r="R59" i="9"/>
  <c r="U39" i="9"/>
  <c r="R62" i="9"/>
  <c r="U37" i="9"/>
  <c r="G57" i="9"/>
  <c r="T37" i="9"/>
  <c r="H64" i="9"/>
  <c r="K39" i="9"/>
  <c r="R60" i="9"/>
  <c r="T65" i="9"/>
  <c r="U59" i="9"/>
  <c r="R45" i="9"/>
  <c r="T59" i="9"/>
  <c r="G65" i="9"/>
  <c r="K41" i="9"/>
  <c r="U63" i="9"/>
  <c r="O58" i="9"/>
  <c r="H65" i="9"/>
  <c r="G66" i="9"/>
  <c r="K60" i="9"/>
  <c r="R40" i="9"/>
  <c r="T46" i="9"/>
  <c r="U46" i="9"/>
  <c r="U40" i="9"/>
  <c r="R43" i="9"/>
  <c r="U38" i="9"/>
  <c r="I61" i="9"/>
  <c r="R39" i="9"/>
  <c r="R42" i="9"/>
  <c r="R41" i="9"/>
  <c r="R38" i="9"/>
  <c r="G42" i="9"/>
  <c r="T45" i="9"/>
  <c r="I57" i="9"/>
  <c r="H46" i="9"/>
  <c r="G63" i="9"/>
  <c r="K63" i="9"/>
  <c r="I37" i="9"/>
  <c r="T62" i="9"/>
  <c r="U66" i="9"/>
  <c r="I42" i="9"/>
  <c r="R63" i="9"/>
  <c r="T63" i="9"/>
  <c r="I58" i="9"/>
  <c r="K59" i="9"/>
  <c r="R58" i="9"/>
  <c r="G62" i="9"/>
  <c r="R64" i="9"/>
  <c r="T60" i="9"/>
  <c r="G18" i="28"/>
  <c r="H18" i="28" s="1"/>
  <c r="J18" i="28" s="1"/>
  <c r="F15" i="4"/>
  <c r="G98" i="28"/>
  <c r="H98" i="28" s="1"/>
  <c r="J98" i="28" s="1"/>
  <c r="H42" i="9"/>
  <c r="H60" i="9"/>
  <c r="H66" i="9"/>
  <c r="H63" i="9"/>
  <c r="H59" i="9"/>
  <c r="H62" i="9"/>
  <c r="H61" i="9"/>
  <c r="H41" i="9"/>
  <c r="J22" i="28"/>
  <c r="I22" i="28" s="1"/>
  <c r="J57" i="28"/>
  <c r="I57" i="28" s="1"/>
  <c r="J102" i="28"/>
  <c r="I102" i="28" s="1"/>
  <c r="J52" i="28"/>
  <c r="I52" i="28" s="1"/>
  <c r="G58" i="28"/>
  <c r="H58" i="28" s="1"/>
  <c r="J58" i="28" s="1"/>
  <c r="G73" i="28"/>
  <c r="H73" i="28" s="1"/>
  <c r="J73" i="28" s="1"/>
  <c r="J12" i="28"/>
  <c r="I12" i="28" s="1"/>
  <c r="J37" i="28"/>
  <c r="I37" i="28" s="1"/>
  <c r="J92" i="28"/>
  <c r="I92" i="28" s="1"/>
  <c r="G8" i="28"/>
  <c r="H8" i="28" s="1"/>
  <c r="J8" i="28" s="1"/>
  <c r="V106" i="9"/>
  <c r="V128" i="9"/>
  <c r="BA12" i="20"/>
  <c r="G103" i="28"/>
  <c r="H103" i="28" s="1"/>
  <c r="J103" i="28" s="1"/>
  <c r="J17" i="28"/>
  <c r="I17" i="28" s="1"/>
  <c r="G68" i="28"/>
  <c r="H68" i="28" s="1"/>
  <c r="J68" i="28" s="1"/>
  <c r="G88" i="28"/>
  <c r="H88" i="28" s="1"/>
  <c r="J88" i="28" s="1"/>
  <c r="L100" i="9"/>
  <c r="G28" i="28"/>
  <c r="H28" i="28" s="1"/>
  <c r="J28" i="28" s="1"/>
  <c r="G13" i="28"/>
  <c r="H13" i="28" s="1"/>
  <c r="J13" i="28" s="1"/>
  <c r="G3" i="28"/>
  <c r="H3" i="28" s="1"/>
  <c r="J3" i="28" s="1"/>
  <c r="J32" i="28"/>
  <c r="I32" i="28" s="1"/>
  <c r="J97" i="28"/>
  <c r="I97" i="28" s="1"/>
  <c r="Y12" i="20"/>
  <c r="G23" i="28"/>
  <c r="H23" i="28" s="1"/>
  <c r="J23" i="28" s="1"/>
  <c r="G33" i="28"/>
  <c r="H33" i="28" s="1"/>
  <c r="J33" i="28" s="1"/>
  <c r="H58" i="9"/>
  <c r="J72" i="28"/>
  <c r="I72" i="28" s="1"/>
  <c r="J107" i="28"/>
  <c r="I107" i="28" s="1"/>
  <c r="V109" i="9"/>
  <c r="J42" i="28"/>
  <c r="I42" i="28" s="1"/>
  <c r="H44" i="9"/>
  <c r="H40" i="9"/>
  <c r="L102" i="9"/>
  <c r="J82" i="28"/>
  <c r="I82" i="28" s="1"/>
  <c r="J87" i="28"/>
  <c r="I87" i="28" s="1"/>
  <c r="G43" i="28"/>
  <c r="H43" i="28" s="1"/>
  <c r="J43" i="28" s="1"/>
  <c r="G38" i="28"/>
  <c r="H38" i="28" s="1"/>
  <c r="J38" i="28" s="1"/>
  <c r="G83" i="28"/>
  <c r="H83" i="28" s="1"/>
  <c r="J83" i="28" s="1"/>
  <c r="H39" i="9"/>
  <c r="J77" i="28"/>
  <c r="I77" i="28" s="1"/>
  <c r="H38" i="9"/>
  <c r="H43" i="9"/>
  <c r="J67" i="28"/>
  <c r="I67" i="28" s="1"/>
  <c r="G63" i="28"/>
  <c r="H63" i="28" s="1"/>
  <c r="J63" i="28" s="1"/>
  <c r="G93" i="28"/>
  <c r="H93" i="28" s="1"/>
  <c r="J93" i="28" s="1"/>
  <c r="G48" i="28"/>
  <c r="H48" i="28" s="1"/>
  <c r="J48" i="28" s="1"/>
  <c r="J27" i="28"/>
  <c r="I27" i="28" s="1"/>
  <c r="J62" i="28"/>
  <c r="I62" i="28" s="1"/>
  <c r="G78" i="28"/>
  <c r="H78" i="28" s="1"/>
  <c r="J78" i="28" s="1"/>
  <c r="G53" i="28"/>
  <c r="H53" i="28" s="1"/>
  <c r="J53" i="28" s="1"/>
  <c r="J47" i="28"/>
  <c r="I47" i="28" s="1"/>
  <c r="V95" i="9"/>
  <c r="V92" i="9"/>
  <c r="V85" i="9"/>
  <c r="V88" i="9"/>
  <c r="K64" i="10"/>
  <c r="K61" i="10"/>
  <c r="K58" i="10"/>
  <c r="K59" i="10"/>
  <c r="P95" i="9"/>
  <c r="K62" i="10"/>
  <c r="BA11" i="20"/>
  <c r="Z78" i="9"/>
  <c r="Y11" i="20"/>
  <c r="R57" i="10"/>
  <c r="S63" i="10"/>
  <c r="S59" i="10"/>
  <c r="BA7" i="20"/>
  <c r="V58" i="10"/>
  <c r="V93" i="9"/>
  <c r="L91" i="9"/>
  <c r="N95" i="9"/>
  <c r="V86" i="9"/>
  <c r="R59" i="10"/>
  <c r="Q56" i="10"/>
  <c r="Q62" i="10"/>
  <c r="Q65" i="10"/>
  <c r="Q59" i="10"/>
  <c r="Q64" i="10"/>
  <c r="V80" i="9"/>
  <c r="K88" i="9"/>
  <c r="T60" i="10"/>
  <c r="Q83" i="9"/>
  <c r="P81" i="9"/>
  <c r="K95" i="9"/>
  <c r="Q84" i="9"/>
  <c r="Q93" i="9"/>
  <c r="Q85" i="9"/>
  <c r="Q95" i="9"/>
  <c r="Q82" i="9"/>
  <c r="Q79" i="9"/>
  <c r="Q92" i="9"/>
  <c r="I58" i="10"/>
  <c r="L86" i="9"/>
  <c r="N101" i="9"/>
  <c r="V65" i="10"/>
  <c r="V60" i="10"/>
  <c r="O98" i="9"/>
  <c r="O85" i="9"/>
  <c r="O92" i="9"/>
  <c r="O87" i="9"/>
  <c r="O88" i="9"/>
  <c r="O95" i="9"/>
  <c r="O90" i="9"/>
  <c r="O81" i="9"/>
  <c r="O83" i="9"/>
  <c r="J85" i="9"/>
  <c r="U62" i="10"/>
  <c r="U57" i="10"/>
  <c r="U61" i="10"/>
  <c r="P91" i="9"/>
  <c r="Q58" i="10"/>
  <c r="T98" i="9"/>
  <c r="T85" i="9"/>
  <c r="T95" i="9"/>
  <c r="T90" i="9"/>
  <c r="T86" i="9"/>
  <c r="T84" i="9"/>
  <c r="T92" i="9"/>
  <c r="T88" i="9"/>
  <c r="T93" i="9"/>
  <c r="T83" i="9"/>
  <c r="T89" i="9"/>
  <c r="T80" i="9"/>
  <c r="T79" i="9"/>
  <c r="T94" i="9"/>
  <c r="T82" i="9"/>
  <c r="T97" i="9"/>
  <c r="T96" i="9"/>
  <c r="T81" i="9"/>
  <c r="L90" i="9"/>
  <c r="V64" i="10"/>
  <c r="N91" i="9"/>
  <c r="V91" i="9"/>
  <c r="R87" i="9"/>
  <c r="T91" i="9"/>
  <c r="J64" i="10"/>
  <c r="J95" i="9"/>
  <c r="J90" i="9"/>
  <c r="J86" i="9"/>
  <c r="J89" i="9"/>
  <c r="R56" i="10"/>
  <c r="P80" i="9"/>
  <c r="P93" i="9"/>
  <c r="P88" i="9"/>
  <c r="P84" i="9"/>
  <c r="P90" i="9"/>
  <c r="P87" i="9"/>
  <c r="P89" i="9"/>
  <c r="P98" i="9"/>
  <c r="P97" i="9"/>
  <c r="V126" i="9"/>
  <c r="V101" i="9"/>
  <c r="V108" i="9"/>
  <c r="V100" i="9"/>
  <c r="V124" i="9"/>
  <c r="V123" i="9"/>
  <c r="V105" i="9"/>
  <c r="V104" i="9"/>
  <c r="V125" i="9"/>
  <c r="V102" i="9"/>
  <c r="V120" i="9"/>
  <c r="V107" i="9"/>
  <c r="V129" i="9"/>
  <c r="N79" i="9"/>
  <c r="L84" i="9"/>
  <c r="O82" i="9"/>
  <c r="L122" i="9"/>
  <c r="L101" i="9"/>
  <c r="L120" i="9"/>
  <c r="L121" i="9"/>
  <c r="O80" i="9"/>
  <c r="Y7" i="20"/>
  <c r="V56" i="10"/>
  <c r="Q97" i="9"/>
  <c r="V121" i="9"/>
  <c r="R95" i="9"/>
  <c r="R62" i="10"/>
  <c r="P96" i="9"/>
  <c r="O79" i="9"/>
  <c r="N121" i="9"/>
  <c r="N120" i="9"/>
  <c r="O86" i="9"/>
  <c r="V59" i="10"/>
  <c r="T61" i="10"/>
  <c r="J82" i="9"/>
  <c r="V62" i="10"/>
  <c r="O96" i="9"/>
  <c r="P82" i="9"/>
  <c r="Q61" i="10"/>
  <c r="L64" i="10"/>
  <c r="U60" i="10"/>
  <c r="N97" i="9"/>
  <c r="K57" i="10"/>
  <c r="L60" i="10"/>
  <c r="T65" i="10"/>
  <c r="V127" i="9"/>
  <c r="V103" i="9"/>
  <c r="R60" i="10"/>
  <c r="Z55" i="10"/>
  <c r="N100" i="9"/>
  <c r="Q98" i="9"/>
  <c r="O91" i="9"/>
  <c r="T63" i="10"/>
  <c r="V122" i="9"/>
  <c r="J63" i="10"/>
  <c r="K82" i="9"/>
  <c r="K81" i="9"/>
  <c r="R61" i="10"/>
  <c r="S94" i="9"/>
  <c r="S97" i="9"/>
  <c r="L62" i="10"/>
  <c r="N57" i="10"/>
  <c r="T62" i="10"/>
  <c r="U94" i="9"/>
  <c r="U82" i="9"/>
  <c r="J57" i="10"/>
  <c r="J87" i="9"/>
  <c r="J88" i="9"/>
  <c r="N98" i="9"/>
  <c r="K90" i="9"/>
  <c r="P56" i="10"/>
  <c r="R84" i="9"/>
  <c r="R83" i="9"/>
  <c r="S90" i="9"/>
  <c r="S83" i="9"/>
  <c r="K56" i="10"/>
  <c r="L61" i="10"/>
  <c r="T58" i="10"/>
  <c r="J59" i="10"/>
  <c r="I98" i="9"/>
  <c r="J84" i="9"/>
  <c r="R58" i="10"/>
  <c r="R90" i="9"/>
  <c r="R92" i="9"/>
  <c r="S85" i="9"/>
  <c r="S92" i="9"/>
  <c r="T64" i="10"/>
  <c r="U88" i="9"/>
  <c r="U81" i="9"/>
  <c r="J60" i="10"/>
  <c r="I92" i="9"/>
  <c r="I93" i="9"/>
  <c r="S65" i="10"/>
  <c r="U80" i="9"/>
  <c r="U83" i="9"/>
  <c r="I87" i="9"/>
  <c r="M92" i="9"/>
  <c r="P60" i="10"/>
  <c r="R63" i="10"/>
  <c r="M63" i="10"/>
  <c r="T56" i="10"/>
  <c r="U90" i="9"/>
  <c r="U92" i="9"/>
  <c r="I83" i="9"/>
  <c r="I79" i="9"/>
  <c r="U87" i="9"/>
  <c r="N84" i="9"/>
  <c r="S95" i="9"/>
  <c r="H86" i="9"/>
  <c r="M88" i="9"/>
  <c r="V87" i="9"/>
  <c r="S61" i="10"/>
  <c r="M91" i="9"/>
  <c r="N80" i="9"/>
  <c r="P92" i="9"/>
  <c r="V90" i="9"/>
  <c r="S96" i="9"/>
  <c r="T59" i="10"/>
  <c r="U85" i="9"/>
  <c r="U86" i="9"/>
  <c r="J58" i="10"/>
  <c r="I84" i="9"/>
  <c r="I82" i="9"/>
  <c r="R85" i="9"/>
  <c r="R86" i="9"/>
  <c r="U84" i="9"/>
  <c r="U89" i="9"/>
  <c r="O58" i="10"/>
  <c r="N83" i="9"/>
  <c r="N93" i="9"/>
  <c r="V94" i="9"/>
  <c r="O59" i="10"/>
  <c r="N87" i="9"/>
  <c r="O84" i="9"/>
  <c r="I63" i="10"/>
  <c r="Q86" i="9"/>
  <c r="O65" i="10"/>
  <c r="P63" i="10"/>
  <c r="R65" i="10"/>
  <c r="S62" i="10"/>
  <c r="L85" i="9"/>
  <c r="U65" i="10"/>
  <c r="M86" i="9"/>
  <c r="N82" i="9"/>
  <c r="N94" i="9"/>
  <c r="N96" i="9"/>
  <c r="O93" i="9"/>
  <c r="P94" i="9"/>
  <c r="P83" i="9"/>
  <c r="I57" i="10"/>
  <c r="Q94" i="9"/>
  <c r="V83" i="9"/>
  <c r="V84" i="9"/>
  <c r="O61" i="10"/>
  <c r="K96" i="9"/>
  <c r="S57" i="10"/>
  <c r="S87" i="9"/>
  <c r="S91" i="9"/>
  <c r="M59" i="10"/>
  <c r="U96" i="9"/>
  <c r="U95" i="9"/>
  <c r="I80" i="9"/>
  <c r="I91" i="9"/>
  <c r="N89" i="9"/>
  <c r="I56" i="10"/>
  <c r="O56" i="10"/>
  <c r="S58" i="10"/>
  <c r="M65" i="10"/>
  <c r="U91" i="9"/>
  <c r="I85" i="9"/>
  <c r="S56" i="10"/>
  <c r="R93" i="9"/>
  <c r="M62" i="10"/>
  <c r="I96" i="9"/>
  <c r="I97" i="9"/>
  <c r="R98" i="9"/>
  <c r="N65" i="10"/>
  <c r="J96" i="9"/>
  <c r="L98" i="9"/>
  <c r="I88" i="9"/>
  <c r="I60" i="10"/>
  <c r="Q96" i="9"/>
  <c r="V81" i="9"/>
  <c r="V82" i="9"/>
  <c r="O57" i="10"/>
  <c r="K89" i="9"/>
  <c r="Q57" i="10"/>
  <c r="R82" i="9"/>
  <c r="L63" i="10"/>
  <c r="M56" i="10"/>
  <c r="N60" i="10"/>
  <c r="I89" i="9"/>
  <c r="J81" i="9"/>
  <c r="K84" i="9"/>
  <c r="V98" i="9"/>
  <c r="I61" i="10"/>
  <c r="V89" i="9"/>
  <c r="L79" i="9"/>
  <c r="N92" i="9"/>
  <c r="L88" i="9"/>
  <c r="I62" i="10"/>
  <c r="Q60" i="10"/>
  <c r="M58" i="10"/>
  <c r="N56" i="10"/>
  <c r="S82" i="9"/>
  <c r="L93" i="9"/>
  <c r="O62" i="10"/>
  <c r="L83" i="9"/>
  <c r="V79" i="9"/>
  <c r="O64" i="10"/>
  <c r="L94" i="9"/>
  <c r="U63" i="10"/>
  <c r="L80" i="9"/>
  <c r="U58" i="10"/>
  <c r="P85" i="9"/>
  <c r="V96" i="9"/>
  <c r="O60" i="10"/>
  <c r="K93" i="9"/>
  <c r="K83" i="9"/>
  <c r="L89" i="9"/>
  <c r="L97" i="9"/>
  <c r="U64" i="10"/>
  <c r="V61" i="10"/>
  <c r="I65" i="10"/>
  <c r="Q90" i="9"/>
  <c r="Q80" i="9"/>
  <c r="K98" i="9"/>
  <c r="K87" i="9"/>
  <c r="K91" i="9"/>
  <c r="S64" i="10"/>
  <c r="K63" i="10"/>
  <c r="L59" i="10"/>
  <c r="N62" i="10"/>
  <c r="J80" i="9"/>
  <c r="I64" i="10"/>
  <c r="L92" i="9"/>
  <c r="I59" i="10"/>
  <c r="L81" i="9"/>
  <c r="Q89" i="9"/>
  <c r="V97" i="9"/>
  <c r="K85" i="9"/>
  <c r="R79" i="9"/>
  <c r="J98" i="9"/>
  <c r="N88" i="9"/>
  <c r="U56" i="10"/>
  <c r="V57" i="10"/>
  <c r="Q81" i="9"/>
  <c r="K79" i="9"/>
  <c r="N63" i="10"/>
  <c r="L82" i="9"/>
  <c r="M83" i="9"/>
  <c r="V63" i="10"/>
  <c r="N86" i="9"/>
  <c r="K80" i="9"/>
  <c r="K94" i="9"/>
  <c r="R94" i="9"/>
  <c r="N59" i="10"/>
  <c r="J92" i="9"/>
  <c r="J91" i="9"/>
  <c r="L95" i="9"/>
  <c r="AY4" i="20"/>
  <c r="R7" i="6"/>
  <c r="U7" i="6" s="1"/>
  <c r="F88" i="3"/>
  <c r="F95" i="9"/>
  <c r="E11" i="10"/>
  <c r="S3" i="39"/>
  <c r="O3" i="39"/>
  <c r="U3" i="39" s="1"/>
  <c r="T3" i="39"/>
  <c r="Q3" i="39"/>
  <c r="V3" i="39" s="1"/>
  <c r="E17" i="20"/>
  <c r="E16" i="20" s="1"/>
  <c r="F122" i="3"/>
  <c r="BA8" i="20"/>
  <c r="S7" i="6"/>
  <c r="H90" i="9"/>
  <c r="C14" i="4"/>
  <c r="AY17" i="20"/>
  <c r="AY16" i="20" s="1"/>
  <c r="E6" i="4"/>
  <c r="F124" i="3"/>
  <c r="F118" i="3"/>
  <c r="E10" i="10"/>
  <c r="I14" i="4"/>
  <c r="AV8" i="20"/>
  <c r="F116" i="3"/>
  <c r="E4" i="20"/>
  <c r="O5" i="9"/>
  <c r="U8" i="6"/>
  <c r="B8" i="2" s="1"/>
  <c r="X8" i="20"/>
  <c r="S5" i="9"/>
  <c r="F91" i="3"/>
  <c r="E11" i="4"/>
  <c r="F98" i="9"/>
  <c r="G18" i="39"/>
  <c r="D40" i="11"/>
  <c r="C40" i="11" s="1"/>
  <c r="M4" i="6"/>
  <c r="T11" i="37"/>
  <c r="G16" i="39"/>
  <c r="F58" i="10"/>
  <c r="F92" i="3"/>
  <c r="Q5" i="9"/>
  <c r="T17" i="20"/>
  <c r="T16" i="20" s="1"/>
  <c r="H8" i="20"/>
  <c r="D76" i="3"/>
  <c r="S4" i="4" s="1"/>
  <c r="Y4" i="4" s="1"/>
  <c r="E4" i="2" s="1"/>
  <c r="T4" i="20"/>
  <c r="H81" i="9"/>
  <c r="X4" i="10"/>
  <c r="Z4" i="10"/>
  <c r="H61" i="10"/>
  <c r="E14" i="10"/>
  <c r="H57" i="10"/>
  <c r="F80" i="9"/>
  <c r="H62" i="10"/>
  <c r="F85" i="9"/>
  <c r="G5" i="9"/>
  <c r="Y8" i="20"/>
  <c r="H65" i="10"/>
  <c r="H60" i="10"/>
  <c r="V8" i="20"/>
  <c r="AS17" i="20"/>
  <c r="AS16" i="20" s="1"/>
  <c r="X5" i="9"/>
  <c r="E53" i="29"/>
  <c r="G17" i="39"/>
  <c r="G15" i="39"/>
  <c r="D28" i="37"/>
  <c r="D40" i="37"/>
  <c r="V4" i="37"/>
  <c r="V18" i="37"/>
  <c r="V25" i="37"/>
  <c r="V7" i="37"/>
  <c r="V21" i="37"/>
  <c r="V17" i="37"/>
  <c r="V27" i="37"/>
  <c r="V23" i="37"/>
  <c r="V26" i="37"/>
  <c r="V8" i="37"/>
  <c r="V13" i="37"/>
  <c r="V16" i="37"/>
  <c r="W36" i="9"/>
  <c r="Z36" i="9"/>
  <c r="Z99" i="9"/>
  <c r="BA6" i="20"/>
  <c r="Y36" i="9"/>
  <c r="X36" i="9"/>
  <c r="Y6" i="20"/>
  <c r="BA10" i="20"/>
  <c r="Y10" i="20"/>
  <c r="V36" i="9"/>
  <c r="L10" i="30"/>
  <c r="L11" i="30"/>
  <c r="L9" i="30"/>
  <c r="L4" i="30"/>
  <c r="L3" i="30"/>
  <c r="L5" i="30"/>
  <c r="AJ8" i="20"/>
  <c r="E8" i="10"/>
  <c r="Q11" i="39"/>
  <c r="V11" i="39" s="1"/>
  <c r="T11" i="39"/>
  <c r="S11" i="39"/>
  <c r="O11" i="39"/>
  <c r="U11" i="39" s="1"/>
  <c r="E13" i="10"/>
  <c r="N5" i="30"/>
  <c r="S11" i="4"/>
  <c r="Y11" i="4" s="1"/>
  <c r="Q21" i="39"/>
  <c r="V21" i="39" s="1"/>
  <c r="O21" i="39"/>
  <c r="U21" i="39" s="1"/>
  <c r="T21" i="39"/>
  <c r="S21" i="39"/>
  <c r="H9" i="4"/>
  <c r="R9" i="6"/>
  <c r="U9" i="6" s="1"/>
  <c r="H59" i="10"/>
  <c r="G94" i="9"/>
  <c r="P5" i="9"/>
  <c r="E23" i="10"/>
  <c r="Q20" i="39"/>
  <c r="V20" i="39" s="1"/>
  <c r="T20" i="39"/>
  <c r="O20" i="39"/>
  <c r="U20" i="39" s="1"/>
  <c r="S20" i="39"/>
  <c r="U5" i="9"/>
  <c r="F108" i="3"/>
  <c r="S6" i="6"/>
  <c r="F93" i="9"/>
  <c r="G97" i="9"/>
  <c r="G82" i="9"/>
  <c r="I4" i="10"/>
  <c r="L5" i="9"/>
  <c r="E9" i="10"/>
  <c r="F57" i="10"/>
  <c r="T5" i="9"/>
  <c r="Y4" i="10"/>
  <c r="M8" i="20"/>
  <c r="AO8" i="20"/>
  <c r="N4" i="10"/>
  <c r="E15" i="9"/>
  <c r="M7" i="11" s="1"/>
  <c r="M36" i="11" s="1"/>
  <c r="F87" i="9"/>
  <c r="F8" i="20"/>
  <c r="G4" i="10"/>
  <c r="G64" i="10"/>
  <c r="H95" i="9"/>
  <c r="D16" i="37"/>
  <c r="G96" i="9"/>
  <c r="G91" i="9"/>
  <c r="AH8" i="20"/>
  <c r="E7" i="10"/>
  <c r="F63" i="10"/>
  <c r="AZ8" i="20"/>
  <c r="F107" i="3"/>
  <c r="S5" i="6"/>
  <c r="T5" i="6" s="1"/>
  <c r="AP17" i="20"/>
  <c r="AP16" i="20" s="1"/>
  <c r="N17" i="20"/>
  <c r="N16" i="20" s="1"/>
  <c r="F87" i="3"/>
  <c r="H13" i="4"/>
  <c r="R13" i="6"/>
  <c r="U13" i="6" s="1"/>
  <c r="B13" i="2" s="1"/>
  <c r="E14" i="9"/>
  <c r="L7" i="11" s="1"/>
  <c r="L36" i="11" s="1"/>
  <c r="F83" i="9"/>
  <c r="F82" i="9"/>
  <c r="H12" i="4"/>
  <c r="R12" i="6"/>
  <c r="U12" i="6" s="1"/>
  <c r="B12" i="2" s="1"/>
  <c r="G58" i="10"/>
  <c r="O14" i="39"/>
  <c r="U14" i="39" s="1"/>
  <c r="S14" i="39"/>
  <c r="T14" i="39"/>
  <c r="Q14" i="39"/>
  <c r="V14" i="39" s="1"/>
  <c r="G84" i="9"/>
  <c r="G85" i="9"/>
  <c r="AR8" i="20"/>
  <c r="P8" i="20"/>
  <c r="Q4" i="10"/>
  <c r="W8" i="20"/>
  <c r="U4" i="10"/>
  <c r="E6" i="10"/>
  <c r="N4" i="20"/>
  <c r="AP4" i="20"/>
  <c r="E12" i="9"/>
  <c r="J7" i="11" s="1"/>
  <c r="J36" i="11" s="1"/>
  <c r="V15" i="37"/>
  <c r="F89" i="3"/>
  <c r="G80" i="9"/>
  <c r="AY8" i="20"/>
  <c r="AG8" i="20"/>
  <c r="E8" i="20"/>
  <c r="F4" i="10"/>
  <c r="E5" i="10"/>
  <c r="F64" i="10"/>
  <c r="S7" i="4"/>
  <c r="Y7" i="4" s="1"/>
  <c r="D77" i="3"/>
  <c r="S5" i="4" s="1"/>
  <c r="Y5" i="4" s="1"/>
  <c r="H11" i="4"/>
  <c r="R11" i="6"/>
  <c r="U11" i="6" s="1"/>
  <c r="J4" i="10"/>
  <c r="AK8" i="20"/>
  <c r="I8" i="20"/>
  <c r="E11" i="9"/>
  <c r="I7" i="11" s="1"/>
  <c r="I36" i="11" s="1"/>
  <c r="F94" i="9"/>
  <c r="V5" i="9"/>
  <c r="L6" i="30"/>
  <c r="L7" i="30"/>
  <c r="L8" i="30"/>
  <c r="E24" i="10"/>
  <c r="F60" i="10"/>
  <c r="F90" i="3"/>
  <c r="AU8" i="20"/>
  <c r="T4" i="10"/>
  <c r="S8" i="20"/>
  <c r="S12" i="4"/>
  <c r="Y12" i="4" s="1"/>
  <c r="T4" i="6"/>
  <c r="E10" i="9"/>
  <c r="H7" i="11" s="1"/>
  <c r="H36" i="11" s="1"/>
  <c r="E13" i="9"/>
  <c r="K7" i="11" s="1"/>
  <c r="K36" i="11" s="1"/>
  <c r="F88" i="9"/>
  <c r="Y5" i="9"/>
  <c r="W17" i="20"/>
  <c r="W16" i="20" s="1"/>
  <c r="E22" i="10"/>
  <c r="F61" i="10"/>
  <c r="S13" i="4"/>
  <c r="Y13" i="4" s="1"/>
  <c r="E9" i="9"/>
  <c r="G7" i="11" s="1"/>
  <c r="G36" i="11" s="1"/>
  <c r="F81" i="9"/>
  <c r="G61" i="10"/>
  <c r="W4" i="10"/>
  <c r="E21" i="10"/>
  <c r="L4" i="10"/>
  <c r="AM8" i="20"/>
  <c r="K8" i="20"/>
  <c r="E8" i="4"/>
  <c r="W8" i="4"/>
  <c r="X8" i="4" s="1"/>
  <c r="M2" i="29"/>
  <c r="E41" i="29"/>
  <c r="E8" i="9"/>
  <c r="F7" i="11" s="1"/>
  <c r="F36" i="11" s="1"/>
  <c r="F96" i="9"/>
  <c r="V9" i="37"/>
  <c r="I5" i="9"/>
  <c r="F113" i="3"/>
  <c r="G60" i="10"/>
  <c r="AI8" i="20"/>
  <c r="K5" i="9"/>
  <c r="AX8" i="20"/>
  <c r="E20" i="10"/>
  <c r="F59" i="10"/>
  <c r="S8" i="6"/>
  <c r="T8" i="6" s="1"/>
  <c r="F110" i="3"/>
  <c r="AG17" i="20"/>
  <c r="W5" i="9"/>
  <c r="E7" i="9"/>
  <c r="E7" i="11" s="1"/>
  <c r="E36" i="11" s="1"/>
  <c r="F91" i="9"/>
  <c r="V14" i="37"/>
  <c r="AW8" i="20"/>
  <c r="V4" i="10"/>
  <c r="U8" i="20"/>
  <c r="H93" i="9"/>
  <c r="H85" i="9"/>
  <c r="G8" i="20"/>
  <c r="S8" i="39"/>
  <c r="Q8" i="39"/>
  <c r="V8" i="39" s="1"/>
  <c r="O8" i="39"/>
  <c r="U8" i="39" s="1"/>
  <c r="T8" i="39"/>
  <c r="G90" i="9"/>
  <c r="R5" i="9"/>
  <c r="E18" i="10"/>
  <c r="F62" i="10"/>
  <c r="K17" i="20"/>
  <c r="K16" i="20" s="1"/>
  <c r="AM17" i="20"/>
  <c r="AM16" i="20" s="1"/>
  <c r="E6" i="9"/>
  <c r="F5" i="9"/>
  <c r="V19" i="37"/>
  <c r="M5" i="30"/>
  <c r="G14" i="4"/>
  <c r="H96" i="9"/>
  <c r="G65" i="10"/>
  <c r="H92" i="9"/>
  <c r="H91" i="9"/>
  <c r="G81" i="9"/>
  <c r="AP8" i="20"/>
  <c r="N8" i="20"/>
  <c r="O4" i="10"/>
  <c r="R4" i="10"/>
  <c r="AS8" i="20"/>
  <c r="Q8" i="20"/>
  <c r="E17" i="10"/>
  <c r="F65" i="10"/>
  <c r="AL8" i="20"/>
  <c r="K4" i="10"/>
  <c r="J8" i="20"/>
  <c r="K4" i="20"/>
  <c r="AM4" i="20"/>
  <c r="H17" i="20"/>
  <c r="H16" i="20" s="1"/>
  <c r="AJ17" i="20"/>
  <c r="AJ16" i="20" s="1"/>
  <c r="S12" i="6"/>
  <c r="F114" i="3"/>
  <c r="V24" i="37"/>
  <c r="V6" i="37"/>
  <c r="M6" i="30"/>
  <c r="M7" i="30"/>
  <c r="M8" i="30"/>
  <c r="G62" i="10"/>
  <c r="H82" i="9"/>
  <c r="T20" i="37"/>
  <c r="H83" i="9"/>
  <c r="H88" i="9"/>
  <c r="H58" i="10"/>
  <c r="G88" i="9"/>
  <c r="F86" i="3"/>
  <c r="F117" i="3"/>
  <c r="AV17" i="20"/>
  <c r="AV16" i="20" s="1"/>
  <c r="V11" i="37"/>
  <c r="F90" i="9"/>
  <c r="Z5" i="9"/>
  <c r="M11" i="30"/>
  <c r="M10" i="30"/>
  <c r="G98" i="9"/>
  <c r="G59" i="10"/>
  <c r="H98" i="9"/>
  <c r="H87" i="9"/>
  <c r="H94" i="9"/>
  <c r="H63" i="10"/>
  <c r="M5" i="9"/>
  <c r="H4" i="10"/>
  <c r="E16" i="10"/>
  <c r="E13" i="4"/>
  <c r="H84" i="9"/>
  <c r="H64" i="10"/>
  <c r="G86" i="9"/>
  <c r="G93" i="9"/>
  <c r="AT8" i="20"/>
  <c r="R8" i="20"/>
  <c r="S4" i="10"/>
  <c r="E19" i="10"/>
  <c r="AN8" i="20"/>
  <c r="L8" i="20"/>
  <c r="M4" i="10"/>
  <c r="F111" i="3"/>
  <c r="S9" i="6"/>
  <c r="Q4" i="20"/>
  <c r="AS4" i="20"/>
  <c r="S8" i="4"/>
  <c r="Y8" i="4" s="1"/>
  <c r="D78" i="3"/>
  <c r="S6" i="4" s="1"/>
  <c r="Y6" i="4" s="1"/>
  <c r="F95" i="3"/>
  <c r="V10" i="37"/>
  <c r="F84" i="9"/>
  <c r="H5" i="9"/>
  <c r="J5" i="9"/>
  <c r="H80" i="9"/>
  <c r="G87" i="9"/>
  <c r="E12" i="10"/>
  <c r="N10" i="30"/>
  <c r="V12" i="37"/>
  <c r="F92" i="9"/>
  <c r="V5" i="37"/>
  <c r="G83" i="9"/>
  <c r="G57" i="10"/>
  <c r="N5" i="9"/>
  <c r="G92" i="9"/>
  <c r="G95" i="9"/>
  <c r="T8" i="20"/>
  <c r="AQ8" i="20"/>
  <c r="P4" i="10"/>
  <c r="O8" i="20"/>
  <c r="E15" i="10"/>
  <c r="N8" i="30"/>
  <c r="N6" i="30"/>
  <c r="N7" i="30"/>
  <c r="F97" i="9"/>
  <c r="F86" i="9"/>
  <c r="F121" i="3"/>
  <c r="F115" i="3"/>
  <c r="I15" i="4"/>
  <c r="G15" i="4"/>
  <c r="I14" i="6"/>
  <c r="C28" i="11"/>
  <c r="D25" i="14"/>
  <c r="D32" i="14"/>
  <c r="D102" i="14"/>
  <c r="BK129" i="3"/>
  <c r="D67" i="14"/>
  <c r="BN126" i="3"/>
  <c r="D28" i="14"/>
  <c r="F14" i="6"/>
  <c r="D26" i="14"/>
  <c r="D135" i="14"/>
  <c r="D59" i="14"/>
  <c r="D61" i="14"/>
  <c r="D64" i="14"/>
  <c r="BQ127" i="3"/>
  <c r="BQ126" i="3"/>
  <c r="BK130" i="3"/>
  <c r="D30" i="14"/>
  <c r="BQ128" i="3"/>
  <c r="D101" i="14"/>
  <c r="BN130" i="3"/>
  <c r="AW23" i="20"/>
  <c r="M23" i="20"/>
  <c r="BN127" i="3"/>
  <c r="D33" i="14"/>
  <c r="BQ135" i="3"/>
  <c r="Q23" i="20"/>
  <c r="AK23" i="20"/>
  <c r="T23" i="20"/>
  <c r="I23" i="20"/>
  <c r="BN132" i="3"/>
  <c r="L23" i="20"/>
  <c r="BQ133" i="3"/>
  <c r="D137" i="14"/>
  <c r="D60" i="14"/>
  <c r="AS23" i="20"/>
  <c r="P23" i="20"/>
  <c r="O23" i="20"/>
  <c r="AT23" i="20"/>
  <c r="AO23" i="20"/>
  <c r="AQ23" i="20"/>
  <c r="BN135" i="3"/>
  <c r="D31" i="14"/>
  <c r="V23" i="20"/>
  <c r="N23" i="20"/>
  <c r="AI23" i="20"/>
  <c r="H23" i="20"/>
  <c r="J23" i="20"/>
  <c r="AV23" i="20"/>
  <c r="AU23" i="20"/>
  <c r="U23" i="20"/>
  <c r="AR23" i="20"/>
  <c r="G23" i="20"/>
  <c r="K23" i="20"/>
  <c r="AJ23" i="20"/>
  <c r="S23" i="20"/>
  <c r="AL23" i="20"/>
  <c r="AN23" i="20"/>
  <c r="AM23" i="20"/>
  <c r="I131" i="3"/>
  <c r="E23" i="20" s="1"/>
  <c r="BK135" i="3"/>
  <c r="D66" i="14"/>
  <c r="R23" i="20"/>
  <c r="AX23" i="20"/>
  <c r="D24" i="14"/>
  <c r="AP23" i="20"/>
  <c r="BQ129" i="3"/>
  <c r="BK132" i="3"/>
  <c r="BN131" i="3"/>
  <c r="D99" i="14"/>
  <c r="BQ130" i="3"/>
  <c r="BN129" i="3"/>
  <c r="E127" i="3"/>
  <c r="Q5" i="4" s="1"/>
  <c r="R5" i="4" s="1"/>
  <c r="BN128" i="3"/>
  <c r="D27" i="14"/>
  <c r="D134" i="14"/>
  <c r="BJ79" i="3"/>
  <c r="BK79" i="3" s="1"/>
  <c r="AJ66" i="3"/>
  <c r="AI96" i="3" s="1"/>
  <c r="AJ96" i="3" s="1"/>
  <c r="BM80" i="3"/>
  <c r="BN80" i="3" s="1"/>
  <c r="BB69" i="3"/>
  <c r="BA99" i="3" s="1"/>
  <c r="AR80" i="3"/>
  <c r="AS80" i="3" s="1"/>
  <c r="AA72" i="3"/>
  <c r="Z102" i="3" s="1"/>
  <c r="AA102" i="3" s="1"/>
  <c r="T84" i="3"/>
  <c r="U84" i="3" s="1"/>
  <c r="N81" i="3"/>
  <c r="O81" i="3" s="1"/>
  <c r="BG83" i="3"/>
  <c r="BH83" i="3" s="1"/>
  <c r="O70" i="3"/>
  <c r="N100" i="3" s="1"/>
  <c r="O100" i="3" s="1"/>
  <c r="BG85" i="3"/>
  <c r="BH85" i="3" s="1"/>
  <c r="BP84" i="3"/>
  <c r="BQ84" i="3" s="1"/>
  <c r="Q76" i="3"/>
  <c r="R76" i="3" s="1"/>
  <c r="BP83" i="3"/>
  <c r="BQ83" i="3" s="1"/>
  <c r="BE69" i="3"/>
  <c r="BD99" i="3" s="1"/>
  <c r="BE99" i="3" s="1"/>
  <c r="BM82" i="3"/>
  <c r="BN82" i="3" s="1"/>
  <c r="BG84" i="3"/>
  <c r="BH84" i="3" s="1"/>
  <c r="AC80" i="3"/>
  <c r="AD80" i="3" s="1"/>
  <c r="AA71" i="3"/>
  <c r="Z101" i="3" s="1"/>
  <c r="AA101" i="3" s="1"/>
  <c r="AL81" i="3"/>
  <c r="AM81" i="3" s="1"/>
  <c r="AU81" i="3"/>
  <c r="AV81" i="3" s="1"/>
  <c r="AO79" i="3"/>
  <c r="AP79" i="3" s="1"/>
  <c r="AV67" i="3"/>
  <c r="AU97" i="3" s="1"/>
  <c r="AV97" i="3" s="1"/>
  <c r="W85" i="3"/>
  <c r="X85" i="3" s="1"/>
  <c r="AV73" i="3"/>
  <c r="AU103" i="3" s="1"/>
  <c r="AV103" i="3" s="1"/>
  <c r="U68" i="3"/>
  <c r="T98" i="3" s="1"/>
  <c r="U98" i="3" s="1"/>
  <c r="AY69" i="3"/>
  <c r="AX99" i="3" s="1"/>
  <c r="AY99" i="3" s="1"/>
  <c r="Q77" i="3"/>
  <c r="R77" i="3" s="1"/>
  <c r="T77" i="3"/>
  <c r="U77" i="3" s="1"/>
  <c r="H78" i="3"/>
  <c r="I78" i="3" s="1"/>
  <c r="AX81" i="3"/>
  <c r="AY81" i="3" s="1"/>
  <c r="AL78" i="3"/>
  <c r="AM78" i="3" s="1"/>
  <c r="AG66" i="3"/>
  <c r="AF96" i="3" s="1"/>
  <c r="AG96" i="3" s="1"/>
  <c r="BP85" i="3"/>
  <c r="BQ85" i="3" s="1"/>
  <c r="BA82" i="3"/>
  <c r="BB82" i="3" s="1"/>
  <c r="Q80" i="3"/>
  <c r="R80" i="3" s="1"/>
  <c r="BK72" i="3"/>
  <c r="BJ102" i="3" s="1"/>
  <c r="BK102" i="3" s="1"/>
  <c r="AM67" i="3"/>
  <c r="AL97" i="3" s="1"/>
  <c r="AM97" i="3" s="1"/>
  <c r="AD67" i="3"/>
  <c r="AC97" i="3" s="1"/>
  <c r="AD97" i="3" s="1"/>
  <c r="U66" i="3"/>
  <c r="T96" i="3" s="1"/>
  <c r="U96" i="3" s="1"/>
  <c r="BJ80" i="3"/>
  <c r="BK80" i="3" s="1"/>
  <c r="AL82" i="3"/>
  <c r="AM82" i="3" s="1"/>
  <c r="BM79" i="3"/>
  <c r="BN79" i="3" s="1"/>
  <c r="H82" i="3"/>
  <c r="AU84" i="3"/>
  <c r="AV84" i="3" s="1"/>
  <c r="BE72" i="3"/>
  <c r="BD102" i="3" s="1"/>
  <c r="BE102" i="3" s="1"/>
  <c r="AI77" i="3"/>
  <c r="AJ77" i="3" s="1"/>
  <c r="N77" i="3"/>
  <c r="O77" i="3" s="1"/>
  <c r="AI81" i="3"/>
  <c r="AJ81" i="3" s="1"/>
  <c r="BK66" i="3"/>
  <c r="BJ96" i="3" s="1"/>
  <c r="BK96" i="3" s="1"/>
  <c r="BD80" i="3"/>
  <c r="BE80" i="3" s="1"/>
  <c r="AS68" i="3"/>
  <c r="AR98" i="3" s="1"/>
  <c r="AS98" i="3" s="1"/>
  <c r="AX85" i="3"/>
  <c r="AY85" i="3" s="1"/>
  <c r="Q81" i="3"/>
  <c r="R81" i="3" s="1"/>
  <c r="AC82" i="3"/>
  <c r="AD82" i="3" s="1"/>
  <c r="AX83" i="3"/>
  <c r="AY83" i="3" s="1"/>
  <c r="AV72" i="3"/>
  <c r="AU102" i="3" s="1"/>
  <c r="AV102" i="3" s="1"/>
  <c r="Z79" i="3"/>
  <c r="AA79" i="3" s="1"/>
  <c r="AI78" i="3"/>
  <c r="AJ78" i="3" s="1"/>
  <c r="BD84" i="3"/>
  <c r="BE84" i="3" s="1"/>
  <c r="H80" i="3"/>
  <c r="BH70" i="3"/>
  <c r="BG100" i="3" s="1"/>
  <c r="BH100" i="3" s="1"/>
  <c r="AO78" i="3"/>
  <c r="AP78" i="3" s="1"/>
  <c r="Z77" i="3"/>
  <c r="AA77" i="3" s="1"/>
  <c r="AI82" i="3"/>
  <c r="AJ82" i="3" s="1"/>
  <c r="AI83" i="3"/>
  <c r="AJ83" i="3" s="1"/>
  <c r="BM84" i="3"/>
  <c r="BN84" i="3" s="1"/>
  <c r="AX76" i="3"/>
  <c r="AY76" i="3" s="1"/>
  <c r="AR82" i="3"/>
  <c r="AS82" i="3" s="1"/>
  <c r="U72" i="3"/>
  <c r="T102" i="3" s="1"/>
  <c r="U102" i="3" s="1"/>
  <c r="AU78" i="3"/>
  <c r="AV78" i="3" s="1"/>
  <c r="N76" i="3"/>
  <c r="O76" i="3" s="1"/>
  <c r="AC78" i="3"/>
  <c r="AD78" i="3" s="1"/>
  <c r="H83" i="3"/>
  <c r="BJ81" i="3"/>
  <c r="BK81" i="3" s="1"/>
  <c r="AF84" i="3"/>
  <c r="AG84" i="3" s="1"/>
  <c r="AI80" i="3"/>
  <c r="AJ80" i="3" s="1"/>
  <c r="BP80" i="3"/>
  <c r="BQ80" i="3" s="1"/>
  <c r="BM81" i="3"/>
  <c r="BN81" i="3" s="1"/>
  <c r="E67" i="3"/>
  <c r="X74" i="3"/>
  <c r="W104" i="3" s="1"/>
  <c r="X104" i="3" s="1"/>
  <c r="Z85" i="3"/>
  <c r="AA85" i="3" s="1"/>
  <c r="AL85" i="3"/>
  <c r="AM85" i="3" s="1"/>
  <c r="BJ78" i="3"/>
  <c r="BK78" i="3" s="1"/>
  <c r="AU85" i="3"/>
  <c r="AV85" i="3" s="1"/>
  <c r="AF83" i="3"/>
  <c r="AG83" i="3" s="1"/>
  <c r="BH72" i="3"/>
  <c r="BG102" i="3" s="1"/>
  <c r="BH102" i="3" s="1"/>
  <c r="X70" i="3"/>
  <c r="W100" i="3" s="1"/>
  <c r="X100" i="3" s="1"/>
  <c r="Z76" i="3"/>
  <c r="AA76" i="3" s="1"/>
  <c r="W82" i="3"/>
  <c r="X82" i="3" s="1"/>
  <c r="AF81" i="3"/>
  <c r="AG81" i="3" s="1"/>
  <c r="AX80" i="3"/>
  <c r="AY80" i="3" s="1"/>
  <c r="D4" i="37"/>
  <c r="W79" i="3"/>
  <c r="X79" i="3" s="1"/>
  <c r="AF82" i="3"/>
  <c r="AG82" i="3" s="1"/>
  <c r="AR85" i="3"/>
  <c r="AS85" i="3" s="1"/>
  <c r="BK74" i="3"/>
  <c r="BJ104" i="3" s="1"/>
  <c r="BK104" i="3" s="1"/>
  <c r="T79" i="3"/>
  <c r="U79" i="3" s="1"/>
  <c r="W78" i="3"/>
  <c r="X78" i="3" s="1"/>
  <c r="AJ75" i="3"/>
  <c r="AI105" i="3" s="1"/>
  <c r="AJ105" i="3" s="1"/>
  <c r="BP76" i="3"/>
  <c r="BQ76" i="3" s="1"/>
  <c r="AI79" i="3"/>
  <c r="AJ79" i="3" s="1"/>
  <c r="AP75" i="3"/>
  <c r="AO105" i="3" s="1"/>
  <c r="AP105" i="3" s="1"/>
  <c r="BE75" i="3"/>
  <c r="BD105" i="3" s="1"/>
  <c r="BE105" i="3" s="1"/>
  <c r="AO84" i="3"/>
  <c r="AP84" i="3" s="1"/>
  <c r="Z83" i="3"/>
  <c r="AA83" i="3" s="1"/>
  <c r="N79" i="3"/>
  <c r="O79" i="3" s="1"/>
  <c r="AY72" i="3"/>
  <c r="AX102" i="3" s="1"/>
  <c r="AY102" i="3" s="1"/>
  <c r="AO82" i="3"/>
  <c r="AP82" i="3" s="1"/>
  <c r="BG79" i="3"/>
  <c r="BH79" i="3" s="1"/>
  <c r="AU80" i="3"/>
  <c r="AV80" i="3" s="1"/>
  <c r="Q82" i="3"/>
  <c r="R82" i="3" s="1"/>
  <c r="BK67" i="3"/>
  <c r="BJ97" i="3" s="1"/>
  <c r="BK97" i="3" s="1"/>
  <c r="Q85" i="3"/>
  <c r="R85" i="3" s="1"/>
  <c r="O73" i="3"/>
  <c r="N103" i="3" s="1"/>
  <c r="O103" i="3" s="1"/>
  <c r="Z84" i="3"/>
  <c r="AA84" i="3" s="1"/>
  <c r="T81" i="3"/>
  <c r="U81" i="3" s="1"/>
  <c r="BH67" i="3"/>
  <c r="BG97" i="3" s="1"/>
  <c r="BH97" i="3" s="1"/>
  <c r="BM77" i="3"/>
  <c r="BN77" i="3" s="1"/>
  <c r="E72" i="3"/>
  <c r="BG76" i="3"/>
  <c r="BH76" i="3" s="1"/>
  <c r="E69" i="3"/>
  <c r="Z80" i="3"/>
  <c r="AA80" i="3" s="1"/>
  <c r="AF85" i="3"/>
  <c r="AG85" i="3" s="1"/>
  <c r="BD83" i="3"/>
  <c r="BE83" i="3" s="1"/>
  <c r="AO77" i="3"/>
  <c r="AP77" i="3" s="1"/>
  <c r="W83" i="3"/>
  <c r="X83" i="3" s="1"/>
  <c r="AR76" i="3"/>
  <c r="AS76" i="3" s="1"/>
  <c r="I1" i="37"/>
  <c r="G11" i="26"/>
  <c r="BB70" i="3"/>
  <c r="BA100" i="3" s="1"/>
  <c r="BB100" i="3" s="1"/>
  <c r="BD76" i="3"/>
  <c r="BE76" i="3" s="1"/>
  <c r="W81" i="3"/>
  <c r="X81" i="3" s="1"/>
  <c r="BN68" i="3"/>
  <c r="BM98" i="3" s="1"/>
  <c r="BN98" i="3" s="1"/>
  <c r="BP81" i="3"/>
  <c r="BQ81" i="3" s="1"/>
  <c r="AS71" i="3"/>
  <c r="AR101" i="3" s="1"/>
  <c r="AS101" i="3" s="1"/>
  <c r="AY74" i="3"/>
  <c r="AX104" i="3" s="1"/>
  <c r="AY104" i="3" s="1"/>
  <c r="BA78" i="3"/>
  <c r="BB78" i="3" s="1"/>
  <c r="BM85" i="3"/>
  <c r="BN85" i="3" s="1"/>
  <c r="AD66" i="3"/>
  <c r="AC96" i="3" s="1"/>
  <c r="AD96" i="3" s="1"/>
  <c r="BJ85" i="3"/>
  <c r="BK85" i="3" s="1"/>
  <c r="N85" i="3"/>
  <c r="O85" i="3" s="1"/>
  <c r="BM83" i="3"/>
  <c r="BN83" i="3" s="1"/>
  <c r="BA77" i="3"/>
  <c r="BB77" i="3" s="1"/>
  <c r="AD71" i="3"/>
  <c r="AC101" i="3" s="1"/>
  <c r="AD101" i="3" s="1"/>
  <c r="AC81" i="3"/>
  <c r="AD81" i="3" s="1"/>
  <c r="I71" i="3"/>
  <c r="H101" i="3" s="1"/>
  <c r="I101" i="3" s="1"/>
  <c r="H81" i="3"/>
  <c r="AM69" i="3"/>
  <c r="AL99" i="3" s="1"/>
  <c r="AM99" i="3" s="1"/>
  <c r="AL79" i="3"/>
  <c r="AM79" i="3" s="1"/>
  <c r="BE68" i="3"/>
  <c r="BD98" i="3" s="1"/>
  <c r="BE98" i="3" s="1"/>
  <c r="BD78" i="3"/>
  <c r="BE78" i="3" s="1"/>
  <c r="BB75" i="3"/>
  <c r="BA105" i="3" s="1"/>
  <c r="BB105" i="3" s="1"/>
  <c r="T85" i="3"/>
  <c r="U85" i="3" s="1"/>
  <c r="BJ83" i="3"/>
  <c r="BK83" i="3" s="1"/>
  <c r="BP79" i="3"/>
  <c r="BQ79" i="3" s="1"/>
  <c r="BG78" i="3"/>
  <c r="BH78" i="3" s="1"/>
  <c r="AO83" i="3"/>
  <c r="AP83" i="3" s="1"/>
  <c r="BB73" i="3"/>
  <c r="BA103" i="3" s="1"/>
  <c r="BB103" i="3" s="1"/>
  <c r="AL80" i="3"/>
  <c r="AM80" i="3" s="1"/>
  <c r="AX78" i="3"/>
  <c r="AY78" i="3" s="1"/>
  <c r="BP78" i="3"/>
  <c r="BQ78" i="3" s="1"/>
  <c r="BE71" i="3"/>
  <c r="BD101" i="3" s="1"/>
  <c r="BE101" i="3" s="1"/>
  <c r="BD81" i="3"/>
  <c r="BE81" i="3" s="1"/>
  <c r="BQ72" i="3"/>
  <c r="BP102" i="3" s="1"/>
  <c r="BQ102" i="3" s="1"/>
  <c r="BA20" i="20" s="1"/>
  <c r="BP82" i="3"/>
  <c r="BQ82" i="3" s="1"/>
  <c r="O74" i="3"/>
  <c r="N104" i="3" s="1"/>
  <c r="O104" i="3" s="1"/>
  <c r="N84" i="3"/>
  <c r="O84" i="3" s="1"/>
  <c r="R68" i="3"/>
  <c r="Q98" i="3" s="1"/>
  <c r="R98" i="3" s="1"/>
  <c r="Q78" i="3"/>
  <c r="R78" i="3" s="1"/>
  <c r="O72" i="3"/>
  <c r="N102" i="3" s="1"/>
  <c r="O102" i="3" s="1"/>
  <c r="AO80" i="3"/>
  <c r="AP80" i="3" s="1"/>
  <c r="I67" i="3"/>
  <c r="H97" i="3" s="1"/>
  <c r="I97" i="3" s="1"/>
  <c r="H77" i="3"/>
  <c r="I77" i="3" s="1"/>
  <c r="AL76" i="3"/>
  <c r="AM76" i="3" s="1"/>
  <c r="AM66" i="3"/>
  <c r="AL96" i="3" s="1"/>
  <c r="AM96" i="3" s="1"/>
  <c r="U70" i="3"/>
  <c r="T100" i="3" s="1"/>
  <c r="U100" i="3" s="1"/>
  <c r="T80" i="3"/>
  <c r="U80" i="3" s="1"/>
  <c r="BE67" i="3"/>
  <c r="BD97" i="3" s="1"/>
  <c r="BE97" i="3" s="1"/>
  <c r="BD77" i="3"/>
  <c r="BE77" i="3" s="1"/>
  <c r="R74" i="3"/>
  <c r="Q104" i="3" s="1"/>
  <c r="R104" i="3" s="1"/>
  <c r="AS69" i="3"/>
  <c r="AR99" i="3" s="1"/>
  <c r="AS99" i="3" s="1"/>
  <c r="Q79" i="3"/>
  <c r="R79" i="3" s="1"/>
  <c r="AI84" i="3"/>
  <c r="AJ84" i="3" s="1"/>
  <c r="BP77" i="3"/>
  <c r="BQ77" i="3" s="1"/>
  <c r="H79" i="3"/>
  <c r="AF79" i="3"/>
  <c r="AG79" i="3" s="1"/>
  <c r="BB71" i="3"/>
  <c r="BA101" i="3" s="1"/>
  <c r="BB101" i="3" s="1"/>
  <c r="AR77" i="3"/>
  <c r="AS77" i="3" s="1"/>
  <c r="W76" i="3"/>
  <c r="X76" i="3" s="1"/>
  <c r="AU76" i="3"/>
  <c r="AV76" i="3" s="1"/>
  <c r="AV69" i="3"/>
  <c r="AU99" i="3" s="1"/>
  <c r="AV99" i="3" s="1"/>
  <c r="O68" i="3"/>
  <c r="N98" i="3" s="1"/>
  <c r="O98" i="3" s="1"/>
  <c r="N78" i="3"/>
  <c r="O78" i="3" s="1"/>
  <c r="AO81" i="3"/>
  <c r="AP81" i="3" s="1"/>
  <c r="AP71" i="3"/>
  <c r="AO101" i="3" s="1"/>
  <c r="AP101" i="3" s="1"/>
  <c r="Z78" i="3"/>
  <c r="AA78" i="3" s="1"/>
  <c r="AA68" i="3"/>
  <c r="Z98" i="3" s="1"/>
  <c r="AA98" i="3" s="1"/>
  <c r="U73" i="3"/>
  <c r="T103" i="3" s="1"/>
  <c r="U103" i="3" s="1"/>
  <c r="T83" i="3"/>
  <c r="U83" i="3" s="1"/>
  <c r="AY67" i="3"/>
  <c r="AX97" i="3" s="1"/>
  <c r="AY97" i="3" s="1"/>
  <c r="AX77" i="3"/>
  <c r="AY77" i="3" s="1"/>
  <c r="I75" i="3"/>
  <c r="H105" i="3" s="1"/>
  <c r="I105" i="3" s="1"/>
  <c r="H85" i="3"/>
  <c r="X67" i="3"/>
  <c r="W97" i="3" s="1"/>
  <c r="X97" i="3" s="1"/>
  <c r="BA84" i="3"/>
  <c r="BB84" i="3" s="1"/>
  <c r="H76" i="3"/>
  <c r="I76" i="3" s="1"/>
  <c r="AG68" i="3"/>
  <c r="AF98" i="3" s="1"/>
  <c r="AG98" i="3" s="1"/>
  <c r="AR84" i="3"/>
  <c r="AS84" i="3" s="1"/>
  <c r="Q83" i="3"/>
  <c r="R83" i="3" s="1"/>
  <c r="AG70" i="3"/>
  <c r="AF100" i="3" s="1"/>
  <c r="AG100" i="3" s="1"/>
  <c r="AF80" i="3"/>
  <c r="AG80" i="3" s="1"/>
  <c r="AD75" i="3"/>
  <c r="AC105" i="3" s="1"/>
  <c r="AD105" i="3" s="1"/>
  <c r="AC85" i="3"/>
  <c r="AD85" i="3" s="1"/>
  <c r="AO76" i="3"/>
  <c r="AP76" i="3" s="1"/>
  <c r="H84" i="3"/>
  <c r="I74" i="3"/>
  <c r="H104" i="3" s="1"/>
  <c r="I104" i="3" s="1"/>
  <c r="BH71" i="3"/>
  <c r="BG101" i="3" s="1"/>
  <c r="BH101" i="3" s="1"/>
  <c r="BG81" i="3"/>
  <c r="BH81" i="3" s="1"/>
  <c r="AL83" i="3"/>
  <c r="AM83" i="3" s="1"/>
  <c r="AM73" i="3"/>
  <c r="AL103" i="3" s="1"/>
  <c r="AM103" i="3" s="1"/>
  <c r="BB66" i="3"/>
  <c r="BA96" i="3" s="1"/>
  <c r="BB96" i="3" s="1"/>
  <c r="BA76" i="3"/>
  <c r="BB76" i="3" s="1"/>
  <c r="AG67" i="3"/>
  <c r="AF97" i="3" s="1"/>
  <c r="AG97" i="3" s="1"/>
  <c r="AF77" i="3"/>
  <c r="AG77" i="3" s="1"/>
  <c r="AS73" i="3"/>
  <c r="AR103" i="3" s="1"/>
  <c r="AS103" i="3" s="1"/>
  <c r="AR83" i="3"/>
  <c r="AS83" i="3" s="1"/>
  <c r="AD69" i="3"/>
  <c r="AC99" i="3" s="1"/>
  <c r="AD99" i="3" s="1"/>
  <c r="AC79" i="3"/>
  <c r="AD79" i="3" s="1"/>
  <c r="AC83" i="3"/>
  <c r="AD83" i="3" s="1"/>
  <c r="AD74" i="3"/>
  <c r="AC104" i="3" s="1"/>
  <c r="AD104" i="3" s="1"/>
  <c r="AC84" i="3"/>
  <c r="AD84" i="3" s="1"/>
  <c r="BN66" i="3"/>
  <c r="BM96" i="3" s="1"/>
  <c r="BN96" i="3" s="1"/>
  <c r="BM76" i="3"/>
  <c r="BN76" i="3" s="1"/>
  <c r="AL84" i="3"/>
  <c r="AM84" i="3" s="1"/>
  <c r="AM74" i="3"/>
  <c r="AL104" i="3" s="1"/>
  <c r="AM104" i="3" s="1"/>
  <c r="K84" i="3"/>
  <c r="E74" i="3"/>
  <c r="K78" i="3"/>
  <c r="L78" i="3" s="1"/>
  <c r="E68" i="3"/>
  <c r="L85" i="3"/>
  <c r="L131" i="3"/>
  <c r="E131" i="3"/>
  <c r="Q9" i="4" s="1"/>
  <c r="R9" i="4" s="1"/>
  <c r="L133" i="3"/>
  <c r="E133" i="3"/>
  <c r="Q11" i="4" s="1"/>
  <c r="R11" i="4" s="1"/>
  <c r="L135" i="3"/>
  <c r="E135" i="3"/>
  <c r="Q13" i="4" s="1"/>
  <c r="R13" i="4" s="1"/>
  <c r="L130" i="3"/>
  <c r="E130" i="3"/>
  <c r="Q8" i="4" s="1"/>
  <c r="L134" i="3"/>
  <c r="F134" i="3" s="1"/>
  <c r="E134" i="3"/>
  <c r="Q12" i="4" s="1"/>
  <c r="R12" i="4" s="1"/>
  <c r="E128" i="3"/>
  <c r="Q6" i="4" s="1"/>
  <c r="R6" i="4" s="1"/>
  <c r="L128" i="3"/>
  <c r="L132" i="3"/>
  <c r="E132" i="3"/>
  <c r="Q10" i="4" s="1"/>
  <c r="R10" i="4" s="1"/>
  <c r="E129" i="3"/>
  <c r="Q7" i="4" s="1"/>
  <c r="R7" i="4" s="1"/>
  <c r="L129" i="3"/>
  <c r="L126" i="3"/>
  <c r="E126" i="3"/>
  <c r="Q4" i="4" s="1"/>
  <c r="L98" i="3"/>
  <c r="L73" i="3"/>
  <c r="E73" i="3"/>
  <c r="L75" i="3"/>
  <c r="E75" i="3"/>
  <c r="L69" i="3"/>
  <c r="K99" i="3" s="1"/>
  <c r="L99" i="3" s="1"/>
  <c r="K79" i="3"/>
  <c r="L79" i="3" s="1"/>
  <c r="L70" i="3"/>
  <c r="E70" i="3"/>
  <c r="K83" i="3"/>
  <c r="L71" i="3"/>
  <c r="E71" i="3"/>
  <c r="L72" i="3"/>
  <c r="K82" i="3"/>
  <c r="L82" i="3" s="1"/>
  <c r="L66" i="3"/>
  <c r="K76" i="3"/>
  <c r="E66" i="3"/>
  <c r="K97" i="3"/>
  <c r="L77" i="3"/>
  <c r="G7" i="26" l="1"/>
  <c r="G16" i="26"/>
  <c r="G40" i="26"/>
  <c r="G25" i="26"/>
  <c r="G34" i="26"/>
  <c r="G19" i="26"/>
  <c r="G28" i="26"/>
  <c r="G22" i="26"/>
  <c r="G13" i="26"/>
  <c r="G37" i="26"/>
  <c r="G31" i="26"/>
  <c r="G6" i="26"/>
  <c r="G24" i="26"/>
  <c r="G33" i="26"/>
  <c r="G18" i="26"/>
  <c r="G27" i="26"/>
  <c r="G30" i="26"/>
  <c r="G12" i="26"/>
  <c r="G36" i="26"/>
  <c r="G21" i="26"/>
  <c r="G15" i="26"/>
  <c r="G39" i="26"/>
  <c r="G5" i="26"/>
  <c r="G32" i="26"/>
  <c r="G17" i="26"/>
  <c r="G41" i="26"/>
  <c r="G26" i="26"/>
  <c r="G14" i="26"/>
  <c r="G35" i="26"/>
  <c r="G20" i="26"/>
  <c r="G29" i="26"/>
  <c r="G38" i="26"/>
  <c r="G23" i="26"/>
  <c r="I80" i="3"/>
  <c r="F80" i="3" s="1"/>
  <c r="E80" i="3"/>
  <c r="T8" i="4" s="1"/>
  <c r="U8" i="4" s="1"/>
  <c r="I85" i="3"/>
  <c r="F85" i="3" s="1"/>
  <c r="E85" i="3"/>
  <c r="T13" i="4" s="1"/>
  <c r="I81" i="3"/>
  <c r="F81" i="3" s="1"/>
  <c r="E81" i="3"/>
  <c r="T9" i="4" s="1"/>
  <c r="U9" i="4" s="1"/>
  <c r="I82" i="3"/>
  <c r="F82" i="3" s="1"/>
  <c r="E82" i="3"/>
  <c r="T10" i="4" s="1"/>
  <c r="U10" i="4" s="1"/>
  <c r="I83" i="3"/>
  <c r="E83" i="3"/>
  <c r="T11" i="4" s="1"/>
  <c r="U11" i="4" s="1"/>
  <c r="I84" i="3"/>
  <c r="E84" i="3"/>
  <c r="T12" i="4" s="1"/>
  <c r="U12" i="4" s="1"/>
  <c r="E79" i="3"/>
  <c r="T7" i="4" s="1"/>
  <c r="U7" i="4" s="1"/>
  <c r="I79" i="3"/>
  <c r="E5" i="2"/>
  <c r="T6" i="6"/>
  <c r="W14" i="4"/>
  <c r="E6" i="2"/>
  <c r="E12" i="2"/>
  <c r="U10" i="6"/>
  <c r="B10" i="2" s="1"/>
  <c r="T7" i="6"/>
  <c r="E11" i="2"/>
  <c r="E9" i="2"/>
  <c r="E13" i="2"/>
  <c r="E8" i="2"/>
  <c r="O120" i="30"/>
  <c r="P120" i="30" s="1"/>
  <c r="M4" i="30"/>
  <c r="O96" i="30"/>
  <c r="P96" i="30" s="1"/>
  <c r="O214" i="30"/>
  <c r="P214" i="30" s="1"/>
  <c r="M37" i="30"/>
  <c r="M48" i="30"/>
  <c r="M149" i="30"/>
  <c r="M109" i="30"/>
  <c r="M147" i="30"/>
  <c r="M101" i="30"/>
  <c r="M112" i="30"/>
  <c r="M32" i="30"/>
  <c r="M169" i="30"/>
  <c r="M47" i="30"/>
  <c r="M46" i="30"/>
  <c r="M128" i="30"/>
  <c r="M36" i="30"/>
  <c r="M107" i="30"/>
  <c r="M108" i="30"/>
  <c r="M39" i="30"/>
  <c r="M20" i="30"/>
  <c r="M31" i="30"/>
  <c r="M34" i="30"/>
  <c r="M33" i="30"/>
  <c r="M35" i="30"/>
  <c r="M73" i="30"/>
  <c r="M84" i="30"/>
  <c r="M95" i="30"/>
  <c r="M106" i="30"/>
  <c r="M137" i="30"/>
  <c r="M83" i="30"/>
  <c r="M85" i="30"/>
  <c r="M204" i="30"/>
  <c r="M138" i="30"/>
  <c r="M97" i="30"/>
  <c r="M139" i="30"/>
  <c r="M142" i="30"/>
  <c r="M209" i="30"/>
  <c r="M150" i="30"/>
  <c r="M40" i="30"/>
  <c r="M76" i="30"/>
  <c r="M87" i="30"/>
  <c r="M98" i="30"/>
  <c r="M140" i="30"/>
  <c r="M77" i="30"/>
  <c r="M151" i="30"/>
  <c r="M208" i="30"/>
  <c r="M192" i="30"/>
  <c r="M141" i="30"/>
  <c r="M207" i="30"/>
  <c r="M79" i="30"/>
  <c r="M143" i="30"/>
  <c r="M103" i="30"/>
  <c r="M104" i="30"/>
  <c r="M13" i="30"/>
  <c r="M94" i="30"/>
  <c r="M136" i="30"/>
  <c r="M81" i="30"/>
  <c r="M211" i="30"/>
  <c r="M212" i="30"/>
  <c r="M80" i="30"/>
  <c r="M206" i="30"/>
  <c r="M59" i="30"/>
  <c r="M145" i="30"/>
  <c r="M167" i="30"/>
  <c r="M82" i="30"/>
  <c r="M146" i="30"/>
  <c r="M72" i="30"/>
  <c r="M205" i="30"/>
  <c r="M86" i="30"/>
  <c r="O144" i="30"/>
  <c r="P144" i="30" s="1"/>
  <c r="M163" i="30"/>
  <c r="M38" i="30"/>
  <c r="M105" i="30"/>
  <c r="M111" i="30"/>
  <c r="M210" i="30"/>
  <c r="M199" i="30"/>
  <c r="M14" i="30"/>
  <c r="M25" i="30"/>
  <c r="M62" i="30"/>
  <c r="M53" i="30"/>
  <c r="M159" i="30"/>
  <c r="M127" i="30"/>
  <c r="M16" i="30"/>
  <c r="M41" i="30"/>
  <c r="M220" i="30"/>
  <c r="M15" i="30"/>
  <c r="M63" i="30"/>
  <c r="M27" i="30"/>
  <c r="M170" i="30"/>
  <c r="M198" i="30"/>
  <c r="M193" i="30"/>
  <c r="M64" i="30"/>
  <c r="M203" i="30"/>
  <c r="M171" i="30"/>
  <c r="M28" i="30"/>
  <c r="M54" i="30"/>
  <c r="M65" i="30"/>
  <c r="M129" i="30"/>
  <c r="M29" i="30"/>
  <c r="M130" i="30"/>
  <c r="M56" i="30"/>
  <c r="M131" i="30"/>
  <c r="M197" i="30"/>
  <c r="M66" i="30"/>
  <c r="M119" i="30"/>
  <c r="M152" i="30"/>
  <c r="M19" i="30"/>
  <c r="M202" i="30"/>
  <c r="M153" i="30"/>
  <c r="M200" i="30"/>
  <c r="M196" i="30"/>
  <c r="M191" i="30"/>
  <c r="M49" i="30"/>
  <c r="M42" i="30"/>
  <c r="M57" i="30"/>
  <c r="M68" i="30"/>
  <c r="M90" i="30"/>
  <c r="M132" i="30"/>
  <c r="M12" i="30"/>
  <c r="M155" i="30"/>
  <c r="M195" i="30"/>
  <c r="M51" i="30"/>
  <c r="M44" i="30"/>
  <c r="M70" i="30"/>
  <c r="M134" i="30"/>
  <c r="M156" i="30"/>
  <c r="M71" i="30"/>
  <c r="M135" i="30"/>
  <c r="M154" i="30"/>
  <c r="M190" i="30"/>
  <c r="M123" i="30"/>
  <c r="M23" i="30"/>
  <c r="M60" i="30"/>
  <c r="M124" i="30"/>
  <c r="M61" i="30"/>
  <c r="M125" i="30"/>
  <c r="M217" i="30"/>
  <c r="M201" i="30"/>
  <c r="M50" i="30"/>
  <c r="M21" i="30"/>
  <c r="M43" i="30"/>
  <c r="M58" i="30"/>
  <c r="M69" i="30"/>
  <c r="M122" i="30"/>
  <c r="M133" i="30"/>
  <c r="M22" i="30"/>
  <c r="M45" i="30"/>
  <c r="M114" i="30"/>
  <c r="M157" i="30"/>
  <c r="M158" i="30"/>
  <c r="M126" i="30"/>
  <c r="M67" i="30"/>
  <c r="M26" i="30"/>
  <c r="M18" i="30"/>
  <c r="M24" i="30"/>
  <c r="M121" i="30"/>
  <c r="M52" i="30"/>
  <c r="M116" i="30"/>
  <c r="M100" i="30"/>
  <c r="M189" i="30"/>
  <c r="M188" i="30"/>
  <c r="M177" i="30"/>
  <c r="M89" i="30"/>
  <c r="M187" i="30"/>
  <c r="M176" i="30"/>
  <c r="M17" i="30"/>
  <c r="M162" i="30"/>
  <c r="M55" i="30"/>
  <c r="M99" i="30"/>
  <c r="M88" i="30"/>
  <c r="M175" i="30"/>
  <c r="M218" i="30"/>
  <c r="M186" i="30"/>
  <c r="M164" i="30"/>
  <c r="M180" i="30"/>
  <c r="M168" i="30"/>
  <c r="M165" i="30"/>
  <c r="M166" i="30"/>
  <c r="M173" i="30"/>
  <c r="M93" i="30"/>
  <c r="M185" i="30"/>
  <c r="M174" i="30"/>
  <c r="M91" i="30"/>
  <c r="M102" i="30"/>
  <c r="M179" i="30"/>
  <c r="M92" i="30"/>
  <c r="M216" i="30"/>
  <c r="M184" i="30"/>
  <c r="M178" i="30"/>
  <c r="M183" i="30"/>
  <c r="M75" i="30"/>
  <c r="M74" i="30"/>
  <c r="M160" i="30"/>
  <c r="M182" i="30"/>
  <c r="M161" i="30"/>
  <c r="M181" i="30"/>
  <c r="M78" i="30"/>
  <c r="M30" i="30"/>
  <c r="M115" i="30"/>
  <c r="M215" i="30"/>
  <c r="M219" i="30"/>
  <c r="N4" i="30"/>
  <c r="O4" i="30" s="1"/>
  <c r="P4" i="30" s="1"/>
  <c r="J8" i="32" s="1"/>
  <c r="N181" i="30"/>
  <c r="N115" i="30"/>
  <c r="N160" i="30"/>
  <c r="N183" i="30"/>
  <c r="N161" i="30"/>
  <c r="N30" i="30"/>
  <c r="N74" i="30"/>
  <c r="N75" i="30"/>
  <c r="N182" i="30"/>
  <c r="N78" i="30"/>
  <c r="N149" i="30"/>
  <c r="N37" i="30"/>
  <c r="N109" i="30"/>
  <c r="O109" i="30" s="1"/>
  <c r="P109" i="30" s="1"/>
  <c r="N32" i="30"/>
  <c r="N169" i="30"/>
  <c r="N101" i="30"/>
  <c r="O101" i="30" s="1"/>
  <c r="P101" i="30" s="1"/>
  <c r="N147" i="30"/>
  <c r="O147" i="30" s="1"/>
  <c r="P147" i="30" s="1"/>
  <c r="N48" i="30"/>
  <c r="N112" i="30"/>
  <c r="N35" i="30"/>
  <c r="O35" i="30" s="1"/>
  <c r="P35" i="30" s="1"/>
  <c r="N36" i="30"/>
  <c r="N107" i="30"/>
  <c r="N31" i="30"/>
  <c r="N39" i="30"/>
  <c r="N108" i="30"/>
  <c r="N34" i="30"/>
  <c r="N33" i="30"/>
  <c r="N20" i="30"/>
  <c r="N121" i="30"/>
  <c r="N24" i="30"/>
  <c r="N26" i="30"/>
  <c r="N18" i="30"/>
  <c r="N52" i="30"/>
  <c r="N46" i="30"/>
  <c r="N128" i="30"/>
  <c r="O128" i="30" s="1"/>
  <c r="P128" i="30" s="1"/>
  <c r="N47" i="30"/>
  <c r="N216" i="30"/>
  <c r="N164" i="30"/>
  <c r="N180" i="30"/>
  <c r="N166" i="30"/>
  <c r="N179" i="30"/>
  <c r="N17" i="30"/>
  <c r="N91" i="30"/>
  <c r="N165" i="30"/>
  <c r="N175" i="30"/>
  <c r="N185" i="30"/>
  <c r="N55" i="30"/>
  <c r="N99" i="30"/>
  <c r="N116" i="30"/>
  <c r="N102" i="30"/>
  <c r="N174" i="30"/>
  <c r="N89" i="30"/>
  <c r="N176" i="30"/>
  <c r="N188" i="30"/>
  <c r="N162" i="30"/>
  <c r="O162" i="30" s="1"/>
  <c r="P162" i="30" s="1"/>
  <c r="N189" i="30"/>
  <c r="O189" i="30" s="1"/>
  <c r="P189" i="30" s="1"/>
  <c r="N92" i="30"/>
  <c r="N100" i="30"/>
  <c r="O100" i="30" s="1"/>
  <c r="P100" i="30" s="1"/>
  <c r="N93" i="30"/>
  <c r="N184" i="30"/>
  <c r="N218" i="30"/>
  <c r="N168" i="30"/>
  <c r="N173" i="30"/>
  <c r="N187" i="30"/>
  <c r="N88" i="30"/>
  <c r="N178" i="30"/>
  <c r="N186" i="30"/>
  <c r="N177" i="30"/>
  <c r="N105" i="30"/>
  <c r="N38" i="30"/>
  <c r="O38" i="30" s="1"/>
  <c r="P38" i="30" s="1"/>
  <c r="N111" i="30"/>
  <c r="N163" i="30"/>
  <c r="N13" i="30"/>
  <c r="N83" i="30"/>
  <c r="N76" i="30"/>
  <c r="N98" i="30"/>
  <c r="N142" i="30"/>
  <c r="N86" i="30"/>
  <c r="N79" i="30"/>
  <c r="N167" i="30"/>
  <c r="N138" i="30"/>
  <c r="N80" i="30"/>
  <c r="O80" i="30" s="1"/>
  <c r="P80" i="30" s="1"/>
  <c r="N139" i="30"/>
  <c r="N103" i="30"/>
  <c r="N207" i="30"/>
  <c r="N143" i="30"/>
  <c r="N137" i="30"/>
  <c r="N73" i="30"/>
  <c r="O73" i="30" s="1"/>
  <c r="P73" i="30" s="1"/>
  <c r="N204" i="30"/>
  <c r="N104" i="30"/>
  <c r="N84" i="30"/>
  <c r="O84" i="30" s="1"/>
  <c r="P84" i="30" s="1"/>
  <c r="N106" i="30"/>
  <c r="N150" i="30"/>
  <c r="N77" i="30"/>
  <c r="N72" i="30"/>
  <c r="N192" i="30"/>
  <c r="O192" i="30" s="1"/>
  <c r="P192" i="30" s="1"/>
  <c r="N95" i="30"/>
  <c r="O95" i="30" s="1"/>
  <c r="P95" i="30" s="1"/>
  <c r="N211" i="30"/>
  <c r="N145" i="30"/>
  <c r="N136" i="30"/>
  <c r="O136" i="30" s="1"/>
  <c r="P136" i="30" s="1"/>
  <c r="N85" i="30"/>
  <c r="N206" i="30"/>
  <c r="N205" i="30"/>
  <c r="N209" i="30"/>
  <c r="N81" i="30"/>
  <c r="N140" i="30"/>
  <c r="N146" i="30"/>
  <c r="O146" i="30" s="1"/>
  <c r="P146" i="30" s="1"/>
  <c r="N94" i="30"/>
  <c r="N59" i="30"/>
  <c r="N82" i="30"/>
  <c r="N40" i="30"/>
  <c r="N97" i="30"/>
  <c r="N141" i="30"/>
  <c r="O141" i="30" s="1"/>
  <c r="P141" i="30" s="1"/>
  <c r="N208" i="30"/>
  <c r="N212" i="30"/>
  <c r="N151" i="30"/>
  <c r="N87" i="30"/>
  <c r="N203" i="30"/>
  <c r="N190" i="30"/>
  <c r="N61" i="30"/>
  <c r="O61" i="30" s="1"/>
  <c r="P61" i="30" s="1"/>
  <c r="N127" i="30"/>
  <c r="N28" i="30"/>
  <c r="O28" i="30" s="1"/>
  <c r="P28" i="30" s="1"/>
  <c r="N54" i="30"/>
  <c r="O54" i="30" s="1"/>
  <c r="P54" i="30" s="1"/>
  <c r="N129" i="30"/>
  <c r="N56" i="30"/>
  <c r="N159" i="30"/>
  <c r="N16" i="30"/>
  <c r="N201" i="30"/>
  <c r="N49" i="30"/>
  <c r="N123" i="30"/>
  <c r="N170" i="30"/>
  <c r="N124" i="30"/>
  <c r="N60" i="30"/>
  <c r="N126" i="30"/>
  <c r="N220" i="30"/>
  <c r="N21" i="30"/>
  <c r="N43" i="30"/>
  <c r="N69" i="30"/>
  <c r="N135" i="30"/>
  <c r="N157" i="30"/>
  <c r="N29" i="30"/>
  <c r="N15" i="30"/>
  <c r="N63" i="30"/>
  <c r="N41" i="30"/>
  <c r="N198" i="30"/>
  <c r="N14" i="30"/>
  <c r="N62" i="30"/>
  <c r="O62" i="30" s="1"/>
  <c r="P62" i="30" s="1"/>
  <c r="N122" i="30"/>
  <c r="O122" i="30" s="1"/>
  <c r="P122" i="30" s="1"/>
  <c r="N57" i="30"/>
  <c r="N153" i="30"/>
  <c r="N125" i="30"/>
  <c r="N155" i="30"/>
  <c r="N131" i="30"/>
  <c r="N51" i="30"/>
  <c r="N217" i="30"/>
  <c r="N202" i="30"/>
  <c r="N22" i="30"/>
  <c r="N44" i="30"/>
  <c r="N70" i="30"/>
  <c r="N114" i="30"/>
  <c r="N158" i="30"/>
  <c r="N210" i="30"/>
  <c r="N193" i="30"/>
  <c r="N197" i="30"/>
  <c r="N171" i="30"/>
  <c r="N23" i="30"/>
  <c r="N45" i="30"/>
  <c r="N71" i="30"/>
  <c r="O71" i="30" s="1"/>
  <c r="P71" i="30" s="1"/>
  <c r="N64" i="30"/>
  <c r="N152" i="30"/>
  <c r="N50" i="30"/>
  <c r="N19" i="30"/>
  <c r="N133" i="30"/>
  <c r="N58" i="30"/>
  <c r="N65" i="30"/>
  <c r="N196" i="30"/>
  <c r="N191" i="30"/>
  <c r="O191" i="30" s="1"/>
  <c r="P191" i="30" s="1"/>
  <c r="N195" i="30"/>
  <c r="N200" i="30"/>
  <c r="N66" i="30"/>
  <c r="N132" i="30"/>
  <c r="N154" i="30"/>
  <c r="N199" i="30"/>
  <c r="N12" i="30"/>
  <c r="N27" i="30"/>
  <c r="N53" i="30"/>
  <c r="O53" i="30" s="1"/>
  <c r="P53" i="30" s="1"/>
  <c r="N119" i="30"/>
  <c r="N42" i="30"/>
  <c r="N68" i="30"/>
  <c r="N90" i="30"/>
  <c r="N134" i="30"/>
  <c r="N156" i="30"/>
  <c r="N130" i="30"/>
  <c r="N25" i="30"/>
  <c r="N67" i="30"/>
  <c r="N215" i="30"/>
  <c r="O215" i="30" s="1"/>
  <c r="P215" i="30" s="1"/>
  <c r="N219" i="30"/>
  <c r="N9" i="30"/>
  <c r="O9" i="30" s="1"/>
  <c r="P9" i="30" s="1"/>
  <c r="E14" i="4"/>
  <c r="X4" i="4"/>
  <c r="X15" i="4" s="1"/>
  <c r="V14" i="4"/>
  <c r="S14" i="4"/>
  <c r="G3" i="26"/>
  <c r="G10" i="26"/>
  <c r="G9" i="26"/>
  <c r="I12" i="11"/>
  <c r="I41" i="11" s="1"/>
  <c r="X10" i="20"/>
  <c r="AY10" i="20"/>
  <c r="M120" i="9"/>
  <c r="AZ12" i="20"/>
  <c r="AX7" i="20"/>
  <c r="W11" i="20"/>
  <c r="X11" i="20"/>
  <c r="Y78" i="9"/>
  <c r="W99" i="9"/>
  <c r="AZ10" i="20"/>
  <c r="W6" i="20"/>
  <c r="X6" i="20"/>
  <c r="AZ7" i="20"/>
  <c r="V12" i="20"/>
  <c r="W7" i="20"/>
  <c r="Y55" i="10"/>
  <c r="Y99" i="9"/>
  <c r="AZ11" i="20"/>
  <c r="W55" i="10"/>
  <c r="AX12" i="20"/>
  <c r="AY7" i="20"/>
  <c r="X7" i="20"/>
  <c r="W78" i="9"/>
  <c r="AY12" i="20"/>
  <c r="AY6" i="20"/>
  <c r="AX10" i="20"/>
  <c r="V11" i="20"/>
  <c r="X12" i="20"/>
  <c r="X99" i="9"/>
  <c r="V10" i="20"/>
  <c r="AZ6" i="20"/>
  <c r="AX6" i="20"/>
  <c r="X78" i="9"/>
  <c r="X55" i="10"/>
  <c r="V7" i="20"/>
  <c r="AY11" i="20"/>
  <c r="AX11" i="20"/>
  <c r="V6" i="20"/>
  <c r="W10" i="20"/>
  <c r="W12" i="20"/>
  <c r="J12" i="11"/>
  <c r="J41" i="11" s="1"/>
  <c r="M101" i="9"/>
  <c r="J101" i="9"/>
  <c r="J100" i="9"/>
  <c r="T108" i="9"/>
  <c r="M100" i="9"/>
  <c r="M121" i="9"/>
  <c r="P100" i="9"/>
  <c r="J121" i="9"/>
  <c r="J120" i="9"/>
  <c r="E66" i="9"/>
  <c r="P102" i="9"/>
  <c r="P121" i="9"/>
  <c r="P120" i="9"/>
  <c r="Q120" i="9"/>
  <c r="P101" i="9"/>
  <c r="E46" i="9"/>
  <c r="P122" i="9"/>
  <c r="R120" i="9"/>
  <c r="Q101" i="9"/>
  <c r="E64" i="9"/>
  <c r="O100" i="9"/>
  <c r="T105" i="9"/>
  <c r="O120" i="9"/>
  <c r="Q100" i="9"/>
  <c r="Q121" i="9"/>
  <c r="E44" i="9"/>
  <c r="U128" i="9"/>
  <c r="T127" i="9"/>
  <c r="T102" i="9"/>
  <c r="U126" i="9"/>
  <c r="U103" i="9"/>
  <c r="U105" i="9"/>
  <c r="E41" i="9"/>
  <c r="E65" i="9"/>
  <c r="T103" i="9"/>
  <c r="U123" i="9"/>
  <c r="E61" i="9"/>
  <c r="T107" i="9"/>
  <c r="U102" i="9"/>
  <c r="U104" i="9"/>
  <c r="T106" i="9"/>
  <c r="U36" i="9"/>
  <c r="U4" i="9" s="1"/>
  <c r="U125" i="9"/>
  <c r="T120" i="9"/>
  <c r="R100" i="9"/>
  <c r="U127" i="9"/>
  <c r="T101" i="9"/>
  <c r="U101" i="9"/>
  <c r="T128" i="9"/>
  <c r="U121" i="9"/>
  <c r="T129" i="9"/>
  <c r="U100" i="9"/>
  <c r="K100" i="9"/>
  <c r="E43" i="9"/>
  <c r="I122" i="9"/>
  <c r="U107" i="9"/>
  <c r="U124" i="9"/>
  <c r="T104" i="9"/>
  <c r="E45" i="9"/>
  <c r="U120" i="9"/>
  <c r="T123" i="9"/>
  <c r="T121" i="9"/>
  <c r="U108" i="9"/>
  <c r="T109" i="9"/>
  <c r="U109" i="9"/>
  <c r="I101" i="9"/>
  <c r="K120" i="9"/>
  <c r="U122" i="9"/>
  <c r="T100" i="9"/>
  <c r="T36" i="9"/>
  <c r="T4" i="9" s="1"/>
  <c r="T124" i="9"/>
  <c r="U106" i="9"/>
  <c r="U129" i="9"/>
  <c r="T125" i="9"/>
  <c r="T122" i="9"/>
  <c r="I121" i="9"/>
  <c r="E63" i="9"/>
  <c r="I102" i="9"/>
  <c r="E42" i="9"/>
  <c r="I100" i="9"/>
  <c r="I120" i="9"/>
  <c r="T126" i="9"/>
  <c r="E62" i="9"/>
  <c r="BA5" i="20"/>
  <c r="Z77" i="9"/>
  <c r="L7" i="20"/>
  <c r="AW12" i="20"/>
  <c r="O55" i="10"/>
  <c r="R12" i="20"/>
  <c r="L11" i="20"/>
  <c r="M78" i="9"/>
  <c r="AN7" i="20"/>
  <c r="AP12" i="20"/>
  <c r="AT12" i="20"/>
  <c r="AL12" i="20"/>
  <c r="AM11" i="20"/>
  <c r="N78" i="9"/>
  <c r="S7" i="20"/>
  <c r="P7" i="20"/>
  <c r="AR11" i="20"/>
  <c r="BA9" i="20"/>
  <c r="AK11" i="20"/>
  <c r="K7" i="20"/>
  <c r="AO7" i="20"/>
  <c r="Q12" i="20"/>
  <c r="V55" i="10"/>
  <c r="T12" i="20"/>
  <c r="AT7" i="20"/>
  <c r="E56" i="10"/>
  <c r="D13" i="11" s="1"/>
  <c r="D42" i="11" s="1"/>
  <c r="AP11" i="20"/>
  <c r="AW10" i="20"/>
  <c r="AQ12" i="20"/>
  <c r="O7" i="20"/>
  <c r="AP7" i="20"/>
  <c r="L12" i="20"/>
  <c r="U78" i="9"/>
  <c r="N12" i="20"/>
  <c r="M12" i="20"/>
  <c r="AW7" i="20"/>
  <c r="V78" i="9"/>
  <c r="Q7" i="20"/>
  <c r="AQ7" i="20"/>
  <c r="P12" i="20"/>
  <c r="J78" i="9"/>
  <c r="AS7" i="20"/>
  <c r="J11" i="20"/>
  <c r="R11" i="20"/>
  <c r="AN11" i="20"/>
  <c r="H12" i="20"/>
  <c r="O78" i="9"/>
  <c r="U7" i="20"/>
  <c r="N7" i="20"/>
  <c r="AM7" i="20"/>
  <c r="M7" i="20"/>
  <c r="U12" i="20"/>
  <c r="O11" i="20"/>
  <c r="I7" i="20"/>
  <c r="Q55" i="10"/>
  <c r="AR12" i="20"/>
  <c r="U6" i="20"/>
  <c r="K78" i="9"/>
  <c r="AK7" i="20"/>
  <c r="L55" i="10"/>
  <c r="R7" i="20"/>
  <c r="U55" i="10"/>
  <c r="AM12" i="20"/>
  <c r="M11" i="20"/>
  <c r="P55" i="10"/>
  <c r="J12" i="20"/>
  <c r="AL7" i="20"/>
  <c r="AV12" i="20"/>
  <c r="AJ12" i="20"/>
  <c r="R55" i="10"/>
  <c r="AV11" i="20"/>
  <c r="J7" i="20"/>
  <c r="N11" i="20"/>
  <c r="AT11" i="20"/>
  <c r="K11" i="20"/>
  <c r="S55" i="10"/>
  <c r="I11" i="20"/>
  <c r="R78" i="9"/>
  <c r="AO11" i="20"/>
  <c r="AS12" i="20"/>
  <c r="AW11" i="20"/>
  <c r="AS11" i="20"/>
  <c r="Q11" i="20"/>
  <c r="K12" i="20"/>
  <c r="E58" i="10"/>
  <c r="F13" i="11" s="1"/>
  <c r="F42" i="11" s="1"/>
  <c r="I78" i="9"/>
  <c r="AJ11" i="20"/>
  <c r="H11" i="20"/>
  <c r="AO12" i="20"/>
  <c r="O12" i="20"/>
  <c r="T55" i="10"/>
  <c r="S12" i="20"/>
  <c r="I12" i="20"/>
  <c r="AK12" i="20"/>
  <c r="J55" i="10"/>
  <c r="L78" i="9"/>
  <c r="AJ7" i="20"/>
  <c r="E79" i="9"/>
  <c r="M55" i="10"/>
  <c r="AN12" i="20"/>
  <c r="S78" i="9"/>
  <c r="T78" i="9"/>
  <c r="U11" i="20"/>
  <c r="Q78" i="9"/>
  <c r="AQ11" i="20"/>
  <c r="V99" i="9"/>
  <c r="U10" i="20"/>
  <c r="P11" i="20"/>
  <c r="N55" i="10"/>
  <c r="AU11" i="20"/>
  <c r="S11" i="20"/>
  <c r="E80" i="9"/>
  <c r="AW6" i="20"/>
  <c r="AR7" i="20"/>
  <c r="AL11" i="20"/>
  <c r="I55" i="10"/>
  <c r="AU7" i="20"/>
  <c r="E63" i="10"/>
  <c r="K13" i="11" s="1"/>
  <c r="K42" i="11" s="1"/>
  <c r="G7" i="20"/>
  <c r="P78" i="9"/>
  <c r="T7" i="20"/>
  <c r="T11" i="20"/>
  <c r="H7" i="20"/>
  <c r="E89" i="9"/>
  <c r="K55" i="10"/>
  <c r="AU12" i="20"/>
  <c r="Y9" i="20"/>
  <c r="AV7" i="20"/>
  <c r="E98" i="9"/>
  <c r="Y5" i="20"/>
  <c r="Y4" i="9"/>
  <c r="D4" i="20"/>
  <c r="F78" i="9"/>
  <c r="E95" i="9"/>
  <c r="T11" i="6"/>
  <c r="S14" i="6"/>
  <c r="E7" i="2"/>
  <c r="G8" i="26"/>
  <c r="K12" i="11"/>
  <c r="K41" i="11" s="1"/>
  <c r="E15" i="4"/>
  <c r="L12" i="11"/>
  <c r="L41" i="11" s="1"/>
  <c r="AH7" i="20"/>
  <c r="E65" i="10"/>
  <c r="M13" i="11" s="1"/>
  <c r="M42" i="11" s="1"/>
  <c r="AF4" i="20"/>
  <c r="M12" i="11"/>
  <c r="M41" i="11" s="1"/>
  <c r="Z4" i="9"/>
  <c r="O8" i="30"/>
  <c r="P8" i="30" s="1"/>
  <c r="O7" i="30"/>
  <c r="P7" i="30" s="1"/>
  <c r="O6" i="30"/>
  <c r="P6" i="30" s="1"/>
  <c r="E85" i="9"/>
  <c r="E86" i="9"/>
  <c r="E93" i="9"/>
  <c r="M14" i="6"/>
  <c r="N4" i="6"/>
  <c r="G4" i="26"/>
  <c r="F12" i="20"/>
  <c r="G12" i="20"/>
  <c r="E88" i="9"/>
  <c r="X4" i="9"/>
  <c r="M15" i="6"/>
  <c r="T12" i="6"/>
  <c r="W4" i="9"/>
  <c r="V4" i="9"/>
  <c r="B9" i="2"/>
  <c r="B11" i="2"/>
  <c r="Y10" i="4"/>
  <c r="E62" i="10"/>
  <c r="J13" i="11" s="1"/>
  <c r="J42" i="11" s="1"/>
  <c r="R14" i="6"/>
  <c r="AG11" i="20"/>
  <c r="T13" i="6"/>
  <c r="E84" i="9"/>
  <c r="E91" i="9"/>
  <c r="AH11" i="20"/>
  <c r="G78" i="9"/>
  <c r="G12" i="11"/>
  <c r="AH12" i="20"/>
  <c r="G6" i="39"/>
  <c r="E96" i="9"/>
  <c r="E94" i="9"/>
  <c r="H14" i="4"/>
  <c r="H15" i="4"/>
  <c r="AI12" i="20"/>
  <c r="B7" i="2"/>
  <c r="E92" i="9"/>
  <c r="S15" i="6"/>
  <c r="E87" i="9"/>
  <c r="AF17" i="20"/>
  <c r="AG16" i="20"/>
  <c r="AF16" i="20" s="1"/>
  <c r="O5" i="30"/>
  <c r="P5" i="30" s="1"/>
  <c r="E4" i="10"/>
  <c r="D12" i="11"/>
  <c r="E81" i="9"/>
  <c r="F12" i="11"/>
  <c r="H55" i="10"/>
  <c r="O3" i="30"/>
  <c r="P3" i="30" s="1"/>
  <c r="AI7" i="20"/>
  <c r="D8" i="20"/>
  <c r="E11" i="20"/>
  <c r="AF8" i="20"/>
  <c r="G55" i="10"/>
  <c r="E59" i="10"/>
  <c r="G13" i="11" s="1"/>
  <c r="G42" i="11" s="1"/>
  <c r="T9" i="6"/>
  <c r="D16" i="20"/>
  <c r="O11" i="30"/>
  <c r="P11" i="30" s="1"/>
  <c r="F7" i="20"/>
  <c r="D17" i="20"/>
  <c r="E61" i="10"/>
  <c r="I13" i="11" s="1"/>
  <c r="I42" i="11" s="1"/>
  <c r="E60" i="10"/>
  <c r="H13" i="11" s="1"/>
  <c r="E12" i="11"/>
  <c r="E82" i="9"/>
  <c r="F11" i="20"/>
  <c r="O10" i="30"/>
  <c r="P10" i="30" s="1"/>
  <c r="AI11" i="20"/>
  <c r="H78" i="9"/>
  <c r="G11" i="20"/>
  <c r="E97" i="9"/>
  <c r="E83" i="9"/>
  <c r="E57" i="10"/>
  <c r="E13" i="11" s="1"/>
  <c r="E42" i="11" s="1"/>
  <c r="E12" i="20"/>
  <c r="AG12" i="20"/>
  <c r="F55" i="10"/>
  <c r="AG7" i="20"/>
  <c r="E90" i="9"/>
  <c r="E7" i="20"/>
  <c r="D7" i="11"/>
  <c r="G7" i="39"/>
  <c r="E5" i="9"/>
  <c r="E64" i="10"/>
  <c r="L13" i="11" s="1"/>
  <c r="L42" i="11" s="1"/>
  <c r="H12" i="11"/>
  <c r="H41" i="11" s="1"/>
  <c r="R8" i="4"/>
  <c r="F133" i="3"/>
  <c r="F127" i="3"/>
  <c r="F128" i="3"/>
  <c r="AY23" i="20"/>
  <c r="F135" i="3"/>
  <c r="F131" i="3"/>
  <c r="W23" i="20"/>
  <c r="BA23" i="20"/>
  <c r="AG23" i="20"/>
  <c r="F132" i="3"/>
  <c r="X23" i="20"/>
  <c r="Y23" i="20"/>
  <c r="F129" i="3"/>
  <c r="AZ23" i="20"/>
  <c r="F130" i="3"/>
  <c r="N20" i="20"/>
  <c r="Q16" i="39"/>
  <c r="V16" i="39" s="1"/>
  <c r="AM20" i="20"/>
  <c r="AT20" i="20"/>
  <c r="AY20" i="20"/>
  <c r="AL20" i="20"/>
  <c r="AZ21" i="20"/>
  <c r="AP20" i="20"/>
  <c r="S20" i="20"/>
  <c r="N21" i="20"/>
  <c r="AU21" i="20"/>
  <c r="V20" i="20"/>
  <c r="X20" i="20"/>
  <c r="W20" i="20"/>
  <c r="AX20" i="20"/>
  <c r="R21" i="20"/>
  <c r="O20" i="20"/>
  <c r="P20" i="20"/>
  <c r="AR21" i="20"/>
  <c r="AO21" i="20"/>
  <c r="AZ20" i="20"/>
  <c r="P21" i="20"/>
  <c r="M21" i="20"/>
  <c r="AY21" i="20"/>
  <c r="J21" i="20"/>
  <c r="L20" i="20"/>
  <c r="AL21" i="20"/>
  <c r="AJ21" i="20"/>
  <c r="X21" i="20"/>
  <c r="AN21" i="20"/>
  <c r="E20" i="20"/>
  <c r="G20" i="20"/>
  <c r="BA21" i="20"/>
  <c r="AJ20" i="20"/>
  <c r="AW21" i="20"/>
  <c r="AT21" i="20"/>
  <c r="AM21" i="20"/>
  <c r="I20" i="20"/>
  <c r="G21" i="20"/>
  <c r="O21" i="20"/>
  <c r="Q20" i="20"/>
  <c r="F67" i="3"/>
  <c r="H21" i="20"/>
  <c r="M20" i="20"/>
  <c r="S21" i="20"/>
  <c r="T21" i="20"/>
  <c r="AX21" i="20"/>
  <c r="AP21" i="20"/>
  <c r="AR20" i="20"/>
  <c r="AQ20" i="20"/>
  <c r="U20" i="20"/>
  <c r="Q21" i="20"/>
  <c r="J20" i="20"/>
  <c r="K21" i="20"/>
  <c r="E104" i="3"/>
  <c r="N12" i="4" s="1"/>
  <c r="E98" i="3"/>
  <c r="N6" i="4" s="1"/>
  <c r="V21" i="20"/>
  <c r="AO20" i="20"/>
  <c r="AN20" i="20"/>
  <c r="AS20" i="20"/>
  <c r="F104" i="3"/>
  <c r="AU20" i="20"/>
  <c r="AW20" i="20"/>
  <c r="AG20" i="20"/>
  <c r="F98" i="3"/>
  <c r="Y20" i="20"/>
  <c r="L21" i="20"/>
  <c r="AS21" i="20"/>
  <c r="Y21" i="20"/>
  <c r="I21" i="20"/>
  <c r="AK21" i="20"/>
  <c r="AV21" i="20"/>
  <c r="AI21" i="20"/>
  <c r="AQ21" i="20"/>
  <c r="U21" i="20"/>
  <c r="F68" i="3"/>
  <c r="K20" i="20"/>
  <c r="E77" i="3"/>
  <c r="T5" i="4" s="1"/>
  <c r="U5" i="4" s="1"/>
  <c r="F78" i="3"/>
  <c r="AK20" i="20"/>
  <c r="W21" i="20"/>
  <c r="H20" i="20"/>
  <c r="F77" i="3"/>
  <c r="R20" i="20"/>
  <c r="AI20" i="20"/>
  <c r="F74" i="3"/>
  <c r="L84" i="3"/>
  <c r="F69" i="3"/>
  <c r="E78" i="3"/>
  <c r="T6" i="4" s="1"/>
  <c r="U6" i="4" s="1"/>
  <c r="F126" i="3"/>
  <c r="F23" i="20"/>
  <c r="AH23" i="20"/>
  <c r="R4" i="4"/>
  <c r="Q14" i="4"/>
  <c r="K100" i="3"/>
  <c r="F70" i="3"/>
  <c r="K105" i="3"/>
  <c r="F75" i="3"/>
  <c r="K102" i="3"/>
  <c r="F72" i="3"/>
  <c r="K103" i="3"/>
  <c r="F73" i="3"/>
  <c r="F71" i="3"/>
  <c r="K101" i="3"/>
  <c r="L83" i="3"/>
  <c r="L97" i="3"/>
  <c r="F97" i="3" s="1"/>
  <c r="E97" i="3"/>
  <c r="N5" i="4" s="1"/>
  <c r="L76" i="3"/>
  <c r="E76" i="3"/>
  <c r="T4" i="4" s="1"/>
  <c r="K96" i="3"/>
  <c r="F66" i="3"/>
  <c r="BB99" i="3"/>
  <c r="E99" i="3"/>
  <c r="N7" i="4" s="1"/>
  <c r="O42" i="30" l="1"/>
  <c r="P42" i="30" s="1"/>
  <c r="O102" i="30"/>
  <c r="P102" i="30" s="1"/>
  <c r="O152" i="30"/>
  <c r="P152" i="30" s="1"/>
  <c r="O211" i="30"/>
  <c r="P211" i="30" s="1"/>
  <c r="O198" i="30"/>
  <c r="P198" i="30" s="1"/>
  <c r="O138" i="30"/>
  <c r="P138" i="30" s="1"/>
  <c r="O64" i="30"/>
  <c r="P64" i="30" s="1"/>
  <c r="O205" i="30"/>
  <c r="P205" i="30" s="1"/>
  <c r="J16" i="32"/>
  <c r="O79" i="30"/>
  <c r="P79" i="30" s="1"/>
  <c r="O111" i="30"/>
  <c r="P111" i="30" s="1"/>
  <c r="F83" i="3"/>
  <c r="F84" i="3"/>
  <c r="O174" i="30"/>
  <c r="P174" i="30" s="1"/>
  <c r="O149" i="30"/>
  <c r="P149" i="30" s="1"/>
  <c r="O83" i="30"/>
  <c r="P83" i="30" s="1"/>
  <c r="O46" i="30"/>
  <c r="P46" i="30" s="1"/>
  <c r="O116" i="30"/>
  <c r="P116" i="30" s="1"/>
  <c r="O156" i="30"/>
  <c r="P156" i="30" s="1"/>
  <c r="O132" i="30"/>
  <c r="P132" i="30" s="1"/>
  <c r="O171" i="30"/>
  <c r="P171" i="30" s="1"/>
  <c r="O47" i="30"/>
  <c r="P47" i="30" s="1"/>
  <c r="O14" i="30"/>
  <c r="P14" i="30" s="1"/>
  <c r="O43" i="30"/>
  <c r="P43" i="30" s="1"/>
  <c r="O52" i="30"/>
  <c r="P52" i="30" s="1"/>
  <c r="O134" i="30"/>
  <c r="P134" i="30" s="1"/>
  <c r="O90" i="30"/>
  <c r="P90" i="30" s="1"/>
  <c r="O206" i="30"/>
  <c r="P206" i="30" s="1"/>
  <c r="O86" i="30"/>
  <c r="P86" i="30" s="1"/>
  <c r="O56" i="30"/>
  <c r="P56" i="30" s="1"/>
  <c r="E21" i="20"/>
  <c r="E19" i="20" s="1"/>
  <c r="E15" i="20" s="1"/>
  <c r="F79" i="3"/>
  <c r="AG21" i="20"/>
  <c r="AG19" i="20" s="1"/>
  <c r="AG15" i="20" s="1"/>
  <c r="O159" i="30"/>
  <c r="P159" i="30" s="1"/>
  <c r="O32" i="30"/>
  <c r="P32" i="30" s="1"/>
  <c r="O219" i="30"/>
  <c r="P219" i="30" s="1"/>
  <c r="O105" i="30"/>
  <c r="P105" i="30" s="1"/>
  <c r="O193" i="30"/>
  <c r="P193" i="30" s="1"/>
  <c r="O217" i="30"/>
  <c r="P217" i="30" s="1"/>
  <c r="O21" i="30"/>
  <c r="P21" i="30" s="1"/>
  <c r="O45" i="30"/>
  <c r="P45" i="30" s="1"/>
  <c r="O169" i="30"/>
  <c r="P169" i="30" s="1"/>
  <c r="O68" i="30"/>
  <c r="P68" i="30" s="1"/>
  <c r="O142" i="30"/>
  <c r="P142" i="30" s="1"/>
  <c r="O216" i="30"/>
  <c r="P216" i="30" s="1"/>
  <c r="O121" i="30"/>
  <c r="P121" i="30" s="1"/>
  <c r="O106" i="30"/>
  <c r="P106" i="30" s="1"/>
  <c r="O184" i="30"/>
  <c r="P184" i="30" s="1"/>
  <c r="O37" i="30"/>
  <c r="P37" i="30" s="1"/>
  <c r="O50" i="30"/>
  <c r="P50" i="30" s="1"/>
  <c r="O93" i="30"/>
  <c r="P93" i="30" s="1"/>
  <c r="E10" i="2"/>
  <c r="E14" i="2" s="1"/>
  <c r="U14" i="6"/>
  <c r="X14" i="4"/>
  <c r="T14" i="6"/>
  <c r="O57" i="30"/>
  <c r="P57" i="30" s="1"/>
  <c r="O81" i="30"/>
  <c r="P81" i="30" s="1"/>
  <c r="O139" i="30"/>
  <c r="P139" i="30" s="1"/>
  <c r="O203" i="30"/>
  <c r="P203" i="30" s="1"/>
  <c r="O163" i="30"/>
  <c r="P163" i="30" s="1"/>
  <c r="O164" i="30"/>
  <c r="P164" i="30" s="1"/>
  <c r="O188" i="30"/>
  <c r="P188" i="30" s="1"/>
  <c r="O137" i="30"/>
  <c r="P137" i="30" s="1"/>
  <c r="O125" i="30"/>
  <c r="P125" i="30" s="1"/>
  <c r="O207" i="30"/>
  <c r="P207" i="30" s="1"/>
  <c r="O143" i="30"/>
  <c r="P143" i="30" s="1"/>
  <c r="O25" i="30"/>
  <c r="P25" i="30" s="1"/>
  <c r="O153" i="30"/>
  <c r="P153" i="30" s="1"/>
  <c r="O201" i="30"/>
  <c r="P201" i="30" s="1"/>
  <c r="O140" i="30"/>
  <c r="P140" i="30" s="1"/>
  <c r="O103" i="30"/>
  <c r="P103" i="30" s="1"/>
  <c r="O48" i="30"/>
  <c r="P48" i="30" s="1"/>
  <c r="O209" i="30"/>
  <c r="P209" i="30" s="1"/>
  <c r="O133" i="30"/>
  <c r="P133" i="30" s="1"/>
  <c r="O49" i="30"/>
  <c r="P49" i="30" s="1"/>
  <c r="O173" i="30"/>
  <c r="P173" i="30" s="1"/>
  <c r="O179" i="30"/>
  <c r="P179" i="30" s="1"/>
  <c r="O112" i="30"/>
  <c r="P112" i="30" s="1"/>
  <c r="O19" i="30"/>
  <c r="P19" i="30" s="1"/>
  <c r="O130" i="30"/>
  <c r="P130" i="30" s="1"/>
  <c r="O16" i="30"/>
  <c r="P16" i="30" s="1"/>
  <c r="O218" i="30"/>
  <c r="P218" i="30" s="1"/>
  <c r="O29" i="30"/>
  <c r="P29" i="30" s="1"/>
  <c r="O208" i="30"/>
  <c r="P208" i="30" s="1"/>
  <c r="O124" i="30"/>
  <c r="P124" i="30" s="1"/>
  <c r="O67" i="30"/>
  <c r="P67" i="30" s="1"/>
  <c r="O166" i="30"/>
  <c r="P166" i="30" s="1"/>
  <c r="O180" i="30"/>
  <c r="P180" i="30" s="1"/>
  <c r="O167" i="30"/>
  <c r="P167" i="30" s="1"/>
  <c r="O197" i="30"/>
  <c r="P197" i="30" s="1"/>
  <c r="O69" i="30"/>
  <c r="P69" i="30" s="1"/>
  <c r="O20" i="30"/>
  <c r="P20" i="30" s="1"/>
  <c r="O70" i="30"/>
  <c r="P70" i="30" s="1"/>
  <c r="O66" i="30"/>
  <c r="P66" i="30" s="1"/>
  <c r="O44" i="30"/>
  <c r="P44" i="30" s="1"/>
  <c r="O99" i="30"/>
  <c r="P99" i="30" s="1"/>
  <c r="O183" i="30"/>
  <c r="P183" i="30" s="1"/>
  <c r="O157" i="30"/>
  <c r="P157" i="30" s="1"/>
  <c r="O114" i="30"/>
  <c r="P114" i="30" s="1"/>
  <c r="O212" i="30"/>
  <c r="P212" i="30" s="1"/>
  <c r="O150" i="30"/>
  <c r="P150" i="30" s="1"/>
  <c r="O22" i="30"/>
  <c r="P22" i="30" s="1"/>
  <c r="O195" i="30"/>
  <c r="P195" i="30" s="1"/>
  <c r="O126" i="30"/>
  <c r="P126" i="30" s="1"/>
  <c r="O97" i="30"/>
  <c r="P97" i="30" s="1"/>
  <c r="O185" i="30"/>
  <c r="P185" i="30" s="1"/>
  <c r="O178" i="30"/>
  <c r="P178" i="30" s="1"/>
  <c r="O154" i="30"/>
  <c r="P154" i="30" s="1"/>
  <c r="O51" i="30"/>
  <c r="P51" i="30" s="1"/>
  <c r="O127" i="30"/>
  <c r="P127" i="30" s="1"/>
  <c r="O75" i="30"/>
  <c r="P75" i="30" s="1"/>
  <c r="O94" i="30"/>
  <c r="P94" i="30" s="1"/>
  <c r="O17" i="30"/>
  <c r="P17" i="30" s="1"/>
  <c r="O58" i="30"/>
  <c r="P58" i="30" s="1"/>
  <c r="O155" i="30"/>
  <c r="P155" i="30" s="1"/>
  <c r="O123" i="30"/>
  <c r="P123" i="30" s="1"/>
  <c r="O187" i="30"/>
  <c r="P187" i="30" s="1"/>
  <c r="O129" i="30"/>
  <c r="P129" i="30" s="1"/>
  <c r="O92" i="30"/>
  <c r="P92" i="30" s="1"/>
  <c r="O119" i="30"/>
  <c r="P119" i="30" s="1"/>
  <c r="O63" i="30"/>
  <c r="P63" i="30" s="1"/>
  <c r="O145" i="30"/>
  <c r="P145" i="30" s="1"/>
  <c r="O23" i="30"/>
  <c r="P23" i="30" s="1"/>
  <c r="O15" i="30"/>
  <c r="P15" i="30" s="1"/>
  <c r="O98" i="30"/>
  <c r="P98" i="30" s="1"/>
  <c r="O18" i="30"/>
  <c r="P18" i="30" s="1"/>
  <c r="O78" i="30"/>
  <c r="P78" i="30" s="1"/>
  <c r="O85" i="30"/>
  <c r="P85" i="30" s="1"/>
  <c r="O41" i="30"/>
  <c r="P41" i="30" s="1"/>
  <c r="O27" i="30"/>
  <c r="P27" i="30" s="1"/>
  <c r="O190" i="30"/>
  <c r="P190" i="30" s="1"/>
  <c r="O76" i="30"/>
  <c r="P76" i="30" s="1"/>
  <c r="O176" i="30"/>
  <c r="P176" i="30" s="1"/>
  <c r="O26" i="30"/>
  <c r="P26" i="30" s="1"/>
  <c r="O182" i="30"/>
  <c r="P182" i="30" s="1"/>
  <c r="O12" i="30"/>
  <c r="P12" i="30" s="1"/>
  <c r="O210" i="30"/>
  <c r="P210" i="30" s="1"/>
  <c r="O89" i="30"/>
  <c r="P89" i="30" s="1"/>
  <c r="O24" i="30"/>
  <c r="P24" i="30" s="1"/>
  <c r="O199" i="30"/>
  <c r="P199" i="30" s="1"/>
  <c r="O158" i="30"/>
  <c r="P158" i="30" s="1"/>
  <c r="O135" i="30"/>
  <c r="P135" i="30" s="1"/>
  <c r="O87" i="30"/>
  <c r="P87" i="30" s="1"/>
  <c r="O72" i="30"/>
  <c r="P72" i="30" s="1"/>
  <c r="O13" i="30"/>
  <c r="P13" i="30" s="1"/>
  <c r="O74" i="30"/>
  <c r="P74" i="30" s="1"/>
  <c r="O151" i="30"/>
  <c r="P151" i="30" s="1"/>
  <c r="O30" i="30"/>
  <c r="P30" i="30" s="1"/>
  <c r="O34" i="30"/>
  <c r="P34" i="30" s="1"/>
  <c r="O33" i="30"/>
  <c r="P33" i="30" s="1"/>
  <c r="O200" i="30"/>
  <c r="P200" i="30" s="1"/>
  <c r="O220" i="30"/>
  <c r="P220" i="30" s="1"/>
  <c r="O55" i="30"/>
  <c r="P55" i="30" s="1"/>
  <c r="O108" i="30"/>
  <c r="P108" i="30" s="1"/>
  <c r="O160" i="30"/>
  <c r="P160" i="30" s="1"/>
  <c r="O104" i="30"/>
  <c r="P104" i="30" s="1"/>
  <c r="O177" i="30"/>
  <c r="P177" i="30" s="1"/>
  <c r="O39" i="30"/>
  <c r="P39" i="30" s="1"/>
  <c r="O115" i="30"/>
  <c r="P115" i="30" s="1"/>
  <c r="O202" i="30"/>
  <c r="P202" i="30" s="1"/>
  <c r="O60" i="30"/>
  <c r="P60" i="30" s="1"/>
  <c r="O40" i="30"/>
  <c r="P40" i="30" s="1"/>
  <c r="O204" i="30"/>
  <c r="P204" i="30" s="1"/>
  <c r="O186" i="30"/>
  <c r="P186" i="30" s="1"/>
  <c r="O175" i="30"/>
  <c r="P175" i="30" s="1"/>
  <c r="O31" i="30"/>
  <c r="P31" i="30" s="1"/>
  <c r="O181" i="30"/>
  <c r="P181" i="30" s="1"/>
  <c r="O168" i="30"/>
  <c r="P168" i="30" s="1"/>
  <c r="O77" i="30"/>
  <c r="P77" i="30" s="1"/>
  <c r="O161" i="30"/>
  <c r="P161" i="30" s="1"/>
  <c r="O196" i="30"/>
  <c r="P196" i="30" s="1"/>
  <c r="O82" i="30"/>
  <c r="P82" i="30" s="1"/>
  <c r="O165" i="30"/>
  <c r="P165" i="30" s="1"/>
  <c r="O107" i="30"/>
  <c r="P107" i="30" s="1"/>
  <c r="O65" i="30"/>
  <c r="P65" i="30" s="1"/>
  <c r="O131" i="30"/>
  <c r="P131" i="30" s="1"/>
  <c r="O170" i="30"/>
  <c r="P170" i="30" s="1"/>
  <c r="O59" i="30"/>
  <c r="P59" i="30" s="1"/>
  <c r="O88" i="30"/>
  <c r="P88" i="30" s="1"/>
  <c r="O91" i="30"/>
  <c r="P91" i="30" s="1"/>
  <c r="O36" i="30"/>
  <c r="P36" i="30" s="1"/>
  <c r="L9" i="11"/>
  <c r="L38" i="11" s="1"/>
  <c r="J5" i="32"/>
  <c r="V5" i="20"/>
  <c r="W5" i="20"/>
  <c r="AZ9" i="20"/>
  <c r="AZ5" i="20"/>
  <c r="V9" i="20"/>
  <c r="Y77" i="9"/>
  <c r="AX5" i="20"/>
  <c r="AX9" i="20"/>
  <c r="X77" i="9"/>
  <c r="X9" i="20"/>
  <c r="AY9" i="20"/>
  <c r="X5" i="20"/>
  <c r="AY5" i="20"/>
  <c r="W77" i="9"/>
  <c r="W9" i="20"/>
  <c r="M9" i="11"/>
  <c r="M38" i="11" s="1"/>
  <c r="K9" i="11"/>
  <c r="K38" i="11" s="1"/>
  <c r="H9" i="11"/>
  <c r="H38" i="11" s="1"/>
  <c r="J9" i="11"/>
  <c r="J38" i="11" s="1"/>
  <c r="S10" i="20"/>
  <c r="S9" i="20" s="1"/>
  <c r="T99" i="9"/>
  <c r="T77" i="9" s="1"/>
  <c r="T6" i="20"/>
  <c r="T5" i="20" s="1"/>
  <c r="AU6" i="20"/>
  <c r="AU5" i="20" s="1"/>
  <c r="T10" i="20"/>
  <c r="T9" i="20" s="1"/>
  <c r="I9" i="11"/>
  <c r="I38" i="11" s="1"/>
  <c r="U99" i="9"/>
  <c r="U77" i="9" s="1"/>
  <c r="AV10" i="20"/>
  <c r="AV9" i="20" s="1"/>
  <c r="AV6" i="20"/>
  <c r="AV5" i="20" s="1"/>
  <c r="S6" i="20"/>
  <c r="S5" i="20" s="1"/>
  <c r="AU10" i="20"/>
  <c r="AU9" i="20" s="1"/>
  <c r="U5" i="20"/>
  <c r="U9" i="20"/>
  <c r="V77" i="9"/>
  <c r="AW5" i="20"/>
  <c r="AW9" i="20"/>
  <c r="L8" i="11"/>
  <c r="L37" i="11" s="1"/>
  <c r="D7" i="20"/>
  <c r="E8" i="11"/>
  <c r="E37" i="11" s="1"/>
  <c r="D12" i="20"/>
  <c r="D8" i="11"/>
  <c r="D37" i="11" s="1"/>
  <c r="T15" i="6"/>
  <c r="M8" i="11"/>
  <c r="M37" i="11" s="1"/>
  <c r="Y14" i="4"/>
  <c r="J8" i="11"/>
  <c r="I8" i="11"/>
  <c r="I37" i="11" s="1"/>
  <c r="B14" i="2"/>
  <c r="G8" i="11"/>
  <c r="G37" i="11" s="1"/>
  <c r="D11" i="6"/>
  <c r="E11" i="6" s="1"/>
  <c r="J4" i="32"/>
  <c r="AF7" i="20"/>
  <c r="K8" i="11"/>
  <c r="K37" i="11" s="1"/>
  <c r="D9" i="6"/>
  <c r="E9" i="6" s="1"/>
  <c r="N15" i="6"/>
  <c r="N14" i="6"/>
  <c r="H8" i="11"/>
  <c r="C6" i="39"/>
  <c r="D13" i="6"/>
  <c r="E13" i="6" s="1"/>
  <c r="E41" i="11"/>
  <c r="D5" i="6"/>
  <c r="E5" i="6" s="1"/>
  <c r="D11" i="20"/>
  <c r="D8" i="6"/>
  <c r="E8" i="6" s="1"/>
  <c r="H42" i="11"/>
  <c r="C42" i="11" s="1"/>
  <c r="AF11" i="20"/>
  <c r="E78" i="9"/>
  <c r="G41" i="11"/>
  <c r="D7" i="6"/>
  <c r="E7" i="6" s="1"/>
  <c r="J3" i="32"/>
  <c r="G12" i="39"/>
  <c r="S7" i="39"/>
  <c r="Q7" i="39"/>
  <c r="V7" i="39" s="1"/>
  <c r="O7" i="39"/>
  <c r="U7" i="39" s="1"/>
  <c r="T7" i="39"/>
  <c r="F41" i="11"/>
  <c r="D6" i="6"/>
  <c r="E6" i="6" s="1"/>
  <c r="D10" i="6"/>
  <c r="E10" i="6" s="1"/>
  <c r="E55" i="10"/>
  <c r="G13" i="39"/>
  <c r="F8" i="11"/>
  <c r="C7" i="11"/>
  <c r="D36" i="11"/>
  <c r="C36" i="11" s="1"/>
  <c r="AF12" i="20"/>
  <c r="C13" i="11"/>
  <c r="D12" i="6"/>
  <c r="E12" i="6" s="1"/>
  <c r="C12" i="11"/>
  <c r="D41" i="11"/>
  <c r="D4" i="6"/>
  <c r="O6" i="39"/>
  <c r="U6" i="39" s="1"/>
  <c r="S6" i="39"/>
  <c r="Q6" i="39"/>
  <c r="V6" i="39" s="1"/>
  <c r="T6" i="39"/>
  <c r="Z5" i="4"/>
  <c r="Z7" i="4"/>
  <c r="Z6" i="4"/>
  <c r="Z12" i="4"/>
  <c r="U13" i="4"/>
  <c r="O12" i="4"/>
  <c r="O6" i="4"/>
  <c r="D23" i="20"/>
  <c r="BA19" i="20"/>
  <c r="BA15" i="20" s="1"/>
  <c r="AF23" i="20"/>
  <c r="N19" i="20"/>
  <c r="N15" i="20" s="1"/>
  <c r="AM19" i="20"/>
  <c r="AM15" i="20" s="1"/>
  <c r="T18" i="39"/>
  <c r="O18" i="39"/>
  <c r="U18" i="39" s="1"/>
  <c r="S18" i="39"/>
  <c r="Q18" i="39"/>
  <c r="V18" i="39" s="1"/>
  <c r="T16" i="39"/>
  <c r="S16" i="39"/>
  <c r="O16" i="39"/>
  <c r="U16" i="39" s="1"/>
  <c r="AL19" i="20"/>
  <c r="AL15" i="20" s="1"/>
  <c r="AT19" i="20"/>
  <c r="AT15" i="20" s="1"/>
  <c r="AY19" i="20"/>
  <c r="AY15" i="20" s="1"/>
  <c r="V19" i="20"/>
  <c r="V15" i="20" s="1"/>
  <c r="S19" i="20"/>
  <c r="S15" i="20" s="1"/>
  <c r="AP19" i="20"/>
  <c r="AP15" i="20" s="1"/>
  <c r="AU19" i="20"/>
  <c r="AU15" i="20" s="1"/>
  <c r="AX19" i="20"/>
  <c r="AX15" i="20" s="1"/>
  <c r="AZ19" i="20"/>
  <c r="AZ15" i="20" s="1"/>
  <c r="P19" i="20"/>
  <c r="P15" i="20" s="1"/>
  <c r="AO19" i="20"/>
  <c r="AO15" i="20" s="1"/>
  <c r="AR19" i="20"/>
  <c r="AR15" i="20" s="1"/>
  <c r="Q19" i="20"/>
  <c r="Q15" i="20" s="1"/>
  <c r="O19" i="20"/>
  <c r="O15" i="20" s="1"/>
  <c r="AJ19" i="20"/>
  <c r="AJ15" i="20" s="1"/>
  <c r="W19" i="20"/>
  <c r="W15" i="20" s="1"/>
  <c r="X19" i="20"/>
  <c r="X15" i="20" s="1"/>
  <c r="I19" i="20"/>
  <c r="I15" i="20" s="1"/>
  <c r="R19" i="20"/>
  <c r="R15" i="20" s="1"/>
  <c r="AK19" i="20"/>
  <c r="AK15" i="20" s="1"/>
  <c r="L19" i="20"/>
  <c r="L15" i="20" s="1"/>
  <c r="AN19" i="20"/>
  <c r="AN15" i="20" s="1"/>
  <c r="M19" i="20"/>
  <c r="M15" i="20" s="1"/>
  <c r="AW19" i="20"/>
  <c r="AW15" i="20" s="1"/>
  <c r="U19" i="20"/>
  <c r="U15" i="20" s="1"/>
  <c r="G19" i="20"/>
  <c r="G15" i="20" s="1"/>
  <c r="J19" i="20"/>
  <c r="J15" i="20" s="1"/>
  <c r="AQ19" i="20"/>
  <c r="AQ15" i="20" s="1"/>
  <c r="K19" i="20"/>
  <c r="K15" i="20" s="1"/>
  <c r="AI19" i="20"/>
  <c r="AI15" i="20" s="1"/>
  <c r="H19" i="20"/>
  <c r="H15" i="20" s="1"/>
  <c r="AS19" i="20"/>
  <c r="AS15" i="20" s="1"/>
  <c r="Y19" i="20"/>
  <c r="Y15" i="20" s="1"/>
  <c r="R15" i="4"/>
  <c r="R14" i="4"/>
  <c r="L101" i="3"/>
  <c r="F101" i="3" s="1"/>
  <c r="E101" i="3"/>
  <c r="N9" i="4" s="1"/>
  <c r="Z9" i="4" s="1"/>
  <c r="L103" i="3"/>
  <c r="F103" i="3" s="1"/>
  <c r="E103" i="3"/>
  <c r="N11" i="4" s="1"/>
  <c r="Z11" i="4" s="1"/>
  <c r="L102" i="3"/>
  <c r="F102" i="3" s="1"/>
  <c r="E102" i="3"/>
  <c r="N10" i="4" s="1"/>
  <c r="Z10" i="4" s="1"/>
  <c r="L105" i="3"/>
  <c r="F105" i="3" s="1"/>
  <c r="E105" i="3"/>
  <c r="N13" i="4" s="1"/>
  <c r="Z13" i="4" s="1"/>
  <c r="L100" i="3"/>
  <c r="F100" i="3" s="1"/>
  <c r="E100" i="3"/>
  <c r="N8" i="4" s="1"/>
  <c r="Z8" i="4" s="1"/>
  <c r="L96" i="3"/>
  <c r="E96" i="3"/>
  <c r="N4" i="4" s="1"/>
  <c r="Z4" i="4" s="1"/>
  <c r="T14" i="4"/>
  <c r="U4" i="4"/>
  <c r="O7" i="4"/>
  <c r="F99" i="3"/>
  <c r="T20" i="20"/>
  <c r="T19" i="20" s="1"/>
  <c r="T15" i="20" s="1"/>
  <c r="AV20" i="20"/>
  <c r="AV19" i="20" s="1"/>
  <c r="AV15" i="20" s="1"/>
  <c r="F21" i="20"/>
  <c r="F76" i="3"/>
  <c r="AH21" i="20"/>
  <c r="O5" i="4"/>
  <c r="J13" i="32" l="1"/>
  <c r="J9" i="32"/>
  <c r="D21" i="20"/>
  <c r="AF21" i="20"/>
  <c r="J6" i="32"/>
  <c r="J14" i="32"/>
  <c r="J15" i="32"/>
  <c r="J12" i="32"/>
  <c r="J11" i="32"/>
  <c r="J10" i="32"/>
  <c r="J7" i="32"/>
  <c r="G5" i="6"/>
  <c r="H5" i="6" s="1"/>
  <c r="G7" i="6"/>
  <c r="H7" i="6" s="1"/>
  <c r="G9" i="6"/>
  <c r="H9" i="6" s="1"/>
  <c r="G12" i="6"/>
  <c r="H12" i="6" s="1"/>
  <c r="G13" i="6"/>
  <c r="H13" i="6" s="1"/>
  <c r="G11" i="6"/>
  <c r="H11" i="6" s="1"/>
  <c r="G4" i="6"/>
  <c r="H4" i="6" s="1"/>
  <c r="J37" i="11"/>
  <c r="G10" i="6"/>
  <c r="H10" i="6" s="1"/>
  <c r="AA6" i="4"/>
  <c r="G8" i="6"/>
  <c r="H8" i="6" s="1"/>
  <c r="H37" i="11"/>
  <c r="D15" i="6"/>
  <c r="E4" i="6"/>
  <c r="D14" i="6"/>
  <c r="F37" i="11"/>
  <c r="G6" i="6"/>
  <c r="C41" i="11"/>
  <c r="S13" i="39"/>
  <c r="O13" i="39"/>
  <c r="U13" i="39" s="1"/>
  <c r="T13" i="39"/>
  <c r="Q13" i="39"/>
  <c r="V13" i="39" s="1"/>
  <c r="C8" i="11"/>
  <c r="Q12" i="39"/>
  <c r="V12" i="39" s="1"/>
  <c r="T12" i="39"/>
  <c r="O12" i="39"/>
  <c r="U12" i="39" s="1"/>
  <c r="S12" i="39"/>
  <c r="C12" i="39"/>
  <c r="AA12" i="4"/>
  <c r="O8" i="4"/>
  <c r="O13" i="4"/>
  <c r="O10" i="4"/>
  <c r="O11" i="4"/>
  <c r="O9" i="4"/>
  <c r="AA5" i="4"/>
  <c r="F20" i="20"/>
  <c r="AH20" i="20"/>
  <c r="F96" i="3"/>
  <c r="AA7" i="4"/>
  <c r="U15" i="4"/>
  <c r="U14" i="4"/>
  <c r="N14" i="4"/>
  <c r="O4" i="4"/>
  <c r="F26" i="26" l="1"/>
  <c r="I26" i="26" s="1"/>
  <c r="F20" i="26"/>
  <c r="I20" i="26" s="1"/>
  <c r="F28" i="26"/>
  <c r="I28" i="26" s="1"/>
  <c r="F30" i="26"/>
  <c r="I30" i="26" s="1"/>
  <c r="F40" i="26"/>
  <c r="I40" i="26" s="1"/>
  <c r="F39" i="26"/>
  <c r="I39" i="26" s="1"/>
  <c r="F25" i="26"/>
  <c r="I25" i="26" s="1"/>
  <c r="F54" i="26"/>
  <c r="I54" i="26" s="1"/>
  <c r="F29" i="26"/>
  <c r="I29" i="26" s="1"/>
  <c r="F34" i="26"/>
  <c r="I34" i="26" s="1"/>
  <c r="F65" i="26"/>
  <c r="I65" i="26" s="1"/>
  <c r="F59" i="26"/>
  <c r="I59" i="26" s="1"/>
  <c r="F63" i="26"/>
  <c r="I63" i="26" s="1"/>
  <c r="D4" i="29"/>
  <c r="K6" i="29" s="1"/>
  <c r="M6" i="29" s="1"/>
  <c r="F4" i="26"/>
  <c r="I4" i="26" s="1"/>
  <c r="F57" i="26"/>
  <c r="I57" i="26" s="1"/>
  <c r="F6" i="26"/>
  <c r="I6" i="26" s="1"/>
  <c r="F50" i="26"/>
  <c r="I50" i="26" s="1"/>
  <c r="F45" i="26"/>
  <c r="I45" i="26" s="1"/>
  <c r="F22" i="26"/>
  <c r="I22" i="26" s="1"/>
  <c r="F12" i="26"/>
  <c r="I12" i="26" s="1"/>
  <c r="F42" i="26"/>
  <c r="I42" i="26" s="1"/>
  <c r="F56" i="26"/>
  <c r="I56" i="26" s="1"/>
  <c r="F53" i="26"/>
  <c r="I53" i="26" s="1"/>
  <c r="D28" i="29"/>
  <c r="K34" i="29" s="1"/>
  <c r="M34" i="29" s="1"/>
  <c r="F48" i="26"/>
  <c r="I48" i="26" s="1"/>
  <c r="F5" i="26"/>
  <c r="I5" i="26" s="1"/>
  <c r="F51" i="26"/>
  <c r="I51" i="26" s="1"/>
  <c r="F27" i="26"/>
  <c r="I27" i="26" s="1"/>
  <c r="N59" i="9" s="1"/>
  <c r="F58" i="26"/>
  <c r="I58" i="26" s="1"/>
  <c r="F8" i="26"/>
  <c r="I8" i="26" s="1"/>
  <c r="D16" i="29"/>
  <c r="K25" i="29" s="1"/>
  <c r="M25" i="29" s="1"/>
  <c r="F49" i="26"/>
  <c r="I49" i="26" s="1"/>
  <c r="F19" i="26"/>
  <c r="I19" i="26" s="1"/>
  <c r="F17" i="26"/>
  <c r="I17" i="26" s="1"/>
  <c r="F47" i="26"/>
  <c r="I47" i="26" s="1"/>
  <c r="F21" i="26"/>
  <c r="I21" i="26" s="1"/>
  <c r="F18" i="26"/>
  <c r="I18" i="26" s="1"/>
  <c r="F31" i="26"/>
  <c r="I31" i="26" s="1"/>
  <c r="F16" i="26"/>
  <c r="I16" i="26" s="1"/>
  <c r="F23" i="26"/>
  <c r="I23" i="26" s="1"/>
  <c r="F60" i="26"/>
  <c r="I60" i="26" s="1"/>
  <c r="F10" i="26"/>
  <c r="I10" i="26" s="1"/>
  <c r="F7" i="26"/>
  <c r="I7" i="26" s="1"/>
  <c r="F33" i="26"/>
  <c r="I33" i="26" s="1"/>
  <c r="P59" i="9" s="1"/>
  <c r="F14" i="26"/>
  <c r="I14" i="26" s="1"/>
  <c r="F9" i="26"/>
  <c r="I9" i="26" s="1"/>
  <c r="F15" i="26"/>
  <c r="I15" i="26" s="1"/>
  <c r="F43" i="26"/>
  <c r="I43" i="26" s="1"/>
  <c r="F62" i="26"/>
  <c r="I62" i="26" s="1"/>
  <c r="F37" i="26"/>
  <c r="I37" i="26" s="1"/>
  <c r="F64" i="26"/>
  <c r="I64" i="26" s="1"/>
  <c r="F35" i="26"/>
  <c r="I35" i="26" s="1"/>
  <c r="F11" i="26"/>
  <c r="I11" i="26" s="1"/>
  <c r="F41" i="26"/>
  <c r="I41" i="26" s="1"/>
  <c r="R57" i="9" s="1"/>
  <c r="F13" i="26"/>
  <c r="I13" i="26" s="1"/>
  <c r="F46" i="26"/>
  <c r="I46" i="26" s="1"/>
  <c r="F32" i="26"/>
  <c r="I32" i="26" s="1"/>
  <c r="F52" i="26"/>
  <c r="I52" i="26" s="1"/>
  <c r="F24" i="26"/>
  <c r="I24" i="26" s="1"/>
  <c r="F36" i="26"/>
  <c r="I36" i="26" s="1"/>
  <c r="F38" i="26"/>
  <c r="I38" i="26" s="1"/>
  <c r="F3" i="26"/>
  <c r="I3" i="26" s="1"/>
  <c r="J1" i="32"/>
  <c r="F61" i="26"/>
  <c r="I61" i="26" s="1"/>
  <c r="F44" i="26"/>
  <c r="I44" i="26" s="1"/>
  <c r="F55" i="26"/>
  <c r="I55" i="26" s="1"/>
  <c r="C37" i="11"/>
  <c r="G58" i="9"/>
  <c r="H6" i="6"/>
  <c r="G15" i="6"/>
  <c r="G14" i="6"/>
  <c r="K38" i="29"/>
  <c r="M38" i="29" s="1"/>
  <c r="K35" i="29"/>
  <c r="M35" i="29" s="1"/>
  <c r="E15" i="6"/>
  <c r="E14" i="6"/>
  <c r="AA9" i="4"/>
  <c r="AA11" i="4"/>
  <c r="AA10" i="4"/>
  <c r="AA13" i="4"/>
  <c r="AA8" i="4"/>
  <c r="O14" i="4"/>
  <c r="O15" i="4"/>
  <c r="AA4" i="4"/>
  <c r="Z14" i="4"/>
  <c r="AH19" i="20"/>
  <c r="AF20" i="20"/>
  <c r="F19" i="20"/>
  <c r="D20" i="20"/>
  <c r="J58" i="9" l="1"/>
  <c r="J57" i="9"/>
  <c r="M57" i="9"/>
  <c r="Q58" i="9"/>
  <c r="Q57" i="9"/>
  <c r="L59" i="9"/>
  <c r="M58" i="9"/>
  <c r="G59" i="9"/>
  <c r="S59" i="9"/>
  <c r="F58" i="9"/>
  <c r="I59" i="9"/>
  <c r="Q59" i="9"/>
  <c r="K33" i="29"/>
  <c r="M33" i="29" s="1"/>
  <c r="M59" i="9"/>
  <c r="K17" i="29"/>
  <c r="M17" i="29" s="1"/>
  <c r="K16" i="29"/>
  <c r="M16" i="29" s="1"/>
  <c r="O57" i="9"/>
  <c r="K24" i="29"/>
  <c r="M24" i="29" s="1"/>
  <c r="K9" i="29"/>
  <c r="M9" i="29" s="1"/>
  <c r="K5" i="29"/>
  <c r="M5" i="29" s="1"/>
  <c r="K10" i="29"/>
  <c r="M10" i="29" s="1"/>
  <c r="G60" i="9"/>
  <c r="K15" i="29"/>
  <c r="M15" i="29" s="1"/>
  <c r="K11" i="29"/>
  <c r="M11" i="29" s="1"/>
  <c r="K13" i="29"/>
  <c r="K8" i="29"/>
  <c r="M8" i="29" s="1"/>
  <c r="K4" i="29"/>
  <c r="M4" i="29" s="1"/>
  <c r="K12" i="29"/>
  <c r="M12" i="29" s="1"/>
  <c r="K57" i="9"/>
  <c r="I60" i="9"/>
  <c r="N60" i="9"/>
  <c r="K14" i="29"/>
  <c r="M14" i="29" s="1"/>
  <c r="K7" i="29"/>
  <c r="M7" i="29" s="1"/>
  <c r="P60" i="9"/>
  <c r="H57" i="9"/>
  <c r="K27" i="29"/>
  <c r="M27" i="29" s="1"/>
  <c r="L60" i="9"/>
  <c r="K19" i="29"/>
  <c r="M19" i="29" s="1"/>
  <c r="D2" i="29"/>
  <c r="K20" i="29"/>
  <c r="M20" i="29" s="1"/>
  <c r="K22" i="29"/>
  <c r="M22" i="29" s="1"/>
  <c r="J59" i="9"/>
  <c r="K21" i="29"/>
  <c r="M21" i="29" s="1"/>
  <c r="K31" i="29"/>
  <c r="M31" i="29" s="1"/>
  <c r="K28" i="29"/>
  <c r="M28" i="29" s="1"/>
  <c r="K37" i="29"/>
  <c r="M37" i="29" s="1"/>
  <c r="K36" i="29"/>
  <c r="M36" i="29" s="1"/>
  <c r="K29" i="29"/>
  <c r="M29" i="29" s="1"/>
  <c r="K39" i="29"/>
  <c r="M39" i="29" s="1"/>
  <c r="K30" i="29"/>
  <c r="M30" i="29" s="1"/>
  <c r="F59" i="9"/>
  <c r="K23" i="29"/>
  <c r="M23" i="29" s="1"/>
  <c r="K26" i="29"/>
  <c r="M26" i="29" s="1"/>
  <c r="K32" i="29"/>
  <c r="M32" i="29" s="1"/>
  <c r="K18" i="29"/>
  <c r="M18" i="29" s="1"/>
  <c r="F1" i="26"/>
  <c r="M13" i="29"/>
  <c r="H15" i="6"/>
  <c r="H14" i="6"/>
  <c r="F57" i="9"/>
  <c r="I1" i="26"/>
  <c r="AH15" i="20"/>
  <c r="AF15" i="20" s="1"/>
  <c r="AF19" i="20"/>
  <c r="AA15" i="4"/>
  <c r="AA16" i="4" s="1"/>
  <c r="AA14" i="4"/>
  <c r="F15" i="20"/>
  <c r="D15" i="20" s="1"/>
  <c r="D19" i="20"/>
  <c r="E58" i="9" l="1"/>
  <c r="U9" i="29"/>
  <c r="U12" i="29"/>
  <c r="U10" i="29"/>
  <c r="U6" i="29"/>
  <c r="U5" i="29"/>
  <c r="U7" i="29"/>
  <c r="E60" i="9"/>
  <c r="U4" i="29"/>
  <c r="E59" i="9"/>
  <c r="E28" i="29"/>
  <c r="H5" i="26" s="1"/>
  <c r="U11" i="29"/>
  <c r="U8" i="29"/>
  <c r="U13" i="29"/>
  <c r="E57" i="9"/>
  <c r="K1" i="29"/>
  <c r="O1" i="32" s="1"/>
  <c r="E4" i="29"/>
  <c r="H6" i="26" s="1"/>
  <c r="E16" i="29"/>
  <c r="M1" i="29"/>
  <c r="I63" i="37" s="1"/>
  <c r="H38" i="26" l="1"/>
  <c r="H20" i="26"/>
  <c r="H14" i="26"/>
  <c r="H32" i="26"/>
  <c r="H17" i="26"/>
  <c r="H29" i="26"/>
  <c r="G5" i="39"/>
  <c r="O5" i="39" s="1"/>
  <c r="U5" i="39" s="1"/>
  <c r="H26" i="26"/>
  <c r="H23" i="26"/>
  <c r="H35" i="26"/>
  <c r="H8" i="26"/>
  <c r="H41" i="26"/>
  <c r="H11" i="26"/>
  <c r="C16" i="29"/>
  <c r="E61" i="26" s="1"/>
  <c r="C4" i="29"/>
  <c r="E54" i="26" s="1"/>
  <c r="V8" i="29"/>
  <c r="C28" i="29"/>
  <c r="E56" i="26" s="1"/>
  <c r="V12" i="29"/>
  <c r="W8" i="29"/>
  <c r="W12" i="29"/>
  <c r="W6" i="29"/>
  <c r="W13" i="29"/>
  <c r="V6" i="29"/>
  <c r="V11" i="29"/>
  <c r="V13" i="29"/>
  <c r="W15" i="29"/>
  <c r="W5" i="29"/>
  <c r="W10" i="29"/>
  <c r="W11" i="29"/>
  <c r="W14" i="29"/>
  <c r="V4" i="29"/>
  <c r="V9" i="29"/>
  <c r="V10" i="29"/>
  <c r="V7" i="29"/>
  <c r="W7" i="29"/>
  <c r="W9" i="29"/>
  <c r="V5" i="29"/>
  <c r="W4" i="29"/>
  <c r="H3" i="26"/>
  <c r="H9" i="26"/>
  <c r="H24" i="26"/>
  <c r="H36" i="26"/>
  <c r="H12" i="26"/>
  <c r="H27" i="26"/>
  <c r="H21" i="26"/>
  <c r="H15" i="26"/>
  <c r="H30" i="26"/>
  <c r="H18" i="26"/>
  <c r="H33" i="26"/>
  <c r="H39" i="26"/>
  <c r="H10" i="26"/>
  <c r="H25" i="26"/>
  <c r="H19" i="26"/>
  <c r="H13" i="26"/>
  <c r="H28" i="26"/>
  <c r="H16" i="26"/>
  <c r="H31" i="26"/>
  <c r="H34" i="26"/>
  <c r="H22" i="26"/>
  <c r="H37" i="26"/>
  <c r="H40" i="26"/>
  <c r="H7" i="26"/>
  <c r="H4" i="26"/>
  <c r="G19" i="39"/>
  <c r="S19" i="39" s="1"/>
  <c r="I2" i="37"/>
  <c r="D52" i="37"/>
  <c r="O5" i="32"/>
  <c r="O19" i="32"/>
  <c r="O18" i="32"/>
  <c r="O11" i="32"/>
  <c r="O10" i="32"/>
  <c r="E25" i="26" s="1"/>
  <c r="O22" i="32"/>
  <c r="O17" i="32"/>
  <c r="O9" i="32"/>
  <c r="O16" i="32"/>
  <c r="O8" i="32"/>
  <c r="O23" i="32"/>
  <c r="O15" i="32"/>
  <c r="E40" i="26" s="1"/>
  <c r="O7" i="32"/>
  <c r="O14" i="32"/>
  <c r="O4" i="32"/>
  <c r="O6" i="32"/>
  <c r="O21" i="32"/>
  <c r="O13" i="32"/>
  <c r="O3" i="32"/>
  <c r="O20" i="32"/>
  <c r="O12" i="32"/>
  <c r="G1" i="37"/>
  <c r="E43" i="26" l="1"/>
  <c r="J43" i="26" s="1"/>
  <c r="K43" i="26" s="1"/>
  <c r="E49" i="26"/>
  <c r="J49" i="26" s="1"/>
  <c r="K49" i="26" s="1"/>
  <c r="E46" i="26"/>
  <c r="J46" i="26" s="1"/>
  <c r="K46" i="26" s="1"/>
  <c r="E64" i="26"/>
  <c r="J64" i="26" s="1"/>
  <c r="K64" i="26" s="1"/>
  <c r="E58" i="26"/>
  <c r="J58" i="26" s="1"/>
  <c r="K58" i="26" s="1"/>
  <c r="E52" i="26"/>
  <c r="J52" i="26" s="1"/>
  <c r="K52" i="26" s="1"/>
  <c r="E55" i="26"/>
  <c r="J55" i="26" s="1"/>
  <c r="K55" i="26" s="1"/>
  <c r="E13" i="26"/>
  <c r="J13" i="26" s="1"/>
  <c r="K13" i="26" s="1"/>
  <c r="E22" i="26"/>
  <c r="J22" i="26" s="1"/>
  <c r="K22" i="26" s="1"/>
  <c r="E65" i="26"/>
  <c r="J65" i="26" s="1"/>
  <c r="K65" i="26" s="1"/>
  <c r="E30" i="26"/>
  <c r="J30" i="26" s="1"/>
  <c r="E60" i="26"/>
  <c r="J60" i="26" s="1"/>
  <c r="K60" i="26" s="1"/>
  <c r="E51" i="26"/>
  <c r="J51" i="26" s="1"/>
  <c r="K51" i="26" s="1"/>
  <c r="E63" i="26"/>
  <c r="J63" i="26" s="1"/>
  <c r="K63" i="26" s="1"/>
  <c r="Q5" i="39"/>
  <c r="V5" i="39" s="1"/>
  <c r="E27" i="26"/>
  <c r="J27" i="26" s="1"/>
  <c r="E48" i="26"/>
  <c r="J48" i="26" s="1"/>
  <c r="K48" i="26" s="1"/>
  <c r="E18" i="26"/>
  <c r="J18" i="26" s="1"/>
  <c r="E33" i="26"/>
  <c r="J33" i="26" s="1"/>
  <c r="E42" i="26"/>
  <c r="J42" i="26" s="1"/>
  <c r="K42" i="26" s="1"/>
  <c r="E45" i="26"/>
  <c r="J45" i="26" s="1"/>
  <c r="K45" i="26" s="1"/>
  <c r="E57" i="26"/>
  <c r="J57" i="26" s="1"/>
  <c r="K57" i="26" s="1"/>
  <c r="E36" i="26"/>
  <c r="J36" i="26" s="1"/>
  <c r="E15" i="26"/>
  <c r="J15" i="26" s="1"/>
  <c r="J37" i="9" s="1"/>
  <c r="E24" i="26"/>
  <c r="J24" i="26" s="1"/>
  <c r="M37" i="9" s="1"/>
  <c r="S5" i="39"/>
  <c r="T5" i="39"/>
  <c r="E19" i="26"/>
  <c r="J19" i="26" s="1"/>
  <c r="K19" i="26" s="1"/>
  <c r="E53" i="26"/>
  <c r="J53" i="26" s="1"/>
  <c r="K53" i="26" s="1"/>
  <c r="E62" i="26"/>
  <c r="J62" i="26" s="1"/>
  <c r="K62" i="26" s="1"/>
  <c r="E44" i="26"/>
  <c r="J44" i="26" s="1"/>
  <c r="K44" i="26" s="1"/>
  <c r="E50" i="26"/>
  <c r="J50" i="26" s="1"/>
  <c r="K50" i="26" s="1"/>
  <c r="E47" i="26"/>
  <c r="J47" i="26" s="1"/>
  <c r="K47" i="26" s="1"/>
  <c r="E23" i="26"/>
  <c r="J23" i="26" s="1"/>
  <c r="K23" i="26" s="1"/>
  <c r="E20" i="26"/>
  <c r="J20" i="26" s="1"/>
  <c r="K20" i="26" s="1"/>
  <c r="E59" i="26"/>
  <c r="J59" i="26" s="1"/>
  <c r="K59" i="26" s="1"/>
  <c r="E26" i="26"/>
  <c r="J26" i="26" s="1"/>
  <c r="K26" i="26" s="1"/>
  <c r="E16" i="26"/>
  <c r="J16" i="26" s="1"/>
  <c r="K16" i="26" s="1"/>
  <c r="E29" i="26"/>
  <c r="J29" i="26" s="1"/>
  <c r="K29" i="26" s="1"/>
  <c r="E28" i="26"/>
  <c r="J28" i="26" s="1"/>
  <c r="K28" i="26" s="1"/>
  <c r="E17" i="26"/>
  <c r="J17" i="26" s="1"/>
  <c r="K17" i="26" s="1"/>
  <c r="E14" i="26"/>
  <c r="J14" i="26" s="1"/>
  <c r="K14" i="26" s="1"/>
  <c r="E39" i="26"/>
  <c r="J39" i="26" s="1"/>
  <c r="E31" i="26"/>
  <c r="J31" i="26" s="1"/>
  <c r="K31" i="26" s="1"/>
  <c r="E32" i="26"/>
  <c r="J32" i="26" s="1"/>
  <c r="K32" i="26" s="1"/>
  <c r="E41" i="26"/>
  <c r="J41" i="26" s="1"/>
  <c r="K41" i="26" s="1"/>
  <c r="E12" i="26"/>
  <c r="J12" i="26" s="1"/>
  <c r="E21" i="26"/>
  <c r="J21" i="26" s="1"/>
  <c r="L39" i="9" s="1"/>
  <c r="E35" i="26"/>
  <c r="J35" i="26" s="1"/>
  <c r="K35" i="26" s="1"/>
  <c r="E34" i="26"/>
  <c r="J34" i="26" s="1"/>
  <c r="K34" i="26" s="1"/>
  <c r="E38" i="26"/>
  <c r="J38" i="26" s="1"/>
  <c r="K38" i="26" s="1"/>
  <c r="E37" i="26"/>
  <c r="J37" i="26" s="1"/>
  <c r="K37" i="26" s="1"/>
  <c r="J40" i="26"/>
  <c r="K40" i="26" s="1"/>
  <c r="J56" i="26"/>
  <c r="K56" i="26" s="1"/>
  <c r="J25" i="26"/>
  <c r="K25" i="26" s="1"/>
  <c r="J54" i="26"/>
  <c r="K54" i="26" s="1"/>
  <c r="J61" i="26"/>
  <c r="K61" i="26" s="1"/>
  <c r="E3" i="26"/>
  <c r="J3" i="26" s="1"/>
  <c r="E5" i="26"/>
  <c r="E4" i="26"/>
  <c r="E11" i="26"/>
  <c r="E10" i="26"/>
  <c r="E9" i="26"/>
  <c r="J9" i="26" s="1"/>
  <c r="E8" i="26"/>
  <c r="E7" i="26"/>
  <c r="E6" i="26"/>
  <c r="J6" i="26" s="1"/>
  <c r="Q37" i="9" l="1"/>
  <c r="I39" i="9"/>
  <c r="J38" i="9"/>
  <c r="N39" i="9"/>
  <c r="Q38" i="9"/>
  <c r="P39" i="9"/>
  <c r="M38" i="9"/>
  <c r="K39" i="26"/>
  <c r="R37" i="9"/>
  <c r="K36" i="26"/>
  <c r="Q39" i="9"/>
  <c r="K33" i="26"/>
  <c r="P40" i="9"/>
  <c r="K30" i="26"/>
  <c r="O37" i="9"/>
  <c r="K27" i="26"/>
  <c r="N40" i="9"/>
  <c r="K24" i="26"/>
  <c r="M39" i="9"/>
  <c r="K21" i="26"/>
  <c r="L40" i="9"/>
  <c r="K18" i="26"/>
  <c r="K37" i="9"/>
  <c r="K15" i="26"/>
  <c r="J39" i="9"/>
  <c r="K12" i="26"/>
  <c r="I40" i="9"/>
  <c r="J5" i="26"/>
  <c r="K5" i="26" s="1"/>
  <c r="J8" i="26"/>
  <c r="K8" i="26" s="1"/>
  <c r="J7" i="26"/>
  <c r="K7" i="26" s="1"/>
  <c r="J10" i="26"/>
  <c r="K10" i="26" s="1"/>
  <c r="J11" i="26"/>
  <c r="K11" i="26" s="1"/>
  <c r="J4" i="26"/>
  <c r="K4" i="26" s="1"/>
  <c r="K9" i="26"/>
  <c r="K6" i="26"/>
  <c r="G38" i="9"/>
  <c r="E1" i="26"/>
  <c r="G39" i="9" l="1"/>
  <c r="F38" i="9"/>
  <c r="S39" i="9"/>
  <c r="H37" i="9"/>
  <c r="G40" i="9"/>
  <c r="F39" i="9"/>
  <c r="J1" i="26"/>
  <c r="R103" i="9"/>
  <c r="R126" i="9"/>
  <c r="R104" i="9"/>
  <c r="R128" i="9"/>
  <c r="R109" i="9"/>
  <c r="R122" i="9"/>
  <c r="R121" i="9"/>
  <c r="R127" i="9"/>
  <c r="R102" i="9"/>
  <c r="R108" i="9"/>
  <c r="R123" i="9"/>
  <c r="R105" i="9"/>
  <c r="R106" i="9"/>
  <c r="R125" i="9"/>
  <c r="R107" i="9"/>
  <c r="R124" i="9"/>
  <c r="R129" i="9"/>
  <c r="R36" i="9"/>
  <c r="R4" i="9" s="1"/>
  <c r="R101" i="9"/>
  <c r="Q106" i="9"/>
  <c r="Q103" i="9"/>
  <c r="Q107" i="9"/>
  <c r="Q104" i="9"/>
  <c r="Q122" i="9"/>
  <c r="Q127" i="9"/>
  <c r="Q109" i="9"/>
  <c r="Q128" i="9"/>
  <c r="Q126" i="9"/>
  <c r="Q102" i="9"/>
  <c r="Q124" i="9"/>
  <c r="Q129" i="9"/>
  <c r="Q105" i="9"/>
  <c r="Q36" i="9"/>
  <c r="Q4" i="9" s="1"/>
  <c r="Q123" i="9"/>
  <c r="Q108" i="9"/>
  <c r="Q125" i="9"/>
  <c r="P106" i="9"/>
  <c r="P36" i="9"/>
  <c r="P4" i="9" s="1"/>
  <c r="P109" i="9"/>
  <c r="P105" i="9"/>
  <c r="P126" i="9"/>
  <c r="P124" i="9"/>
  <c r="P123" i="9"/>
  <c r="P128" i="9"/>
  <c r="P125" i="9"/>
  <c r="P103" i="9"/>
  <c r="P104" i="9"/>
  <c r="P108" i="9"/>
  <c r="P127" i="9"/>
  <c r="P107" i="9"/>
  <c r="P129" i="9"/>
  <c r="O102" i="9"/>
  <c r="O127" i="9"/>
  <c r="O123" i="9"/>
  <c r="O124" i="9"/>
  <c r="O101" i="9"/>
  <c r="O108" i="9"/>
  <c r="O125" i="9"/>
  <c r="O129" i="9"/>
  <c r="O103" i="9"/>
  <c r="O106" i="9"/>
  <c r="O107" i="9"/>
  <c r="O36" i="9"/>
  <c r="O4" i="9" s="1"/>
  <c r="O104" i="9"/>
  <c r="O122" i="9"/>
  <c r="O109" i="9"/>
  <c r="O121" i="9"/>
  <c r="O126" i="9"/>
  <c r="O105" i="9"/>
  <c r="O128" i="9"/>
  <c r="N106" i="9"/>
  <c r="N102" i="9"/>
  <c r="N125" i="9"/>
  <c r="N127" i="9"/>
  <c r="N109" i="9"/>
  <c r="N122" i="9"/>
  <c r="N123" i="9"/>
  <c r="N104" i="9"/>
  <c r="N126" i="9"/>
  <c r="N105" i="9"/>
  <c r="N128" i="9"/>
  <c r="N129" i="9"/>
  <c r="N108" i="9"/>
  <c r="N103" i="9"/>
  <c r="N107" i="9"/>
  <c r="N36" i="9"/>
  <c r="N4" i="9" s="1"/>
  <c r="N124" i="9"/>
  <c r="M102" i="9"/>
  <c r="M125" i="9"/>
  <c r="M103" i="9"/>
  <c r="M105" i="9"/>
  <c r="M126" i="9"/>
  <c r="M36" i="9"/>
  <c r="M4" i="9" s="1"/>
  <c r="M127" i="9"/>
  <c r="M129" i="9"/>
  <c r="M122" i="9"/>
  <c r="M128" i="9"/>
  <c r="M123" i="9"/>
  <c r="M106" i="9"/>
  <c r="M108" i="9"/>
  <c r="M124" i="9"/>
  <c r="M104" i="9"/>
  <c r="M109" i="9"/>
  <c r="M107" i="9"/>
  <c r="E40" i="9"/>
  <c r="G9" i="11" s="1"/>
  <c r="G38" i="11" s="1"/>
  <c r="L129" i="9"/>
  <c r="L123" i="9"/>
  <c r="L124" i="9"/>
  <c r="L107" i="9"/>
  <c r="L103" i="9"/>
  <c r="L125" i="9"/>
  <c r="L105" i="9"/>
  <c r="L108" i="9"/>
  <c r="L36" i="9"/>
  <c r="L4" i="9" s="1"/>
  <c r="L109" i="9"/>
  <c r="L106" i="9"/>
  <c r="L126" i="9"/>
  <c r="L128" i="9"/>
  <c r="L104" i="9"/>
  <c r="L127" i="9"/>
  <c r="K109" i="9"/>
  <c r="K125" i="9"/>
  <c r="K123" i="9"/>
  <c r="K124" i="9"/>
  <c r="K105" i="9"/>
  <c r="K108" i="9"/>
  <c r="K106" i="9"/>
  <c r="K103" i="9"/>
  <c r="K122" i="9"/>
  <c r="K102" i="9"/>
  <c r="K107" i="9"/>
  <c r="K129" i="9"/>
  <c r="K36" i="9"/>
  <c r="K4" i="9" s="1"/>
  <c r="K104" i="9"/>
  <c r="K121" i="9"/>
  <c r="K128" i="9"/>
  <c r="K127" i="9"/>
  <c r="K126" i="9"/>
  <c r="K101" i="9"/>
  <c r="J103" i="9"/>
  <c r="J104" i="9"/>
  <c r="J128" i="9"/>
  <c r="J36" i="9"/>
  <c r="J4" i="9" s="1"/>
  <c r="J107" i="9"/>
  <c r="J125" i="9"/>
  <c r="J102" i="9"/>
  <c r="J122" i="9"/>
  <c r="J123" i="9"/>
  <c r="J124" i="9"/>
  <c r="J127" i="9"/>
  <c r="J126" i="9"/>
  <c r="J106" i="9"/>
  <c r="J105" i="9"/>
  <c r="J109" i="9"/>
  <c r="J129" i="9"/>
  <c r="J108" i="9"/>
  <c r="I106" i="9"/>
  <c r="I127" i="9"/>
  <c r="I108" i="9"/>
  <c r="I109" i="9"/>
  <c r="I103" i="9"/>
  <c r="I128" i="9"/>
  <c r="I124" i="9"/>
  <c r="I123" i="9"/>
  <c r="I104" i="9"/>
  <c r="I105" i="9"/>
  <c r="I107" i="9"/>
  <c r="I125" i="9"/>
  <c r="I129" i="9"/>
  <c r="I36" i="9"/>
  <c r="I4" i="9" s="1"/>
  <c r="I126" i="9"/>
  <c r="K3" i="26"/>
  <c r="K1" i="26" s="1"/>
  <c r="F37" i="9"/>
  <c r="G125" i="9"/>
  <c r="G36" i="9"/>
  <c r="G4" i="9" s="1"/>
  <c r="E38" i="9"/>
  <c r="E9" i="11" s="1"/>
  <c r="E38" i="11" s="1"/>
  <c r="G101" i="9"/>
  <c r="G104" i="9"/>
  <c r="G129" i="9"/>
  <c r="G109" i="9"/>
  <c r="G121" i="9"/>
  <c r="G105" i="9"/>
  <c r="G103" i="9"/>
  <c r="G123" i="9"/>
  <c r="G122" i="9"/>
  <c r="G124" i="9"/>
  <c r="G107" i="9"/>
  <c r="G126" i="9"/>
  <c r="G127" i="9"/>
  <c r="G128" i="9"/>
  <c r="G106" i="9"/>
  <c r="G108" i="9"/>
  <c r="G102" i="9"/>
  <c r="H123" i="9"/>
  <c r="H108" i="9"/>
  <c r="H129" i="9"/>
  <c r="H36" i="9"/>
  <c r="H4" i="9" s="1"/>
  <c r="H102" i="9"/>
  <c r="H127" i="9"/>
  <c r="H104" i="9"/>
  <c r="H121" i="9"/>
  <c r="H105" i="9"/>
  <c r="H106" i="9"/>
  <c r="H103" i="9"/>
  <c r="H128" i="9"/>
  <c r="H101" i="9"/>
  <c r="H125" i="9"/>
  <c r="H107" i="9"/>
  <c r="H122" i="9"/>
  <c r="H109" i="9"/>
  <c r="H126" i="9"/>
  <c r="H124" i="9"/>
  <c r="S121" i="9" l="1"/>
  <c r="S101" i="9"/>
  <c r="S100" i="9"/>
  <c r="E100" i="9" s="1"/>
  <c r="S120" i="9"/>
  <c r="E120" i="9" s="1"/>
  <c r="E39" i="9"/>
  <c r="F9" i="11" s="1"/>
  <c r="F38" i="11" s="1"/>
  <c r="S36" i="9"/>
  <c r="S4" i="9" s="1"/>
  <c r="S129" i="9"/>
  <c r="S105" i="9"/>
  <c r="S103" i="9"/>
  <c r="S124" i="9"/>
  <c r="S128" i="9"/>
  <c r="S123" i="9"/>
  <c r="S106" i="9"/>
  <c r="S107" i="9"/>
  <c r="S104" i="9"/>
  <c r="S127" i="9"/>
  <c r="S122" i="9"/>
  <c r="S126" i="9"/>
  <c r="S102" i="9"/>
  <c r="S125" i="9"/>
  <c r="S108" i="9"/>
  <c r="S109" i="9"/>
  <c r="AS6" i="20"/>
  <c r="AS5" i="20" s="1"/>
  <c r="O6" i="20"/>
  <c r="O5" i="20" s="1"/>
  <c r="P6" i="20"/>
  <c r="P5" i="20" s="1"/>
  <c r="Q6" i="20"/>
  <c r="Q5" i="20" s="1"/>
  <c r="AR6" i="20"/>
  <c r="AR5" i="20" s="1"/>
  <c r="R99" i="9"/>
  <c r="R77" i="9" s="1"/>
  <c r="AS10" i="20"/>
  <c r="AS9" i="20" s="1"/>
  <c r="Q10" i="20"/>
  <c r="Q9" i="20" s="1"/>
  <c r="Q99" i="9"/>
  <c r="Q77" i="9" s="1"/>
  <c r="P10" i="20"/>
  <c r="P9" i="20" s="1"/>
  <c r="AR10" i="20"/>
  <c r="AR9" i="20" s="1"/>
  <c r="AO6" i="20"/>
  <c r="AO5" i="20" s="1"/>
  <c r="AQ6" i="20"/>
  <c r="AQ5" i="20" s="1"/>
  <c r="AP6" i="20"/>
  <c r="AP5" i="20" s="1"/>
  <c r="M6" i="20"/>
  <c r="M5" i="20" s="1"/>
  <c r="P99" i="9"/>
  <c r="P77" i="9" s="1"/>
  <c r="AQ10" i="20"/>
  <c r="AQ9" i="20" s="1"/>
  <c r="O10" i="20"/>
  <c r="O9" i="20" s="1"/>
  <c r="N6" i="20"/>
  <c r="N5" i="20" s="1"/>
  <c r="AN6" i="20"/>
  <c r="AN5" i="20" s="1"/>
  <c r="O99" i="9"/>
  <c r="O77" i="9" s="1"/>
  <c r="N10" i="20"/>
  <c r="N9" i="20" s="1"/>
  <c r="AP10" i="20"/>
  <c r="AP9" i="20" s="1"/>
  <c r="L6" i="20"/>
  <c r="L5" i="20" s="1"/>
  <c r="N99" i="9"/>
  <c r="N77" i="9" s="1"/>
  <c r="AO10" i="20"/>
  <c r="AO9" i="20" s="1"/>
  <c r="M10" i="20"/>
  <c r="M9" i="20" s="1"/>
  <c r="AM6" i="20"/>
  <c r="AM5" i="20" s="1"/>
  <c r="K6" i="20"/>
  <c r="K5" i="20" s="1"/>
  <c r="M99" i="9"/>
  <c r="M77" i="9" s="1"/>
  <c r="L10" i="20"/>
  <c r="L9" i="20" s="1"/>
  <c r="AN10" i="20"/>
  <c r="AN9" i="20" s="1"/>
  <c r="J6" i="20"/>
  <c r="J5" i="20" s="1"/>
  <c r="AK6" i="20"/>
  <c r="AK5" i="20" s="1"/>
  <c r="AL6" i="20"/>
  <c r="AL5" i="20" s="1"/>
  <c r="I6" i="20"/>
  <c r="I5" i="20" s="1"/>
  <c r="L99" i="9"/>
  <c r="L77" i="9" s="1"/>
  <c r="AM10" i="20"/>
  <c r="AM9" i="20" s="1"/>
  <c r="K10" i="20"/>
  <c r="K9" i="20" s="1"/>
  <c r="K99" i="9"/>
  <c r="K77" i="9" s="1"/>
  <c r="AL10" i="20"/>
  <c r="AL9" i="20" s="1"/>
  <c r="J10" i="20"/>
  <c r="J9" i="20" s="1"/>
  <c r="J99" i="9"/>
  <c r="J77" i="9" s="1"/>
  <c r="I10" i="20"/>
  <c r="I9" i="20" s="1"/>
  <c r="AK10" i="20"/>
  <c r="AK9" i="20" s="1"/>
  <c r="AJ6" i="20"/>
  <c r="AJ5" i="20" s="1"/>
  <c r="H6" i="20"/>
  <c r="H5" i="20" s="1"/>
  <c r="I99" i="9"/>
  <c r="I77" i="9" s="1"/>
  <c r="H10" i="20"/>
  <c r="H9" i="20" s="1"/>
  <c r="AJ10" i="20"/>
  <c r="AJ9" i="20" s="1"/>
  <c r="G6" i="20"/>
  <c r="G5" i="20" s="1"/>
  <c r="AH6" i="20"/>
  <c r="AH5" i="20" s="1"/>
  <c r="F6" i="20"/>
  <c r="F5" i="20" s="1"/>
  <c r="AI6" i="20"/>
  <c r="AI5" i="20" s="1"/>
  <c r="AH10" i="20"/>
  <c r="AH9" i="20" s="1"/>
  <c r="F10" i="20"/>
  <c r="F9" i="20" s="1"/>
  <c r="G99" i="9"/>
  <c r="G77" i="9" s="1"/>
  <c r="G10" i="20"/>
  <c r="G9" i="20" s="1"/>
  <c r="AI10" i="20"/>
  <c r="AI9" i="20" s="1"/>
  <c r="H99" i="9"/>
  <c r="H77" i="9" s="1"/>
  <c r="F127" i="9"/>
  <c r="F126" i="9"/>
  <c r="F108" i="9"/>
  <c r="F109" i="9"/>
  <c r="F102" i="9"/>
  <c r="F107" i="9"/>
  <c r="F104" i="9"/>
  <c r="F122" i="9"/>
  <c r="F101" i="9"/>
  <c r="F124" i="9"/>
  <c r="E124" i="9" s="1"/>
  <c r="F123" i="9"/>
  <c r="F105" i="9"/>
  <c r="F129" i="9"/>
  <c r="F128" i="9"/>
  <c r="F103" i="9"/>
  <c r="E103" i="9" s="1"/>
  <c r="F121" i="9"/>
  <c r="E121" i="9" s="1"/>
  <c r="F125" i="9"/>
  <c r="F36" i="9"/>
  <c r="F4" i="9" s="1"/>
  <c r="F106" i="9"/>
  <c r="E106" i="9" s="1"/>
  <c r="E37" i="9"/>
  <c r="E128" i="9" l="1"/>
  <c r="E123" i="9"/>
  <c r="G10" i="11" s="1"/>
  <c r="G39" i="11" s="1"/>
  <c r="E126" i="9"/>
  <c r="J10" i="11" s="1"/>
  <c r="E122" i="9"/>
  <c r="E102" i="9"/>
  <c r="E107" i="9"/>
  <c r="E129" i="9"/>
  <c r="E109" i="9"/>
  <c r="E104" i="9"/>
  <c r="H10" i="11" s="1"/>
  <c r="J8" i="6" s="1"/>
  <c r="K8" i="6" s="1"/>
  <c r="E105" i="9"/>
  <c r="E108" i="9"/>
  <c r="E127" i="9"/>
  <c r="D10" i="11"/>
  <c r="D39" i="11" s="1"/>
  <c r="AT6" i="20"/>
  <c r="AT5" i="20" s="1"/>
  <c r="S99" i="9"/>
  <c r="S77" i="9" s="1"/>
  <c r="R10" i="20"/>
  <c r="R9" i="20" s="1"/>
  <c r="AT10" i="20"/>
  <c r="AT9" i="20" s="1"/>
  <c r="R6" i="20"/>
  <c r="R5" i="20" s="1"/>
  <c r="E125" i="9"/>
  <c r="E101" i="9"/>
  <c r="E10" i="20"/>
  <c r="AG10" i="20"/>
  <c r="F99" i="9"/>
  <c r="F77" i="9" s="1"/>
  <c r="E6" i="20"/>
  <c r="AG6" i="20"/>
  <c r="D9" i="11"/>
  <c r="G4" i="39"/>
  <c r="E36" i="9"/>
  <c r="L10" i="11" l="1"/>
  <c r="J12" i="6" s="1"/>
  <c r="K12" i="6" s="1"/>
  <c r="M10" i="11"/>
  <c r="M39" i="11" s="1"/>
  <c r="F10" i="11"/>
  <c r="F39" i="11" s="1"/>
  <c r="K10" i="11"/>
  <c r="J11" i="6" s="1"/>
  <c r="I10" i="11"/>
  <c r="I39" i="11" s="1"/>
  <c r="G10" i="39"/>
  <c r="S10" i="39" s="1"/>
  <c r="J39" i="11"/>
  <c r="J10" i="6"/>
  <c r="K10" i="6" s="1"/>
  <c r="J7" i="6"/>
  <c r="K7" i="6" s="1"/>
  <c r="H39" i="11"/>
  <c r="AG5" i="20"/>
  <c r="AF5" i="20" s="1"/>
  <c r="AF6" i="20"/>
  <c r="D6" i="20"/>
  <c r="E5" i="20"/>
  <c r="D5" i="20" s="1"/>
  <c r="D38" i="11"/>
  <c r="C38" i="11" s="1"/>
  <c r="J4" i="6"/>
  <c r="C9" i="11"/>
  <c r="S4" i="39"/>
  <c r="O4" i="39"/>
  <c r="U4" i="39" s="1"/>
  <c r="Q4" i="39"/>
  <c r="V4" i="39" s="1"/>
  <c r="T4" i="39"/>
  <c r="AG9" i="20"/>
  <c r="AF9" i="20" s="1"/>
  <c r="AF10" i="20"/>
  <c r="E4" i="9"/>
  <c r="C3" i="39"/>
  <c r="E9" i="20"/>
  <c r="D9" i="20" s="1"/>
  <c r="D10" i="20"/>
  <c r="E10" i="11"/>
  <c r="G9" i="39"/>
  <c r="E99" i="9"/>
  <c r="J6" i="6" l="1"/>
  <c r="K6" i="6" s="1"/>
  <c r="L39" i="11"/>
  <c r="J13" i="6"/>
  <c r="K13" i="6" s="1"/>
  <c r="T10" i="39"/>
  <c r="J9" i="6"/>
  <c r="K9" i="6" s="1"/>
  <c r="K39" i="11"/>
  <c r="O10" i="39"/>
  <c r="U10" i="39" s="1"/>
  <c r="Q10" i="39"/>
  <c r="V10" i="39" s="1"/>
  <c r="I154" i="9"/>
  <c r="I158" i="9"/>
  <c r="I164" i="9"/>
  <c r="I163" i="9"/>
  <c r="I152" i="9"/>
  <c r="Q155" i="9"/>
  <c r="Q159" i="9"/>
  <c r="Q151" i="9"/>
  <c r="Q167" i="9"/>
  <c r="Q153" i="9"/>
  <c r="Y155" i="9"/>
  <c r="Y159" i="9"/>
  <c r="Y161" i="9"/>
  <c r="Y152" i="9"/>
  <c r="Y165" i="9"/>
  <c r="K165" i="9"/>
  <c r="K169" i="9"/>
  <c r="K161" i="9"/>
  <c r="K160" i="9"/>
  <c r="K157" i="9"/>
  <c r="S166" i="9"/>
  <c r="S170" i="9"/>
  <c r="S153" i="9"/>
  <c r="S161" i="9"/>
  <c r="I157" i="9"/>
  <c r="I151" i="9"/>
  <c r="Q170" i="9"/>
  <c r="Q161" i="9"/>
  <c r="Y158" i="9"/>
  <c r="Y167" i="9"/>
  <c r="K164" i="9"/>
  <c r="K152" i="9"/>
  <c r="S165" i="9"/>
  <c r="S160" i="9"/>
  <c r="S151" i="9"/>
  <c r="I155" i="9"/>
  <c r="I159" i="9"/>
  <c r="I168" i="9"/>
  <c r="I167" i="9"/>
  <c r="I170" i="9"/>
  <c r="Q156" i="9"/>
  <c r="Q160" i="9"/>
  <c r="Q165" i="9"/>
  <c r="Q152" i="9"/>
  <c r="Q168" i="9"/>
  <c r="Y156" i="9"/>
  <c r="Y160" i="9"/>
  <c r="Y151" i="9"/>
  <c r="Y153" i="9"/>
  <c r="Y169" i="9"/>
  <c r="K166" i="9"/>
  <c r="K170" i="9"/>
  <c r="K154" i="9"/>
  <c r="K156" i="9"/>
  <c r="S163" i="9"/>
  <c r="S167" i="9"/>
  <c r="S157" i="9"/>
  <c r="S152" i="9"/>
  <c r="S154" i="9"/>
  <c r="I153" i="9"/>
  <c r="I169" i="9"/>
  <c r="Q158" i="9"/>
  <c r="Q164" i="9"/>
  <c r="Y154" i="9"/>
  <c r="Y168" i="9"/>
  <c r="Y170" i="9"/>
  <c r="K168" i="9"/>
  <c r="K151" i="9"/>
  <c r="S155" i="9"/>
  <c r="I156" i="9"/>
  <c r="I160" i="9"/>
  <c r="I161" i="9"/>
  <c r="I166" i="9"/>
  <c r="I165" i="9"/>
  <c r="Q157" i="9"/>
  <c r="Q166" i="9"/>
  <c r="Q169" i="9"/>
  <c r="Q163" i="9"/>
  <c r="Y157" i="9"/>
  <c r="Y164" i="9"/>
  <c r="Y163" i="9"/>
  <c r="Y166" i="9"/>
  <c r="K163" i="9"/>
  <c r="K167" i="9"/>
  <c r="K155" i="9"/>
  <c r="K158" i="9"/>
  <c r="K153" i="9"/>
  <c r="S164" i="9"/>
  <c r="S168" i="9"/>
  <c r="S156" i="9"/>
  <c r="S158" i="9"/>
  <c r="S159" i="9"/>
  <c r="Q154" i="9"/>
  <c r="K159" i="9"/>
  <c r="S169" i="9"/>
  <c r="R156" i="9"/>
  <c r="R166" i="9"/>
  <c r="R151" i="9"/>
  <c r="R158" i="9"/>
  <c r="P165" i="9"/>
  <c r="P163" i="9"/>
  <c r="P154" i="9"/>
  <c r="P170" i="9"/>
  <c r="P151" i="9"/>
  <c r="Z165" i="9"/>
  <c r="Z153" i="9"/>
  <c r="Z157" i="9"/>
  <c r="Z155" i="9"/>
  <c r="Z170" i="9"/>
  <c r="U156" i="9"/>
  <c r="U160" i="9"/>
  <c r="U163" i="9"/>
  <c r="U170" i="9"/>
  <c r="U167" i="9"/>
  <c r="M157" i="9"/>
  <c r="M153" i="9"/>
  <c r="M165" i="9"/>
  <c r="M161" i="9"/>
  <c r="X163" i="9"/>
  <c r="X166" i="9"/>
  <c r="X161" i="9"/>
  <c r="X152" i="9"/>
  <c r="X168" i="9"/>
  <c r="O164" i="9"/>
  <c r="O168" i="9"/>
  <c r="O154" i="9"/>
  <c r="O152" i="9"/>
  <c r="O151" i="9"/>
  <c r="L156" i="9"/>
  <c r="L169" i="9"/>
  <c r="L153" i="9"/>
  <c r="L161" i="9"/>
  <c r="L152" i="9"/>
  <c r="V155" i="9"/>
  <c r="V164" i="9"/>
  <c r="V158" i="9"/>
  <c r="V157" i="9"/>
  <c r="J161" i="9"/>
  <c r="J158" i="9"/>
  <c r="J157" i="9"/>
  <c r="J170" i="9"/>
  <c r="J167" i="9"/>
  <c r="T164" i="9"/>
  <c r="T158" i="9"/>
  <c r="T169" i="9"/>
  <c r="T165" i="9"/>
  <c r="T155" i="9"/>
  <c r="N164" i="9"/>
  <c r="N152" i="9"/>
  <c r="N156" i="9"/>
  <c r="N154" i="9"/>
  <c r="N170" i="9"/>
  <c r="W165" i="9"/>
  <c r="W169" i="9"/>
  <c r="W155" i="9"/>
  <c r="W158" i="9"/>
  <c r="W154" i="9"/>
  <c r="R161" i="9"/>
  <c r="R160" i="9"/>
  <c r="R170" i="9"/>
  <c r="R165" i="9"/>
  <c r="R164" i="9"/>
  <c r="P169" i="9"/>
  <c r="P164" i="9"/>
  <c r="P158" i="9"/>
  <c r="P160" i="9"/>
  <c r="P167" i="9"/>
  <c r="Z169" i="9"/>
  <c r="Z152" i="9"/>
  <c r="Z151" i="9"/>
  <c r="Z167" i="9"/>
  <c r="Z159" i="9"/>
  <c r="U157" i="9"/>
  <c r="U165" i="9"/>
  <c r="U164" i="9"/>
  <c r="U153" i="9"/>
  <c r="M154" i="9"/>
  <c r="M158" i="9"/>
  <c r="M163" i="9"/>
  <c r="M166" i="9"/>
  <c r="M168" i="9"/>
  <c r="X167" i="9"/>
  <c r="X170" i="9"/>
  <c r="X154" i="9"/>
  <c r="X169" i="9"/>
  <c r="X158" i="9"/>
  <c r="O165" i="9"/>
  <c r="O169" i="9"/>
  <c r="O158" i="9"/>
  <c r="O155" i="9"/>
  <c r="O156" i="9"/>
  <c r="L160" i="9"/>
  <c r="L155" i="9"/>
  <c r="L151" i="9"/>
  <c r="L154" i="9"/>
  <c r="V161" i="9"/>
  <c r="V159" i="9"/>
  <c r="V165" i="9"/>
  <c r="V151" i="9"/>
  <c r="V163" i="9"/>
  <c r="J165" i="9"/>
  <c r="J152" i="9"/>
  <c r="J153" i="9"/>
  <c r="J159" i="9"/>
  <c r="J156" i="9"/>
  <c r="T168" i="9"/>
  <c r="T163" i="9"/>
  <c r="T159" i="9"/>
  <c r="T166" i="9"/>
  <c r="T160" i="9"/>
  <c r="N168" i="9"/>
  <c r="N166" i="9"/>
  <c r="N160" i="9"/>
  <c r="N169" i="9"/>
  <c r="N159" i="9"/>
  <c r="W166" i="9"/>
  <c r="W170" i="9"/>
  <c r="W159" i="9"/>
  <c r="W151" i="9"/>
  <c r="N151" i="9"/>
  <c r="W167" i="9"/>
  <c r="W156" i="9"/>
  <c r="W157" i="9"/>
  <c r="R167" i="9"/>
  <c r="R159" i="9"/>
  <c r="R157" i="9"/>
  <c r="R169" i="9"/>
  <c r="P159" i="9"/>
  <c r="P156" i="9"/>
  <c r="P153" i="9"/>
  <c r="Z158" i="9"/>
  <c r="Z166" i="9"/>
  <c r="U155" i="9"/>
  <c r="U151" i="9"/>
  <c r="U152" i="9"/>
  <c r="M160" i="9"/>
  <c r="M151" i="9"/>
  <c r="M152" i="9"/>
  <c r="X160" i="9"/>
  <c r="X153" i="9"/>
  <c r="O167" i="9"/>
  <c r="O153" i="9"/>
  <c r="L170" i="9"/>
  <c r="L165" i="9"/>
  <c r="L157" i="9"/>
  <c r="V170" i="9"/>
  <c r="V154" i="9"/>
  <c r="V156" i="9"/>
  <c r="J168" i="9"/>
  <c r="J160" i="9"/>
  <c r="T157" i="9"/>
  <c r="T152" i="9"/>
  <c r="N153" i="9"/>
  <c r="N165" i="9"/>
  <c r="W164" i="9"/>
  <c r="W160" i="9"/>
  <c r="R163" i="9"/>
  <c r="R153" i="9"/>
  <c r="R155" i="9"/>
  <c r="R168" i="9"/>
  <c r="R154" i="9"/>
  <c r="P155" i="9"/>
  <c r="P168" i="9"/>
  <c r="P166" i="9"/>
  <c r="P157" i="9"/>
  <c r="P152" i="9"/>
  <c r="Z154" i="9"/>
  <c r="Z164" i="9"/>
  <c r="Z163" i="9"/>
  <c r="Z156" i="9"/>
  <c r="U154" i="9"/>
  <c r="U158" i="9"/>
  <c r="U169" i="9"/>
  <c r="U168" i="9"/>
  <c r="U166" i="9"/>
  <c r="M155" i="9"/>
  <c r="M159" i="9"/>
  <c r="M167" i="9"/>
  <c r="M170" i="9"/>
  <c r="M169" i="9"/>
  <c r="X157" i="9"/>
  <c r="X156" i="9"/>
  <c r="X164" i="9"/>
  <c r="X159" i="9"/>
  <c r="X155" i="9"/>
  <c r="O166" i="9"/>
  <c r="O170" i="9"/>
  <c r="O157" i="9"/>
  <c r="O159" i="9"/>
  <c r="L166" i="9"/>
  <c r="L164" i="9"/>
  <c r="L159" i="9"/>
  <c r="L167" i="9"/>
  <c r="L168" i="9"/>
  <c r="V166" i="9"/>
  <c r="V153" i="9"/>
  <c r="V169" i="9"/>
  <c r="V160" i="9"/>
  <c r="V167" i="9"/>
  <c r="J169" i="9"/>
  <c r="J164" i="9"/>
  <c r="J151" i="9"/>
  <c r="J155" i="9"/>
  <c r="J166" i="9"/>
  <c r="T161" i="9"/>
  <c r="T167" i="9"/>
  <c r="T151" i="9"/>
  <c r="T156" i="9"/>
  <c r="T153" i="9"/>
  <c r="N157" i="9"/>
  <c r="N163" i="9"/>
  <c r="N158" i="9"/>
  <c r="W163" i="9"/>
  <c r="W153" i="9"/>
  <c r="R152" i="9"/>
  <c r="P161" i="9"/>
  <c r="Z161" i="9"/>
  <c r="Z168" i="9"/>
  <c r="Z160" i="9"/>
  <c r="U159" i="9"/>
  <c r="U161" i="9"/>
  <c r="M156" i="9"/>
  <c r="M164" i="9"/>
  <c r="X165" i="9"/>
  <c r="X151" i="9"/>
  <c r="O163" i="9"/>
  <c r="O161" i="9"/>
  <c r="O160" i="9"/>
  <c r="L163" i="9"/>
  <c r="L158" i="9"/>
  <c r="V152" i="9"/>
  <c r="V168" i="9"/>
  <c r="J154" i="9"/>
  <c r="J163" i="9"/>
  <c r="T154" i="9"/>
  <c r="T170" i="9"/>
  <c r="N161" i="9"/>
  <c r="N167" i="9"/>
  <c r="N155" i="9"/>
  <c r="W168" i="9"/>
  <c r="W152" i="9"/>
  <c r="W161" i="9"/>
  <c r="H163" i="9"/>
  <c r="H166" i="9"/>
  <c r="H165" i="9"/>
  <c r="H154" i="9"/>
  <c r="H152" i="9"/>
  <c r="G164" i="9"/>
  <c r="G168" i="9"/>
  <c r="G160" i="9"/>
  <c r="G157" i="9"/>
  <c r="G153" i="9"/>
  <c r="H153" i="9"/>
  <c r="H160" i="9"/>
  <c r="H161" i="9"/>
  <c r="G163" i="9"/>
  <c r="G152" i="9"/>
  <c r="H167" i="9"/>
  <c r="H170" i="9"/>
  <c r="H168" i="9"/>
  <c r="H151" i="9"/>
  <c r="H155" i="9"/>
  <c r="G165" i="9"/>
  <c r="G169" i="9"/>
  <c r="G155" i="9"/>
  <c r="G161" i="9"/>
  <c r="G158" i="9"/>
  <c r="H157" i="9"/>
  <c r="H156" i="9"/>
  <c r="H158" i="9"/>
  <c r="H164" i="9"/>
  <c r="H159" i="9"/>
  <c r="G166" i="9"/>
  <c r="G170" i="9"/>
  <c r="G159" i="9"/>
  <c r="G154" i="9"/>
  <c r="H169" i="9"/>
  <c r="G167" i="9"/>
  <c r="G156" i="9"/>
  <c r="G151" i="9"/>
  <c r="F164" i="9"/>
  <c r="F170" i="9"/>
  <c r="F163" i="9"/>
  <c r="F152" i="9"/>
  <c r="F154" i="9"/>
  <c r="F165" i="9"/>
  <c r="F166" i="9"/>
  <c r="F151" i="9"/>
  <c r="F168" i="9"/>
  <c r="F156" i="9"/>
  <c r="F161" i="9"/>
  <c r="F169" i="9"/>
  <c r="F155" i="9"/>
  <c r="F157" i="9"/>
  <c r="F158" i="9"/>
  <c r="F162" i="9"/>
  <c r="F160" i="9"/>
  <c r="F153" i="9"/>
  <c r="F159" i="9"/>
  <c r="F167" i="9"/>
  <c r="Q162" i="9"/>
  <c r="K162" i="9"/>
  <c r="Y162" i="9"/>
  <c r="S162" i="9"/>
  <c r="I162" i="9"/>
  <c r="R162" i="9"/>
  <c r="P162" i="9"/>
  <c r="J162" i="9"/>
  <c r="U162" i="9"/>
  <c r="L162" i="9"/>
  <c r="V162" i="9"/>
  <c r="O162" i="9"/>
  <c r="Z162" i="9"/>
  <c r="X162" i="9"/>
  <c r="M162" i="9"/>
  <c r="W162" i="9"/>
  <c r="T162" i="9"/>
  <c r="N162" i="9"/>
  <c r="H162" i="9"/>
  <c r="G162" i="9"/>
  <c r="K4" i="6"/>
  <c r="E77" i="9"/>
  <c r="C9" i="39"/>
  <c r="E39" i="11"/>
  <c r="C10" i="11"/>
  <c r="J5" i="6"/>
  <c r="K5" i="6" s="1"/>
  <c r="K11" i="6"/>
  <c r="T9" i="39"/>
  <c r="S9" i="39"/>
  <c r="Q9" i="39"/>
  <c r="V9" i="39" s="1"/>
  <c r="O9" i="39"/>
  <c r="U9" i="39" s="1"/>
  <c r="E169" i="9" l="1"/>
  <c r="E167" i="9"/>
  <c r="E159" i="9"/>
  <c r="E158" i="9"/>
  <c r="E157" i="9"/>
  <c r="E170" i="9"/>
  <c r="E160" i="9"/>
  <c r="E168" i="9"/>
  <c r="E154" i="9"/>
  <c r="E166" i="9"/>
  <c r="AQ13" i="20"/>
  <c r="AQ3" i="20" s="1"/>
  <c r="P150" i="9"/>
  <c r="O13" i="20" s="1"/>
  <c r="O3" i="20" s="1"/>
  <c r="AO13" i="20"/>
  <c r="AO3" i="20" s="1"/>
  <c r="N150" i="9"/>
  <c r="M13" i="20" s="1"/>
  <c r="M3" i="20" s="1"/>
  <c r="C39" i="11"/>
  <c r="AL13" i="20"/>
  <c r="AL3" i="20" s="1"/>
  <c r="K150" i="9"/>
  <c r="J13" i="20" s="1"/>
  <c r="J3" i="20" s="1"/>
  <c r="E155" i="9"/>
  <c r="E161" i="9"/>
  <c r="E163" i="9"/>
  <c r="F150" i="9"/>
  <c r="E13" i="20" s="1"/>
  <c r="E151" i="9"/>
  <c r="AG13" i="20"/>
  <c r="AH13" i="20"/>
  <c r="AH3" i="20" s="1"/>
  <c r="G150" i="9"/>
  <c r="F13" i="20" s="1"/>
  <c r="F3" i="20" s="1"/>
  <c r="J14" i="6"/>
  <c r="U150" i="9"/>
  <c r="T13" i="20" s="1"/>
  <c r="T3" i="20" s="1"/>
  <c r="AV13" i="20"/>
  <c r="AV3" i="20" s="1"/>
  <c r="AI13" i="20"/>
  <c r="AI3" i="20" s="1"/>
  <c r="H150" i="9"/>
  <c r="G13" i="20" s="1"/>
  <c r="G3" i="20" s="1"/>
  <c r="Q150" i="9"/>
  <c r="P13" i="20" s="1"/>
  <c r="P3" i="20" s="1"/>
  <c r="AR13" i="20"/>
  <c r="AR3" i="20" s="1"/>
  <c r="J15" i="6"/>
  <c r="E153" i="9"/>
  <c r="E152" i="9"/>
  <c r="E165" i="9"/>
  <c r="AT13" i="20"/>
  <c r="AT3" i="20" s="1"/>
  <c r="S150" i="9"/>
  <c r="R13" i="20" s="1"/>
  <c r="R3" i="20" s="1"/>
  <c r="BA13" i="20"/>
  <c r="BA3" i="20" s="1"/>
  <c r="Z150" i="9"/>
  <c r="Y13" i="20" s="1"/>
  <c r="Y3" i="20" s="1"/>
  <c r="K14" i="6"/>
  <c r="K15" i="6"/>
  <c r="AM13" i="20"/>
  <c r="AM3" i="20" s="1"/>
  <c r="L150" i="9"/>
  <c r="K13" i="20" s="1"/>
  <c r="K3" i="20" s="1"/>
  <c r="AP13" i="20"/>
  <c r="AP3" i="20" s="1"/>
  <c r="O150" i="9"/>
  <c r="N13" i="20" s="1"/>
  <c r="N3" i="20" s="1"/>
  <c r="E156" i="9"/>
  <c r="AK13" i="20"/>
  <c r="AK3" i="20" s="1"/>
  <c r="J150" i="9"/>
  <c r="I13" i="20" s="1"/>
  <c r="I3" i="20" s="1"/>
  <c r="AN13" i="20"/>
  <c r="AN3" i="20" s="1"/>
  <c r="M150" i="9"/>
  <c r="L13" i="20" s="1"/>
  <c r="L3" i="20" s="1"/>
  <c r="X150" i="9"/>
  <c r="W13" i="20" s="1"/>
  <c r="W3" i="20" s="1"/>
  <c r="AY13" i="20"/>
  <c r="AY3" i="20" s="1"/>
  <c r="AU13" i="20"/>
  <c r="AU3" i="20" s="1"/>
  <c r="T150" i="9"/>
  <c r="S13" i="20" s="1"/>
  <c r="S3" i="20" s="1"/>
  <c r="E162" i="9"/>
  <c r="R150" i="9"/>
  <c r="Q13" i="20" s="1"/>
  <c r="Q3" i="20" s="1"/>
  <c r="AS13" i="20"/>
  <c r="AS3" i="20" s="1"/>
  <c r="AW13" i="20"/>
  <c r="AW3" i="20" s="1"/>
  <c r="V150" i="9"/>
  <c r="U13" i="20" s="1"/>
  <c r="U3" i="20" s="1"/>
  <c r="E164" i="9"/>
  <c r="AJ13" i="20"/>
  <c r="AJ3" i="20" s="1"/>
  <c r="I150" i="9"/>
  <c r="H13" i="20" s="1"/>
  <c r="H3" i="20" s="1"/>
  <c r="AZ13" i="20"/>
  <c r="AZ3" i="20" s="1"/>
  <c r="Y150" i="9"/>
  <c r="X13" i="20" s="1"/>
  <c r="X3" i="20" s="1"/>
  <c r="AX13" i="20"/>
  <c r="AX3" i="20" s="1"/>
  <c r="W150" i="9"/>
  <c r="V13" i="20" s="1"/>
  <c r="V3" i="20" s="1"/>
  <c r="J14" i="11" l="1"/>
  <c r="J15" i="11" s="1"/>
  <c r="L14" i="11"/>
  <c r="L43" i="11" s="1"/>
  <c r="L44" i="11" s="1"/>
  <c r="K14" i="11"/>
  <c r="M14" i="11"/>
  <c r="I14" i="11"/>
  <c r="E14" i="11"/>
  <c r="E43" i="11" s="1"/>
  <c r="E44" i="11" s="1"/>
  <c r="F14" i="11"/>
  <c r="F43" i="11" s="1"/>
  <c r="F44" i="11" s="1"/>
  <c r="C17" i="39"/>
  <c r="D13" i="20"/>
  <c r="E3" i="20"/>
  <c r="D3" i="20" s="1"/>
  <c r="H14" i="11"/>
  <c r="H43" i="11" s="1"/>
  <c r="H44" i="11" s="1"/>
  <c r="C15" i="39"/>
  <c r="E150" i="9"/>
  <c r="D14" i="11"/>
  <c r="AG3" i="20"/>
  <c r="AF3" i="20" s="1"/>
  <c r="AF13" i="20"/>
  <c r="G14" i="11"/>
  <c r="G43" i="11" s="1"/>
  <c r="G44" i="11" s="1"/>
  <c r="J43" i="11" l="1"/>
  <c r="J44" i="11" s="1"/>
  <c r="P10" i="6"/>
  <c r="V10" i="6" s="1"/>
  <c r="F10" i="2" s="1"/>
  <c r="L15" i="11"/>
  <c r="P12" i="6"/>
  <c r="V12" i="6" s="1"/>
  <c r="F12" i="2" s="1"/>
  <c r="K43" i="11"/>
  <c r="K44" i="11" s="1"/>
  <c r="P11" i="6"/>
  <c r="K15" i="11"/>
  <c r="M43" i="11"/>
  <c r="M44" i="11" s="1"/>
  <c r="P13" i="6"/>
  <c r="M15" i="11"/>
  <c r="P9" i="6"/>
  <c r="Q9" i="6" s="1"/>
  <c r="I43" i="11"/>
  <c r="I44" i="11" s="1"/>
  <c r="I15" i="11"/>
  <c r="F15" i="11"/>
  <c r="P5" i="6"/>
  <c r="Q5" i="6" s="1"/>
  <c r="E15" i="11"/>
  <c r="P6" i="6"/>
  <c r="Q6" i="6" s="1"/>
  <c r="C22" i="39"/>
  <c r="H15" i="11"/>
  <c r="P8" i="6"/>
  <c r="P4" i="6"/>
  <c r="D43" i="11"/>
  <c r="C14" i="11"/>
  <c r="D15" i="11"/>
  <c r="G15" i="11"/>
  <c r="P7" i="6"/>
  <c r="S17" i="39"/>
  <c r="T17" i="39"/>
  <c r="O17" i="39"/>
  <c r="U17" i="39" s="1"/>
  <c r="Q17" i="39"/>
  <c r="V17" i="39" s="1"/>
  <c r="Q10" i="6" l="1"/>
  <c r="Q12" i="6"/>
  <c r="Q13" i="6"/>
  <c r="V13" i="6"/>
  <c r="F13" i="2" s="1"/>
  <c r="Q11" i="6"/>
  <c r="V11" i="6"/>
  <c r="F11" i="2" s="1"/>
  <c r="G10" i="2"/>
  <c r="J10" i="2" s="1"/>
  <c r="W10" i="6"/>
  <c r="C10" i="2"/>
  <c r="D10" i="2" s="1"/>
  <c r="I10" i="2" s="1"/>
  <c r="C12" i="2"/>
  <c r="D12" i="2" s="1"/>
  <c r="I12" i="2" s="1"/>
  <c r="W12" i="6"/>
  <c r="G12" i="2"/>
  <c r="J12" i="2" s="1"/>
  <c r="V9" i="6"/>
  <c r="V5" i="6"/>
  <c r="V6" i="6"/>
  <c r="C15" i="11"/>
  <c r="Q4" i="6"/>
  <c r="P14" i="6"/>
  <c r="P15" i="6"/>
  <c r="V4" i="6"/>
  <c r="F4" i="2" s="1"/>
  <c r="V8" i="6"/>
  <c r="F8" i="2" s="1"/>
  <c r="Q8" i="6"/>
  <c r="Q15" i="39"/>
  <c r="G22" i="39"/>
  <c r="T15" i="39"/>
  <c r="T22" i="39" s="1"/>
  <c r="O15" i="39"/>
  <c r="S15" i="39"/>
  <c r="S22" i="39" s="1"/>
  <c r="C43" i="11"/>
  <c r="D44" i="11"/>
  <c r="C44" i="11" s="1"/>
  <c r="Q7" i="6"/>
  <c r="V7" i="6"/>
  <c r="F7" i="2" s="1"/>
  <c r="C9" i="2" l="1"/>
  <c r="D9" i="2" s="1"/>
  <c r="I9" i="2" s="1"/>
  <c r="F9" i="2"/>
  <c r="G9" i="2" s="1"/>
  <c r="J9" i="2" s="1"/>
  <c r="W6" i="6"/>
  <c r="F6" i="2"/>
  <c r="G6" i="2" s="1"/>
  <c r="J6" i="2" s="1"/>
  <c r="W5" i="6"/>
  <c r="F5" i="2"/>
  <c r="G5" i="2" s="1"/>
  <c r="J5" i="2" s="1"/>
  <c r="W11" i="6"/>
  <c r="G11" i="2"/>
  <c r="J11" i="2" s="1"/>
  <c r="C11" i="2"/>
  <c r="D11" i="2" s="1"/>
  <c r="I11" i="2" s="1"/>
  <c r="W13" i="6"/>
  <c r="G13" i="2"/>
  <c r="J13" i="2" s="1"/>
  <c r="C13" i="2"/>
  <c r="D13" i="2" s="1"/>
  <c r="I13" i="2" s="1"/>
  <c r="W9" i="6"/>
  <c r="C5" i="2"/>
  <c r="D5" i="2" s="1"/>
  <c r="I5" i="2" s="1"/>
  <c r="C6" i="2"/>
  <c r="D6" i="2" s="1"/>
  <c r="I6" i="2" s="1"/>
  <c r="V14" i="6"/>
  <c r="C4" i="2"/>
  <c r="V15" i="6"/>
  <c r="J17" i="2" s="1"/>
  <c r="B2" i="7" s="1"/>
  <c r="W4" i="6"/>
  <c r="W8" i="6"/>
  <c r="C8" i="2"/>
  <c r="D8" i="2" s="1"/>
  <c r="I8" i="2" s="1"/>
  <c r="G8" i="2"/>
  <c r="J8" i="2" s="1"/>
  <c r="Q22" i="39"/>
  <c r="V15" i="39"/>
  <c r="Q15" i="6"/>
  <c r="Q14" i="6"/>
  <c r="U15" i="39"/>
  <c r="O22" i="39"/>
  <c r="W7" i="6"/>
  <c r="G7" i="2"/>
  <c r="J7" i="2" s="1"/>
  <c r="C7" i="2"/>
  <c r="D7" i="2" s="1"/>
  <c r="I7" i="2" s="1"/>
  <c r="R7" i="7" l="1"/>
  <c r="F7" i="7"/>
  <c r="C7" i="7"/>
  <c r="L7" i="7"/>
  <c r="I7" i="7"/>
  <c r="C26" i="7"/>
  <c r="C42" i="7"/>
  <c r="O7" i="7"/>
  <c r="W15" i="6"/>
  <c r="W14" i="6"/>
  <c r="C14" i="2"/>
  <c r="D4" i="2"/>
  <c r="F14" i="2"/>
  <c r="G4" i="2"/>
  <c r="J4" i="2" l="1"/>
  <c r="G14" i="2"/>
  <c r="J19" i="2"/>
  <c r="D14" i="2"/>
  <c r="I4" i="2"/>
  <c r="I14" i="2" s="1"/>
  <c r="J21" i="2" s="1"/>
  <c r="J18" i="2"/>
  <c r="K4" i="2" l="1"/>
  <c r="J14" i="2"/>
  <c r="J22" i="2" s="1"/>
  <c r="L4" i="2" l="1"/>
  <c r="K5" i="2"/>
  <c r="K6" i="2" s="1"/>
  <c r="K7" i="2" s="1"/>
  <c r="K8" i="2" s="1"/>
  <c r="K9" i="2" s="1"/>
  <c r="K10" i="2" s="1"/>
  <c r="K11" i="2" s="1"/>
  <c r="K12" i="2" s="1"/>
  <c r="K13" i="2" s="1"/>
  <c r="L5" i="2" l="1"/>
  <c r="L6" i="2" s="1"/>
  <c r="L7" i="2" s="1"/>
  <c r="L8" i="2" s="1"/>
  <c r="L9" i="2" s="1"/>
  <c r="L10" i="2" s="1"/>
  <c r="L11" i="2" s="1"/>
  <c r="L12" i="2" s="1"/>
  <c r="L13" i="2" s="1"/>
</calcChain>
</file>

<file path=xl/sharedStrings.xml><?xml version="1.0" encoding="utf-8"?>
<sst xmlns="http://schemas.openxmlformats.org/spreadsheetml/2006/main" count="6087" uniqueCount="2227">
  <si>
    <t>Príloha pre spracovanie biznis case a cost benefit analýzy informačných technológií verejnej správy</t>
  </si>
  <si>
    <t>Verzia dokumentu: v2.4</t>
  </si>
  <si>
    <t>Názov riešenia</t>
  </si>
  <si>
    <t>Informačný systém katastra nehnuteľností 2,0</t>
  </si>
  <si>
    <t>Číslo projektu ITMS</t>
  </si>
  <si>
    <t>Kód Projektu a ISVS z MetaIS</t>
  </si>
  <si>
    <t>projekt_3220</t>
  </si>
  <si>
    <t>Organizácia</t>
  </si>
  <si>
    <t>Úrad geodézie, kartografie a katastra Slovenskej republiky</t>
  </si>
  <si>
    <t>Ulica</t>
  </si>
  <si>
    <t>Chlumeckého 2, P.O.Box 57</t>
  </si>
  <si>
    <t>PSČ</t>
  </si>
  <si>
    <t>820 12 Bratislava 212</t>
  </si>
  <si>
    <t>Web</t>
  </si>
  <si>
    <t>https://www.skgeodesy.sk/sk/</t>
  </si>
  <si>
    <t>IČO</t>
  </si>
  <si>
    <t>00166260</t>
  </si>
  <si>
    <t>Spracovateľ</t>
  </si>
  <si>
    <t xml:space="preserve">    Titul, Meno, Priezvisko</t>
  </si>
  <si>
    <t xml:space="preserve">Kontakt na spracovateľa    </t>
  </si>
  <si>
    <t xml:space="preserve">    Email, telefón</t>
  </si>
  <si>
    <t>Jednotlivé informácie sú farebne odlíšené nasledovne:</t>
  </si>
  <si>
    <t>Hlavička tabuľky</t>
  </si>
  <si>
    <t>Popisná informácia</t>
  </si>
  <si>
    <t>Automaticky vypočitavané hodnoty</t>
  </si>
  <si>
    <t>Miesto na vpisovanie vlastných hodnôt</t>
  </si>
  <si>
    <t>Preddefinované konštanty</t>
  </si>
  <si>
    <t>Preddpočítaná hodnota s možnosťou zmeny</t>
  </si>
  <si>
    <t>Zoznam hárkov s vysvetlením a pokynmi</t>
  </si>
  <si>
    <t>Verzia dokumentu: v2.3</t>
  </si>
  <si>
    <t>Hárok</t>
  </si>
  <si>
    <t>Účel hárku</t>
  </si>
  <si>
    <t>Farba sekcie</t>
  </si>
  <si>
    <t>Vstupy od zhotoviteľa (žlté polia)</t>
  </si>
  <si>
    <t>Úvod</t>
  </si>
  <si>
    <t>Základné sumarizačné údaje o projekte a klientovi</t>
  </si>
  <si>
    <t>Všetky relevantné žlté polia</t>
  </si>
  <si>
    <t>Sumarizácia</t>
  </si>
  <si>
    <t>Sumarizácia výsledkov CBA podľa prínosov a modulov</t>
  </si>
  <si>
    <t>Vymenovanie a popísanie nevyčíslených spoločenských prínosov</t>
  </si>
  <si>
    <t>Zdroje Financovania</t>
  </si>
  <si>
    <t>Rozdelenie zdrojov financovania jendotlivých nákladových položiek projektu</t>
  </si>
  <si>
    <t>Doplnenie % rozdelenia zdrojov</t>
  </si>
  <si>
    <t>CBA - Agendové IS</t>
  </si>
  <si>
    <t>Výsledky CBA na agregátnej úrovni, výpočet BCR</t>
  </si>
  <si>
    <t>Žiadne</t>
  </si>
  <si>
    <t>Výdavky - Agendové IS</t>
  </si>
  <si>
    <t>Automatický výpočet citlivosti výsledkov CBA na zmeny parametrov</t>
  </si>
  <si>
    <t>Parametre - Agendové IS</t>
  </si>
  <si>
    <t>Vstupné parametre pre jednotlivé moduly/životné situácie: počty podaní, trvania času</t>
  </si>
  <si>
    <t>MODULY_CBA</t>
  </si>
  <si>
    <t>Relevantné moduly, ktoré budú v rámci projektu realizované</t>
  </si>
  <si>
    <t>INKREMENTY</t>
  </si>
  <si>
    <t>Definované inkrementy, v ktorých budú realizované čiastkové dodávky</t>
  </si>
  <si>
    <t>KATALOG_POZIADAVKY</t>
  </si>
  <si>
    <t>Detailne definované požiadavky projektu</t>
  </si>
  <si>
    <t>TCF_v02</t>
  </si>
  <si>
    <t>Komplexný technický faktor pre projekt v zmysle metodiky UCP</t>
  </si>
  <si>
    <t>ECF_v02</t>
  </si>
  <si>
    <t>Komplexný environmentálny faktor pre projekt v zmysle metodiky UCP</t>
  </si>
  <si>
    <t>UAW_v02</t>
  </si>
  <si>
    <t>Definované pozície a role, ktoré budú projektom dotknuté</t>
  </si>
  <si>
    <t>AKTIVITY_POZICIE</t>
  </si>
  <si>
    <t>Detailné rozdelenie rozpočtu projektu na externé pozície a ich miera zapojenia v aktivitách</t>
  </si>
  <si>
    <t>POZICIE_INTERNE</t>
  </si>
  <si>
    <t>Detailné definovanie potreby interných kapacít a ich rozdelenie v aktivitách</t>
  </si>
  <si>
    <t>Rozpocet - Vyvoj aplikacii</t>
  </si>
  <si>
    <t>Detailný rozpočet pre vývoj navrhovaného riešenia (TO BE)</t>
  </si>
  <si>
    <t>Rozpocet - HW a licencie</t>
  </si>
  <si>
    <t>Položkový rozpočet pre nákup licencií a HW (TO BE)</t>
  </si>
  <si>
    <t>Harmonogram</t>
  </si>
  <si>
    <t>Rámcový harmonogram pre jednotlivé moduly a ich dodávku</t>
  </si>
  <si>
    <t>TCO</t>
  </si>
  <si>
    <t>Zhrnutie celkových nákladov na vlastníctvo oboch alternatív projektu</t>
  </si>
  <si>
    <t>TCO AS IS - SW</t>
  </si>
  <si>
    <t xml:space="preserve">Náklady na vlastníctvo softvéru alternatívy 1 (AS IS) </t>
  </si>
  <si>
    <t>TCO AS IS - HW</t>
  </si>
  <si>
    <t xml:space="preserve">Náklady na vlastníctvo hardvéru alternatívy 1 (AS IS) </t>
  </si>
  <si>
    <t>TCO TO BE - SW</t>
  </si>
  <si>
    <t xml:space="preserve">Náklady na vlastníctvo softvéru alternatívy 2 (TO BE) </t>
  </si>
  <si>
    <t>TCO TO BE - HW</t>
  </si>
  <si>
    <t>Náklady na vlastníctvo hardvéru alternatívy 2 (TO BE)</t>
  </si>
  <si>
    <t>Faktory</t>
  </si>
  <si>
    <t>Spoločné vstupné parametre pre ocenenie prínosov a výpočet CBA</t>
  </si>
  <si>
    <t>Aktuálne priemerné mzdy v hospodárstve podľa ŠÚ SR, rok začiatku projektu</t>
  </si>
  <si>
    <t>Prínosy agendové</t>
  </si>
  <si>
    <t>Výpočet prínosov projektu na základe vstupných parametrov</t>
  </si>
  <si>
    <t>Polia "Ostatné daňové a nedaňové príjmy" (ak projekt také generuje)</t>
  </si>
  <si>
    <t>Procesné mapy</t>
  </si>
  <si>
    <t>Procesné mapy súčasného a budúceho stavu biznis procesov.</t>
  </si>
  <si>
    <t>Procesné mapy ako obrázky.</t>
  </si>
  <si>
    <t>Procesy AS IS</t>
  </si>
  <si>
    <t xml:space="preserve">Zdroj dát pre odhad časovej náročnosti súčasných procesov. </t>
  </si>
  <si>
    <t>Relevantné merania podľa procesov a procesných krokov.</t>
  </si>
  <si>
    <t>Procesy TO BE</t>
  </si>
  <si>
    <t xml:space="preserve">Zdroj dát pre odhad časovej náročnosti budúcich procesov. </t>
  </si>
  <si>
    <t>Analýza citlivosti</t>
  </si>
  <si>
    <t>TO BE - AS IS (€, SUM)</t>
  </si>
  <si>
    <t>TO BE - AS IS (€, NPV)</t>
  </si>
  <si>
    <t>Spolu</t>
  </si>
  <si>
    <t>Náklady s DPH</t>
  </si>
  <si>
    <t>Všeobecný materiál</t>
  </si>
  <si>
    <t>IT - CAPEX</t>
  </si>
  <si>
    <t>Aplikácie</t>
  </si>
  <si>
    <t>SW</t>
  </si>
  <si>
    <t>HW</t>
  </si>
  <si>
    <t>IT - OPEX</t>
  </si>
  <si>
    <t>Riadenie projektu</t>
  </si>
  <si>
    <t>Výstupné náklady</t>
  </si>
  <si>
    <t>Prínosy</t>
  </si>
  <si>
    <t>Finančné prínosy</t>
  </si>
  <si>
    <t>Administratívne poplatky</t>
  </si>
  <si>
    <t>Ostatné daňové a nedaňové príjmy</t>
  </si>
  <si>
    <t>Ekonomické prínosy</t>
  </si>
  <si>
    <t>Občania (€)</t>
  </si>
  <si>
    <t xml:space="preserve">Úradníci (€) </t>
  </si>
  <si>
    <t>Úradníci (FTE)</t>
  </si>
  <si>
    <t>N/A</t>
  </si>
  <si>
    <t>Kvalitatívne prínosy</t>
  </si>
  <si>
    <t>Nevyčíslené spoločenské prínosy</t>
  </si>
  <si>
    <t>(prosíme doplniť)...</t>
  </si>
  <si>
    <t>...</t>
  </si>
  <si>
    <t>Typ aktivity</t>
  </si>
  <si>
    <t>Oblasť výdavku</t>
  </si>
  <si>
    <t>Suma</t>
  </si>
  <si>
    <t>OPEX / CAPEX</t>
  </si>
  <si>
    <t>Int / ext</t>
  </si>
  <si>
    <t>Zdroj finacovania - %</t>
  </si>
  <si>
    <t>Zdroje financovania - SUMA</t>
  </si>
  <si>
    <t>Rozpočtové opatrenie %</t>
  </si>
  <si>
    <t>Suma %</t>
  </si>
  <si>
    <t>Vlastné OPEX</t>
  </si>
  <si>
    <t>Vlastné CAPEX</t>
  </si>
  <si>
    <t>ESIF OPEX</t>
  </si>
  <si>
    <t>ESIF CAPEX</t>
  </si>
  <si>
    <t>POO OPEX</t>
  </si>
  <si>
    <t>POO CAPEX</t>
  </si>
  <si>
    <t>Z toho rozpočtové opatrenie</t>
  </si>
  <si>
    <t>Hlavné etapy</t>
  </si>
  <si>
    <t>Vývoj aplikácií</t>
  </si>
  <si>
    <t>OPEX</t>
  </si>
  <si>
    <t>Externé</t>
  </si>
  <si>
    <t>CAPEX</t>
  </si>
  <si>
    <t>Interné</t>
  </si>
  <si>
    <t>Nákup HW a SW</t>
  </si>
  <si>
    <t>Prevádzka</t>
  </si>
  <si>
    <t>HW a SW</t>
  </si>
  <si>
    <t>Podporné oblasti</t>
  </si>
  <si>
    <t>Projekový manažment</t>
  </si>
  <si>
    <t>Publicita</t>
  </si>
  <si>
    <t>Ostatné výdavky</t>
  </si>
  <si>
    <t>Ostatné zmiešané výdavky</t>
  </si>
  <si>
    <t>SPOLU</t>
  </si>
  <si>
    <t xml:space="preserve"> - </t>
  </si>
  <si>
    <t>Cashflow projektu</t>
  </si>
  <si>
    <t>Čistá súčasná hodnota z projektu</t>
  </si>
  <si>
    <t>Finančný cashflow (s DPH)</t>
  </si>
  <si>
    <t>Ekonomický cashflow (bez DPH)</t>
  </si>
  <si>
    <t>koeficient obdobia</t>
  </si>
  <si>
    <t>Finančná (FNPV)</t>
  </si>
  <si>
    <t>Ekonomická (ENPV)</t>
  </si>
  <si>
    <t>Kumulovaná diskont. návratnosť ENPV</t>
  </si>
  <si>
    <t>Obdobie</t>
  </si>
  <si>
    <t>AS IS</t>
  </si>
  <si>
    <t>TO BE</t>
  </si>
  <si>
    <t>rozdiel</t>
  </si>
  <si>
    <t>t1</t>
  </si>
  <si>
    <t>t2</t>
  </si>
  <si>
    <t>t3</t>
  </si>
  <si>
    <t>t4</t>
  </si>
  <si>
    <t>t5</t>
  </si>
  <si>
    <t>t6</t>
  </si>
  <si>
    <t>t7</t>
  </si>
  <si>
    <t>t8</t>
  </si>
  <si>
    <t>t9</t>
  </si>
  <si>
    <t>t10</t>
  </si>
  <si>
    <t>Výsledok CBA</t>
  </si>
  <si>
    <t>Výsledná hodnota</t>
  </si>
  <si>
    <t>Minimálna hodnota</t>
  </si>
  <si>
    <t>BCR</t>
  </si>
  <si>
    <t>pomer prínosov a nákladov</t>
  </si>
  <si>
    <t>FIRR</t>
  </si>
  <si>
    <t>finančná vnútorná výnosová miera (%)</t>
  </si>
  <si>
    <t>-</t>
  </si>
  <si>
    <t>EIRR</t>
  </si>
  <si>
    <t>ekonomická vnútorná výnosová miera (%)</t>
  </si>
  <si>
    <t>FNPV</t>
  </si>
  <si>
    <t>finančná čistá súčasná hodnota (eur s DPH)</t>
  </si>
  <si>
    <t>ENPV</t>
  </si>
  <si>
    <t>ekonomická čistá súčasná hodnota (eur bez DPH)</t>
  </si>
  <si>
    <t>Náklady IT systém</t>
  </si>
  <si>
    <t>Variabilné výdavky</t>
  </si>
  <si>
    <t>Výdavky spolu</t>
  </si>
  <si>
    <t>SW a Aplikácie - Výstupné náklady</t>
  </si>
  <si>
    <t>Rok</t>
  </si>
  <si>
    <t>NPV</t>
  </si>
  <si>
    <t>Všetky výdavkové položky sú automaticky vypočítané na základe údajov uvedených v záložkách TCO a Parametre - Agendové IS</t>
  </si>
  <si>
    <t>Priame prínosy</t>
  </si>
  <si>
    <t>Nepriame prínosy</t>
  </si>
  <si>
    <t>Prínosy spolu</t>
  </si>
  <si>
    <t>Ušetrené náklady IT a náklady na materiál</t>
  </si>
  <si>
    <t>Cena ušetreného času používateľa</t>
  </si>
  <si>
    <t>Kvalitatívne prínosy vo finančnom vyjadrení</t>
  </si>
  <si>
    <t>Cena ušetreného času úradníka</t>
  </si>
  <si>
    <t>Materiál</t>
  </si>
  <si>
    <t>Všetky prínosové položky sú automaticky vypočítané na základe údajov uvedených v záložkách TCO, spotrebované cloudové služby a Parametre - Agendové IS</t>
  </si>
  <si>
    <t>MODULY</t>
  </si>
  <si>
    <t>Koncová služba</t>
  </si>
  <si>
    <t>Parameter</t>
  </si>
  <si>
    <t>Jednotka</t>
  </si>
  <si>
    <t>Rozdiel</t>
  </si>
  <si>
    <t>Počet podaní / volaní</t>
  </si>
  <si>
    <t>počet / rok</t>
  </si>
  <si>
    <r>
      <t xml:space="preserve">Materiálové náklady na 1 podanie </t>
    </r>
    <r>
      <rPr>
        <i/>
        <sz val="11"/>
        <color theme="1"/>
        <rFont val="Calibri"/>
        <family val="2"/>
        <charset val="238"/>
        <scheme val="minor"/>
      </rPr>
      <t xml:space="preserve">(napr. Poštovné (0,83 EUR)+Tlač (0,02 EUR)+Papier (0,01 EUR)+Obálka (0,03 EUR). Zhotoviteľ štúdie doplní skutočné náklady)
</t>
    </r>
  </si>
  <si>
    <t>EUR</t>
  </si>
  <si>
    <t>Výška administratívneho poplatku</t>
  </si>
  <si>
    <t>Trvanie spracovania podania (ušetrený čas pracovníka KOOÚ)</t>
  </si>
  <si>
    <t>človeko-hod.</t>
  </si>
  <si>
    <t>Čas potrebný na vypracovanie a doručenie podania (ušetrený čas občana/podnikateľa - verejnosti)</t>
  </si>
  <si>
    <t>hod.</t>
  </si>
  <si>
    <t>Cena ušetreného času pracovníka KOOÚ</t>
  </si>
  <si>
    <t>FTE pracovníkov KOOÚ</t>
  </si>
  <si>
    <t>FTE</t>
  </si>
  <si>
    <t>Cena ušetreného času občana/podnikateľa - verejnosti
(S pravidlom polovice)</t>
  </si>
  <si>
    <t>Materiálové náklady</t>
  </si>
  <si>
    <t>Administrtívny poplatok</t>
  </si>
  <si>
    <t>#</t>
  </si>
  <si>
    <t>Moduly</t>
  </si>
  <si>
    <t>TCF</t>
  </si>
  <si>
    <t>ECF</t>
  </si>
  <si>
    <t>UAW</t>
  </si>
  <si>
    <t>PF</t>
  </si>
  <si>
    <t>Inkrement</t>
  </si>
  <si>
    <t>Rok dodania</t>
  </si>
  <si>
    <t># roku</t>
  </si>
  <si>
    <t>Počet MDs z UCP</t>
  </si>
  <si>
    <t>Aplikačná podpora</t>
  </si>
  <si>
    <t>Rozvoj</t>
  </si>
  <si>
    <t>Supporty</t>
  </si>
  <si>
    <t>Rok začatia supportu / prevádzky</t>
  </si>
  <si>
    <t>Počet MDs z rozpočtu</t>
  </si>
  <si>
    <t>MOD_01</t>
  </si>
  <si>
    <t>Grafické rozhranie agendového systému -  správa podaní a konaní</t>
  </si>
  <si>
    <t>Inkrement 2</t>
  </si>
  <si>
    <t>MOD_02</t>
  </si>
  <si>
    <t>Grafické rozhranie agendového systému - poskytovanie udajov a platby</t>
  </si>
  <si>
    <t>Inkrement 3</t>
  </si>
  <si>
    <t>MOD_03</t>
  </si>
  <si>
    <t>Grafické rozhranie agendového systému - správa údajov katastra</t>
  </si>
  <si>
    <t>Inkrement 1</t>
  </si>
  <si>
    <t>MOD_04</t>
  </si>
  <si>
    <t>Integračné služby - poskytovanie udajov a platby</t>
  </si>
  <si>
    <t>MOD_05</t>
  </si>
  <si>
    <t xml:space="preserve">Integračné služby - správa podaní a konaní </t>
  </si>
  <si>
    <t>MOD_06</t>
  </si>
  <si>
    <t>Integračné služby - správa údajov katastra</t>
  </si>
  <si>
    <t>MOD_07</t>
  </si>
  <si>
    <t xml:space="preserve">Registratúrne stredisko - Platby </t>
  </si>
  <si>
    <t>MOD_08</t>
  </si>
  <si>
    <t>Registratúrne stredisko - Podania a konania</t>
  </si>
  <si>
    <t>MOD_09</t>
  </si>
  <si>
    <t xml:space="preserve">Registratúrne stredisko - Poskytovanie údajov  </t>
  </si>
  <si>
    <t>MOD_10</t>
  </si>
  <si>
    <t>Stredisko katastrálneho operátu</t>
  </si>
  <si>
    <t>MOD_11</t>
  </si>
  <si>
    <t>Stredisko podporných služieb - poskytovanie udajov a platby</t>
  </si>
  <si>
    <t>MOD_12</t>
  </si>
  <si>
    <t>Stredisko podporných služieb - správa podaní a konaní</t>
  </si>
  <si>
    <t>MOD_13</t>
  </si>
  <si>
    <t>Stredisko podporných služieb - správa údajov katastra</t>
  </si>
  <si>
    <t>MOD_14</t>
  </si>
  <si>
    <t>Grafické rozhranie agendového systému -  prototypové data</t>
  </si>
  <si>
    <t>MOD_15</t>
  </si>
  <si>
    <t>MOD_16</t>
  </si>
  <si>
    <t>MOD_17</t>
  </si>
  <si>
    <t>Technologické vybavenie</t>
  </si>
  <si>
    <t>MOD_18</t>
  </si>
  <si>
    <t>Aplikačno-platformové vybavenie</t>
  </si>
  <si>
    <t>MOD_19</t>
  </si>
  <si>
    <t>Dokumentácia riešenia</t>
  </si>
  <si>
    <t>MOD_20</t>
  </si>
  <si>
    <t>ISKN 2.0</t>
  </si>
  <si>
    <t>MOD_21</t>
  </si>
  <si>
    <t>Hodnota</t>
  </si>
  <si>
    <t>T1</t>
  </si>
  <si>
    <t>Aplikácia ignoruje akýkoľvek aspekt súvisiaci s distribuovaným spracovaním.</t>
  </si>
  <si>
    <t>Aplikácia generuje údaje, ktoré spracujú iné počítače s ľudským zásahom (napríklad tabuľky alebo predformátované súbory odoslané médiom alebo e-mailom).</t>
  </si>
  <si>
    <t>Údaje aplikácie sa pripravujú a automaticky prenášajú na spracovanie do iných počítačov.</t>
  </si>
  <si>
    <t>Aplikačné spracovanie je distribuované a údaje sa prenášajú iba jedným smerom.</t>
  </si>
  <si>
    <t>Aplikačné spracovanie je distribuované a údaje sa prenášajú oboma smermi.</t>
  </si>
  <si>
    <t>Aplikačné procesy musia byť vykonávané v najvhodnejšom procesore alebo počítači, ktorý je dynamicky určený.</t>
  </si>
  <si>
    <t>T2</t>
  </si>
  <si>
    <t>Klient nezadefinoval žiadne špeciálne požiadavky na výkon.</t>
  </si>
  <si>
    <t>Požiadavky na výkon boli stanovené a revidované, nie je však potrebné prijímať nijaké zvláštne opatrenia.</t>
  </si>
  <si>
    <t>Čas odozvy a prenosové rýchlosti sú kritické počas špičkových hodín. Nie je potrebný žiadny špeciálny dizajn pre použitie jadra procesora. Termín pre väčšinu procesov je nasledujúci deň.</t>
  </si>
  <si>
    <t>Čas odozvy a prenosové rýchlosti sú kritické počas komerčných hodín. Nie je potrebný žiadny špeciálny dizajn pre použitie jadra procesora. Požiadavky týkajúce sa lehôt na komunikáciu s prepojenými systémami sú obmedzujúce.</t>
  </si>
  <si>
    <t>Čas odozvy a prenosové rýchlosti sú kritické počas komerčných hodín. Nie je potrebný žiadny špeciálny dizajn pre použitie jadra procesora. Požiadavky týkajúce sa lehôt na komunikáciu s prepojenými systémami sú obmedzujúce. 
Zároveň sú výkonnostné požiadavky dostatočne obmedzujúce na to, aby sa pri ich návrhu vyžadovali úlohy spojené s analýzou výkonu.</t>
  </si>
  <si>
    <t>Čas odozvy a prenosové rýchlosti sú kritické počas komerčných hodín. Nie je potrebný žiadny špeciálny dizajn pre použitie jadra procesora. Požiadavky týkajúce sa lehôt na komunikáciu s prepojenými systémami sú obmedzujúce. 
Pričom výkonnostné požiadavky sú dostatočne obmedzujúce na to, aby sa pri ich návrhu vyžadovali úlohy spojené s analýzou výkonu.
Zároveň  musia byť počas návrhu, vývoja a / alebo implementácie použité nástroje na analýzu výkonu, aby boli splnené výkonnostné požiadavky klienta.</t>
  </si>
  <si>
    <t>T3</t>
  </si>
  <si>
    <t>Aplikácia nepotrebuje žiadnu špeciálne požiadavky na efektivitu koncového užívateľa.</t>
  </si>
  <si>
    <t>Aplikácia vyžaduje 1 až 3 z nižšie uvedených položiek: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</si>
  <si>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Aplikácia vyžaduje 4 až 5 z nižšie uvedených položiek: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</si>
  <si>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Aplikácia vyžaduje 6 alebo viac z nižšie uvedených položiek, neexistujú však žiadne požiadavky týkajúce sa efektívnosti používateľov.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</si>
  <si>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Aplikácia vyžaduje 6 alebo viac z nižšie uvedených položiek a požiadavky na efektivitu používateľa sú také silné, že dizajn musí obsahovať funkcie na minimalizáciu písania, maximalizáciu predvolených nastavení, použitie šablón atď.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</si>
  <si>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Aplikácia vyžaduje 6 alebo viac z týchto položiek nižšie a požiadavky na efektivitu používateľa sú také silné, že návrhové činnosti musia obsahovať nástroje a špeciálne procesy, ktoré preukazujú splnenie výkonnostných cieľov.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</si>
  <si>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T4</t>
  </si>
  <si>
    <t>Nie sú potrebné žiadne špeciálne požiadavky</t>
  </si>
  <si>
    <t>Z možností uvedených nižsie je potrebná 1: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</si>
  <si>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Z možností uvedených nižsie sú potrebné 2: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</si>
  <si>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Z možností uvedených nižsie sú potrebné 3: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</si>
  <si>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Z možností uvedených nižsie sú potrebné 4: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</si>
  <si>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Z možností uvedených nižsie je potrebných 5: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</si>
  <si>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T5</t>
  </si>
  <si>
    <t>Neexistujú obavy z výroby opakovane použiteľného kódu.</t>
  </si>
  <si>
    <t>Generuje sa opakovane použiteľný kód na použitie v rámci toho istého projektu.</t>
  </si>
  <si>
    <t>Menej ako 10% aplikácie musí brať do úvahy viac, ako potrebuje používateľ.</t>
  </si>
  <si>
    <t>10% alebo viac aplikácie musí brať do úvahy viac, ako potrebuje používateľ.</t>
  </si>
  <si>
    <t>Aplikácia musí byť špeciálne zabalená a / alebo zdokumentovaná, aby sa uľahčilo jej opätovné použitie, a musí byť prispôsobená používateľom na úrovni zdrojového kódu.</t>
  </si>
  <si>
    <t>Aplikácia musí byť špeciálne zabalená a / alebo zdokumentovaná, aby sa uľahčilo jej opätovné použitie, a musí byť prispôsobená používateľom pomocou parametrov.</t>
  </si>
  <si>
    <t>T6</t>
  </si>
  <si>
    <t>Klient nezadal nijaké zvláštne ohľady a na inštaláciu nie je potrebné žiadne špeciálne nastavenie.</t>
  </si>
  <si>
    <t>Klient nezaviedol nijaké zvláštne požiadavky, ale na inštaláciu je potrebné špeciálne nastavenie.</t>
  </si>
  <si>
    <t>Musia byť poskytnuté a otestované požiadavky stanovené klientom na prevod a inštaláciu údajov a príručky na prevod a inštaláciu. Dopad konverzie v projekte sa nepovažuje za dôležitý</t>
  </si>
  <si>
    <t>Musia byť poskytnuté a otestované požiadavky stanovené klientom na prevod a inštaláciu údajov a príručky na prevod a inštaláciu. Dopad konverzie na projekt je značný.</t>
  </si>
  <si>
    <t>Musia byť poskytnuté a otestované požiadavky stanovené klientom na prevod a inštaláciu údajov a príručky na prevod a inštaláciu. Dopad konverzie v projekte sa nepovažuje za dôležitý.
Zároveň musia byť poskytnuté a vyskúšané nástroje na automatickú konverziu a inštaláciu.</t>
  </si>
  <si>
    <t>Musia byť poskytnuté a otestované požiadavky stanovené klientom na prevod a inštaláciu údajov a príručky na prevod a inštaláciu. Dopad konverzie na projekt je značný.
Zároveň musia byť poskytnuté a vyskúšané nástroje na automatickú konverziu a inštaláciu.</t>
  </si>
  <si>
    <t>T7</t>
  </si>
  <si>
    <t>Užívateľ neurčil okrem bežného zálohovania žiadne špeciálne požiadavky na fungovanie systému</t>
  </si>
  <si>
    <t>Pre systém platí 1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t>
  </si>
  <si>
    <t>Pre systém platia 2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t>
  </si>
  <si>
    <t>Pre systém platia 3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t>
  </si>
  <si>
    <t>Pre systém platia 4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t>
  </si>
  <si>
    <t>Aplikácia je navrhnutá tak, aby fungovala bez dozoru.</t>
  </si>
  <si>
    <t>T8</t>
  </si>
  <si>
    <t>Neexistuje žiadna požiadavka používateľa, aby sa zvážila potreba inštalácie aplikácie na viac ako jednu platformu</t>
  </si>
  <si>
    <t>Návrh musí brať do úvahy potrebu fungovania systému na rôznych platformách, ale aplikácia musí byť navrhnutá tak, aby fungovala iba v identických hardvérových a softvérových prostrediach.</t>
  </si>
  <si>
    <t>Návrh musí zohľadňovať potrebu systému pracovať na rôznych platformách, ale aplikácia musí byť navrhnutá tak, aby fungovala iba v podobných hardvérových a softvérových prostrediach.</t>
  </si>
  <si>
    <t>Návrh musí brať do úvahy potrebu systému pracovať na rôznych platformách, ale aplikácia musí byť navrhnutá tak, aby fungovala v heterogénnych hardvérových a softvérových prostrediach.</t>
  </si>
  <si>
    <t>Návrh musí:
 - brať do úvahy potrebu fungovania systému na rôznych platformách, ale aplikácia musí byť navrhnutá tak, aby fungovala iba v identických hardvérových a softvérových prostrediach.
Zároveň musí byť vypracovaná a otestovaná dokumentácia a plán údržby na podporu prevádzky na viacerých platformách
 - ALEBO zohľadňovať potrebu systému pracovať na rôznych platformách, ale aplikácia musí byť navrhnutá tak, aby fungovala iba v podobných hardvérových a softvérových prostrediach
Zároveň 2 musí byť vypracovaná a otestovaná dokumentácia a plán údržby na podporu prevádzky na viacerých platformách</t>
  </si>
  <si>
    <t>Návrh musí brať do úvahy potrebu systému pracovať na rôznych platformách, ale aplikácia musí byť navrhnutá tak, aby fungovala v heterogénnych hardvérových a softvérových prostrediach.
Zároveň je je potrebné vypracovať a otestovať plán dokumentácie a údržby na podporu prevádzky na viacerých platformách.</t>
  </si>
  <si>
    <t>T9</t>
  </si>
  <si>
    <t>Z nasledovných možností musí byť splnená 1: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</si>
  <si>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Z nasledovných možností musia byť splnené 2: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</si>
  <si>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Z nasledovných možností musia byť splnené 3: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</si>
  <si>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Z nasledovných možností musia byť splnené 4: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</si>
  <si>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Z nasledovných možností musia byť splnených 5 alebo viac: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</si>
  <si>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T10</t>
  </si>
  <si>
    <t>Neočakáva sa žiadny súbežný prístup k údajom</t>
  </si>
  <si>
    <t>Niekedy sa očakáva súbežný prístup k údajom</t>
  </si>
  <si>
    <t>Súčasný prístup k údajom sa očakáva často</t>
  </si>
  <si>
    <t>Súčasný prístup k údajom sa očakáva neustále</t>
  </si>
  <si>
    <t>Súčasný prístup k údajom sa očakáva neustále a zároveň, si táto situácia vynúti úlohy analýzy výkonu a zablokovanie riešenia počas návrhu</t>
  </si>
  <si>
    <t>Súčasný prístup k údajom sa očakáva neustále a zároveň, si táto situácia vynúti úlohy analýzy výkonu a zablokovanie riešenia počas návrhu.
Pričom budú potrebné na kontrolu prístupu aj špeciálne nástroje.</t>
  </si>
  <si>
    <t>T11</t>
  </si>
  <si>
    <t>Neexistujú žiadne špeciálne požiadavky týkajúce sa bezpečnosti.</t>
  </si>
  <si>
    <t>Pri návrhu sa musí brať do úvahy potreba bezpečnosti.</t>
  </si>
  <si>
    <t>Pri návrhu sa musí brať do úvahy potreba bezpečnosti.
Aplikácia musí byť navrhnutá tak, aby k nej mali prístup iba autorizovaní používatelia.</t>
  </si>
  <si>
    <t>Pri návrhu sa musí brať do úvahy potreba bezpečnosti.
Aplikácia musí byť navrhnutá tak, aby k nej mali prístup iba autorizovaní používatelia.
Zároveň bude kontrolovaný a kontrolovaný prístup do systému</t>
  </si>
  <si>
    <t>Pri návrhu sa musí brať do úvahy potreba bezpečnosti.
Aplikácia musí byť navrhnutá tak, aby k nej mali prístup iba autorizovaní používatelia.
Zároveň bude kontrolovaný a kontrolovaný prístup do systému.
Rovnako bude potrebné vypracovať a otestovať bezpečnostný plán na podporu riadenia prístupu k aplikácii</t>
  </si>
  <si>
    <t>Pri návrhu sa musí brať do úvahy potreba bezpečnosti.
Aplikácia musí byť navrhnutá tak, aby k nej mali prístup iba autorizovaní používatelia.
Zároveň bude kontrolovaný a kontrolovaný prístup do systému.
Rovnako bude potrebné vypracovať a otestovať bezpečnostný plán na podporu riadenia prístupu k aplikácii ako aj vypracovať a otestovať bezpečnostný plán, ktorý podporí sluch.</t>
  </si>
  <si>
    <t>T12</t>
  </si>
  <si>
    <t>Na vývoj aplikácie sa vo veľkej miere použije vysoko spoľahlivý už existujúci kód.</t>
  </si>
  <si>
    <t>V malých častiach aplikácie sa použije vysoko spoľahlivý už existujúci kód.</t>
  </si>
  <si>
    <t>Pre aplikáciu sa vo veľkej miere použije predbežný kód, ktorý je nakoniec potrebné upraviť.</t>
  </si>
  <si>
    <t>Predbežný kód, ktorý je nakoniec potrebné upraviť, sa použije v malých častiach aplikácie.</t>
  </si>
  <si>
    <t>V aplikácii sa použije pôvodný kód, ktorý je potrebné opraviť alebo je mu ťažko porozumieť.</t>
  </si>
  <si>
    <t>V aplikácii sa nepoužije žiadny predtým existujúci kód alebo sa v aplikácii použije pochybný kód kvality</t>
  </si>
  <si>
    <t>T13</t>
  </si>
  <si>
    <t>Neexistujú žiadne špecifické požiadavky na školenie používateľov.</t>
  </si>
  <si>
    <t>Boli spomenuté konkrétne požiadavky na školenie používateľov.</t>
  </si>
  <si>
    <t>Existujú formálne špecifické požiadavky na školenie používateľov a aplikácia musí byť navrhnutá tak, aby uľahčila školenie.</t>
  </si>
  <si>
    <t>Existujú formálne špecifické požiadavky na školenie používateľov a aplikácia musí byť navrhnutá na podporu používateľov s rôznymi úrovňami školenia.</t>
  </si>
  <si>
    <t>Pre prechodnú fázu musí byť vypracovaný a vykonaný podrobný plán výcviku.</t>
  </si>
  <si>
    <t>Pre prechodnú fázu musí byť vypracovaný a vykonaný podrobný plán výcviku a používatelia sú geograficky rozdelení.</t>
  </si>
  <si>
    <t>E1</t>
  </si>
  <si>
    <t>Tím nemá skúsenosti s vývojovým procesom alebo nepoužíva žiadny proces.</t>
  </si>
  <si>
    <t>Tím má teoretické vedomosti o vývojovom procese, ale nemá skúsenosti.</t>
  </si>
  <si>
    <t>Niekoľko členov tímu už použilo postup v jednom projekte.</t>
  </si>
  <si>
    <t>Niekoľko členov tímu využilo postup vo viac ako jednom projekte.</t>
  </si>
  <si>
    <t>Až polovica tímu použila postup v mnohých projektoch.</t>
  </si>
  <si>
    <t>Viac ako polovica tímu použila postup v mnohých projektoch.</t>
  </si>
  <si>
    <t>E2</t>
  </si>
  <si>
    <t>Žiadny člen tímu nemá skúsenosti s projektmi v rovnakej oblasti.</t>
  </si>
  <si>
    <t>Niektorí členovia tímu majú 6 až 12 mesiacov skúseností s projektmi v rovnakej oblasti.</t>
  </si>
  <si>
    <t>Niektorí členovia tímu majú 12 až 18 mesiacov skúseností s projektmi v rovnakej oblasti.</t>
  </si>
  <si>
    <t>Väčšina členov tímu má 18 až 24 mesiacov skúseností s projektmi v rovnakej oblasti.</t>
  </si>
  <si>
    <t>Väčšina členov tímu má viac ako dvojročné skúsenosti v rovnakej oblasti.</t>
  </si>
  <si>
    <t>Všetci členovia tímu majú viac ako dvojročné skúsenosti v rovnakej oblasti.</t>
  </si>
  <si>
    <t>E3</t>
  </si>
  <si>
    <t>Tím nemá skúsenosti s objektovo orientovanými technikami.</t>
  </si>
  <si>
    <t>Všetci členovia tímu majú určité skúsenosti s objektovo orientovanými technikami (až do jedného roka).</t>
  </si>
  <si>
    <t>Väčšina členov tímu má 12 až 18 mesiacov skúseností s objektovo orientovanými technikami.</t>
  </si>
  <si>
    <t>Všetci členovia tímu majú 12 až 18 mesiacov skúseností alebo väčšina členov tímu má 18 až 24 mesiacov skúseností v oblasti objektovo orientovaných techník</t>
  </si>
  <si>
    <t>Väčšina členov tímu má viac ako dvojročné skúsenosti s objektovo orientovanými technikami.</t>
  </si>
  <si>
    <t>Všetci členovia tímu majú viac ako dvojročné skúsenosti s objektovo orientovanými technikami.</t>
  </si>
  <si>
    <t>E4</t>
  </si>
  <si>
    <t>Vedúci analytik nemá skúsenosti.</t>
  </si>
  <si>
    <t>Vedúci analytik má predchádzajúce skúsenosti s jedným podobným projektom.</t>
  </si>
  <si>
    <t>Vedúci analytik má asi rok skúseností s viac ako jedným podobným projektom</t>
  </si>
  <si>
    <t>Vedúci analytik má asi dvojročné skúsenosti s podobnými projektmi.</t>
  </si>
  <si>
    <t>Vedúci analytik má viac ako dvojročné skúsenosti s podobnými projektmi.</t>
  </si>
  <si>
    <t>Vedúci analytik má viac ako tri roky skúseností v rôznych projektoch.</t>
  </si>
  <si>
    <t>E5</t>
  </si>
  <si>
    <t>Tím nemá vôbec žiadnu motiváciu. Bez neustáleho dohľadu sa tím stáva neproduktívnym. Tím robí iba to, na čo sa prísne žiada.</t>
  </si>
  <si>
    <t>Tím má veľmi malú motiváciu. Na udržanie produktivity na prijateľnej úrovni je nevyhnutný stály dohľad.</t>
  </si>
  <si>
    <t>Tím má malú motiváciu. Na udržanie produktivity sú z času na čas potrebné zásahy manažmentu.</t>
  </si>
  <si>
    <t>Tím má určitú motiváciu. Tím má zvyčajne iniciatívu, ale na udržanie produktivity je stále nevyhnutný zásah manažmentu.</t>
  </si>
  <si>
    <t>Tím je dobre motivovaný. Tím zvyčajne riadi sám, ale existencia dohľadu je stále nevyhnutná, pretože bez neho je možné stratiť produktivitu</t>
  </si>
  <si>
    <t>Tím je vysoko motivovaný. Aj bez dozoru každý vie, čo treba urobiť, a tempo sa udržuje donekonečna.</t>
  </si>
  <si>
    <t>E6</t>
  </si>
  <si>
    <t>Neexistujú historické údaje o stabilite požiadaviek alebo v minulosti zlá analýza spôsobila veľké zmeny v požiadavkách po začiatku projektu</t>
  </si>
  <si>
    <t>Požiadavky boli v minulosti prevažne nestabilné. Klienti požiadali o veľa zmien spôsobených hlavne neúplnými alebo nesprávnymi požiadavkami</t>
  </si>
  <si>
    <t>Požiadavky boli v minulosti nestabilné. Klienti požiadali o zmeny spôsobené neúplnými alebo nesprávnymi požiadavkami.</t>
  </si>
  <si>
    <t>Požiadavky boli v minulosti pomerne stabilné. Klienti požiadali o zmeny sekundárnych funkcionalít s určitou pravidelnosťou. Zmeny hlavných funkcií boli žiadané zriedka.</t>
  </si>
  <si>
    <t>Požiadavky boli v minulosti väčšinou stabilné. Používatelia požadovali malé zmeny, najmä tie kozmetické. Zmeny hlavných alebo vedľajších funkcií boli neobvyklé.</t>
  </si>
  <si>
    <t>Požiadavky boli v minulosti úplne stabilné. Malé zmeny, ak nejaké boli, nemali žiadny vplyv na projekty</t>
  </si>
  <si>
    <t>E7</t>
  </si>
  <si>
    <t>Žiadny člen tímu nie je na čiastočný úväzok na projekte.</t>
  </si>
  <si>
    <t>Až 10% tímu je na čiastočný úväzok.</t>
  </si>
  <si>
    <t>Až 20% tímu je na čiastočný úväzok.</t>
  </si>
  <si>
    <t>Až 40% tímu je na čiastočný úväzok.</t>
  </si>
  <si>
    <t>Až 60% tímu je na čiastočný úväzok.</t>
  </si>
  <si>
    <t>Viac ako 60% tímu je na čiastočný úväzok.</t>
  </si>
  <si>
    <t>E8</t>
  </si>
  <si>
    <t>Všetci členovia tímu sú veľmi skúsení programátori.</t>
  </si>
  <si>
    <t>Väčšina členov tímu má minimálne dvojročné skúsenosti s programovaním.</t>
  </si>
  <si>
    <t>Všetci členovia tímu majú najmenej 18 mesiacov skúseností s programovaním.</t>
  </si>
  <si>
    <t>Väčšina členov tímu má najmenej 18 mesiacov skúseností s programovaním.</t>
  </si>
  <si>
    <t>Niekoľko členov tímu má skúsenosti s programovaním (nie viac ako jeden rok).</t>
  </si>
  <si>
    <t>Všetci členovia tímu sú neskúsení programátori.</t>
  </si>
  <si>
    <t># Inkrementu</t>
  </si>
  <si>
    <t>Začiatok</t>
  </si>
  <si>
    <t>Koniec</t>
  </si>
  <si>
    <t>Trvanie v mesiacoch</t>
  </si>
  <si>
    <t>Mesiacov od začiatku</t>
  </si>
  <si>
    <t>Inkrement 4</t>
  </si>
  <si>
    <t>Inkrement 5</t>
  </si>
  <si>
    <t>Inkrement 6</t>
  </si>
  <si>
    <t>Inkrement 7</t>
  </si>
  <si>
    <t>Inkrement 8</t>
  </si>
  <si>
    <t>Inkrement 9</t>
  </si>
  <si>
    <t>Inkrement 10</t>
  </si>
  <si>
    <t>Inkrement 11</t>
  </si>
  <si>
    <t>Inkrement 12</t>
  </si>
  <si>
    <t>Inkrement 13</t>
  </si>
  <si>
    <t>Inkrement 14</t>
  </si>
  <si>
    <t>Inkrement 15</t>
  </si>
  <si>
    <t>Inkrement 16</t>
  </si>
  <si>
    <t>Inkrement 17</t>
  </si>
  <si>
    <t>Inkrement 18</t>
  </si>
  <si>
    <t>Inkrement 19</t>
  </si>
  <si>
    <t>Inkrement 20</t>
  </si>
  <si>
    <r>
      <rPr>
        <b/>
        <sz val="10"/>
        <rFont val="Calibri Light"/>
        <family val="2"/>
        <scheme val="major"/>
      </rPr>
      <t>KROK 1)
INICIAČNÁ FÁZA</t>
    </r>
    <r>
      <rPr>
        <sz val="10"/>
        <rFont val="Calibri Light"/>
        <family val="2"/>
        <scheme val="major"/>
      </rPr>
      <t xml:space="preserve">
(obsah tvorí </t>
    </r>
    <r>
      <rPr>
        <b/>
        <sz val="10"/>
        <rFont val="Calibri Light"/>
        <family val="2"/>
        <scheme val="major"/>
      </rPr>
      <t>OBJEDNÁVATEĽ -</t>
    </r>
    <r>
      <rPr>
        <sz val="10"/>
        <rFont val="Calibri Light"/>
        <family val="2"/>
        <scheme val="major"/>
      </rPr>
      <t xml:space="preserve"> PRED spustením VO)</t>
    </r>
  </si>
  <si>
    <r>
      <t xml:space="preserve">KROK 2)
</t>
    </r>
    <r>
      <rPr>
        <sz val="10"/>
        <rFont val="Calibri Light"/>
        <family val="2"/>
        <scheme val="major"/>
      </rPr>
      <t>VEREJNÉ OBSTARÁVANIE</t>
    </r>
    <r>
      <rPr>
        <b/>
        <sz val="10"/>
        <rFont val="Calibri Light"/>
        <family val="2"/>
        <scheme val="major"/>
      </rPr>
      <t xml:space="preserve">
VYJADRENIE UCHÁDZAČA / ZÁUJEMCU
</t>
    </r>
    <r>
      <rPr>
        <sz val="10"/>
        <rFont val="Calibri Light"/>
        <family val="2"/>
        <scheme val="major"/>
      </rPr>
      <t xml:space="preserve">(PROCES VO - odpovede </t>
    </r>
    <r>
      <rPr>
        <b/>
        <sz val="10"/>
        <rFont val="Calibri Light"/>
        <family val="2"/>
        <scheme val="major"/>
      </rPr>
      <t>UCHÁDZAČA</t>
    </r>
    <r>
      <rPr>
        <sz val="10"/>
        <rFont val="Calibri Light"/>
        <family val="2"/>
        <scheme val="major"/>
      </rPr>
      <t xml:space="preserve"> - potrebné vyplniť za každú požiadavku)</t>
    </r>
  </si>
  <si>
    <r>
      <t xml:space="preserve">KROK 3) 
REALIZAČNÁ FÁZA
</t>
    </r>
    <r>
      <rPr>
        <sz val="10"/>
        <rFont val="Calibri Light"/>
        <family val="2"/>
        <scheme val="major"/>
      </rPr>
      <t xml:space="preserve">(obsah tvorí </t>
    </r>
    <r>
      <rPr>
        <b/>
        <sz val="10"/>
        <rFont val="Calibri Light"/>
        <family val="2"/>
        <scheme val="major"/>
      </rPr>
      <t>DODÁVATEĽ</t>
    </r>
    <r>
      <rPr>
        <sz val="10"/>
        <rFont val="Calibri Light"/>
        <family val="2"/>
        <scheme val="major"/>
      </rPr>
      <t xml:space="preserve"> - po dokončení VO a podpise Zmluvy)</t>
    </r>
  </si>
  <si>
    <r>
      <t xml:space="preserve">KROK 4)
OVERENIE DODANIA
</t>
    </r>
    <r>
      <rPr>
        <sz val="10"/>
        <rFont val="Calibri Light"/>
        <family val="2"/>
        <scheme val="major"/>
      </rPr>
      <t>OBJEDNÁVATEĽOM</t>
    </r>
  </si>
  <si>
    <r>
      <t xml:space="preserve">ID 
POŽIADAVKY
</t>
    </r>
    <r>
      <rPr>
        <sz val="10"/>
        <rFont val="Calibri Light"/>
        <family val="2"/>
        <scheme val="major"/>
      </rPr>
      <t>(zvoľte si konvenciu označovania)</t>
    </r>
  </si>
  <si>
    <r>
      <t xml:space="preserve">KATEGÓRIA POŽIADAVKY
</t>
    </r>
    <r>
      <rPr>
        <sz val="10"/>
        <rFont val="Calibri Light"/>
        <family val="2"/>
        <scheme val="major"/>
      </rPr>
      <t>_funkčná požiadavka
_nefunkčná požiadavka
_technická požiadavka</t>
    </r>
  </si>
  <si>
    <t>OBLASŤ POŽIADAVKY</t>
  </si>
  <si>
    <t>NÁZOV
POŽIADAVKY</t>
  </si>
  <si>
    <t>DETAILNÝ POPIS POŽIADAVKY</t>
  </si>
  <si>
    <t>VLASTNÍK 
POŽIADAVKY</t>
  </si>
  <si>
    <r>
      <t xml:space="preserve">NÁZOV MODULU
</t>
    </r>
    <r>
      <rPr>
        <sz val="10"/>
        <rFont val="Calibri Light"/>
        <family val="2"/>
        <scheme val="major"/>
      </rPr>
      <t>(príslušnosť požiadavky k modulu)</t>
    </r>
  </si>
  <si>
    <t>POČET PRÍSTUPOVÝCH KANÁLOV / POCET UC</t>
  </si>
  <si>
    <t>ZLOŽITOSŤ POŽIADAVKY</t>
  </si>
  <si>
    <t>POCET UC</t>
  </si>
  <si>
    <t>VÝSLEDOK ZLOŽITOSTI</t>
  </si>
  <si>
    <t>UCP</t>
  </si>
  <si>
    <t>ODHADNUTÁ PRÁCNOSŤ</t>
  </si>
  <si>
    <t>ČÍSLO
INKREMENTU</t>
  </si>
  <si>
    <t>ZÁVISLOSŤ
RIZIKO
EXTERNÁ INTEGRÁCIA</t>
  </si>
  <si>
    <r>
      <t xml:space="preserve">POZNÁMKA
</t>
    </r>
    <r>
      <rPr>
        <sz val="10"/>
        <rFont val="Calibri Light"/>
        <family val="2"/>
        <scheme val="major"/>
      </rPr>
      <t>(napr. legislatívne východiská)</t>
    </r>
  </si>
  <si>
    <r>
      <t>Odpoveď UCHÁDZAČA 
v procese VO</t>
    </r>
    <r>
      <rPr>
        <b/>
        <sz val="10"/>
        <rFont val="Tahoma"/>
        <family val="2"/>
      </rPr>
      <t/>
    </r>
  </si>
  <si>
    <t>Kde je vo Vašej PONUKE popísané riešenie ?</t>
  </si>
  <si>
    <r>
      <t>Poznámka</t>
    </r>
    <r>
      <rPr>
        <sz val="10"/>
        <rFont val="Calibri Light"/>
        <family val="2"/>
        <scheme val="major"/>
      </rPr>
      <t xml:space="preserve">
(doplňujúci popis; príp. ODKAZ na popis v ponuke)</t>
    </r>
  </si>
  <si>
    <t>ID návrhu riešenia z 
detailný návrh riešenia (DNR)</t>
  </si>
  <si>
    <r>
      <t xml:space="preserve">SPôSOB DODANIA
</t>
    </r>
    <r>
      <rPr>
        <sz val="10"/>
        <rFont val="Calibri Light"/>
        <family val="2"/>
        <scheme val="major"/>
      </rPr>
      <t xml:space="preserve"> (implementácia dodávateľom)</t>
    </r>
  </si>
  <si>
    <t>Identifikácia
USE CASE</t>
  </si>
  <si>
    <t>Identifikácia 
TEST CASE</t>
  </si>
  <si>
    <r>
      <t xml:space="preserve">Použité 
TESTOVACIE DÁTA
</t>
    </r>
    <r>
      <rPr>
        <sz val="10"/>
        <rFont val="Calibri Light"/>
        <family val="2"/>
        <scheme val="major"/>
      </rPr>
      <t>pri teste</t>
    </r>
  </si>
  <si>
    <r>
      <t xml:space="preserve">Použité 
PROSTREDIE
</t>
    </r>
    <r>
      <rPr>
        <sz val="10"/>
        <rFont val="Calibri Light"/>
        <family val="2"/>
        <scheme val="major"/>
      </rPr>
      <t>pre test
(overenie funkčnosti)</t>
    </r>
  </si>
  <si>
    <t>SPÔSOB OVERENIA
ODBERATEĽOM</t>
  </si>
  <si>
    <r>
      <t xml:space="preserve">VÝSLEDKY TESTOV
</t>
    </r>
    <r>
      <rPr>
        <sz val="10"/>
        <rFont val="Calibri Light"/>
        <family val="2"/>
        <scheme val="major"/>
      </rPr>
      <t>(status)</t>
    </r>
  </si>
  <si>
    <t>POZNÁMKA</t>
  </si>
  <si>
    <t>FR001</t>
  </si>
  <si>
    <t>Funkcna poziadavka</t>
  </si>
  <si>
    <t>Bezpečnosť, monitoring a audit</t>
  </si>
  <si>
    <t>Riadenie prístupu k údajom KN</t>
  </si>
  <si>
    <t>Systém musí zabezpečiť, aby pracovníci KOOÚ mali prístup k údajom katastra nehnuteľností pre všetky katastrálne územia SR. Prístup k  bude riadený  autorizačnými pravidlami  pre riadenie prístupu ku KÚ rešpektujúcimi územné pôsobnosti jednotlivých KOOÚ.</t>
  </si>
  <si>
    <t>ÚGKK</t>
  </si>
  <si>
    <t>FR002</t>
  </si>
  <si>
    <t>Integrácia a interoperabilita</t>
  </si>
  <si>
    <t>Integrácia systému na referenčné registre</t>
  </si>
  <si>
    <t xml:space="preserve">Systém musí  mať k dispozícii údaje z referenčných registrov RFO, RPO a RA s cieľom zabezpečiť automatizované overenie a stotožnenie účastníkov konania (napr. vlastníkov, správcov, nájomcov) voči oficiálnym databázam. Integrácia musí byť realizovaná prostredníctvom RIP. </t>
  </si>
  <si>
    <t>FR003</t>
  </si>
  <si>
    <t>Konania</t>
  </si>
  <si>
    <t>Preradenie konania  do iného registra</t>
  </si>
  <si>
    <t>Systém musí umožniť preradenie podania do iného registra s vytvorením nového čísla konania , pričom systém musí evidovať väzbu medzi pôvodným a novým číslom konania.</t>
  </si>
  <si>
    <t>FR004</t>
  </si>
  <si>
    <t>Podania a žiadosti</t>
  </si>
  <si>
    <t>Podpora pre príjem a spracovanie listinných podaní</t>
  </si>
  <si>
    <t>Systém musí umožniť prijatie a zaevidovanie listinného podania doručeného osobne alebo poštou.Pracovník podateľne musí byť schopný vykonať formálnu kontrolu, priradiť podanie do príslušného registra a zaevidovať ho do systému prideleným jedinečným číslom konania, dátumom a časom prijatia.</t>
  </si>
  <si>
    <t>FR005</t>
  </si>
  <si>
    <t xml:space="preserve">Číslovanie konaní </t>
  </si>
  <si>
    <t xml:space="preserve">Systém  musí zabezpečiť generovanie jedinečného čísla podania a jedinečného čísla konania  Číslo musí obsahovať značku registra, jedinečné číslo v rámci registra, rok a identifikátor KOOÚ. </t>
  </si>
  <si>
    <t>FR006</t>
  </si>
  <si>
    <t>Integrácia systému na  IS pre správu  správnych poplatkov</t>
  </si>
  <si>
    <t xml:space="preserve">Systém musí  byť integrovaný s externým systémom  na správu predpisov na úhradu správnych poplatkov a platieb (aktuálne IS PEP).Integrácia musí byť realizovaná prostredníctvom RIP. </t>
  </si>
  <si>
    <t>FR007</t>
  </si>
  <si>
    <t>Správne poplatky</t>
  </si>
  <si>
    <t>Príkaz na úhradu správneho poplatku</t>
  </si>
  <si>
    <t>Systém musí umožniť určenie výšky správneho poplatku pracovníkom podateľne a zabezpečiť vygenerovanie príkazu na úhradu v integrovanom ISVS( aktuálne IS PEP). Príkaz musí byť automaticky priradený k podaniu a podporovať stanovené  formy úhrady ( ako sú eKolok, bezhotovostné platby), pričom stav úhrady  správneho poplatku musí byť zaznamenaný ku podaniu.</t>
  </si>
  <si>
    <t>FR008</t>
  </si>
  <si>
    <t>Spisy a správa dokumentov</t>
  </si>
  <si>
    <t>Elektronický spis s jednoznačnou evidenciou dokumentov</t>
  </si>
  <si>
    <t xml:space="preserve">Systém  musí umožniť vytvorenie elektronického spisu, do ktorého budú zaevidované všetky  dokumenty a prílohy podania. Každý dokument musí mať  označený jedinečným identifikačným číslom. Pre listinné dokumnety odporúčame  podporovať použitie predtlačených čiarových kódov s jedinečným identifikátorom   a tieto budú lepené na dokumenty  a zaevidované prostredníctvom skenovania. Elektronickým dokumentov pridelí jedinečné číslo systém. </t>
  </si>
  <si>
    <t>FR009</t>
  </si>
  <si>
    <t>Zaručená konverzia listinných dokumentov do elektronickej podoby</t>
  </si>
  <si>
    <t>Po zaevidovaní dokumentov do registratúry musí systém umožniť vykonanie zaručenej konverzie listinných dokumentov a uloženie výsledných elektronických dokumentov do systému. Možnosť vykonania tohto úkonu bude závisieť od pripravenosti pracovísk KOOÚ.</t>
  </si>
  <si>
    <t>FR010</t>
  </si>
  <si>
    <t xml:space="preserve">Evidencia účastníkov konania </t>
  </si>
  <si>
    <t>Systém musí podporovať evidenciu všetkých účastníkov konania vrátane možnosti prevzatia údajov z referenčných registrov RFO, RPO a RA.</t>
  </si>
  <si>
    <t>FR011</t>
  </si>
  <si>
    <t>Vyznačovanie plômb na základe konania</t>
  </si>
  <si>
    <t>Systém musí na základe údajov z podania a určených nehnuteľností a právnych vzťahov umožniť vyznačenie plomby na list vlastníctva, konkrétnu nehnuteľnosť alebo právny vzťah. Vyznačenie plomby môže byť vykonané s oneskorením, najneskôr nasledujúci pracovný deň.</t>
  </si>
  <si>
    <t>FR012</t>
  </si>
  <si>
    <t>Evidencia ďalších dokumentov doručených počas konania</t>
  </si>
  <si>
    <t>Systém musí umožniť evidenciu ďalších dokumentov doručených počas prebiehajúceho konania, či už v elektronickej alebo listinnej podobe. Každý dokument musí byť priradený ku konkrétnemu konaniu a jednoznačne identifikovaný v rámci spisu.</t>
  </si>
  <si>
    <t>FR013</t>
  </si>
  <si>
    <t xml:space="preserve">Evidencia podaní opravných prostriedkov </t>
  </si>
  <si>
    <t>Systém musí umožniť zaradenie podania s opravným prostriedkom (odvolanie, obnovenie konania, preskúmanie rozhodnutia, protest prokurátora) do existujúceho spisu konania, ku ktorému sa opravný prostriedok vzťahuje.</t>
  </si>
  <si>
    <t>FR014</t>
  </si>
  <si>
    <t>Presun dokumentov medzi spismi</t>
  </si>
  <si>
    <t>Systém musí podporovať presun dokumentácie jedného konania  ako aj jednotlivých dokumentov medzi spismi. Každý takýto presun musí byť systémom zaznamenaný a auditovateľný.</t>
  </si>
  <si>
    <t>FR015</t>
  </si>
  <si>
    <t>Automatizácia a workflow</t>
  </si>
  <si>
    <t>Generovanie výstupných dokumentov</t>
  </si>
  <si>
    <t xml:space="preserve">Systém musí umožniť generovanie dokumentov podľa šablón, ich podpisovanie mandátnym certifikátom a evidovanie v elektronickom spise. Dokument po vygenerovaní može byť upravený používateľom do momentu jeho podpísania. Systém musí podporiť pregenerovanie už podpísaného dokumentu. V takomto prípade bude systém uchovávať verzie dokumentov. </t>
  </si>
  <si>
    <t>FR016</t>
  </si>
  <si>
    <t>Doručovanie  dokumentov</t>
  </si>
  <si>
    <t>Systém bude podporovať doručovanie  dokumentov  elektronicky (UPVS CÚD), poštou alebo verejnou vyhláškou podľa typu účastníka.Doručovamu bude možné aj na zahraničné adresy.</t>
  </si>
  <si>
    <t>FR017</t>
  </si>
  <si>
    <t>Podpora procesného spracovania prijatých podaní</t>
  </si>
  <si>
    <t xml:space="preserve">Systém musí plnohodnotne podporovať procesné spracovanie prijatých podaní, a to v listinnej aj v elektronickej forme. Musí zabezpečovať generovanie úloh a ich automatizované prideľovanie v rámci vopred definovaného workflowu. </t>
  </si>
  <si>
    <t>FR018</t>
  </si>
  <si>
    <t>Logovanie vykonaných úloh v rámci procesu</t>
  </si>
  <si>
    <t>Systém musí zabezpečovať automatické auditné logovanie všetkých vykonaných úloh v rámci jednotlivých procesov. Pre každú úlohu musí byť zaznamenaný čas vykonania, identita používateľa alebo systému, ktorý úlohu vykonal, výsledok úlohy, ako aj ďalšie relevantné metadáta. Záznamy musia byť auditovateľné a uchovávané v súlade s legislatívnymi požiadavkami na evidenciu a bezpečnosť údajov.</t>
  </si>
  <si>
    <t>FR019</t>
  </si>
  <si>
    <t>Spracovanie elektronických podaní cez Všeobecnú agendu</t>
  </si>
  <si>
    <t xml:space="preserve">Systém musí podporovať spracovanie elektronických podaní doručených službou Všeobecná agenda do schránky OÚ. V prípade absencie integrácie s registratúrou MV SR, musí  systém umožniť pracovníkovi podateľne manuálne importovať prevzaté podpísané  podanie a jeho podpísané a nepodpísané prílohy ako elektronické dokumenty. </t>
  </si>
  <si>
    <t>FR020</t>
  </si>
  <si>
    <t>Automatizované spracovanie štruktúrovaných podaní z Portálu ÚGKK</t>
  </si>
  <si>
    <t xml:space="preserve">Systém  musí podporovať automaticke spracovanie štruktúrovaného podania doručené z Portálu ÚGKK – vrátane priradenia čísla konania, vytvorenia elektronického spisu, vloženia všetkých dokumentov a príloh, evidencie poplatku, účastníkov a nehnuteľností. Podanie musí byť zaradené do fronty úloh pre príslušnú podateľnu podľa miestnej príslušnosti. Ďalšie spracovanie podania bude vykonávané pracovníkom  podateľne. </t>
  </si>
  <si>
    <t>FR021</t>
  </si>
  <si>
    <t xml:space="preserve">Určenie miestnej príslušnosti </t>
  </si>
  <si>
    <t xml:space="preserve">Systém  musí podporovať priradenie podania príslušnému KOOÚ podľa  nehnuteľností  obsiahnutých v konaní . Ak návrh zahŕňa nehnuteľnosti v rôznych okresoch, musí byť určený  hlavný  KOOÚ, ktorý rozhoduje v konaní. </t>
  </si>
  <si>
    <t>FR022</t>
  </si>
  <si>
    <t>Zaručená konverzia elektronických  podaní do listinnej  podoby</t>
  </si>
  <si>
    <t>Systém umožní pre elektronické dokumenty  podľa potreby zaručenú konverziu do listinnej podoby.</t>
  </si>
  <si>
    <t>FR023</t>
  </si>
  <si>
    <t xml:space="preserve">Potvrdenie prijatia elektronického podania </t>
  </si>
  <si>
    <t xml:space="preserve">Systém bude  po prijatí elektronického podania podporovať zaslanie správy o prijatí podania vrátane prideleného čísla konania do  elektronickej schránky podávateľa </t>
  </si>
  <si>
    <t>FR024</t>
  </si>
  <si>
    <t xml:space="preserve">Prehľad mojich podaní </t>
  </si>
  <si>
    <t xml:space="preserve">Systém bude poskytovať zoznam všetkých podaní jedného podávateľa   s aktuálnym stavom prostredníctvom API služby za účelom zobrazenia na Portál ÚGKK. </t>
  </si>
  <si>
    <t>FR025</t>
  </si>
  <si>
    <t>Späťvzatie podania</t>
  </si>
  <si>
    <t xml:space="preserve">Portál musí umožniť späťvzatie podania so súhlasom všetkých účastníkov konania do stanovenej lehoty. Späťvzatie bude automaticky priradené do spisu a spracovateľ bude informovaný. </t>
  </si>
  <si>
    <t>FR026</t>
  </si>
  <si>
    <t>Doplnenie dokumentov pre konanie</t>
  </si>
  <si>
    <t>Systém umožní prijatie dokumentov do  prebiehajúceho konania v listinnej ako aj elektronickej forme, ich zaradenie do príslušného spisu konania  a zabezpečí notifikovanie spracovateľa o tejto skutočnosti.</t>
  </si>
  <si>
    <t>FR027</t>
  </si>
  <si>
    <t>Elektronický obeh spisov</t>
  </si>
  <si>
    <t>Systém musí umožňovať spracovanie podnetov a žiadostí v listinnej forme (s konverziou do elektronickej podoby) aj v elektronickej forme. Cieľom je zabezpečiť elektronický obeh spisov, vrátane bezpečného prijímania, evidencie a spracovania všetkých podaní.</t>
  </si>
  <si>
    <t>FR028</t>
  </si>
  <si>
    <t xml:space="preserve">Záujmové osoby KN </t>
  </si>
  <si>
    <t>Register záujmových osôb  KN</t>
  </si>
  <si>
    <t xml:space="preserve">Systém musí umožniť vytváranie registra záujmových osôb KO, ktoré môžu väzbu na referenčné registre RFO a RPO. Osoby v tomto registri budú zaevidované jeden krát a  môžu vystupovať v rôznych roliach (účastník konania, vlastník, oprávnený z ťarchy, atď.) </t>
  </si>
  <si>
    <t>FR029</t>
  </si>
  <si>
    <t>Žiadosť o poskytnutie údajov formou zápisnice</t>
  </si>
  <si>
    <t>Systém musí umožniť prijatie a zaevidovanie žiadosti   o poskytnutie údajov  podanej osobne formou zápisnice a jej podpísanie podávateľom protredníctvom elektronického grafického tabletu.</t>
  </si>
  <si>
    <t>FR030</t>
  </si>
  <si>
    <t xml:space="preserve">Elektronická žiadosť o poskytnutie údajov </t>
  </si>
  <si>
    <t xml:space="preserve">Systém bude podporovať prijatie štrukturovanej elektronickej žiadosti podanej prostredníctvom Portálu UGKK  a prijatie elektronickej žiadosti  službou Všeobecná agenda do schránky OÚ. </t>
  </si>
  <si>
    <t>FR031</t>
  </si>
  <si>
    <t>Kniha poskytovaných údajov</t>
  </si>
  <si>
    <t>Vedenie knihy poskytnutých údajov</t>
  </si>
  <si>
    <t>Systém bude podporovať vedenie elektronickej knihy poskytnutých údajov v rámci KOOÚ a roka vrátene je uzavretia a archivácie</t>
  </si>
  <si>
    <t>FR032</t>
  </si>
  <si>
    <t>Žiadosť o poskytnutie údajov</t>
  </si>
  <si>
    <t>Systém musí podporovať zaevidovanie  každej žiadosti o poskytnutie údajov  a ich evidenciu do elektronických kníh poskytovaných údajov. Každá žiadosť bude mať pridelené jedinečné  číslo v rámci knihy do ktorej bola zaradená.</t>
  </si>
  <si>
    <t>FR033</t>
  </si>
  <si>
    <t>Správne poplatky pre žiadosti</t>
  </si>
  <si>
    <t>Systém umožní skontrolovať výšku správneho poplatku a   jeho úhradu (ak bol stanovený automaticky pri podávaní žiadostí), alebo stanoviť výšku poplatku spracovateľom žiadosti, vygenerovať platobný príkaz a zaevidovať úhradu. Systém musí podporovať identifikáciu podávateľov a žiadostí ktoré sú od poplatkov oslobodené.</t>
  </si>
  <si>
    <t>FR034</t>
  </si>
  <si>
    <t xml:space="preserve">Podpora procesného spracovania prijatých žiadostí </t>
  </si>
  <si>
    <t>Systém musí plnohodnotne podporovať procesné spracovanie prijatých žiadostí o poskytnutie údajov , a to v listinnej aj v elektronickej forme. Musí zabezpečovať generovanie úloh a ich automatizované prideľovanie v rámci vopred definovaného workflowu.</t>
  </si>
  <si>
    <t>FR035</t>
  </si>
  <si>
    <t>Poskytovanie údajov katastra</t>
  </si>
  <si>
    <t>Evidenica výstupov poskytnutých na základe žiadostí</t>
  </si>
  <si>
    <t>Systém umožní zaevidovať výstupy s požadovanými údajmi k podanej žiadosti  o poskytnutie údajov vo forme metaúdajchv o poskytnutých dokumentov</t>
  </si>
  <si>
    <t>FR036</t>
  </si>
  <si>
    <t xml:space="preserve">Odovzdanie a odoslanie požadovaných údajov </t>
  </si>
  <si>
    <t>Systém umožní podpísanie výstupov mandátnym certikátom a ich odoslanie stanoveným komunikačným kanálom ako aj odovzdanie do rúk žiadateľa   v listinnej forme. Listinná forma môže vzniknúť aj  použitím zaručenej konverzie z elektronickej podoby.</t>
  </si>
  <si>
    <t>FR037</t>
  </si>
  <si>
    <t>Prijímanie žiadostí geodetov o vstupné údaje pre geometrický plán</t>
  </si>
  <si>
    <t>Systém umožní spracovanie podaní žiadosti o pridelenie čísla ZPMZ, parcelných čísel. Podaná žiadosť bude zaradená do fronty na spracovanie podaní a žiadostí od geodeta. Preferovaným spôsobom podania žiadostí bude podanie autorizovaným geodetom cez Portál ÚGKK integrovaným s ISKN2.0 cez RIP. Alternatívne môže žiadosť zaevidovať pracovník KOOÚ na základe osobnej návštevy prípadne emailu.Na základe tejto žiadosti sa spustí proces priraďovania potrebných údajov pre tvorbu ZPMZ a GP.</t>
  </si>
  <si>
    <t>FR038</t>
  </si>
  <si>
    <t xml:space="preserve">Poskytnutie údajov pre geometrický plán </t>
  </si>
  <si>
    <t xml:space="preserve">Systém umožní spracovateľovi zaevidovať požadované údaje(ZPMZ, nové parcelné čísla) . Systém následne zabezpečí publikovanie týchto údajov na  Portál ÚGKK za účelom ich poskytnutia podávateľovi žiadosti cez RIP. </t>
  </si>
  <si>
    <t>FR039</t>
  </si>
  <si>
    <t xml:space="preserve">Podanie žiadostí o overenie geodetických činností </t>
  </si>
  <si>
    <t>Systém umožní prijať a spracovať podanie geodeta prostredníctvom portálu ÚGKK  o overenie  geodetických činností  vrátane všetkých požadovaných súborov v elektronickej forme.  Systém musí podporovať podanie rôznych typov žiadostí  o overenie  (napr. GP, zriadenie/aktualizácia bodov, pozemkové úpravy). Podanie  musí byť podpísané mandátnym certifikátom geodeta (ekvivalent pečiatky).</t>
  </si>
  <si>
    <t>FR040</t>
  </si>
  <si>
    <t>Elektronické podanie oznámenia o návrhu na vklad</t>
  </si>
  <si>
    <t>Systém umožní prijatie  podania oznámenia o návrhu na vklad realizovaného výhradne elektronicky v štruktúrovanej podobe.</t>
  </si>
  <si>
    <t>FR041</t>
  </si>
  <si>
    <t>Zaevidovanie oznámenia o návrhu na vklad</t>
  </si>
  <si>
    <t xml:space="preserve">Systém podporí automaticky vykonanie formálnej kontroly podania, overenie podpisu a totožnosti podávateľa. Systém  oznámeniu pridelí jedinečné číslo  a určí mu lehotu exspirácie. </t>
  </si>
  <si>
    <t>FR042</t>
  </si>
  <si>
    <t>Prehľad podaných oznámení o návrhu na vklad</t>
  </si>
  <si>
    <t>Systém spístupní  zoznam podaných oznámení používateľom, vrátene možnosti si zobraziť exspirované oznámenia alebo už spárované s podaním návrhu na vklad.</t>
  </si>
  <si>
    <t>FR043</t>
  </si>
  <si>
    <t>Poskytnutia  čísla oznámenia  podávateľovi</t>
  </si>
  <si>
    <t xml:space="preserve">Systém po zaevidovaní oznámenia o návrhu na vklad  a pridelení čísla vygeneruje správu pre podávateľa a zašle ju do schránky správ podávateľa. </t>
  </si>
  <si>
    <t>FR044</t>
  </si>
  <si>
    <t>Podpora spracovania žiadosti o vrátenie správneho poplatku</t>
  </si>
  <si>
    <t xml:space="preserve">Systém bude podporovať prijímanie a spracovanie žiadostí o vrátenie správneho poplatku v súlade so zákonom o správnych poplatkoch. Žiadosti  bude možné prijať v listinnej aj elektronickej podobe.  Po prijatí pracovník podateľne zaeviduje žiadosť, pridelí jej číslo a zaradí ju do  spisu konania za ktoré sa požaduje vrátenie správneho poplatku. </t>
  </si>
  <si>
    <t>FR045</t>
  </si>
  <si>
    <t>Podpora procesného spracovania prijatých žiadostí o vrátenie správneho poplatku</t>
  </si>
  <si>
    <t xml:space="preserve">Systém musí plnohodnotne podporovať procesné spracovanie prijatých žiadostí o vrátenie správneho poplatku, a to v listinnej aj v elektronickej forme. Musí zabezpečovať generovanie úloh a ich automatizované prideľovanie v rámci vopred definovaného workflowu. </t>
  </si>
  <si>
    <t>FR046</t>
  </si>
  <si>
    <t xml:space="preserve">Vrátenie správneho poplatku </t>
  </si>
  <si>
    <t>Po rozhodnutí  o vrátení poplatku systém umožní vrátenie poplatku prostredníctvom služieb ISVS pre  správnych poplatkov a platieb (aktuálne IS PEP)</t>
  </si>
  <si>
    <t>FR047</t>
  </si>
  <si>
    <t>Podpora všetkých typov katastrálnych konaní podľa legislatívneho rámca</t>
  </si>
  <si>
    <t>Systém musí podporovať všetky typy katastrálnych konaní vyplývajúcich z aktuálne platného legislatívneho rámca. Systém musí umožniť úplnú elektronizáciu konaní a ich spracovanie.</t>
  </si>
  <si>
    <t>FR048</t>
  </si>
  <si>
    <t>Riadenie procesných krokov katastrálnych konaní</t>
  </si>
  <si>
    <t>Systém bude podporovať automatizované riadenie priebehu katastrálneho konania prostredníctvom generovania úloh podľa miestnej príslušnosti, organizačnej štruktúry a rolí pracovníkov. Každý pracovník má vlastný dashboard s úlohami, termínmi a stavmi konaní.</t>
  </si>
  <si>
    <t>FR049</t>
  </si>
  <si>
    <t>Automatizované prideľovanie úloh a vyvažovanie kapacít medzi KOOÚ</t>
  </si>
  <si>
    <t>Systém musí umožniť  prerozdeľovanie úloh podľa vyťaženosti a kompetencií pracovníkov jednotlivých KOOÚ. Cieľom je rovnomerné rozloženie záťaže spracovaných podaní medzi KOOÚ, vrátane možnosti spracovania konaní mimo miestnej príslušnosti.</t>
  </si>
  <si>
    <t>FR050</t>
  </si>
  <si>
    <t>Užívateľské rozhranie a UX</t>
  </si>
  <si>
    <t>Biznisové kontroly, vyťažovanie údajov a kontrola kvality</t>
  </si>
  <si>
    <t>Pre  dosiahnutie vyššej efektivity pri posudzovaní návrhov na vklad, listín a iných dokumentov bude systém bude podporovať vykonávanie  biznisových kontrol, ktoré budú prebiehať v rôznych krokoch spracovania, kde systém bude vyťažovať údaje z podaní a príloh, zabezpečí kontroly a výsledky poskytne spracovateľovi. Spracovateľ bude mať možnosť korekcie a zmeny vyťažených údajov ako aj zmeny výsledkov kontrol podľa uváženia spracovateľa</t>
  </si>
  <si>
    <t>FR051</t>
  </si>
  <si>
    <t xml:space="preserve">Priebeh spracovania konania </t>
  </si>
  <si>
    <t>Systém bude podporovať sledovanie externých stavov konaní  teda stavov ktoré bude publikované aj pre externé subjekty a osoby ako aj detailnejšie interné stavy používané pre riadenie procesov. Zmeny externých stavov budú spúšťačom pre notifikácie zmenu stavu konania, ktoré budú zasielané účastníkom konania</t>
  </si>
  <si>
    <t>FR052</t>
  </si>
  <si>
    <t>Podpora spätného prechodu stavmi a logovanie histórie konania</t>
  </si>
  <si>
    <t>Systém bude podporovať prechod stavmi aj spätne teda spracovateľ sa môže vrátiť vždy o krok späť podľa histórie spracovania.  Celý priebeh procesu bude systémom zaznamenávaný a logovaný ku konaniu.</t>
  </si>
  <si>
    <t>FR053</t>
  </si>
  <si>
    <t>Notifikácie</t>
  </si>
  <si>
    <t>Notifikácia účastníkov konania</t>
  </si>
  <si>
    <t>Zasielanie notifikácii bude konfigurovateľné  prostredníctvom podporných služieb a to definíciou pravidiel na vytvorenie notifikácie a následne  výber  prijímateľov notifikácie. Typickým príkladom je zmena externého stavu konania a zaslanie všetkých účastníkom konania</t>
  </si>
  <si>
    <t>FR054</t>
  </si>
  <si>
    <t xml:space="preserve">Prerušenie konania </t>
  </si>
  <si>
    <t xml:space="preserve">Systém bude podporovať prerušenie  konania. Počas prerušenia konania systém zabezpečí zastavenie počítania dni lehoty na ukončenia konania. </t>
  </si>
  <si>
    <t>FR055</t>
  </si>
  <si>
    <t xml:space="preserve">Zastavenie konania </t>
  </si>
  <si>
    <t>Systém bude podprovať zastavenie konania na základe rôznych skutočností.</t>
  </si>
  <si>
    <t>FR056</t>
  </si>
  <si>
    <t xml:space="preserve">Odvolacie konania </t>
  </si>
  <si>
    <t xml:space="preserve">Systém na základ podania opravného prostriedku bude podporovať odvolacie konanie. Odovolacie konanie može byť zaradené do spisu pôvodného konania. Odvolacie konanie  bude  pridelené na KOOÚ, ktorý rozhodnutie vydal. Systém bude podporovať predloženie odvolania na ÚGKK a to v prípade ak odvolaniu nevyhovel  KOOÚ. V takomto odvolacom konaní ďalej koná pracovník ÚGKK s osobitne odbornou spôsobilosťou. </t>
  </si>
  <si>
    <t>FR057</t>
  </si>
  <si>
    <t xml:space="preserve">Zrušenie plomby </t>
  </si>
  <si>
    <t>Systém po ukončení katastrálneho konania  zruší plomby zapísané pri jeho zahájení. Plomby sú zrušené v prípade zamietnutia alebo nepovolenie zápisu zmien do KN v poslednom procesnom kroku KK. Inak sú zrušené až po vykonaní finálneho zápisu do KO.</t>
  </si>
  <si>
    <t>FR058</t>
  </si>
  <si>
    <t xml:space="preserve">Konania o návrhu na vklad </t>
  </si>
  <si>
    <t xml:space="preserve">Systém  musí podporovať katastrálne konanie o návrhu na vklad v súlade s katastrálnym zákonom a správnym poriadkom vrátane spracovania všetkých príloh (napr. kúpna, darovacia, záložná zmluva). Musí umožniť využitie vyťažovania údajov a biznisových kontrol počas schvaľovania. Výstupom je rozhodnutie – povolenie vkladu, zamietnutie alebo zastavenie konania. </t>
  </si>
  <si>
    <t>FR059</t>
  </si>
  <si>
    <t>Konania na vykonanie záznamu</t>
  </si>
  <si>
    <t xml:space="preserve">Systém musí podporovať konania o vykonaní záznamu na základe verejnej alebo inej listiny (napr. rozhodnutie súdu, notárska zápisnica). Systém má umožniť preskúmanie spôsobilosti listiny, evidenciu zamietnutia zápisu a automatické oznámenie účastníkom o vykonaní zápisu. </t>
  </si>
  <si>
    <t>FR060</t>
  </si>
  <si>
    <t>Konania na zápis poznámky</t>
  </si>
  <si>
    <t>Systém musí podporovať procesy na zápis a zrušenie poznámky, ktorá obmedzuje oprávnenie vlastníka nehnuteľnosti. Poznámku je možné zrušiť na základe žiadosti alebo z dôvodu pominutia dôvodov jej zápisu.</t>
  </si>
  <si>
    <t>FR061</t>
  </si>
  <si>
    <t>Konania o oprave chýb</t>
  </si>
  <si>
    <t>Systém musí podporovať  konania o oprave chýb na návrh účastníka alebo z vlastného podnetu. V prípadoch podľa zákona sa vydáva protokol o oprave chyby, inak rozhodnutie.</t>
  </si>
  <si>
    <t>FR062</t>
  </si>
  <si>
    <t>Konania o zmene údajov</t>
  </si>
  <si>
    <t>Systém musí umožniť zápis zmien údajov, ktoré neovplyvňujú vlastnícke práva (napr. zmena priezviska, trvalého pobytu, zlúčenie LV). Musí podporovať získavanie údajov z referenčných registrov a doručovanie oznámení vlastníkom.</t>
  </si>
  <si>
    <t>FR063</t>
  </si>
  <si>
    <t>Overenie geometrického plánu</t>
  </si>
  <si>
    <t>Systém musí podporovať overenie GP vrátane automatizovaných kontrol, archivácie schválených plánov, doručovania rozhodnutí a podpísania GP (listinne aj elektronicky). Systém má umožniť prerušenie konania v prípade chýb s vygenerovaním protokolu o nesúlade a zaslaním výzvy na odstránenie nesúladu</t>
  </si>
  <si>
    <t>FR064</t>
  </si>
  <si>
    <t xml:space="preserve">Overovanie geodetických činností </t>
  </si>
  <si>
    <t xml:space="preserve">Systém musí podporovať overenie geodetických činností ako sú pozemkové úpravy, meranie alebo digitalizácia objektov a podrobné geodetické body. </t>
  </si>
  <si>
    <t>FR065</t>
  </si>
  <si>
    <t>Zmena hraníc katastrálneho územia</t>
  </si>
  <si>
    <t xml:space="preserve">Systém musí podporovať konania o zmene hraníc KÚ, vrátane získania súhlasu ÚGKK, doručovania rozhodnutí relevantným inštitúciám a úpravy číselníka KÚ. </t>
  </si>
  <si>
    <t>FR066</t>
  </si>
  <si>
    <t>Námietky proti obnovenému katastrálnemu operátu</t>
  </si>
  <si>
    <t>Systém musí podporovať  možnosť podania námietok,  vydanie a doručovanie rozhodnutí, a následné vyhlásenie KO za platný po právoplatnosti všetkých rozhodnutí.</t>
  </si>
  <si>
    <t>FR067</t>
  </si>
  <si>
    <t>Protest prokurátora</t>
  </si>
  <si>
    <t xml:space="preserve">Systém musí podporovať proces konania o proteste prokurátora, jeho prepojenie na pôvodné konanie, doručenie protestu účastníkom pôvodného konania, vyhodnotenie protestu a prípadné zrušenie napadnutého rozhodnutia. </t>
  </si>
  <si>
    <t>FR068</t>
  </si>
  <si>
    <t>Obnova konania</t>
  </si>
  <si>
    <t>Systém má umožniť použitie mimoriadneho opravného prostriedku – obnovu konania voči rozhodnutiam v katastrálnych konaniach. Požiadavka zahŕňa evidenciu a spracovanie týchto konaní podľa správneho poriadku.</t>
  </si>
  <si>
    <t>FR069</t>
  </si>
  <si>
    <t>Preskúmanie zákonnosti rozhodnutia</t>
  </si>
  <si>
    <t>Systém musí podporovať  vedenie konania o preskúmanie rozhodnutia mimo odvolacieho konania ako mimoriadneho opravného prostriedku. Systém musí evidovať tieto konania a zabezpečiť ich správne spracovanie.</t>
  </si>
  <si>
    <t>FR070</t>
  </si>
  <si>
    <t>Správa katastrálneho operátu</t>
  </si>
  <si>
    <t>Príprava zmeny SPI.</t>
  </si>
  <si>
    <t>Systém umožní prípravu zápisu pre zmeny v SPI. Poverený pracovník si bude môcť na základe rozhodnutia pripraviť zmeny ktoré majú byť prevedené v SPI KO.</t>
  </si>
  <si>
    <t>FR071</t>
  </si>
  <si>
    <t>Príprava zmeny SGI.</t>
  </si>
  <si>
    <t>Systém umožní prípravu zápisu pre zmeny v SGI. Poverený pracovník si bude môcť na základe rozhodnutia pripraviť zmeny ktoré majú byť prevedené v SGI KO.</t>
  </si>
  <si>
    <t>FR072</t>
  </si>
  <si>
    <t>Podpora predvyplnenia údajov pri zápise údajov do KO</t>
  </si>
  <si>
    <t>Systém má pri príprave zmeny do SPI a SGI predvyplniť čo najväčšie množstvo údajov na základe dostupných dát (aktuálny KO, konanie, rozhodnutie, referenčné registre).</t>
  </si>
  <si>
    <t>FR073</t>
  </si>
  <si>
    <t>Stotožňovanie osôb s referenčnými registrami RFO a RPO</t>
  </si>
  <si>
    <t>V rámci zápisu údajov do SPI musí byť podporované stotožňovanie osôb s právnym vzťahom k nehnuteľnostiam s referenčnými registrami RFO a RPO. Takto budú zároveň automaticky do registra záujmových osôb/subjektov dopĺňané nové osoby/subjekty, napr. osoby, v prospech ktorých je zriadená ťarcha</t>
  </si>
  <si>
    <t>FR074</t>
  </si>
  <si>
    <t>Transformácia údajov na nový dátový štandard</t>
  </si>
  <si>
    <t>Systém musí umožniť prevod existujúcich údajov do nového štruktúrovaného dátového formátu. V prípade, že transformácia nie je možná, musí byť umožnené ponechať nezmenené dáta v pôvodnom formáte, ak na nich nie je vykonaná pripravovaná zmena.</t>
  </si>
  <si>
    <t>FR075</t>
  </si>
  <si>
    <t>Zápis zmien do KO a súčasné ukladanie listín</t>
  </si>
  <si>
    <t>Zápis zmien do SPI aj SGI KO prebehne na základe pripravených zmien. Musí byť vykonaný súčasne do SPI aj SGI, bez porušenia konzistencie údajov. Systém má zabezpečiť, že zápis údajov do KO bude jednoznačne zviazaný so skončeným konaním alebo vlastným podnetom a osobou, ktorá zápis vykonala.Súčasne má byť do Zbierky listín uložená listina, na základe ktorej bol vykonaný zápis.</t>
  </si>
  <si>
    <t>FR076</t>
  </si>
  <si>
    <t xml:space="preserve">Automatický záznam zmien KO </t>
  </si>
  <si>
    <t xml:space="preserve">Systém má pri každej zmene údajov v KO automaticky zaznamenať túto udalosť do auditného logu zmien KO. </t>
  </si>
  <si>
    <t>FR077</t>
  </si>
  <si>
    <t>Vymedzenie časti územia pre hromadné zmeny</t>
  </si>
  <si>
    <t>Systém umožní vymedziť časť katastrálneho územia ako oblasť nad ktorou budú prebiehať hromadné zmeny.  Ďalej umožní pracovníkom s touto oblasťou nakladať a  prípdane ju dávať ako prílohu k adekvátnym spisom</t>
  </si>
  <si>
    <t>FR078</t>
  </si>
  <si>
    <t>Kontrola podkladov pre hromadné zmeny</t>
  </si>
  <si>
    <t xml:space="preserve">Pred zápisom údajov v rámci hromadných zmien (napr. OKO, ROEP, PÚ) musí systém umožniť pracovníkom KN skontrolovať, či sú dodané podklady právne v poriadku a konzistentné s určenou časťou katastrálneho územia. </t>
  </si>
  <si>
    <t>FR079</t>
  </si>
  <si>
    <t>Zaznamenanie a riešenie chýb v podkladoch pre hromadné zmeny</t>
  </si>
  <si>
    <t>V prípade, že  sú v podkladoch hromadných zmien nesprávne,  nekonzistené údaje alebo v prípade možnosti stotožnenie osôb nie je vykonané , musí systém pracovníkovi KN dať možnosť rozhodnúť o ich zamietnutí a vrátení dodávateľovi na odstránenie nesúladov. Po oprave chýb musí byť možné zavedenie nových podkladov do systému.</t>
  </si>
  <si>
    <t>FR080</t>
  </si>
  <si>
    <t>Zachovanie histórie parciel pri ich prečíslovaní</t>
  </si>
  <si>
    <t xml:space="preserve">Systém musí pri hromadných zmenách (napr. OKO, PÚ), pri ktorých dochádza k prečíslovaniu parciel, umožniť dohľadanie jednoznačnej histórie takýchto parciel. </t>
  </si>
  <si>
    <t>FR081</t>
  </si>
  <si>
    <t>Dátové formáty pre podklady hromadných zmien</t>
  </si>
  <si>
    <t>Musí byť definovaný vhodný formát na prenos dát medzi spracovateľskymi subjektami hromadných zmien a katastrom nehnuteľností, ktorý bude plne kompatibilný s interným novým dátovým štandartom. Systém bude schopný takýto formát spracovávať. Systém zároveň pre dobu prechodu bude schopný spracovávať aj staré prenosové formáty.</t>
  </si>
  <si>
    <t>FR082</t>
  </si>
  <si>
    <t>Súčasný zápis hromadných zmien do SPI a SGI</t>
  </si>
  <si>
    <t>V prípade, že podklady pre hromadné zmeny sú po právnej a dátovej stránke v poriadku, musí systém umožniť pracovníkovi KN vykonať zápis zmien súčasne do SPI a SGI bez narušenia konzistencie katastrálneho operátu.</t>
  </si>
  <si>
    <t>FR083</t>
  </si>
  <si>
    <t>Určenie a evidencia čisel ZMPZ</t>
  </si>
  <si>
    <t>Systém musí umožniť pracovníkom KOOÚ na základe žiadosti geodeta určiť a zaevidovať číslo pre záznam podrobného merania zmien</t>
  </si>
  <si>
    <t>FR084</t>
  </si>
  <si>
    <t>Priestorový rámec  ZMPZ</t>
  </si>
  <si>
    <t xml:space="preserve">Systém musí umožniť pracovníkovi KOOÚ vytvoriť alebo odsúhlasiť vymedzenú  oblasť  katastrálnej mapy  pre účely tvorby geometrického plánu na základe žiadosti geodeta. Táto oblasť bude slúžiť ako priestorový rámec pre následné vykonávanie meraní a prípadne priraďovanie parcelných čísel. </t>
  </si>
  <si>
    <t>FR085</t>
  </si>
  <si>
    <t>Určenie parcelných čisel pre novovzniknuté parcely v GP</t>
  </si>
  <si>
    <t>Systém musí umožniť vymedzenie parcelných čísel pre novovzniknuté parcely v rámci geometrického plánu. Musí zabezpečiť, aby číslovanie bolo konzistentné, nevznikali nevyužité medzery a nedochádzalo k duplicite parcelných čísel. AK pridelené parcelné čísla neboli využité systém to umožní pracovníkovi zaznačiť alebo automaticky zistí z  GP a upozorní na to spracovateľa pri overovnaní GP.</t>
  </si>
  <si>
    <t>FR086</t>
  </si>
  <si>
    <t>Archivácia dokumentov do určených archívov</t>
  </si>
  <si>
    <t>Systém musí zabezpečiť archiváciu všetkých dokumentov, u ktorých to vyžaduje zákon, ako sú spisy, listiny a knihy objednávok, do určených archívnych úložísk (napr. Zbierka listín, elektronické úložisko spisov). Dokumenty musia byť archivované v súlade s platnými právnymi predpismi.</t>
  </si>
  <si>
    <t>FR087</t>
  </si>
  <si>
    <t>Konverzia papierových dokumentov do elektronickej podoby a ich archivácia</t>
  </si>
  <si>
    <t>Systém má podporovať proces, v ktorom pracovník overí, či papierový dokument bol úradne skonvertovaný do elektronickej podoby. V prípade, že konverzia ešte neprebehla, pracovník vykoná konverziu a systém zabezpečí automatickú elektronickú archiváciu dokumentu.</t>
  </si>
  <si>
    <t>FR088</t>
  </si>
  <si>
    <t>Automatická archivácia elektronicky podaných dokumentov</t>
  </si>
  <si>
    <t>Systém musí automaticky archivovať všetky dokumenty, ktoré boli podané elektronicky. Archivácia musí prebehnúť bez potreby manuálneho zásahu používateľa a byť preukázateľná, vrátane metadát a identifikácie pôvodu dokumentu.</t>
  </si>
  <si>
    <t>FR089</t>
  </si>
  <si>
    <t>Automatizovaná kontrola konzistencie údajov KO</t>
  </si>
  <si>
    <t>Systém musí pravidelne kontrolovať konzistenciu údajov zapísaných v KO, najmä súlad medzi SPI a SGI. V prípade zistenia nekonzistencie vytvorí systém úlohu pre pracovníka KOOÚ na založenie vlastného podnetu na nápravu.</t>
  </si>
  <si>
    <t>FR090</t>
  </si>
  <si>
    <t>Porovnávanie údajov záujmových osôb s RFO a RPO</t>
  </si>
  <si>
    <t>Systém má zabezpečiť automatizované priebežné porovnávanie údajov záujmových osôb evidovaných v KO s údajmi vedenými v referenčných registroch RFO a RPO. Ak sa zistia rozdiely, systém vygeneruje úlohu na vytvorenie vlastného podnetu na aktualizáciu údajov.</t>
  </si>
  <si>
    <t>FR091</t>
  </si>
  <si>
    <t>Spracovanie zmien údajov z vlastného podnetu</t>
  </si>
  <si>
    <t>Systém musí podporovať proces, v ktorom pracovník KOOÚ, na základe vytvorenej úlohy alebo iného zdroja, preverí údaje v KO. V prípade potvrdenia nezrovnalostí pripraví návrh zmeny z vlastného podnetu. Takáto zmena bude podliehať schvaľovaciemu procesu iným pracovníkom pred jej zapísaním do KO.</t>
  </si>
  <si>
    <t>FR092</t>
  </si>
  <si>
    <t>Evidencia identifikátora vlastného podnetu ako spúšťača zmeny</t>
  </si>
  <si>
    <t>Každý vlastný podnet musí byť systémom označený jednoznačným identifikátorom. Tento identifikátor sa zapíše do záznamu zmien KO ako udalosť, ktorá vyvolala konkrétnu zmenu. Cieľom je zabezpečiť trasovanie a preukázateľnosť správy údajov.</t>
  </si>
  <si>
    <t>FR093</t>
  </si>
  <si>
    <t>Zapísanie zmeny z vlastného podnetu</t>
  </si>
  <si>
    <t>Systém musí umožniť zápis údajovej zmeny do katastrálneho operátu (KO) z vlastného podnetu pracovníka KOOÚ. Zápis sa vykoná až po schválení pripravenej zmeny iným oprávneným pracovníkom. Proces zápisu musí prebiehať rovnako ako pri zápise údajov na základe skončeného konania, pričom zmena bude jednoznačne spojená s identifikátorom vlastného podnetu, ktorý sa zapíše do zoznamu zmien KO.</t>
  </si>
  <si>
    <t>FR094</t>
  </si>
  <si>
    <t>Správa číselníkov katastra nehnuteľností</t>
  </si>
  <si>
    <t>Systém musí umožniť oprávnenému pracovníkovi KOOÚ vytvárať, meniť a rušiť číselníky využívané v katastri nehnuteľností. Zmeny číselníkov musia byť možné na základe legislatívnych zmien, rozhodnutí (napr. o zmene katastrálneho územia) alebo iných oprávnených dôvodov. Správa číselníkov má byť realizovaná cez užívateľské rozhranie systému. Systém umožní zaznamenávať zmeny a dôvody zmeny.</t>
  </si>
  <si>
    <t>FR095</t>
  </si>
  <si>
    <t>Automatické zaznamenávanie auditných logov pri zmenách KO</t>
  </si>
  <si>
    <t>Systém musí pri všetkých procesoch, ktoré vedú k zmene údajov katastrálneho operátu (KO), automaticky zaznamenávať auditný log. Auditný záznam musí obsahovať identifikáciu používateľa, dátum a čas zmeny, typ zásahu a prípadne súvisiaci podnet či konanie.</t>
  </si>
  <si>
    <t>FR096</t>
  </si>
  <si>
    <t>Vydanie  verejných listín podľa zvoleného spôsobu žiadateľa</t>
  </si>
  <si>
    <t xml:space="preserve">Systém musí podporovať viacero spôsobov vydania verejnej listiny podľa preferencie žiadateľa (fyzická alebo elektronická forma), pričom musí umožniť pracovníkovi vykonať zodpovedajúce úkony:
- nájsť dokumentáciu, listinu v archíve (papierovom alebo elektronickom),
- vyhotoviť overenú fotokópiu, papierovú kópiu z elektronického originálu, alebo zaručenú konverziu,
- zabezpečiť odoslanie originálu a zároveň archiváciu kópie,
- zaevidovať vydanie listiny,
- zabezpečiť možnosť spätnej požiadavky na vrátenie originálu.
</t>
  </si>
  <si>
    <t>FR097</t>
  </si>
  <si>
    <t>Zaručená konverzia medzi elektronickou a listinnou formou</t>
  </si>
  <si>
    <t>Systém musí podporovať zaručenú konverziu verejných listín medzi papierovou a elektronickou formou</t>
  </si>
  <si>
    <t>FR098</t>
  </si>
  <si>
    <t>Elektronické doručenie listín cez CÚD, elektronickú schránku alebo Portál UGKK</t>
  </si>
  <si>
    <t>Systém musí umožniť elektronické doručenie listín prostredníctvom centrálneho úradného doručovania (CÚD), elektronickej schránky žiadateľa alebo cez nový portál pre geodetov. Musí byť možnosť:
- zaslať listinu automaticky systémom po kontrole náležitostí,
- generovať sprievodný list,
- zaznamenať doručenie,
- umožniť integráciu s portálom pre geodetov.</t>
  </si>
  <si>
    <t>FR099</t>
  </si>
  <si>
    <t>Vydanie listiny cez IOMO</t>
  </si>
  <si>
    <t>Systém musí podporovať možnosť vydania verejnej listiny cez službu IOMO (integrované obslužné miesto občana), v súlade s legislatívou a platnými zmluvami. Funkcionalita sa má vzťahovať iba na vybrané listiny (výpis z LV, kópie KM), pričom žiadosť bude doručená a vybavená elektronicky.</t>
  </si>
  <si>
    <t>FR100</t>
  </si>
  <si>
    <t>Možnosť zaslania listiny poštou alebo elektronicky</t>
  </si>
  <si>
    <t>Systém má umožniť pracovníkovi zvoliť spôsob zaslania listiny (CÚD alebo poštou), s preferenciou elektronického doručovania v prípadoch, keď je listina v elektronickej forme a adresa je v rámci SR.</t>
  </si>
  <si>
    <t>FR101</t>
  </si>
  <si>
    <t>Podpisovanie elektronicky vydaných listín mandátnym certifikátom</t>
  </si>
  <si>
    <t>Všetky listiny vydávané elektronicky musia byť podpísané mandátnym certifikátom pracovníka, ktorý ich vydal, aby bola zaručená ich pravosť a zodpovednosť za obsah.</t>
  </si>
  <si>
    <t>FR102</t>
  </si>
  <si>
    <t xml:space="preserve">Stotožňovanie LV </t>
  </si>
  <si>
    <t xml:space="preserve">Systém musí podporovať proces stotožnenie LV ak predtým ešte nebol stotožnený. Pri požiadavke na výpisu  alebo kópie orginálu nestotožneného LV  systém musí automaticky notifikovať pracovníka o potrebe stotožnenia a zaznamenania výsledku  do systému. </t>
  </si>
  <si>
    <t>FR103</t>
  </si>
  <si>
    <t>Ochrana osobných údajov vo vydávaných listinách</t>
  </si>
  <si>
    <t>"Systém musí umožniť správu pravidiel na zvereňovanie osobných údajov v súlade s ochranou osobných údajov. Pravidlá zverejňovania údajov  bude možné konfigurovať . Príklad nastavení:
- osoba autentifikovaná eID/eIDAS má k dispozícii  osobné údaje v rozsahu meno, priezvisko, adresa, dátum narodenia
-  osoba anonymná  má k dipozícii osobné údaje v rozsahu meno, priezvisko
-  osoba s právnym vzťahom k LV vidí plný rozsah  osobných údajov na danom LV"</t>
  </si>
  <si>
    <t>FR104</t>
  </si>
  <si>
    <t>Poskytovanie kópií alebo výpisov z KO</t>
  </si>
  <si>
    <t>Systém musí umožňovať vydanie kópie alebo výpisu z SPI alebo SGI aj v prípadoch, keď nejde o verejnú listinu, a to v prípade, že osoba alebo subjekt má na získanie týchto údajov zákonné oprávnenie. Proces vydania musí prebiehať obdobne ako pri poskytovaní verejnej listiny, vrátane evidencie, overovania oprávnenia a doručenia.</t>
  </si>
  <si>
    <t>FR105</t>
  </si>
  <si>
    <t>Poskytovanie retrospektívnej analýzy pre oprávnené subjekty</t>
  </si>
  <si>
    <t>Systém musí podporovať vyhotovenie retrospektívnej analýzy pre pracovníkom oprávnených subjektov. Pracovník použije elektronické nástroje na spracovanie údajov a analýzu môže doplniť o údaje získané z listín na základe vlastného uváženia. Výstupná analýza bude doručovaná spôsobom rovnakým ako iné listiny a dokumenty.</t>
  </si>
  <si>
    <t>FR106</t>
  </si>
  <si>
    <t xml:space="preserve">Vyhľadávanie listín na základe špecifických vlastností </t>
  </si>
  <si>
    <t>Systém  musí umožňovať oprávneným subjektom požiadať o vydanie listín na základe špecifikovaných vlastností (napr. identita vlastníka, správcu, držiteľa ťarchy). Na základe žiadosti  systém poskytne zoznam identifikovaných relevantných listín. LIstiny môžu byť ováhované podľa zhody identity s osobou uvedenou na listine. Výstup musí byť doručený oprávnenému subjektu prostredníctvom mechanizmu, ktorý je definovaný v procese poskytovania verejných listín, a to v požadovanej forme  doručenia.</t>
  </si>
  <si>
    <t>FR107</t>
  </si>
  <si>
    <t>Poskytovanie ostatných informácií pre portál UGKK alebo iné systémy integrované na RIP</t>
  </si>
  <si>
    <t xml:space="preserve">Systém bude umožnovať   poskytovanie údajov prostredníctvom API služieb  pre systémy integrované na RIP. Ktoré všetky informácie budú poskytované portálom UGKK a iným systémom integrovaným na RIP je závisle od požiadaviek Portálu UGKK a RIP. Spadajú tam niektoré vyššie popísané informácie, ale očakáva sa aj napríklad poskytovanie informácií o podaniach a konaniach pre podávateľov. </t>
  </si>
  <si>
    <t>FR108</t>
  </si>
  <si>
    <t>Poskytovanie informácií pre tvorbu GP</t>
  </si>
  <si>
    <t>Systém  musí umožniť poskytovanie podkladov pre výkon geodetických činností, najmä tvorbu geometrických plánov, oprávneným geodetom na základe ich žiadosti. Tieto podklady musia byť dostupné prostredníctvom RIP do Portálu ÚGKK alebo iného informačného systému určeného pre geodetov, ako aj priamymi spôsobmi (rovnako ako pri poskytovaní verejnej listiny alebo kópie z KO).</t>
  </si>
  <si>
    <t>FR109</t>
  </si>
  <si>
    <t>Notifikovanie osôb so vzťahom k nehnuteľnosti a konaniu</t>
  </si>
  <si>
    <t>Systém musí podporovať notifikovanie osôb, ktoré si to želajú, o stave konania na nimi určených nehnuteľnostiach. Osoby môžu zadať žiadosť o notifikácie vrátane e-mailovej adresy – buď pri podaní, alebo prostredníctvom Portálu ÚGKK. Notifikácie budú zasielané pri kľúčových zmenách stavu konania (napr. začatie, prerušenie, rozhodnutie atď.). Používateľ si bude môcť svoje preferencie upravovať a rušiť.</t>
  </si>
  <si>
    <t>FR110</t>
  </si>
  <si>
    <t>Publikovanie dát pre iné ISVS</t>
  </si>
  <si>
    <t>Systém musí automatizovane zdieľať údaje a zmeny údajov s inými informačnými systémami štátnej správy prostredníctvom temporálne nastavených procesov. Zdieľanie môže byť realizované priamo alebo cez integračné medzičlánky ako RIP.</t>
  </si>
  <si>
    <t>FR111</t>
  </si>
  <si>
    <t>Správa používateľov, rolí a oprávnení mimo RIAM</t>
  </si>
  <si>
    <t>Systém musí umožniť správu používateľov, dočasných alebo doplnkových rolí a oprávnení, ktoré nie sú dostupné z RIAM. Tieto nastavenia budú nastavované poverenými pracovníkmi a propagované na všetky pracoviská KOOÚ. Prístup k funkciám a dátam bude obmedzený podľa týchto nastavení. Možné bude aj dočasné nastavenie pre prípady zastupovania.</t>
  </si>
  <si>
    <t>FR112</t>
  </si>
  <si>
    <t>Správa úloh a ich rozdeľovanie</t>
  </si>
  <si>
    <t>Systém musí umožniť povereným pracovníkom KOOÚ nastavovať a sledovať prideľovanie úloh jednotlivým zamestnancom. Funkcionalita bude zahŕňať aj automatické prideľovanie úloh, monitoring lehôt a analytiku. Pracovník bude mať možnosť požiadať o zmenu pridelenia úlohy inému KOOÚ v prípade chybného alebo nevhodného prideľovania.</t>
  </si>
  <si>
    <t>FR113</t>
  </si>
  <si>
    <t>Správa registra záujmových osôb</t>
  </si>
  <si>
    <t>Systém musí zabezpečovať evidenciu záujmových osôb katastra nehnuteľností (napr. osoby s právom k nehnuteľnostiam, účastníci konania, osoby zadávajúce objednávky), pričom musí byť zabezpečená konzistencia a historickosť týchto údajov. Systém musí umožniť pravidelnú aktualizáciu údajov o fyzických a právnických osobách na základe porovnania s údajmi z referenčných registrov. V prípade zistenia zmeny má systém automaticky vygenerovať úlohu na spracovanie zmeny a priradiť ju poverenému pracovníkovi. Po kontrole zmeny voči aktuálnemu stavu môže poverený pracovník zmenu schváliť, čím systém zaeviduje vlastný podnet na zmenu údajov. Proces zapracovania zmeny musí byť v súlade s procesom „Spravovanie, revízia, prešetrovanie a následná aktualizácia údajov KO“.</t>
  </si>
  <si>
    <t>FR114</t>
  </si>
  <si>
    <t>Správa a konfigurácia workflow pre katastrálne konania</t>
  </si>
  <si>
    <t>Systém musí umožňovať správu a konfiguráciu workflow pre rôzne typy katastrálnych konaní. Poverený pracovník musí mať možnosť definovať pravidlá pre automatické prideľovanie úloh, nastavovať lehoty na ich plnenie, konfigurovať podmienky pre zmeny stavu konania a spúšťanie notifikácií. Systém musí umožniť, aby tieto nastavenia mohli byť prispôsobené podľa aktuálnych legislatívnych požiadaviek alebo interných smerníc, pričom konfigurovateľnosť má byť dostupná na úrovni jednotlivých pracovísk aj na úrovni celého úradu.</t>
  </si>
  <si>
    <t>FR115</t>
  </si>
  <si>
    <t>Architektúra</t>
  </si>
  <si>
    <t>Podpora samostatného fungovania okresných úradov</t>
  </si>
  <si>
    <t>ISKN 2.0 musí byť navrhnutý tak, aby každý okresný úrad mohol pracovať ako samostatná organizačná a procesná jednotka, pričom systém musí reflektovať ich autonómiu pri práci s údajmi a spisovou agendou.</t>
  </si>
  <si>
    <t>FR116</t>
  </si>
  <si>
    <t>Podpisovanie rozhodnutí cez registratúrny modul</t>
  </si>
  <si>
    <t>Funkcionalita podpisovania rozhodnutí má byť plne integrovaná do nového systému ako súčasť modulu registratúry. Systém musí umožňovať elektronický podpis rozhodnutí pomocou mandátneho alebo pečatného certifikátu.</t>
  </si>
  <si>
    <t>FR117</t>
  </si>
  <si>
    <t>Podpora alternatívnych foriem doručenia rozhodnutí</t>
  </si>
  <si>
    <t>"Riešenie musí podporovať viaceré formy doručenia rozhodnutí vrátane:
    tlače na pracovisku KO OÚ,
    zverejnenia na úradnej výveske,
    zverejnenia na webovej stránke UGKK (napr. ak štandardné doručovanie zlyhá)."</t>
  </si>
  <si>
    <t>FR118</t>
  </si>
  <si>
    <t>Podpora výmeny údajov s geodetmi</t>
  </si>
  <si>
    <t>Riešenie musí zabezpečiť efektívne a presné integračné mechanizmy na výmenu údajov s geodetmi. Táto integrácia má byť prioritne podporovaná pre zlepšenie presnosti a efektivity procesov.</t>
  </si>
  <si>
    <t>FR119</t>
  </si>
  <si>
    <t>Napojenie na CÚD cez rezortnú integračnú platformu (RIP)</t>
  </si>
  <si>
    <t>Systém musí podporovať odosielanie rozhodnutí cez rezortnú integračnú platformu, ktorá zabezpečuje pripojenie na centrálny systém úradného doručovania (CÚD).</t>
  </si>
  <si>
    <t>FR120</t>
  </si>
  <si>
    <t>Evidencia podaní mimo spisu</t>
  </si>
  <si>
    <t>Modul podateľne musí umožňovať evidenciu podnetov, ktoré neboli okamžite zaradené do spisu. Takéto podania musia byť uchované samostatne, vrátane možnosti ich následného zaradenia do konania alebo iného procesu.</t>
  </si>
  <si>
    <t>FR121</t>
  </si>
  <si>
    <t>Automatické zakladanie spisov pri elektronických podaniach</t>
  </si>
  <si>
    <t>Systém musí automaticky vytvárať nový spis alebo priraďovať podanie k existujúcemu spisu, ak elektronický formulár obsahuje relevantné informácie. Ak takáto identifikácia nie je možná, podanie sa eviduje v podateľni na manuálne spracovanie.</t>
  </si>
  <si>
    <t>FR122</t>
  </si>
  <si>
    <t>Sledovanie stavu podaní a ich konverzie</t>
  </si>
  <si>
    <t>Modul podateľne musí umožniť sledovanie stavu vybavovania podnetov, ich priradenie k spisom a evidenciu ich konverzie na konanie alebo inú evidenčnú jednotku.</t>
  </si>
  <si>
    <t>FR123</t>
  </si>
  <si>
    <t>Priradenie doplňujúcich dokumentov ku konaniu</t>
  </si>
  <si>
    <t>Systém musí umožniť evidenciu dodatočne doručených dokumentov, ktoré dopĺňajú už otvorené konanie. Každý dokument musí obsahovať jednoznačnú identifikáciu spisu a byť označený ako „doplnok k podaniu“.</t>
  </si>
  <si>
    <t>FR124</t>
  </si>
  <si>
    <t>Elektronická konverzia fyzických dokumentov</t>
  </si>
  <si>
    <t>Podateľňa musí zabezpečiť elektronickú konverziu listinných dokumentov s garanciou integrity záznamu. Elektronická verzia musí byť právne záväzná a použiteľná ako rovnocenná kópia originálu.</t>
  </si>
  <si>
    <t>FR125</t>
  </si>
  <si>
    <t>Dátová vrstva a model</t>
  </si>
  <si>
    <t>Prepojenie elektronickej evidencie s fyzickými dokumentmi</t>
  </si>
  <si>
    <t>Systém musí zabezpečiť prepojenie elektronickej evidencie s fyzickým originálom dokumentu – prostredníctvom jednoznačného identifikátora, údajov o mieste uloženia, štítku s čiarovým kódom a informácií o osobe, ktorá vykonala konverziu.</t>
  </si>
  <si>
    <t>FR126</t>
  </si>
  <si>
    <t>Podpora platobných operácií súvisiacich s podaniami</t>
  </si>
  <si>
    <t>Modul podateľne musí umožniť generovanie platobných príkazov, overovanie vykonania platby a následnú evidenciu stavu úhrady v spise alebo objednávke.</t>
  </si>
  <si>
    <t>FR127</t>
  </si>
  <si>
    <t>Evidencia eKolkov</t>
  </si>
  <si>
    <t>Systém musí umožniť zaevidovanie eKolku, jeho priradenie k príslušnému procesu (konanie alebo objednávka), a zabezpečiť kontrolu jeho platnosti a použitia.</t>
  </si>
  <si>
    <t>FR128</t>
  </si>
  <si>
    <t>Automatická notifikácia o úhrade v module registratúry</t>
  </si>
  <si>
    <t>Po zaevidovaní úhrady (či už platby alebo eKolku), musí systém automaticky informovať spracovateľa v module registratúry a zaznamenať stav úhrady priamo do spisu.</t>
  </si>
  <si>
    <t>FR129</t>
  </si>
  <si>
    <t>Plnohodnotné spracovanie a správa spisov a konaní</t>
  </si>
  <si>
    <t>Modul registratúry musí umožňovať evidenciu, správu a spracovanie spisov a konaní vrátane ich prepojenia. Musí poskytovať úradníkovi všetky nástroje potrebné na rozhodovanie bez nutnosti použitia externých nástrojov.</t>
  </si>
  <si>
    <t>FR130</t>
  </si>
  <si>
    <t>Zobrazovanie údajov podľa typu konania</t>
  </si>
  <si>
    <t>Modul registratúry musí kontextovo prispôsobiť zobrazovanie údajov podľa typu konania (napr. pozemkové úpravy). Úradník musí mať k dispozícii všetky relevantné pohľady a údaje potrebné pre kvalifikované rozhodnutie.</t>
  </si>
  <si>
    <t>FR131</t>
  </si>
  <si>
    <t>Zápis väzieb medzi spismi a zoskupovanie konaní</t>
  </si>
  <si>
    <t>Registratúra musí podporovať evidenciu viacerých konaní v jednom spise a umožniť vytváranie explicitných väzieb medzi rôznymi spismi podľa potrieb úradníka. Tieto väzby musia byť zapisované do systému ako súčasť evidencie.</t>
  </si>
  <si>
    <t>FR132</t>
  </si>
  <si>
    <t>Odosielanie a podpisovanie úradnej pošty</t>
  </si>
  <si>
    <t>Registratúra musí podporovať odosielanie rozhodnutí vrátane ich elektronického podpisovania. V prípade potreby musí systém generovať tlačové dokumenty s doložkou o autorizácii.</t>
  </si>
  <si>
    <t>FR133</t>
  </si>
  <si>
    <t>Evidencia doručovania vrátane notifikácií z CÚD</t>
  </si>
  <si>
    <t>Modul registratúry musí evidovať všetky technické informácie o doručovaní vrátane potvrdení o doručení z centrálneho systému úradného doručovania (CÚD). Tieto informácie musia byť automaticky zapisované do spisu.</t>
  </si>
  <si>
    <t>FR134</t>
  </si>
  <si>
    <t>Zobrazovanie údajov z katastrálneho operátu v režime čítania</t>
  </si>
  <si>
    <t>Modul SPI musí umožňovať zobrazovanie údajov z katastrálneho operátu vrátane listov vlastníctva, ich histórie a väzieb na konania. Úprava týchto údajov priamo cez SPI nie je povolená – modul slúži výhradne na čítanie.</t>
  </si>
  <si>
    <t>FR135</t>
  </si>
  <si>
    <t>Podpora vyhľadávania vlastníckych a právnych vzťahov</t>
  </si>
  <si>
    <t>Systém musí umožniť vyhľadávanie údajov v SPI na základe rôznych parametrov, vrátane vlastníckych vzťahov, ťárch, poznámok a ďalších právnych väzieb viazaných na nehnuteľnosti.</t>
  </si>
  <si>
    <t>FR136</t>
  </si>
  <si>
    <t>Možnosť evidencie interných poznámok k SPI záznamom</t>
  </si>
  <si>
    <t>Modul SPI musí umožniť pridávať interné poznámky k údajom, ktoré slúžia výlučne pre potreby pracovníkov katastra. Tieto poznámky nie sú verejné a musia byť viazané na konkrétny údaj alebo záznam.</t>
  </si>
  <si>
    <t>FR137</t>
  </si>
  <si>
    <t>Zmena údajov v SPI výlučne cez registratúru</t>
  </si>
  <si>
    <t>Každá úprava údajov v SPI musí byť vykonaná výhradne prostredníctvom konania alebo vlastného podnetu vedeného v registratúre. Modul SPI nesmie obsahovať mechanizmy na zmenu dát – len zobrazovanie a doplňovanie poznámok.</t>
  </si>
  <si>
    <t>FR138</t>
  </si>
  <si>
    <t>Správa súpisných čísel a väzba na stavby</t>
  </si>
  <si>
    <t>ISKN 2.0 musí podporovať evidenciu súpisných čísel, vrátane ich priraďovania ku stavbám a sledovania historických zmien. Údaje o súpisných číslach musia byť súčasťou SPI a musia byť jednoznačne previazané s konkrétnou stavbou v katastri.</t>
  </si>
  <si>
    <t>FR139</t>
  </si>
  <si>
    <t>Zabezpečenie historickej sledovateľnosti údajov SPI</t>
  </si>
  <si>
    <t>Systém musí podporovať historizáciu údajov spravovaných v SPI vrátane informácií o pridelení, zmene alebo zrušení súpisného čísla. Záznamy musia byť právne relevantné a spätne overiteľné.</t>
  </si>
  <si>
    <t>FR140</t>
  </si>
  <si>
    <t>Zobrazovanie a správa údajov ZPMZ, GP a parciel</t>
  </si>
  <si>
    <t>Modul SGI musí podporovať prácu s údajmi geodetického charakteru – najmä ZPMZ, geometrické plány a ďalšie priestorové dáta súvisiace s katastrálnym operátom. Údaje musia byť vizualizovateľné a spravovateľné podľa pridelených oprávnení.</t>
  </si>
  <si>
    <t>FR141</t>
  </si>
  <si>
    <t>Podpora pridelenia číselných radov a komunikácie s geodetmi</t>
  </si>
  <si>
    <t>Systém musí umožniť správu číselných radov pre ZPMZ, čísla parciel, evidenciu histórie geometrických plánov a prehľad komunikácie medzi úradníkom a geodetom.</t>
  </si>
  <si>
    <t>FR142</t>
  </si>
  <si>
    <t>Webové zobrazenie katastrálnej mapy a údajov v GIS formáte</t>
  </si>
  <si>
    <t>Minimálne grafické rozhranie systému musí umožňovať zobrazenie GIS údajov vrátane aktuálnej vektorovej katastrálnej mapy v prehliadači.</t>
  </si>
  <si>
    <t>FR143</t>
  </si>
  <si>
    <t>Správa údajov o bonitnom určení pôdy a typoch parciel</t>
  </si>
  <si>
    <t>Modul SGI musí umožniť prístup k doplňujúcim údajom ako typy parciel, body, objekty a bonitné určenie pôdy. Tieto údaje musia byť aktuálne, presne definované a viazané na správne územné jednotky.</t>
  </si>
  <si>
    <t>FR144</t>
  </si>
  <si>
    <t>Samostatná evidencia GP nezávisle od mapy</t>
  </si>
  <si>
    <t>Geometrické plány musia byť evidované samostatne, mimo vektorovej mapy, no s možnosťou následného zaradenia do evidencie pri podaní konania.</t>
  </si>
  <si>
    <t>FR145</t>
  </si>
  <si>
    <t>Zobrazenie stavu nahratých dokumentov cez portál UGKK</t>
  </si>
  <si>
    <t>Geodeti musia mať možnosť sledovať stav nahraných dokumentov a plánov cez portál UGKK bez potreby listinnej výmeny dokumentov.</t>
  </si>
  <si>
    <t>FR146</t>
  </si>
  <si>
    <t>Možnosť správy tokenov úradníkom</t>
  </si>
  <si>
    <t>Úradník musí byť schopný vystaviť tokeny s oprávnením na čítanie alebo zápis do vybraných dátových oblastí. Tokeny musia byť viazané na osobu, typ dokumentu alebo konkrétne konanie.</t>
  </si>
  <si>
    <t>FR147</t>
  </si>
  <si>
    <t>Integrácia cez WFS pre získanie údajov geodetmi</t>
  </si>
  <si>
    <t>Geodetom musí byť umožnené získavať aktuálne dáta prostredníctvom štandardu WFS. Portál UGKK musí tieto dáta poskytovať na vyžiadanie, s garanciou aktuálnosti a konzistencie.</t>
  </si>
  <si>
    <t>FR148</t>
  </si>
  <si>
    <t>Auditovateľnosť zápisov v SGI</t>
  </si>
  <si>
    <t>Každá zmena údajov v SGI musí byť auditovateľná. Musí byť zaznamenané, kto ju vykonal, k akému konaniu sa viaže a cez aký geometrický plán bola zmena vykonaná.</t>
  </si>
  <si>
    <t>FR149</t>
  </si>
  <si>
    <t>Zobrazenie dokumentov Zbierky listín s obmedzeným režimom</t>
  </si>
  <si>
    <t>Modul musí umožniť zobrazovanie dokumentov uložených v Zbierke listín v súlade s ich ochranným režimom. Dokumenty sú výlučne na čítanie, nie je možné ich upravovať, ani po schválení.</t>
  </si>
  <si>
    <t>FR150</t>
  </si>
  <si>
    <t>Evidencia existencie fyzickej listiny</t>
  </si>
  <si>
    <t>V prípade, že dokument existuje len v papierovej podobe, musí byť v systéme vedený evidenčný záznam s údajmi o jeho fyzickom umiestnení v archíve okresného úradu.</t>
  </si>
  <si>
    <t>FR151</t>
  </si>
  <si>
    <t>Sprístupnenie digitalizovanej listiny po zaručenej konverzii</t>
  </si>
  <si>
    <t>Digitalizovaná forma dokumentu môže byť sprístupnená len v prípade, že bola vykonaná zaručená konverzia a dokument je podpísaný v súlade s platnou legislatívou. V takom prípade musí byť dokument prístupný priamo v systéme.</t>
  </si>
  <si>
    <t>FR152</t>
  </si>
  <si>
    <t>Zobrazenie a kontrola stavu elektronických podpisov</t>
  </si>
  <si>
    <t>Systém musí poskytovať informácie o stave elektronických podpisov, ktoré sú súčasťou digitalizovaných dokumentov. Úradník musí mať možnosť overiť ich dôveryhodnosť.</t>
  </si>
  <si>
    <t>FR153</t>
  </si>
  <si>
    <t>Obnova elektronického podpisu pri exspirácii certifikátu</t>
  </si>
  <si>
    <t>Systém musí podporovať mechanizmus obnovy elektronického podpisu. Ak dokument obsahuje podpis s expirovaným certifikátom, musí byť automaticky alebo manuálne doplnený o nový podpis podľa aktuálnych bezpečnostných štandardov. Nemožno ponechať dokument so starým, neplatným podpisom.</t>
  </si>
  <si>
    <t>FR154</t>
  </si>
  <si>
    <t>Prehliadanie a správa dokumentov cez grafické rozhranie</t>
  </si>
  <si>
    <t>Používateľ musí mať cez rozhranie ISKN 2.0 prístup na prehliadanie všetkých evidovaných dokumentov v systéme vrátane dokumentov uložených ako súčasť katastrálneho operátu. Zároveň musí byť umožnená správa dokumentov podľa ich životného cyklu.</t>
  </si>
  <si>
    <t>FR155</t>
  </si>
  <si>
    <t>Evidencia verzií dokumentov a ich väzieb</t>
  </si>
  <si>
    <t>Systém  musí podporovať evidenciu verzií dokumentov. Ak dokument bol nahradený novšou verziou, systém musí uchovávať informácie o predchádzajúcich verziách a ich vzťahu k aktuálnej verzii.</t>
  </si>
  <si>
    <t>FR156</t>
  </si>
  <si>
    <t>Riadené vyradenie alebo vymazanie dokumentov po strate referencie alebo po uplynutí doby uchovávania</t>
  </si>
  <si>
    <t>Systém musí byť schopný identifikovať dokumenty bez platnej väzby alebo po uplynutí platnosti a následne ich riadene vyradiť alebo odstrániť podľa platných pravidiel uchovávania.</t>
  </si>
  <si>
    <t>FR157</t>
  </si>
  <si>
    <t>Evidencia metadát dokumentov</t>
  </si>
  <si>
    <t>Každý dokument v úložisku musí byť doplnený o metadata, ktoré obsahujú informácie o pôvode dokumentu, pravidlách jeho spracovania, type dokumentu a väzbách na ďalšie entity v systéme.</t>
  </si>
  <si>
    <t>FR158</t>
  </si>
  <si>
    <t>Konfigurácia číselníkov, území, používateľov a skupín</t>
  </si>
  <si>
    <t>Systém musí umožniť konfiguračnú správu číselníkov, katastrálnych území, používateľských účtov a skupín priamo z používateľského rozhrania.</t>
  </si>
  <si>
    <t>FR159</t>
  </si>
  <si>
    <t>Zobrazenie auditovacích údajov a nastavenie notifikácií</t>
  </si>
  <si>
    <t>Systém musí poskytovať auditovacie prehľady pre kontrolu činností používateľov a umožniť nastavenie notifikačných mechanizmov podľa definovaných udalostí alebo stavov.</t>
  </si>
  <si>
    <t>FR160</t>
  </si>
  <si>
    <t>Konfigurácia business a validačných parametrov</t>
  </si>
  <si>
    <t>Modul musí umožniť správu business parametrov a validačných pravidiel vrátane definovania rozhodovacích právomocí úradníka, nastavenia lehôt konaní a pravidiel posudzovania ich platnosti.</t>
  </si>
  <si>
    <t>FR161</t>
  </si>
  <si>
    <t>Správa cenníkových položiek</t>
  </si>
  <si>
    <t>Systém musí umožniť správu cenníkových položiek, ktoré definujú výšku správnych poplatkov alebo iných platieb súvisiacich s katastrálnymi úkonmi. Cenník musí byť upravovateľný oprávneným používateľom a naviazaný na konkrétne typy služieb alebo konaní.</t>
  </si>
  <si>
    <t>FR162</t>
  </si>
  <si>
    <t>Konfigurácia PKI infraštruktúry a podpisovania</t>
  </si>
  <si>
    <t>Systém musí obsahovať konfiguračné rozhranie pre správu PKI infraštruktúry. To zahŕňa nastavenie spôsobu elektronického podpisovania dokumentov, správu certifikátov a parametrov autorizácie v súlade s platnými bezpečnostnými štandardmi.</t>
  </si>
  <si>
    <t>FR163</t>
  </si>
  <si>
    <t>Editácia šablón rozhodnutí a elektronických formulárov</t>
  </si>
  <si>
    <t>Úradníci musia mať možnosť upravovať šablóny rozhodnutí a nastavovať elektronické formuláre, ktoré sa používajú v rámci katastrálnych konaní.</t>
  </si>
  <si>
    <t>FR164</t>
  </si>
  <si>
    <t xml:space="preserve">Reporty a štatistiky </t>
  </si>
  <si>
    <t>Podpora analytických a štatistických výstupov</t>
  </si>
  <si>
    <t>Systém musí obsahovať analytické a štatistické prehľady výkonnosti úradov a používateľskej vyťaženosti. Výstupy musia byť dostupné oprávneným používateľom.</t>
  </si>
  <si>
    <t>FR165</t>
  </si>
  <si>
    <t>Identifikácia a sledovanie záujmových osôb cez RFO a RPO</t>
  </si>
  <si>
    <t>Systém musí umožniť identifikovať osoby uvedené na liste vlastníctva ako záujmové a následne automaticky sledovať ich zmeny údajov v externých registroch RFO a RPO.</t>
  </si>
  <si>
    <t>FR166</t>
  </si>
  <si>
    <t>Doplnkové operácie nad dátovým modelom mimo štandardných konaní</t>
  </si>
  <si>
    <t>Systém musí podporovať vykonávanie špecifických operácií nad dátovým modelom mimo bežných registratúrnych konaní, napr. legislatívne výnimočné procesy alebo opravy údajov na základe vývoja legislatívy.</t>
  </si>
  <si>
    <t>FR167</t>
  </si>
  <si>
    <t>API pre zobrazovanie a správu dokumentov s ohľadom na oprávnenia</t>
  </si>
  <si>
    <t>Modul musí poskytovať API rozhrania na zobrazovanie dokumentov a správu ich atribútov. Prístup musí byť riadený na základe úrovne oprávnení používateľa alebo integračného partnera.</t>
  </si>
  <si>
    <t>FR168</t>
  </si>
  <si>
    <t>Verziovanie dokumentov a správa životného cyklu</t>
  </si>
  <si>
    <t>Modul musí podporovať správu verzií dokumentov, ich historizáciu a automatizované vyradenie alebo archiváciu podľa definovaných pravidiel uchovávania.</t>
  </si>
  <si>
    <t>FR169</t>
  </si>
  <si>
    <t>Evidencia a kontrola elektronických podpisov</t>
  </si>
  <si>
    <t>Modul musí sledovať stav elektronických podpisov pripojených k dokumentom a poskytovať informácie o ich platnosti cez API rozhrania.</t>
  </si>
  <si>
    <t>FR170</t>
  </si>
  <si>
    <t>Podpora procesov naprieč komponentmi s transakčnou konzistenciou (SAGA)</t>
  </si>
  <si>
    <t>Workflow engine musí umožňovať riadenie komplexných procesov prebiehajúcich naprieč viacerými komponentmi systému ISKN 2.0. Pri výmene údajov musí byť zachovaná transakčná konzistencia na princípoch architektúry SAGA.</t>
  </si>
  <si>
    <t>FR171</t>
  </si>
  <si>
    <t>Spúšťanie procesov len používateľskou interakciou</t>
  </si>
  <si>
    <t>Workflow engine nesmie podporovať časovo plánované úlohy (cron-like jobs). Všetky procesy musia byť iniciované explicitnou interakciou používateľa – čím sa zabezpečuje transparentnosť a auditovateľnosť akcií.</t>
  </si>
  <si>
    <t>FR172</t>
  </si>
  <si>
    <t>Správa rozpracovaných úloh a procesného priebehu</t>
  </si>
  <si>
    <t>Workflow engine musí evidovať priebeh procesov, aktuálny stav rozpracovaných úloh a výsledky volaní jednotlivých zapojených API endpointov v rámci svojej samostatnej databázy.</t>
  </si>
  <si>
    <t>FR173</t>
  </si>
  <si>
    <t>Konfigurácia workflowov cez rozhranie systému alebo vlastné UI</t>
  </si>
  <si>
    <t>Konfigurácia workflowov musí byť možná buď priamo v rámci grafického rozhrania agendového systému, alebo cez vlastné konfiguračné rozhranie workflow enginu – v závislosti od návrhu riešenia.</t>
  </si>
  <si>
    <t>FR174</t>
  </si>
  <si>
    <t>Auditovateľnosť a sledovanie zmien vo workflow konfiguráciách</t>
  </si>
  <si>
    <t>Všetky zmeny v definíciách workflowov musia byť zaznamenané formou event sourcingu. Systém musí poskytovať auditovateľný záznam o tom, kto, kedy a čo zmenil, s možnosťou spätnej analýzy.</t>
  </si>
  <si>
    <t>FR175</t>
  </si>
  <si>
    <t>Správa číselníkov a business parametrov pre agendu katastra</t>
  </si>
  <si>
    <t>Systém musí umožňovať správu konfigurovateľných zoznamov hodnôt (číselníkov), ako sú typy rozhodnutí, konaní, statusov, a ďalších parametrov potrebných pri spracovaní agendy.</t>
  </si>
  <si>
    <t>FR176</t>
  </si>
  <si>
    <t>Nastavenie časových lehôt, sadzieb a procesných pravidiel</t>
  </si>
  <si>
    <t>Systém musí umožňovať konfiguráciu časových lehôt, sadzobníkov a pravidiel, ktoré vstupujú do rozhodovacích a procesných workflow logík. Tieto údaje musia byť modifikovateľné podľa legislatívnych zmien alebo prevádzkových potrieb.</t>
  </si>
  <si>
    <t>FR177</t>
  </si>
  <si>
    <t>Inicializácia systému a historické údaje</t>
  </si>
  <si>
    <t>Zachovanie historickej konzistencie konfigurácií</t>
  </si>
  <si>
    <t>Systém musí zabezpečiť, že konania a rozhodnutia založené na predchádzajúcich parametroch ostávajú právne a obsahovo konzistentné. Staré hodnoty musia byť dostupné pre spätnú analýzu a audit.</t>
  </si>
  <si>
    <t>FR178</t>
  </si>
  <si>
    <t>Auditovateľnosť zmien konfigurácií číselníkov a parametrov</t>
  </si>
  <si>
    <t>Každá zmena v číselníkoch alebo business parametroch musí byť auditovaná vrátane informácie o tom, kto, kedy a akú zmenu vykonal. Záznamy musia byť spätne prehľadateľné.</t>
  </si>
  <si>
    <t>FR179</t>
  </si>
  <si>
    <t>Preberanie používateľských účtov z Active Directory</t>
  </si>
  <si>
    <t>Systém ISKN 2.0 musí byť schopný preberať používateľské účty z viacerých federovaných Active Directory domén, ktoré sú prevádzkované na úrovni okresných úradov a ÚGKK.</t>
  </si>
  <si>
    <t>FR180</t>
  </si>
  <si>
    <t>Grafické rozhranie pre správu oprávnení a zastupovania</t>
  </si>
  <si>
    <t>Systém musí obsahovať používateľsky prístupné rozhranie na správu prístupových práv, konfiguráciu zastupovania počas neprítomnosti a dočasné prideľovanie oprávnení.</t>
  </si>
  <si>
    <t>FR181</t>
  </si>
  <si>
    <t>Priradenie oprávnení podľa organizačnej štruktúry KO OÚ</t>
  </si>
  <si>
    <t>Pri importe používateľov je potrebné overiť ich príslušnosť ku konkrétnemu katastrálnemu odboru. Systém musí zabrániť prístupu nepovolaných osôb z iných odborov.</t>
  </si>
  <si>
    <t>FR182</t>
  </si>
  <si>
    <t>Evidencia a správa elektronických formulárov</t>
  </si>
  <si>
    <t>Systém ISKN 2.0 musí obsahovať funkcionalitu na evidenciu a správu elektronických formulárov, ktoré budú uchovávané v strojovo spracovateľnom formáte s presne definovanou schémou.</t>
  </si>
  <si>
    <t>FR183</t>
  </si>
  <si>
    <t>Konverzia dokumentov do vizualizačných formátov</t>
  </si>
  <si>
    <t>Systém musí umožňovať konverziu formulárov a dokumentov do formátov ako PDF, DOCX, HTML a iné, pričom konverzia bude zabezpečená prostredníctvom API rozhraní.</t>
  </si>
  <si>
    <t>FR184</t>
  </si>
  <si>
    <t>Zobrazenie a podpísanie dokumentu cez lokálnu aplikáciu</t>
  </si>
  <si>
    <t>V prípade zaručenej konverzie musí byť zabezpečená možnosť zobrazenia a následného podpísania dokumentu prostredníctvom lokálne bežiacej aplikácie a formátu PAdES.</t>
  </si>
  <si>
    <t>FR185</t>
  </si>
  <si>
    <t>Overovanie podpisov na elektronických prílohách</t>
  </si>
  <si>
    <t>Systém musí umožniť overenie podpisov na prílohách dokumentov (napr. zmluvy), pričom nie je predmetom overovanie samotného podania. Overovanie musí prebiehať v súlade s nariadením eIDAS.</t>
  </si>
  <si>
    <t>FR186</t>
  </si>
  <si>
    <t>Možnosť použitia mandátneho a pečaťového certifikátu</t>
  </si>
  <si>
    <t>Systém musí umožniť podpisovanie elektronických dokumentov buď mandátnym alebo pečaťovým certifikátom.</t>
  </si>
  <si>
    <t>FR187</t>
  </si>
  <si>
    <t>Zabezpečenie kvalifikovanej časovej pečiatky</t>
  </si>
  <si>
    <t>V prípade dokumentov vyžadujúcich najvyšší stupeň dôveryhodnosti musí byť zabezpečené pridanie kvalifikovanej časovej pečiatky, pričom implementácia musí byť v súlade s legislatívou a nariadeniami MIRRI SR.</t>
  </si>
  <si>
    <t>FR188</t>
  </si>
  <si>
    <t>Správa registratúrnych konaní prostredníctvom API</t>
  </si>
  <si>
    <t>Stredisko registratúry poskytuje funkcionalitu na kompletnú správu agendy registratúrnych konaní výhradne cez API rozhrania. Neposkytuje vizuálne používateľské rozhranie.</t>
  </si>
  <si>
    <t>FR189</t>
  </si>
  <si>
    <t>Spracovanie údajov v súlade s legislatívou</t>
  </si>
  <si>
    <t>Segment musí zabezpečiť úplné spracovanie údajov týkajúcich sa konaní podľa platnej legislatívy o katastri nehnuteľností.</t>
  </si>
  <si>
    <t>FR190</t>
  </si>
  <si>
    <t>Export údajov pre zápis do operátu</t>
  </si>
  <si>
    <t>Systém musí poskytovať výstupné údaje pre zápis do katastrálneho operátu výlučne prostredníctvom výstupov, ktoré integruje volajúca strana.</t>
  </si>
  <si>
    <t>FR191</t>
  </si>
  <si>
    <t>Správa spisov a konaní</t>
  </si>
  <si>
    <t>Modul pokrýva kompletnú agendu spisov a konaní, vrátane podaní a objednávok v súlade s definovanou business architektúrou.</t>
  </si>
  <si>
    <t>FR192</t>
  </si>
  <si>
    <t>Command / Query rozhranie</t>
  </si>
  <si>
    <t>Modul implementuje logiku v duchu CQRS: zmeny sa vykonávajú pomocou commands, výpis údajov cez queries. Stav sa získava dotazom po vykonaní príkazu.</t>
  </si>
  <si>
    <t>FR193</t>
  </si>
  <si>
    <t>Dvojúrovňové stavové riadenie (interný/externý stav)</t>
  </si>
  <si>
    <t>"Každý spis, konanie aj objednávka má:
    externý stav – reprezentuje oficiálny stav podľa legislatívy (publikovateľný)
    interný stav – slúži na spracovanie a zobrazuje pozíciu v technickom stavovom stroji (napr. „čaká na úhradu“)
Interné stavy generujú úlohy a notifikácie."</t>
  </si>
  <si>
    <t>FR194</t>
  </si>
  <si>
    <t>Stavový stroj s prechodmi a notifikáciami</t>
  </si>
  <si>
    <t>Systém musí obsahovať model stavového stroja so stavmi a prechodmi, ktoré generujú technické alebo používateľské úlohy a sú prepojené s notifikačným systémom.</t>
  </si>
  <si>
    <t>FR195</t>
  </si>
  <si>
    <t>Správa objednávok ako špecifických spisov</t>
  </si>
  <si>
    <t>Objednávky sa spracúvajú ako špecifické spisy, ktoré majú formu „knihy záznamov“, pričom každý záznam má vlastný životný cyklus.</t>
  </si>
  <si>
    <t>FR196</t>
  </si>
  <si>
    <t>Evidencia platobných predpisov a stavov platieb</t>
  </si>
  <si>
    <t>Modul ISKN 2.0 musí umožňovať evidenciu platobných predpisov a sledovanie ich aktuálneho stavu, aby bol zabezpečený súlad so zákonom o správnych poplatkoch a ďalšími legislatívnymi požiadavkami.</t>
  </si>
  <si>
    <t>FR197</t>
  </si>
  <si>
    <t>Evidencia a správa úloh na základe zmien v konaniach</t>
  </si>
  <si>
    <t>Systém ISKN 2.0 musí generovať úlohy a notifikácie pri zmenách stavov konaní, spisov alebo podaní, aby spracovateľ vedel, že má pokračovať v konaní alebo bol informovaný o zmene.</t>
  </si>
  <si>
    <t>FR198</t>
  </si>
  <si>
    <t>Správa notifikácií viazaných na konkrétne udalosti</t>
  </si>
  <si>
    <t>Notifikácie musia byť previazané s konkrétnymi udalosťami (napr. nové podanie, zmena stavu konania) a doručované oprávneným používateľom v systéme ISKN 2.0.</t>
  </si>
  <si>
    <t>FR199</t>
  </si>
  <si>
    <t>Historizácia úloh a analytické využitie</t>
  </si>
  <si>
    <t>Systém musí uchovávať históriu úloh pre potreby analýz, najmä pre vedúcich odborov, ktorí môžu sledovať vyťaženosť zamestnancov a prehľad o spracovaní konaní.</t>
  </si>
  <si>
    <t>FR200</t>
  </si>
  <si>
    <t>Možnosť manuálne vytvoriť alebo upraviť úlohu</t>
  </si>
  <si>
    <t>Vedúci odboru alebo iný oprávnený používateľ musí mať možnosť ručne vytvoriť alebo upraviť úlohu, ktorá nie je priamo naviazaná na systémovú udalosť.</t>
  </si>
  <si>
    <t>FR201</t>
  </si>
  <si>
    <t>Riadenie stavu úloh v rámci ich životného cyklu</t>
  </si>
  <si>
    <t>Každá úloha musí mať stavový model (napr. vytvorená → pridelená → spracováva sa → ukončená) a systém musí podporovať riadenie tohto životného cyklu.</t>
  </si>
  <si>
    <t>FR202</t>
  </si>
  <si>
    <t>Evidencia popisných a geodetických údajov</t>
  </si>
  <si>
    <t>Stredisko musí poskytovať evidenciu aktuálneho stavu údajov v katastri, vrátane popisných údajov (napr. vlastníctvo, obmedzenia) a geodetických údajov (napr. parcely, geometrické plány).</t>
  </si>
  <si>
    <t>FR203</t>
  </si>
  <si>
    <t>Podpora pracovných verzií údajov</t>
  </si>
  <si>
    <t>Systém musí podporovať model pracovných verzií údajov, ktoré slúžia na prípravu zmien pred ich zápisom. Zmeny sú potvrdené až po splnení všetkých podmienok v nadradenom procese.</t>
  </si>
  <si>
    <t>FR204</t>
  </si>
  <si>
    <t>Zápis plomby bez prípravnej dávky</t>
  </si>
  <si>
    <t>Zápis plomby je výnimka z bežného procesu – nevyžaduje prípravnú dávku, ale stále podlieha pravidlám konzistencie. Ak podmienky nie sú splnené, systém zápis odmietne.</t>
  </si>
  <si>
    <t>FR205</t>
  </si>
  <si>
    <t>Zmeny v SGI viazané na konanie a digitálny podpis</t>
  </si>
  <si>
    <t>Každá zmena údajov SGI musí byť jednoznačne naviazaná na konkrétne konanie a digitálne podpísaná zodpovednou osobou. Len tak môže byť zmena považovaná za platnú a schválenú.</t>
  </si>
  <si>
    <t>FR206</t>
  </si>
  <si>
    <t>Prístup k historickým dokumentom ZPMZ a plánom</t>
  </si>
  <si>
    <t>Systém musí umožniť prehliadanie historických ZPMZ dokumentov a súvisiacich geometrických plánov, aby bolo možné overiť staršie rozhodnutia a záznamy.</t>
  </si>
  <si>
    <t>FR207</t>
  </si>
  <si>
    <t>Správa dokumentov ako právneho základu zmien</t>
  </si>
  <si>
    <t>Systém musí evidovať a spravovať listiny, ktoré sú právnym základom zmien v katastrálnom operáte v Zbierke listín (napr. kúpne zmluvy, rozhodnutia súdov). Každá zmena v SPI alebo SGI musí byť previazaná na konkrétnu listinu.</t>
  </si>
  <si>
    <t>FR208</t>
  </si>
  <si>
    <t>Zaručená konverzia listinných dokumentov</t>
  </si>
  <si>
    <t>Systém musí umožňovať evidenciu zaručenej konverzie fyzických listín do elektronickej podoby, pričom originál ostáva v listinnej forme a elektronická verzia slúži na operatívne spracovanie.</t>
  </si>
  <si>
    <t>FR209</t>
  </si>
  <si>
    <t>Time-travel queries a rekonštrukcia histórie</t>
  </si>
  <si>
    <t>Systém musí umožniť zobrazenie údajov k ľubovoľnému historickému momentu na základe sekvencie zaznamenaných udalostí (tzv. time-travel queries).</t>
  </si>
  <si>
    <t>FR210</t>
  </si>
  <si>
    <t>Podpora materializovaných pohľadov odvodených z udalostí</t>
  </si>
  <si>
    <t>Na základe zaznamenaných udalostí musí byť možné vytvárať materializované pohľady optimalizované pre čítacie operácie alebo špecifické analytické účely.</t>
  </si>
  <si>
    <t>FR211</t>
  </si>
  <si>
    <t>API prístup k údajom na základe poradového čísla udalosti</t>
  </si>
  <si>
    <t>Rozhrania pre čítanie údajov musia umožniť prístup k údajom pomocou poradového čísla v event streame (napr. vrátenie záznamov od určitého ID).</t>
  </si>
  <si>
    <t>FR212</t>
  </si>
  <si>
    <t>Jemnozrnná kontrola a audit oprávnení</t>
  </si>
  <si>
    <t>Systém musí umožňovať definovanie oprávnení na úrovni rolí, organizačnej štruktúry, zastupovania a časových obmedzení vrátane možnosti auditov a revízií.</t>
  </si>
  <si>
    <t>FR213</t>
  </si>
  <si>
    <t>Grafické rozhranie na správu menných priestorov číselníka</t>
  </si>
  <si>
    <t>Komponent musí poskytovať grafické používateľské rozhranie pre správu konfigurácie jednotlivých menných priestorov (prefixy, číselné rozsahy, inicializácia).</t>
  </si>
  <si>
    <t>FR214</t>
  </si>
  <si>
    <t>Integrácia centrálneho číslovania do business procesov</t>
  </si>
  <si>
    <t>Vygenerované poradové čísla musia byť automaticky dostupné pre interné procesy systému ISKN 2.0, napríklad pre číslovanie konaní v rámci jednotlivých katastrálnych odborov.</t>
  </si>
  <si>
    <t>FR215</t>
  </si>
  <si>
    <t>Podpora manuálneho importu elektronických podaní</t>
  </si>
  <si>
    <t>Podateľňa systému ISKN 2.0 musí podporovať manuálny import elektronických podaní v prípadoch, kde nie je dostupné štruktúrované spracovanie, najmä z registratúrnych systémov okresných úradov.</t>
  </si>
  <si>
    <t>FR216</t>
  </si>
  <si>
    <t>Automatické spracovanie štruktúrovaných formulárov</t>
  </si>
  <si>
    <t>Štruktúrované elektronické podania, ktoré obsahujú typ podania, musia byť systémom automaticky spracovateľné a priraditeľné k správnemu konaniu.</t>
  </si>
  <si>
    <t>FR217</t>
  </si>
  <si>
    <t>Možnosť priradenia neštruktúrovaného podania ku konaniu</t>
  </si>
  <si>
    <t>Systém musí umožniť úradníkovi manuálne priradiť neštruktúrované elektronické podanie k správnemu konaniu, vrátane kontroly príloh a elektronických podpisov.</t>
  </si>
  <si>
    <t>FR218</t>
  </si>
  <si>
    <r>
      <t>Podpora exportu z registratúrneho strediska okresného úradu</t>
    </r>
    <r>
      <rPr>
        <sz val="10"/>
        <color rgb="FFFF0000"/>
        <rFont val="Calibri Light"/>
        <family val="2"/>
      </rPr>
      <t xml:space="preserve"> </t>
    </r>
    <r>
      <rPr>
        <sz val="10"/>
        <color rgb="FF000000"/>
        <rFont val="Calibri Light"/>
        <family val="2"/>
      </rPr>
      <t>a importu do ISKN 2.0</t>
    </r>
  </si>
  <si>
    <t>Systém musí byť pripravený na spracovanie podaní, ktoré boli exportované z registratúrneho systému okresného úradu, vrátane príloh a podpisových metadát.</t>
  </si>
  <si>
    <t>NR001</t>
  </si>
  <si>
    <t>Ne-Funkcna poziadavka</t>
  </si>
  <si>
    <t>Analýza a dokumentácia</t>
  </si>
  <si>
    <t xml:space="preserve">Vypracovanie dokumentácie </t>
  </si>
  <si>
    <t>Požaduje sa, aby dodávateľ zabezpečil dokumentáciu v zmysle vyhlášky 401/2023 Z.z.  Produkt R3-4</t>
  </si>
  <si>
    <t>NR002</t>
  </si>
  <si>
    <t>Školenia</t>
  </si>
  <si>
    <t xml:space="preserve">Vykonanie školení </t>
  </si>
  <si>
    <t xml:space="preserve">Požaduje sa, aby dodávateľ zabezpečil školenia pre relevantné osoby administrátorov a kľúčových používateľov. Rozsah školení bude dohodnutý v rámci návrhu riešenia. </t>
  </si>
  <si>
    <t>NR003</t>
  </si>
  <si>
    <t>Testovanie</t>
  </si>
  <si>
    <t xml:space="preserve">Vykonanie testovania </t>
  </si>
  <si>
    <t>Zabezpečenie a dodanie testovacej dokumentácie vrátane vykonania komplexného testovania plnej funkčnosti systému,preukázania výsledkov automatizovaného testovania podľa definovaných testovacích scenárov 
a to pred nasadením systému do prostredia UAT v súlade s projektovou dokumentáciou a v súlade s požiadavkami vyhlášky MIRRI SR č. 401/2023 Z. z.</t>
  </si>
  <si>
    <t>NR004</t>
  </si>
  <si>
    <t xml:space="preserve">Technická dokumentácia </t>
  </si>
  <si>
    <t>Požaduje sa aby dodávateľ odovzdal architektúru systému (EA  model) v štruktúre biznisová, aplikačná, dátová, technologická, bezpečnostná architetúra. Preferovaný nástroj na vytvorenie modul je Sprax EA.</t>
  </si>
  <si>
    <t>NR005</t>
  </si>
  <si>
    <t xml:space="preserve">Modelovacie nástroje </t>
  </si>
  <si>
    <t>Požaduje sa modelovanie DNR a jej súčastí využitím modelovacích nástrojov UML, BPMN a Archimate.</t>
  </si>
  <si>
    <t>NR006</t>
  </si>
  <si>
    <t>Prostredie a infraštruktúra</t>
  </si>
  <si>
    <t>Podporované prostredia</t>
  </si>
  <si>
    <t>Požaduje sa, aby bol systém nasadený a prevádzkovaný v produkčnom, testovacom a predprodukčnom prostredí.</t>
  </si>
  <si>
    <t>NR007</t>
  </si>
  <si>
    <t>Porovnateľnosť prostredí</t>
  </si>
  <si>
    <t>Požaduje sa, aby všetky prevádzkované prostredia boli konzistentne nastavené, s výnimkou pridelených systémových prostriedkov a prípadných dohodnutých výnimiek pre integráciu. Cieľom je zabezpečiť čo najvyššiu relevanciu testov a nameraných výsledkov v neprodukčných prostrediach vzhľadom na očakávané správanie systému v produkčnom prostredí.
Prostredia musia byť funkčne ekvivalentné v miere v akej to umožňuje infraštruktúra FR SR (napr. pokiaľ ide o integrované systémy FR SR pre dané prostredie).</t>
  </si>
  <si>
    <t>NR008</t>
  </si>
  <si>
    <t>Legislatíva</t>
  </si>
  <si>
    <t xml:space="preserve">Zákon 162/1995 Z.z </t>
  </si>
  <si>
    <t>Požaduje sa, aby dodané riešenie bolo v súlade s 162/1995 Z.z Zákon o katastri nehnuteľností a o zápise vlastníckych a iných práv k nehnuteľnostiam (katastrálny zákon)</t>
  </si>
  <si>
    <t>NR009</t>
  </si>
  <si>
    <t>Vyhláška 461/2009 Z. z.</t>
  </si>
  <si>
    <t>Požaduje sa, aby dodané riešenie bolo v súlade s 461/2009 Z. z. Vyhláška ktorou sa vykonáva zákon Národnej rady Slovenskej republiky č. 162/1995 Z. z. o katastri nehnuteľností a o zápise vlastníckych a iných práv k nehnuteľnostiam (katastrálny zákon) v znení neskorších predpisov</t>
  </si>
  <si>
    <t>NR010</t>
  </si>
  <si>
    <t>Vyhláška 22/2010 Z.z.</t>
  </si>
  <si>
    <t>Požaduje sa, aby dodané riešenie bolo v súlade s 22/2010 Z. z. Vyhláška ktorou sa vydáva Spravovací poriadok pre katastrálne úrady a správy katastra</t>
  </si>
  <si>
    <t>NR011</t>
  </si>
  <si>
    <t>Zákon 153/2001 Z. z.</t>
  </si>
  <si>
    <t>Požaduje sa, aby dodané riešenie bolo v súlade s 153/2001 Z. z. Zákon o prokuratúre</t>
  </si>
  <si>
    <t>NR012</t>
  </si>
  <si>
    <t>Zákon 71/1967 Zb</t>
  </si>
  <si>
    <t>Požaduje sa, aby dodané riešenie bolo v súlade s 71/1967 Zb. Zákon o správnom konaní (správny poriadok)</t>
  </si>
  <si>
    <t>NR013</t>
  </si>
  <si>
    <t>Zákon 145/1995 Z.z</t>
  </si>
  <si>
    <t>Požaduje sa, aby dodané riešenie bolo v súlade s 145/1995 Z.z o Zákon správnych poplatkoch</t>
  </si>
  <si>
    <t>NR014</t>
  </si>
  <si>
    <t>Zákon 180/1995 Z. z.</t>
  </si>
  <si>
    <t>Požaduje sa, aby dodané riešenie bolo v súlade s  180/1995 Z. z. Zákon o niektorých opatreniach na usporiadanie vlastníctva k pozemkom</t>
  </si>
  <si>
    <t>NR015</t>
  </si>
  <si>
    <t>Vyhláška 157/1996 Z. z.</t>
  </si>
  <si>
    <t>Požaduje sa, aby dodané riešenie bolo v súlade s 157/1996 Z. z. Vyhláška ktorou sa vykonáva zákon Národnej rady Slovenskej republiky o niektorých opatreniach na usporiadanie vlastníctva k pozemkom</t>
  </si>
  <si>
    <t>NR016</t>
  </si>
  <si>
    <t>Zákon  330/1991 Zb.</t>
  </si>
  <si>
    <t>Požaduje sa, aby dodané riešenie bolo v súlade s 330/1991 Zb. Zákon o pozemkových úpravách, usporiadaní pozemkového vlastníctva, pozemkových úradoch, pozemkovom fonde a o pozemkových spoločenstvách</t>
  </si>
  <si>
    <t>NR017</t>
  </si>
  <si>
    <t>Zákon 215/1995 Z. z</t>
  </si>
  <si>
    <t>Požaduje sa, aby dodané riešenie bolo v súlade s 215/1995 Z. z. Zákon o geodézii a kartografii</t>
  </si>
  <si>
    <t>NR018</t>
  </si>
  <si>
    <t>Zákon 305/2013 Z. z.</t>
  </si>
  <si>
    <t>Požaduje sa, aby dodané riešenie bolo v súlade s 305/2013 Z. z. Zákon o elektronickej podobe výkonu pôsobnosti orgánov verejnej moci a o zmene a doplnení niektorých zákonov (zákon o e-Governmente)</t>
  </si>
  <si>
    <t>NR019</t>
  </si>
  <si>
    <t>Zákon 18/2018 Z. z.</t>
  </si>
  <si>
    <t>Požaduje sa, aby dodané riešenie bolo v súlade s 18/2018 Z. z. Zákon o ochrane osobných údajov a o zmene a doplnení niektorých zákonov</t>
  </si>
  <si>
    <t>NR020</t>
  </si>
  <si>
    <t>Zákon 69/2018 Z. z</t>
  </si>
  <si>
    <t>Požaduje sa, aby dodané riešenie bolo v súlade s 69/2018 Z. z. Zákon o kybernetickej bezpečnosti a o zmene a doplnení niektorých zákonov</t>
  </si>
  <si>
    <t>NR021</t>
  </si>
  <si>
    <t>Zákon 487/2021 Z. z</t>
  </si>
  <si>
    <t>Požaduje sa, aby dodané riešenie bolo v súlade s 487/2021 Z. z. Zákon o Komore geodetov a kartografov</t>
  </si>
  <si>
    <t>NR022</t>
  </si>
  <si>
    <t>Zákon 272/2016 Z. z.</t>
  </si>
  <si>
    <t>Požaduje sa, aby dodané riešenie bolo v súlade s 272/2016 Z. z. Zákon o dôveryhodných službách pre elektronické transakcie na vnútornom
·	trhu a o zmene a doplnení niektorých zákonov</t>
  </si>
  <si>
    <t>NR023</t>
  </si>
  <si>
    <t xml:space="preserve">Vyhláška 78/2020 Z. z. </t>
  </si>
  <si>
    <t>Požaduje sa, aby dodané riešenie spĺňalo štandardy na informačné systémy verejnej správy v zmysle Vyhlášky  č. 78/2020 Z. z</t>
  </si>
  <si>
    <t>NR024</t>
  </si>
  <si>
    <t xml:space="preserve">Zákon 95/2019 Z. z.  </t>
  </si>
  <si>
    <t>Požaduje sa, aby dodané riešenie spĺňalo požiadavky na  informačné technológie vo verejnej správe v zmysle Zákona 95/2019 Z. z.</t>
  </si>
  <si>
    <t>NR025</t>
  </si>
  <si>
    <t xml:space="preserve">Vyhláška 401/2023 Z. z. </t>
  </si>
  <si>
    <t>Požaduje sa, aby dodané riešenie bolo v súlade 401/2023 Z. z. Vyhláška o riadení projektov a zmenových požiadaviek v prevádzke informačných technológií verejnej správy</t>
  </si>
  <si>
    <t>NR026</t>
  </si>
  <si>
    <t>Automatizácia spracovania podania</t>
  </si>
  <si>
    <t>Systém má byť navrhnutý tak, aby bolo možné v budúcnosti zautomatizovať kroky vykonávané pracovníkom podateľne pri spracovaní štruktúrovaných elektronických podaní, pričom nad nimi bude vykonávaný len dohľad.</t>
  </si>
  <si>
    <t>NR027</t>
  </si>
  <si>
    <t>DevSecOps a kvalita softvéru</t>
  </si>
  <si>
    <t>Prenositeľnosť a škálovateľnosť riešenia</t>
  </si>
  <si>
    <t>Riešenie musí byť jednoducho prenositeľné a migrovateľné medzi rôznymi typmi hardvérového vybavenia a prevádzkovými prostrediami. Musí podporovať škálovanie a umožniť prechod z on-premise infraštruktúry do cloudového prostredia bez nutnosti zásadných zmien architektúry.</t>
  </si>
  <si>
    <t>NR028</t>
  </si>
  <si>
    <t>Zodpovednosť za vývoj a auditovateľnosť kódu</t>
  </si>
  <si>
    <t>Vývoj a údržba zdrojových kódov, ako aj zostavovanie nasaditeľných balíčkov, musí byť realizované výhradne na strane dodávateľa. Dodávateľ zároveň musí umožniť auditovanie zdrojového kódu nezávislou stranou za účelom overenia súladu s bezpečnostnými opatreniami.</t>
  </si>
  <si>
    <t>NR029</t>
  </si>
  <si>
    <t>Aktualizovateľnosť komponentov a bezpečnostné záplaty</t>
  </si>
  <si>
    <t>Riešenie musí zabezpečovať plnú aktualizovateľnosť všetkých komponentov. Dodávateľ je povinný zabezpečiť priebežné aktualizácie systému a promptne implementovať bezpečnostné záplaty pri identifikovaných zraniteľnostiach.</t>
  </si>
  <si>
    <t>NR030</t>
  </si>
  <si>
    <t>Oddelenie prístupu a ochrana integrity údajov</t>
  </si>
  <si>
    <t>Dodávateľ nesmie mať prístup k produkčným dátam. Musí byť zaručené, že aplikačné riešenie nenaruší integritu chránených údajov v systéme.</t>
  </si>
  <si>
    <t>NR031</t>
  </si>
  <si>
    <t>Immutable data a event sourcing</t>
  </si>
  <si>
    <t>Aplikácia musí byť navrhnutá v súlade s princípom nemennosti údajov (immutable data) s využitím event sourcingu. Všetky aktualizácie údajov musia byť založené na zaznamenaných udalostiach a prebiehať asynchrónne.</t>
  </si>
  <si>
    <t>NR032</t>
  </si>
  <si>
    <t>Použitie CQS/CQRS a zákaz DELETE/UPDATE</t>
  </si>
  <si>
    <t>Riešenie musí implementovať metodiku CQS alebo CQRS. Nie je povolené používať príkazy DELETE a UPDATE nad pôvodne zapísanými údajmi.</t>
  </si>
  <si>
    <t>NR033</t>
  </si>
  <si>
    <t>Napojenie na rezortnú integračnú platformu (RIP)</t>
  </si>
  <si>
    <t>Integrácia so systémami mimo ISKN 2.0 musí byť realizovaná výhradne prostredníctvom rezortnej integračnej platformy (RIP), ktorá zabezpečí sprostredkovanie komunikácie a kontrolovaný prístup k údajom systému podľa definovaných pravidiel.</t>
  </si>
  <si>
    <t>NR034</t>
  </si>
  <si>
    <t>Obmedzenie prístupu v rámci internej siete</t>
  </si>
  <si>
    <t>Systém ISKN 2.0 musí byť primárne nasadený do internej siete s prístupom len pre KOOÚ, ÚGKK, VÚGK,GKÚ</t>
  </si>
  <si>
    <t>NR035</t>
  </si>
  <si>
    <t>Spolupráca na návrhu siete, konfigurácia v kompetencii prevádzkovateľa</t>
  </si>
  <si>
    <t>Návrh sieťovej topológie a bezpečnostných nastavení je výsledkom spolupráce medzi dodávateľom a prevádzkovateľom systému. Kompletná zodpovednosť za konfiguráciu komunikačných ciest je však na strane prevádzkovateľa systému.</t>
  </si>
  <si>
    <t>NR036</t>
  </si>
  <si>
    <t>Nahradenie AS-IS komponentov novým centralizovaným systémom</t>
  </si>
  <si>
    <t>Dodávané riešenie musí kompletne nahradiť všetky pôvodné AS-IS komponenty. Nový systém má fungovať ako jednotné, centralizované riešenie bez väzby na pôvodné, dnes už čiastočne nefunkčné systémy.</t>
  </si>
  <si>
    <t>NR037</t>
  </si>
  <si>
    <t>Použitie predmigrovaných údajov z iného projektu</t>
  </si>
  <si>
    <t>Riešenie musí pracovať s údajmi, ktoré budú migrované mimo tejto zákazky v rámci samostatného projektu. Systém musí byť pripravený na prevzatie týchto dát z relačnej databázy bez nutnosti ich ďalšej transformácie.</t>
  </si>
  <si>
    <t>NR038</t>
  </si>
  <si>
    <t>Modularita riešenia na štyri samostatné segmenty</t>
  </si>
  <si>
    <t>ISKN 2.0 musí byť koncipovaný ako modulárny systém zložený zo štyroch segmentov: grafické rozhranie agendového systému, registratúrne stredisko, stredisko katastrálneho operátu a stredisko podporných služieb. Každý segment musí byť samostatne nasaditeľný a nezávislý.</t>
  </si>
  <si>
    <t>NR039</t>
  </si>
  <si>
    <t>API komunikácia medzi segmentmi systému</t>
  </si>
  <si>
    <t>Jednotlivé segmenty systému musia medzi sebou komunikovať výhradne prostredníctvom štandardizovaných API. Architektúra musí podporovať nezávislý vývoj, nasadenie a prevádzku týchto komponentov.</t>
  </si>
  <si>
    <t>NR040</t>
  </si>
  <si>
    <t>Modularizácia segmentov do samostatných aplikačných komponentov</t>
  </si>
  <si>
    <t>Každý segment systému musí byť tvorený viacerými zapuzdrenými aplikačnými komponentmi, ktoré spoločne realizujú segment ako celok. Komponenty nesmú byť implementované ako monolit, ale musia byť rozdelené podľa zodpovednosti a funkcionality.</t>
  </si>
  <si>
    <t>NR041</t>
  </si>
  <si>
    <t>Dodržiavanie návrhových princípov SOLID</t>
  </si>
  <si>
    <t>Každý aplikačný komponent musí byť navrhnutý a implementovaný v súlade s princípmi návrhu SOLID. Cieľom je zabezpečiť čitateľnosť, udržiavateľnosť a flexibilitu systému pri budúcich zmenách a rozšíreniach.</t>
  </si>
  <si>
    <t>NR042</t>
  </si>
  <si>
    <t>Mikroservisná architektúra a samostatná nasaditeľnosť komponentov</t>
  </si>
  <si>
    <t>Architektúra systému musí byť založená na mikroservisnom prístupe. Každý komponent musí byť samostatne nasaditeľný, škálovateľný a nezávisle udržiavateľný, s jasne definovaným rozhraním.</t>
  </si>
  <si>
    <t>NR043</t>
  </si>
  <si>
    <t>Vrstvová architektúra v súlade s TOGAF a TRM</t>
  </si>
  <si>
    <t>Architektúra musí byť vrstvová a v súlade so štandardmi TOGAF a princípmi Technického referenčného modelu. Komponenty musia byť rozdelené podľa roly, ktorú zohrávajú v systéme (provider, broker, consumer).</t>
  </si>
  <si>
    <t>NR044</t>
  </si>
  <si>
    <t>Rozdelenie komponentov podľa vrstiev TRM</t>
  </si>
  <si>
    <t>Information Provider Application: komponenty poskytujúce API služby (segmenty stredísk) nesmú medzi sebou priamo vymieňať dáta.
Brokering Application: komponenty sprostredkujúce volania (napr. workflow v stredisku podporných služieb).
Information Consumer Application: komponenty zabezpečujúce prístup k službám cez rozhrania (napr. grafické rozhranie).</t>
  </si>
  <si>
    <t>NR045</t>
  </si>
  <si>
    <t>Výnimka pre komponenty autorizácie (PDP/PEP)</t>
  </si>
  <si>
    <t>Systém musí umožniť špecifickú výnimku z princípu oddelenia vrstiev pre účely autorizácie. Komponenty na nižšej vrstve (napr. API služby) musia mať možnosť komunikovať priamo s autorizačným serverom (PDP) za účelom získania rozhodnutí o prístupe.</t>
  </si>
  <si>
    <t>NR046</t>
  </si>
  <si>
    <t>Zachovanie a modernizácia existujúcich integračných rozhraní</t>
  </si>
  <si>
    <r>
      <t>Systém musí zachovať súčasné integračné rozhrania (napr. pre import/export údajov, synchronizáciu s špecializovaným portálom ÚGKK</t>
    </r>
    <r>
      <rPr>
        <strike/>
        <sz val="10"/>
        <rFont val="Calibri Light"/>
        <family val="2"/>
        <scheme val="major"/>
      </rPr>
      <t xml:space="preserve"> </t>
    </r>
    <r>
      <rPr>
        <sz val="10"/>
        <rFont val="Calibri Light"/>
        <family val="2"/>
        <scheme val="major"/>
      </rPr>
      <t>a CICA), pričom je žiaduce vytvárať nové verzie týchto rozhraní pre efektívnejšiu výmenu dát a jednoduchšiu spoluprácu s externými subjektmi.</t>
    </r>
  </si>
  <si>
    <t>NR047</t>
  </si>
  <si>
    <t>Nahradenie rôznorodých lokálnych riešení jednotným systémom</t>
  </si>
  <si>
    <t>ISKN 2.0 má nahradiť všetky lokálne agendové systémy okresných úradov, vrátane experimentálnych alebo čiastočne nasadených riešení ako "Viacúčelový kataster nehnuteľností".</t>
  </si>
  <si>
    <t>NR048</t>
  </si>
  <si>
    <t>Bezserverová architektúra grafického rozhrania podľa princípov Jamstack</t>
  </si>
  <si>
    <t>Grafické používateľské rozhranie musí byť implementované ako webová aplikácia podľa metodiky Jamstack – t. j. bez vlastného servera a vlastného API. Frontendová aplikácia musí komunikovať výhradne cez API iných komponentov systému.</t>
  </si>
  <si>
    <t>NR049</t>
  </si>
  <si>
    <t>Rich Client Application postavená na JavaScripte</t>
  </si>
  <si>
    <t>Frontendová aplikácia musí byť realizovaná ako plnohodnotné klientské riešenie (Rich Client), využívajúce JavaScript a schopné pracovať s API službami iných komponentov systému.</t>
  </si>
  <si>
    <t>NR050</t>
  </si>
  <si>
    <t>Použitie štandardov HTML5 a ECMAScript 2016+</t>
  </si>
  <si>
    <t>Frontendové riešenie musí byť postavené na najnovších webových štandardoch – minimálne HTML5 a ECMAScript 2016 (alebo novších verziách), aby bolo možné plnohodnotne využiť moderné funkcie webových technológií.</t>
  </si>
  <si>
    <t>NR051</t>
  </si>
  <si>
    <t>Uchovávanie relácie a kontextu používateľa na strane klienta</t>
  </si>
  <si>
    <t>Systém musí podporovať zachovanie relácie a používateľského kontextu priamo v prehliadači klienta. Tento mechanizmus musí umožňovať vykonávanie operácií (napr. podpisovanie) s identitou prihláseného používateľa bez potreby serverového spracovania.</t>
  </si>
  <si>
    <t>NR052</t>
  </si>
  <si>
    <t>Prístup ku všetkým používateľsky dostupným funkcionalitám systému cez grafické rozhranie</t>
  </si>
  <si>
    <t>Grafické rozhranie musí umožňovať prístup ku všetkým funkcionalitám systému ISKN 2.0, ktoré majú byť dostupné používateľom. Všetky používateľské akcie musia byť vizualizované, pokiaľ nejde o systémové alebo dávkové procesy bez priamej interakcie.</t>
  </si>
  <si>
    <t>NR053</t>
  </si>
  <si>
    <t>Zabezpečenie plnej integrácie s modulom katastrálneho operátu</t>
  </si>
  <si>
    <t>Modul registratúry musí byť úzko integrovaný s modulom katastrálneho operátu. Prístup k zápisom, plombám a údajom v operáte musí byť dostupný priamo cez používateľské rozhranie registratúry.</t>
  </si>
  <si>
    <t>NR054</t>
  </si>
  <si>
    <t>Zápis údajov cez WFS API a CAD nástroje</t>
  </si>
  <si>
    <t>Zápis zmien do SGI prebieha výhradne cez štandardizované WFS rozhrania, na ktoré sa pripájajú externé CAD nástroje. Webové zapisovanie môže byť alternatívne zvažované, ak to umožní dodávateľské riešenie.</t>
  </si>
  <si>
    <t>NR055</t>
  </si>
  <si>
    <t>Prístup geodetov k údajom len prostredníctvom tokenizovaných endpointov</t>
  </si>
  <si>
    <t>Modul SGI musí zabezpečiť vystavovanie bezpečnostných tokenov pre jednotlivé zápisy. Tokeny musia obsahovať definíciu pridelenej oblasti, časové alebo účelové obmedzenia a väzbu na autentifikáciu používateľa.</t>
  </si>
  <si>
    <t>NR056</t>
  </si>
  <si>
    <t>Správa autorizácie cez autorizačný server</t>
  </si>
  <si>
    <t>Autorizácia volaní rozhraní SGI musí byť riadená cez centrálny autorizačný server. Geodeti pracujú v oddelenej sieti a nemajú priamy prístup k jadrovému API systému ISKN 2.0.</t>
  </si>
  <si>
    <t>NR057</t>
  </si>
  <si>
    <t>Presun údajov z portálu UGKK do ISKN 2.0 cez RIP</t>
  </si>
  <si>
    <t>Prenos údajov medzi portálom UGKK (alebo externým systémom geodeta) a systémom ISKN 2.0 musí byť realizovaný prostredníctvom rezortnej integračnej platformy (RIP) ako samostatný a bezpečný proces.</t>
  </si>
  <si>
    <t>NR058</t>
  </si>
  <si>
    <t>Zálohovanie a ochrana integrity</t>
  </si>
  <si>
    <t>Zachovanie nemennosti a dlhodobej archivácie dokumentov</t>
  </si>
  <si>
    <t>Všetky dokumenty v Zbierke listín musia byť uchovávané v nemennej podobe, podliehajú pravidlám trvalej archivácie a musia byť dostupné počas neobmedzeného časového obdobia.</t>
  </si>
  <si>
    <t>NR059</t>
  </si>
  <si>
    <t>Použitie adresárovej štruktúry a logických kontajnerov</t>
  </si>
  <si>
    <t>Dokumenty musia byť organizované v štruktúrovanej podobe – buď v logických kontajneroch (buckets) alebo pomocou priečinkovej hierarchie – podľa účelu, pôvodu alebo väzieb.</t>
  </si>
  <si>
    <t>NR060</t>
  </si>
  <si>
    <t>Ochrana nemenných dokumentov evidovaných v špeciálnom režime</t>
  </si>
  <si>
    <t>Dokumenty, ktoré sú súčasťou katastrálneho operátu a evidované v špecifickom ochrannom režime, musia byť dostupné len na čítanie. Nesmie byť umožnené ich meniť, prepisovať alebo mazať.</t>
  </si>
  <si>
    <t>NR061</t>
  </si>
  <si>
    <t>Flexibilita dátového modelu a otvorenosť voči zmenám</t>
  </si>
  <si>
    <t>Architektúra systému a dátový model musia byť navrhnuté tak, aby umožňovali jednoduché rozšírenie o nové typy konaní alebo doplnkové služby v prípade budúcich legislatívnych zmien.</t>
  </si>
  <si>
    <t>NR062</t>
  </si>
  <si>
    <t>Modularita a rozšíriteľnosť systému z pohľadu procesnej logiky</t>
  </si>
  <si>
    <t>Systém musí byť navrhnutý ako modulárny a rozšíriteľný, pričom procesná logika musí byť konfigurovateľná bez nutnosti zásahov do kódu. Cieľom je jednoduchá reakcia na zmenu legislatívy alebo nové požiadavky úradu.</t>
  </si>
  <si>
    <t>NR063</t>
  </si>
  <si>
    <t>Ukladanie dokumentov do objektového úložiska</t>
  </si>
  <si>
    <t>Všetky dokumenty musia byť uložené v objektovom úložisku s podporou protokolu S3. Úložisko musí byť optimalizované na dlhodobú archiváciu, škálovateľnosť a bezpečné spracovanie veľkého množstva súborov.</t>
  </si>
  <si>
    <t>NR064</t>
  </si>
  <si>
    <t>Zabezpečenie integrity a dostupnosti dokumentov</t>
  </si>
  <si>
    <t>Musí byť zabezpečená ochrana dokumentov proti poškodeniu, zachovanie integrity dát a vysoká dostupnosť počas celého životného cyklu dokumentu.</t>
  </si>
  <si>
    <t>NR065</t>
  </si>
  <si>
    <t>Podpora štandardu S3 pre prístup k dokumentom</t>
  </si>
  <si>
    <t>Modul správy dokumentov musí natívne podporovať prístup cez štandardný protokol S3, čo umožní jednoduchšiu integráciu s ďalšími systémami využívajúcimi tento štandard.</t>
  </si>
  <si>
    <t>NR066</t>
  </si>
  <si>
    <t>Technologická platforma a API podľa výberu dodávateľa</t>
  </si>
  <si>
    <t>Technologická platforma implementácie modulu je ponechaná na rozhodnutí dodávateľa, ak sú splnené všetky požiadavky na bezpečnosť, integritu, dostupnosť a správu dokumentov.</t>
  </si>
  <si>
    <t>NR067</t>
  </si>
  <si>
    <t>Volania API výhradne v mene používateľa</t>
  </si>
  <si>
    <t>Workflow engine nesmie disponovať vlastnými privilegovanými prístupmi. Každé volanie API musí byť vykonané v mene používateľa, ktorý daný proces inicioval – na základe jeho autorizačného tokenu.</t>
  </si>
  <si>
    <t>NR068</t>
  </si>
  <si>
    <t>Workflow engine ako samostatný komponent bez vizuálneho rozhrania</t>
  </si>
  <si>
    <t>Workflow engine musí fungovať ako samostatná komponenta strediska podporných služieb, ktorá neobsahuje používateľské rozhranie (s výnimkou konfiguračného rozhrania) a poskytuje svoje služby výhradne prostredníctvom API.</t>
  </si>
  <si>
    <t>NR069</t>
  </si>
  <si>
    <t>API integrácia medzi komponentmi systému cez workflow engine</t>
  </si>
  <si>
    <t>Workflow engine musí sprostredkovať volania medzi jednotlivými komponentmi systému prostredníctvom API integrácie, pričom zabezpečuje orchestráciu procesov a zachovanie transakčnej integrity.</t>
  </si>
  <si>
    <t>NR070</t>
  </si>
  <si>
    <t>Verziovanie konfigurácií prostredníctvom nových záznamov</t>
  </si>
  <si>
    <t>Zmena číselníka alebo parametra sa nesmie realizovať úpravou existujúceho záznamu, ale vždy vytvorením nového záznamu s dátumom začiatku platnosti. Predošlé verzie musia byť zachované.</t>
  </si>
  <si>
    <t>NR071</t>
  </si>
  <si>
    <t>Implementácia autorizačného servera ako Policy Decision Point (PDP)</t>
  </si>
  <si>
    <t>Systém musí obsahovať centrálne rozhodovacie miesto pre autorizáciu prístupu (PDP). Toto rozhodovanie musí byť založené na kombinácii technických parametrov a konfigurovateľných business pravidiel.</t>
  </si>
  <si>
    <t>NR072</t>
  </si>
  <si>
    <t>Použitie OAuth 2.0 a JWT tokenov na autorizáciu a autentifikáciu</t>
  </si>
  <si>
    <t>Systém musí používať štandardizovaný mechanizmus autorizácie pomocou OAuth 2.0 a JSON Web Tokenov (JWT), a to pre interných aj externých používateľov a systémové volania.</t>
  </si>
  <si>
    <t>NR073</t>
  </si>
  <si>
    <t>Oddelené nasadenie PDP pre interné a externé použitie</t>
  </si>
  <si>
    <t>PDP musí byť nasadený minimálne v dvoch oddelených inštanciách – pre interné prostredie a pre demilitarizovanú zónu (DMZ), kde rozhoduje o prístupe externých systémov.</t>
  </si>
  <si>
    <t>NR074</t>
  </si>
  <si>
    <t>Každé API volanie vyhodnocované cez PEP a autorizované cez PDP</t>
  </si>
  <si>
    <t>Každé API rozhranie v systéme ISKN 2.0 musí byť doplnené o Policy Enforcement Point (PEP), ktorý zhromaždí kontext požiadavky a odošle ho na rozhodnutie PDP.</t>
  </si>
  <si>
    <t>NR075</t>
  </si>
  <si>
    <t>Zabezpečenie dát odosielaných do externých systémov cez PDP</t>
  </si>
  <si>
    <t>Každý externý prístup k údajom z ISKN 2.0 musí prechádzať rozhodovaním cez PDP, aby bola zabezpečená ochrana údajov aj mimo uzavretej siete.</t>
  </si>
  <si>
    <t>NR076</t>
  </si>
  <si>
    <t>Autentifikácia a autorizácia integračných systémov cez IAM</t>
  </si>
  <si>
    <t>IAM musí podporovať prístupové oprávnenia aj pre integračné systémy, a to prostredníctvom štandardného OAuth 2.0 mechanizmu.</t>
  </si>
  <si>
    <t>NR077</t>
  </si>
  <si>
    <t>Zdieľané pravidlá rozhodovania pre všetky API rozhrania</t>
  </si>
  <si>
    <t>Rozhodovacie pravidlá definované v PDP musia byť použiteľné jednotne pre interné aj externé API rozhrania a zdieľané z centrálneho Policy Administration Point (PAP).</t>
  </si>
  <si>
    <t>NR078</t>
  </si>
  <si>
    <t>IAM ako súčasť strediska podporných služieb s voliteľným UI</t>
  </si>
  <si>
    <t>IAM komponent musí byť súčasťou strediska podporných služieb. Grafické rozhranie pre jeho správu je voliteľné, ale odporúčané.</t>
  </si>
  <si>
    <t>NR079</t>
  </si>
  <si>
    <t>Konfigurovateľnosť business pravidiel pre prístupové rozhodovanie</t>
  </si>
  <si>
    <t>Pravidlá rozhodovania v PDP musia byť konfigurovateľné dynamicky – ideálne prostredníctvom grafického rozhrania. Majú podporovať vstupy ako organizačná štruktúra, časové obmedzenia, zastupovanie a ďalšie parametre.</t>
  </si>
  <si>
    <t>NR080</t>
  </si>
  <si>
    <t>Možnosť využiť externé služby na overovanie podpisov</t>
  </si>
  <si>
    <t>Modul na overovanie podpisov musí byť schopný využiť aj externé nadrezortné služby poskytujúce overovanie v súlade s eIDAS.</t>
  </si>
  <si>
    <t>NR081</t>
  </si>
  <si>
    <t>Flexibilita implementácie konverzných služieb</t>
  </si>
  <si>
    <t>Dodávateľ môže zvoliť vlastnú implementáciu konverzie dokumentov – buď podľa štandardov MIRRI pre ÚPVS, alebo iným technickým spôsobom – ak je výsledná funkcionalita identická.</t>
  </si>
  <si>
    <t>NR082</t>
  </si>
  <si>
    <t>Podpisovanie rozhodnutí v súlade s legislatívou</t>
  </si>
  <si>
    <t>Systém musí zabezpečiť, že všetky rozhodnutia uložené ako strojovo spracovateľné objekty budú elektronicky podpísané s využitím formátu XAdES, a že podpisovanie bude spĺňať požiadavky na zaručený elektronický podpis alebo pečať.</t>
  </si>
  <si>
    <t>NR083</t>
  </si>
  <si>
    <t>Flexibilný výber technológie podpisovania</t>
  </si>
  <si>
    <t>Spôsob implementácie elektronického podpisovania, vrátane integrácie s lokálnou aplikáciou alebo podpisovej služby, je ponechaný na dodávateľa, pokiaľ je zabezpečená legislatívna a funkčná zhoda.</t>
  </si>
  <si>
    <t>NR084</t>
  </si>
  <si>
    <t>Nepriama integrácia s inými systémami</t>
  </si>
  <si>
    <t>Segment registratúry nesmie mať priame závislosti na iné komponenty. Prístup k údajom z iných systémov musí byť riešený výhradne cez parametre v API volaniach.</t>
  </si>
  <si>
    <t>NR085</t>
  </si>
  <si>
    <t>Zodpovednosť za údajový kontext má volajúca strana</t>
  </si>
  <si>
    <t>Volajúca strana musí do API volaní odovzdať potrebné údaje vrátane možnosti ich elektronicky podpísať (v prípade bezpečnostných požiadaviek).</t>
  </si>
  <si>
    <t>NR086</t>
  </si>
  <si>
    <t>Potvrdenie transakcie cez workflow volajúceho systému</t>
  </si>
  <si>
    <t>Volajúci systém je zodpovedný za potvrdenie úspešnosti zápisu v rámci orchestrácie.</t>
  </si>
  <si>
    <t>NR087</t>
  </si>
  <si>
    <t>Použitie dátového sila</t>
  </si>
  <si>
    <t>Registratúra má vlastné dátové silo a neinteraguje priamo s inými databázami alebo systémami.</t>
  </si>
  <si>
    <t>NR088</t>
  </si>
  <si>
    <t>Podpora SAGA architektúry (orchestration)</t>
  </si>
  <si>
    <t>Na zabezpečenie konzistencie a izolácie je vyžadovaná implementácia orchestrácie v rámci SAGA architektúry.</t>
  </si>
  <si>
    <t>NR089</t>
  </si>
  <si>
    <t>Kompenzačné mechanizmy a zachovanie histórie</t>
  </si>
  <si>
    <t>V prípade zlyhania zápisu musí systém podporovať kompenzácie, návrat do pôvodného stavu a evidenciu neúspešných pokusov o zápis.</t>
  </si>
  <si>
    <t>NR090</t>
  </si>
  <si>
    <t>Izolácia dátového sila a prístup výhradne cez API</t>
  </si>
  <si>
    <t>Dátové silo modulu musí byť striktne izolované. Prístup k údajom je povolený len prostredníctvom publikovaného API.</t>
  </si>
  <si>
    <t>NR091</t>
  </si>
  <si>
    <t>Asynchrónne spracovanie zmien</t>
  </si>
  <si>
    <t>Spracovanie zmien prebieha asynchrónne – command nevracia výsledok okamžite, ale len identifikátor pre následné dopytovanie výsledku.</t>
  </si>
  <si>
    <t>NR092</t>
  </si>
  <si>
    <t>Zverejnené dátové schémy</t>
  </si>
  <si>
    <t>Modul musí publikovať kompletné dátové schémy údajov, ktoré spracúva. Tie musia byť dostupné pre konzumentov API.</t>
  </si>
  <si>
    <t>NR093</t>
  </si>
  <si>
    <t>Konzistencia medzi interným a externým stavom</t>
  </si>
  <si>
    <t>Interný stav nesmie byť v rozpore s externým – externý stav má vyššiu prioritu a je nadradený v prípade konfliktného zobrazenia.</t>
  </si>
  <si>
    <t>NR094</t>
  </si>
  <si>
    <t>Možnosť využitia v rámci širších workflow</t>
  </si>
  <si>
    <t>Modul je navrhnutý tak, aby bol integrovaný v rámci širšieho ekosystému ISKN 2.0 – nie je izolovaný, ale je konzumentom i producentom údajov cez API.</t>
  </si>
  <si>
    <t>NR095</t>
  </si>
  <si>
    <t>Dátové silo modulu je oddelené a poskytuje API na integráciu</t>
  </si>
  <si>
    <t>Dátové silo modulu správy platieb nie je priamo napojené na rezortnú integračnú platformu (RIP), ale poskytuje rozhranie (API) pre jej integráciu a pre orchestráciu s workflow systémom ISKN 2.0.</t>
  </si>
  <si>
    <t>NR096</t>
  </si>
  <si>
    <t>Integrácia s RIP a workflow systémom ISKN 2.0 prostredníctvom API</t>
  </si>
  <si>
    <t>Aj keď systém priamo neprevádzkuje platobné procesy, musí byť schopný komunikovať s externými systémami (napr. RIP) cez štandardizované API na účely integrácie a riadenia procesu cez workflow.</t>
  </si>
  <si>
    <t>NR097</t>
  </si>
  <si>
    <t>Oddelená komponenta pre katastrálny operát bez vizuálneho rozhrania</t>
  </si>
  <si>
    <t>Stredisko katastrálneho operátu musí byť implementované ako samostatná komponenta bez používateľského rozhrania, ktorá poskytuje svoje služby výlučne prostredníctvom API rozhraní.</t>
  </si>
  <si>
    <t>NR098</t>
  </si>
  <si>
    <t>Prístup cez OAuth 2.0 a bez priamych závislostí na iné systémy</t>
  </si>
  <si>
    <t>Segment musí používať OAuth 2.0 na autentifikáciu. Priame závislosti na iné komponenty nie sú povolené – všetky dáta z externých systémov musia byť poskytnuté volajúcou stranou ako parameter, s možnosťou elektronického podpisu.</t>
  </si>
  <si>
    <t>NR099</t>
  </si>
  <si>
    <t>Použitie optimistického zámkovania</t>
  </si>
  <si>
    <t>Musí byť umožnené, aby viacerí úradníci súčasne pracovali na rôznych konaniach nad rovnakým listom vlastníctva alebo geodetickým záznamom. Zámky nesmú blokovať ostatných, systém musí umožňovať detekciu rozdielov medzi verziami.</t>
  </si>
  <si>
    <t>NR100</t>
  </si>
  <si>
    <t>Transakčné spracovanie výlučne cez API</t>
  </si>
  <si>
    <t>Všetky zmeny musia byť spracované prostredníctvom zverejnených API endpointov, ktoré umožňujú zmeny potvrdiť alebo zrušiť.</t>
  </si>
  <si>
    <t>NR101</t>
  </si>
  <si>
    <t>Transakčný model založený na SAGA architektúre</t>
  </si>
  <si>
    <t>Segment musí využívať SAGA architektúru vo forme orchestrácie. Volajúca strana je zodpovedná za potvrdenie/zrušenie operácií, kompenzáciu a uchovanie histórie pokusu o zápis.</t>
  </si>
  <si>
    <t>NR102</t>
  </si>
  <si>
    <t>Princíp prípravnej dávky a event sourcing</t>
  </si>
  <si>
    <t>Každá zmena údajov musí byť pripravená v samostatnej dávke, evidovanej s časovou referenciou. Čas je reprezentovaný poradovým číslom zmeny, pričom systém pracuje v súlade s princípmi event sourcingu – každá zmena musí nadväzovať na predchádzajúcu.</t>
  </si>
  <si>
    <t>NR103</t>
  </si>
  <si>
    <t>Overenie konzistencie a odmietnutie nekorektných zmien</t>
  </si>
  <si>
    <t>Každá zmena musí byť jednotlivo validovaná. Ak zmena naruší konzistentný stav systému, musí byť označená ako odmietnutá, bez možnosti zapísania do hlavného registra.</t>
  </si>
  <si>
    <t>NR104</t>
  </si>
  <si>
    <t>Naviazanie zmien na konanie a digitálny podpis úradníkom</t>
  </si>
  <si>
    <t>Každá požiadavka na zápis musí byť podpísaná súkromným kľúčom úradníka a zároveň naviazaná na konkrétne konanie. Tým sa zabezpečí integrita a zodpovednosť za vykonanú zmenu.</t>
  </si>
  <si>
    <t>NR105</t>
  </si>
  <si>
    <t>Objekty SPI ako grafová databáza s dokumentmi</t>
  </si>
  <si>
    <t>Popisné údaje musia byť reprezentované ako prepojené objekty v grafovej databáze (napr. parcely, vlastníci, ťarchy). Každý objekt môže byť zložitý dokument s väzbami cez list vlastníctva.</t>
  </si>
  <si>
    <t>NR106</t>
  </si>
  <si>
    <t>Listy vlastníctva ako samostatné objekty</t>
  </si>
  <si>
    <t>Listy vlastníctva musia byť evidované ako samostatné entity kvôli ich verejne známemu identifikátoru, ktorý sa využíva v komunikácii.</t>
  </si>
  <si>
    <t>NR107</t>
  </si>
  <si>
    <t>API modul pre správu SGI údajov</t>
  </si>
  <si>
    <t>Modul pre správu SGI musí byť implementovaný ako samostatná služba s vlastným API rozhraním, rešpektujúc rovnaké technologické princípy a bezpečnostné pravidlá ako SPI.</t>
  </si>
  <si>
    <t>NR108</t>
  </si>
  <si>
    <t>Princíp event sourcing a prípravné dávky aj pre SGI</t>
  </si>
  <si>
    <t>Každá zmena údajov SGI musí byť zaznamenaná ako zmenová udalosť v súlade s event sourcing prístupom. Priama úprava údajov nie je povolená – každá zmena musí byť súčasťou prípravnej dávky a potvrdená v transakčnom procese.</t>
  </si>
  <si>
    <t>NR109</t>
  </si>
  <si>
    <t>Podpora 2D modelu s možnosťou rozšírenia na 3D</t>
  </si>
  <si>
    <t>Systém musí spracovávať geografické údaje v 2D modeli a zároveň umožniť budúce rozšírenie na 3D reprezentáciu údajov bez zásahu do základnej architektúry.</t>
  </si>
  <si>
    <t>NR110</t>
  </si>
  <si>
    <t>Implementácia Web Feature Services (WFS)</t>
  </si>
  <si>
    <t>Systém musí podporovať štandardizované komunikačné rozhranie WFS pre prehliadanie a editáciu SGI údajov v CAD nástrojoch. Implementácia WFS je povinnou súčasťou riešenia.</t>
  </si>
  <si>
    <t>NR111</t>
  </si>
  <si>
    <t>Autorizácia editácie geodetických údajov cez rozhodovací mechanizmus</t>
  </si>
  <si>
    <t>Prístup k zápisu a čítaniu údajov cez WFS musí byť autorizovaný prostredníctvom centrálneho autorizačného mechanizmu, ktorý posudzuje oprávnenie na základe pridelenej časti katastrálnej mapy , oprávnení a ďalších parametrov.</t>
  </si>
  <si>
    <t>NR112</t>
  </si>
  <si>
    <t>Zdieľané prípravné dávky a orchestrácia pomocou SAGA</t>
  </si>
  <si>
    <t>Systém musí umožňovať zdieľanie prípravnej dávky medzi SPI a SGI a zabezpečiť transakčnú konzistenciu pomocou SAGA architektúry. V prípade zlyhania sa musia spustiť kompenzačné mechanizmy.</t>
  </si>
  <si>
    <t>NR113</t>
  </si>
  <si>
    <t>Počiatočný stav systému z aktuálnej vektorovej mapy</t>
  </si>
  <si>
    <t>Prvou udalosťou v systéme SGI musí byť stav aktuálnej vektorovej mapy, ktorý bude slúžiť ako východiskový inicializačný stav pre nový dátový model.</t>
  </si>
  <si>
    <t>NR114</t>
  </si>
  <si>
    <t>Podpora fyzických aj elektronických dokumentov</t>
  </si>
  <si>
    <t>Systém musí podporovať evidenciu dokumentov v dvoch formách – ako fyzických listín uložených v archívoch a ako elektronických dokumentov s platnými kvalifikovanými elektronickými podpismi a časovou pečiatkou.</t>
  </si>
  <si>
    <t>NR115</t>
  </si>
  <si>
    <t>Uloženie dokumentov v objektovom úložisku</t>
  </si>
  <si>
    <t>Elektronické dokumenty musia byť uložené v objektovom úložisku v rámci strediska spoločných podporných služieb, v režime trvalého archívneho uchovávania.</t>
  </si>
  <si>
    <t>NR116</t>
  </si>
  <si>
    <t>Záznam o dokumente v údajovej báze</t>
  </si>
  <si>
    <t>V údajovej báze SPI musí byť pri každom dokumente uložená referencia na dokument, elektronický odtlačok (hash) pre overenie integrity a záznam v Zbierke listín, digitálne podpísaný úradníkom s väzbou na príslušné konanie.</t>
  </si>
  <si>
    <t>NR117</t>
  </si>
  <si>
    <t>Integrácia zápisu Zbierky listín do zmenovej dávky</t>
  </si>
  <si>
    <t>Zápis do Zbierky listín musí byť súčasťou zmenovej dávky, ktorou sa vykonávajú zmeny v katastrálnom operáte, spolu so zmenami v SPI a SGI.</t>
  </si>
  <si>
    <t>NR118</t>
  </si>
  <si>
    <t>Transakčné spracovanie zmien cez architektúru typu SAGA</t>
  </si>
  <si>
    <t>Systém musí implementovať architektúru typu SAGA na zabezpečenie transakčného spracovania zmien v SPI, SGI a Zbierke listín ako jednej konzistentnej jednotky.</t>
  </si>
  <si>
    <t>NR119</t>
  </si>
  <si>
    <t>Prenositeľnosť a škálovateľnosť aplikačného riešenia</t>
  </si>
  <si>
    <t>Riešenie ISKN 2.0 musí byť prenositeľné medzi rôznymi infraštruktúrami a škálovateľné v závislosti od požiadaviek na výkonnosť a zaťaženie systému.</t>
  </si>
  <si>
    <t>NR120</t>
  </si>
  <si>
    <t>Odporúčaná kontajnerizácia pomocou Docker</t>
  </si>
  <si>
    <t>Z dôvodu spravovateľnosti, údržby a portability sa dôrazne odporúča, aby boli jednotlivé komponenty systému implementované ako Docker kontajnery.</t>
  </si>
  <si>
    <t>NR121</t>
  </si>
  <si>
    <t>Integrácia s rezortnou integračnou platformou (RIP)</t>
  </si>
  <si>
    <t>Systém musí poskytovať rozhrania na komunikáciu s rezortnou integračnou platformou (RIP), ktorá bude základným integračným bodom pre externé väzby.</t>
  </si>
  <si>
    <t>NR122</t>
  </si>
  <si>
    <t>Pripojenie na externé systémy výhradne cez RIP</t>
  </si>
  <si>
    <t>Systém musí umožniť prístup na externé systémy (ÚPVS, IS PEP, CÚD, CPDI) výhradne prostredníctvom RIP, čím sa zabezpečí centralizovaná kontrola a jednotný dohľad nad integračnými väzbami.</t>
  </si>
  <si>
    <t>NR123</t>
  </si>
  <si>
    <t>Segmentovaná sieťová architektúra a izolácia jadra</t>
  </si>
  <si>
    <t>Aplikačné prostredie musí byť segmentovo izolované tak, aby jadro systému bolo prístupné len v internom prostredí, pravdepodobne v rámci dátového centra ÚGKK SR.</t>
  </si>
  <si>
    <t>NR124</t>
  </si>
  <si>
    <t>Podpora špecifickej topológie siete</t>
  </si>
  <si>
    <t>Systém musí umožniť správne vypublikovanie prístupových bodov a nastavenie sieťových rozhraní podľa požiadaviek prevádzkovateľa, najmä vo väzbe na prepojenie s infraštruktúrou Ministerstva vnútra SR.</t>
  </si>
  <si>
    <t>NR125</t>
  </si>
  <si>
    <t>Komponenty publikované do DMZ a riadený prístup tretích strán</t>
  </si>
  <si>
    <t>Vybrané komponenty musia byť dostupné v DMZ pre integráciu s externými subjektmi. Musí byť zabezpečené riadené sprístupnenie údajov cez log zmien alebo cez API v architektúre CQS/CQRS.</t>
  </si>
  <si>
    <t>NR126</t>
  </si>
  <si>
    <t>Autentifikácia a autorizácia požiadaviek používateľa</t>
  </si>
  <si>
    <t>Každý prístup k údajom alebo ich spracovaniu musí byť podmienený autentifikáciou a následným autorizačným rozhodnutím na základe kontextu požiadavky.</t>
  </si>
  <si>
    <t>NR127</t>
  </si>
  <si>
    <t>Duálne nasadenie autorizačného servera s PDP</t>
  </si>
  <si>
    <t>Autorizačný server vrátane Policy Decision Point (PDP) musí byť nasadený aj v DMZ, aby bolo možné zabezpečiť autorizačné rozhodovanie pre externých používateľov.</t>
  </si>
  <si>
    <t>NR128</t>
  </si>
  <si>
    <t>Možnosť tvorby materializovaných pohľadov z logu zmien</t>
  </si>
  <si>
    <t>Externé systémy musia byť schopné vytvárať si vlastné materializované pohľady nad údajmi získanými z logu zmien, optimalizované podľa vlastných business pravidiel.</t>
  </si>
  <si>
    <t>NR129</t>
  </si>
  <si>
    <t>Near real-time synchronizácia údajov cez log zmien</t>
  </si>
  <si>
    <t>Architektúra musí umožňovať priebežné sledovanie zmien a ich dorovnávanie v externých systémoch podľa princípov near real-time aktualizácie.</t>
  </si>
  <si>
    <t>NR130</t>
  </si>
  <si>
    <t>Návrh dátového modelu v SQL pre aplikačnú vrstvu</t>
  </si>
  <si>
    <t>Dodávateľ musí navrhnúť SQL dátový model pre aplikačnú vrstvu ISKN 2.0. Fyzický model nemusí byť identický s logickým alebo doménovým modelom, ale musí pokrývať všetky moduly systému.</t>
  </si>
  <si>
    <t>NR131</t>
  </si>
  <si>
    <t>Zahrnutie GIS dátových štruktúr pre SGI</t>
  </si>
  <si>
    <t>Štruktúra údajov pre SGI musí byť navrhnutá a implementovaná v špecializovaných GIS dátových štruktúrach ako súčasť dátového modelu.</t>
  </si>
  <si>
    <t>NR132</t>
  </si>
  <si>
    <t>Dostupnosť historických údajov len na čítanie</t>
  </si>
  <si>
    <t>Všetky historické dáta z centrálnej PostgreSQL databázy prevádzkovanej mimo projektu musia byť ISKN 2.0 dostupné len na čítanie.</t>
  </si>
  <si>
    <t>NR133</t>
  </si>
  <si>
    <t>Dodávka nových dátových schém pre ISKN 2.0</t>
  </si>
  <si>
    <t>Dodávateľ je zodpovedný za návrh a dodanie všetkých nových dátových schém potrebných pre fungovanie ISKN 2.0, ktoré budú doplnené do existujúcej infraštruktúry.</t>
  </si>
  <si>
    <t>NR134</t>
  </si>
  <si>
    <t>Podpora alternatívnych dátových úložísk</t>
  </si>
  <si>
    <t>V prípade použitia alternatívneho dátového úložiska (napr. NoSQL), je dodávateľ povinný zabezpečiť jeho implementáciu, prevádzku a zahrnúť všetky súvisiace náklady do ceny riešenia.</t>
  </si>
  <si>
    <t>NR135</t>
  </si>
  <si>
    <t>Zriadenie objektového úložiska s podporou S3 a WORM</t>
  </si>
  <si>
    <t>Riešenie musí obsahovať objektové úložisko podporujúce S3 API, verziu objektov, správu metadát, ochranu integrity, redundanciu a princípy WORM (ak sa vyžadujú pre trvalú archiváciu).</t>
  </si>
  <si>
    <t>NR136</t>
  </si>
  <si>
    <t>Technologická podpora pre event stream log</t>
  </si>
  <si>
    <t>Odporúča sa použitie technológie natívne podporujúcej event streaming (napr. Kafka, Pulsar), prípadne riešenie nad SQL databázou s obdobným princípom, ideálne integrované s PostgreSQL.</t>
  </si>
  <si>
    <t>NR137</t>
  </si>
  <si>
    <t>Návrh úložiska pre systémové logy a auditné dáta</t>
  </si>
  <si>
    <t>Návrh musí zahŕňať úložisko pre záznamy aktivít a logy systému. Tieto musia byť spracovateľné na účely auditu a monitoringu v súlade s bezpečnostnými a prevádzkovými požiadavkami.</t>
  </si>
  <si>
    <t>NR138</t>
  </si>
  <si>
    <t>Prevádzka a správa systému</t>
  </si>
  <si>
    <t>Zálohovanie vlastných úložísk mimo PostgreSQL</t>
  </si>
  <si>
    <t>Ak dodané riešenie využíva vlastné úložiská, musí obsahovať plne funkčný mechanizmus zálohovania a obnovy údajov ako súčasť dodávky.</t>
  </si>
  <si>
    <t>NR139</t>
  </si>
  <si>
    <t>Spolupráca pri zálohovaní údajov v spravovanej databáze</t>
  </si>
  <si>
    <t>Pri využívaní centrálnej PostgreSQL databázy je potrebná súčinnosť dodávateľa s prevádzkovateľom pri identifikácii tabuliek (najmä pre event sourcing) a pri nastavení mechanizmov odvádzania dát do zálohovacích systémov.</t>
  </si>
  <si>
    <t>NR140</t>
  </si>
  <si>
    <t>Event sourcing ako zdroj pravdy v systéme</t>
  </si>
  <si>
    <t>Zdrojom pravdy v systéme musí byť log zmien v duchu event sourcingu. Tento log musí umožňovať jednoduché zálohovanie, obnovu a dorovnávanie údajov do iných prostredí.</t>
  </si>
  <si>
    <t>NR141</t>
  </si>
  <si>
    <t>Digitálne podpisovanie záznamov o zmenách</t>
  </si>
  <si>
    <t>Každý záznam v logu zmien musí byť digitálne podpísaný osobou alebo systémom, ktorý ho vytvoril, aby bola zabezpečená sledovateľnosť a spoľahlivosť údajov.</t>
  </si>
  <si>
    <t>NR142</t>
  </si>
  <si>
    <t>Podpora Merkelovho stromu pre blokové overovanie</t>
  </si>
  <si>
    <t>Systém by mal podporovať tvorbu blokov zmien, ktoré je možné overiť prostredníctvom Merkelovho stromu. Tento mechanizmus zabezpečuje integritu a nezmeniteľnosť údajov aj pri presunoch a replikáciách.</t>
  </si>
  <si>
    <t>NR143</t>
  </si>
  <si>
    <t>Zabezpečenie komunikácie medzi komponentmi pomocou mTLS</t>
  </si>
  <si>
    <t>Všetka komunikácia medzi komponentmi systému ISKN 2.0 musí byť zabezpečená pomocou TLS protokolu s obojstranným overovaním certifikátov (mutual TLS).</t>
  </si>
  <si>
    <t>NR144</t>
  </si>
  <si>
    <t>Správa a obnova certifikátov v rámci systému</t>
  </si>
  <si>
    <t>Dodávateľ musí navrhnúť a implementovať mechanizmy pre správu a obnovu certifikátov, vrátane podpory automatizovaných alebo poloautomatizovaných procesov pre zabezpečenie kontinuity a bezpečnosti komunikácie.</t>
  </si>
  <si>
    <t>NR145</t>
  </si>
  <si>
    <t>Integrácia s certifikačnou autoritou prevádzkovateľa</t>
  </si>
  <si>
    <t>Dodávateľ musí integrovať riešenie s certifikačnou autoritou poskytnutou prevádzkovateľom a zabezpečiť správnu distribúciu a manažment certifikátov v rámci aplikačnej infraštruktúry.</t>
  </si>
  <si>
    <t>NR146</t>
  </si>
  <si>
    <t>Zaznamenávanie všetkých systémových aktivít vrátane read-only požiadaviek</t>
  </si>
  <si>
    <t>Systém musí logovať všetky aktivity, vrátane požiadaviek typu „len na čítanie“, ako sú napr. lustrácie údajov.</t>
  </si>
  <si>
    <t>NR147</t>
  </si>
  <si>
    <t>Zaznamenávanie aktivít z klientskych staníc</t>
  </si>
  <si>
    <t>Systém musí zaznamenávať aj činnosti iniciované na strane klientských zariadení, aby bolo možné vytvoriť kompletný pohľad na správanie používateľa.</t>
  </si>
  <si>
    <t>NR148</t>
  </si>
  <si>
    <t>Podpora spracovania logov v SIEM/SOAR platformách</t>
  </si>
  <si>
    <t>Logovací mechanizmus musí byť navrhnutý tak, aby umožňoval automatizované spracovanie v nástrojoch typu SIEM alebo SOAR používaných prevádzkovateľom.</t>
  </si>
  <si>
    <t>NR149</t>
  </si>
  <si>
    <t>Povinné prvky logovaných záznamov</t>
  </si>
  <si>
    <t>Každý log musí obsahovať aspoň: kontext používateľa (napr. ID, rola), iniciátora požiadavky (používateľ alebo systém), a korelačné ID pre sledovanie požiadavky naprieč komponentmi.</t>
  </si>
  <si>
    <t>NR150</t>
  </si>
  <si>
    <t>Vylúčenie citlivých a osobných údajov z logov</t>
  </si>
  <si>
    <t>Logy nesmú obsahovať osobné údaje, prihlasovacie údaje, ani iné citlivé informácie v zmysle platnej legislatívy (napr. GDPR). Povolené sú len technické identifikátory a odkazy na entity.</t>
  </si>
  <si>
    <t>NR151</t>
  </si>
  <si>
    <t>Dodávka dátových schém a súčinnosť pri integrácii logov</t>
  </si>
  <si>
    <t>Dodávateľ je povinný poskytnúť dátové schémy logovacích štruktúr a spolupracovať s prevádzkovateľom pri ich integrácii do nadväzujúcich monitorovacích a bezpečnostných systémov.</t>
  </si>
  <si>
    <t>NR152</t>
  </si>
  <si>
    <t>Návrh dátovej štruktúry pre ISKN 2.0 vrátane nového operátu</t>
  </si>
  <si>
    <t>Dodávateľ musí navrhnúť a implementovať dátovú štruktúru pre všetky časti systému ISKN 2.0, vrátane nového dátového modelu pre udržiavanie katastrálneho operátu.</t>
  </si>
  <si>
    <t>NR153</t>
  </si>
  <si>
    <t>Referencovanie pôvodných údajov bez zásahov do dát</t>
  </si>
  <si>
    <t>ISKN 2.0 musí pracovať výhradne s novými dátovými štruktúrami. Prístup k pôvodným historickým údajom je povolený len na čítanie a prostredníctvom referencií, bez možnosti ich meniť.</t>
  </si>
  <si>
    <t>NR154</t>
  </si>
  <si>
    <t>Podpora záznamu o údajoch vo forme udalostí (event sourcing)</t>
  </si>
  <si>
    <t>Každá zmena v systéme musí byť reprezentovaná ako nezvratná udalosť zapísaná do event stream logu, ktorý slúži ako zdroj pravdy o stave systému.</t>
  </si>
  <si>
    <t>NR155</t>
  </si>
  <si>
    <t>Deterministická sekvencia udalostí pre audit a transparentnosť</t>
  </si>
  <si>
    <t>Zápisy do event logu musia byť nemenné a zoradené v jednoznačnej deterministickej sekvencii, aby bolo možné sledovať vývoj každého údaja alebo dokumentu.</t>
  </si>
  <si>
    <t>NR156</t>
  </si>
  <si>
    <t>Podpora relačných aj NoSQL technológií pre rôzne prístupy</t>
  </si>
  <si>
    <t>Systém musí umožňovať použitie relačných databáz (napr. SQL) aj NoSQL riešení (napr. pre geo-indexáciu, dokumentové úložiská), podľa účelu a charakteru dát.</t>
  </si>
  <si>
    <t>NR157</t>
  </si>
  <si>
    <t>Sloboda výberu technológie pre implementáciu event storage</t>
  </si>
  <si>
    <t>Dodávateľ má možnosť zvoliť vhodnú technológiu (napr. Kafka, EventStoreDB, PostgreSQL+Wal2Json, MongoDB), pokiaľ je zabezpečená integrita, škálovateľnosť, uchovanie a rekonštrukcia stavu.</t>
  </si>
  <si>
    <t>NR158</t>
  </si>
  <si>
    <t>Nemennosť zapísaných údajov (immutability)</t>
  </si>
  <si>
    <t>Systém musí byť navrhnutý na báze nemennosti – všetky zmeny musia byť zaznamenané ako nové udalosti bez prepísania pôvodných dát.</t>
  </si>
  <si>
    <t>NR159</t>
  </si>
  <si>
    <t>Uplatnenie CQS/CQRS princípov</t>
  </si>
  <si>
    <t>Systém musí využívať prístup Command-Query Separation alebo CQRS. Zápisové a čítacie operácie musia byť oddelené, pričom zápisy prebiehajú výlučne formou udalostí.</t>
  </si>
  <si>
    <t>NR160</t>
  </si>
  <si>
    <t>Asynchrónne spracovanie udalostí a aktualizácia pohľadov</t>
  </si>
  <si>
    <t>Po zaznamenaní udalosti musí systém spustiť asynchrónne procesy na aktualizáciu stavovej databázy a následne materializovaných pohľadov.</t>
  </si>
  <si>
    <t>NR161</t>
  </si>
  <si>
    <t>Podpora reprodukovateľnosti a transparentnosti zmien</t>
  </si>
  <si>
    <t>Každá zmena v systéme musí byť auditovateľná, spätne reprodukovateľná a zaznamenaná vrátane vstupov, autorov a výsledkov validačných krokov.</t>
  </si>
  <si>
    <t>NR162</t>
  </si>
  <si>
    <t>Task-based UI pre spracovanie udalostí používateľom</t>
  </si>
  <si>
    <t>Rozhranie systému musí používateľom zobrazovať stav spracovania jednotlivých úloh na báze konkrétnych udalostí a činností, ktoré čakajú na spracovanie alebo validáciu.</t>
  </si>
  <si>
    <t>NR163</t>
  </si>
  <si>
    <t>Možnosť budúcich rozšírení bez zásahu do pôvodných dát</t>
  </si>
  <si>
    <t>Dátový model a architektúra musia byť navrhnuté tak, aby umožňovali pridávať nové funkcie, analytické nástroje alebo decentralizované workflow bez zásahu do pôvodných údajov.</t>
  </si>
  <si>
    <t>NR164</t>
  </si>
  <si>
    <t>Integrácia event stream databázy s výstupnými rozhraniami</t>
  </si>
  <si>
    <t>Odporúča sa, aby integračné rozhrania boli napojené priamo na event stream databázu, čím sa zabezpečí takmer okamžitá synchronizácia údajov v reálnom čase.</t>
  </si>
  <si>
    <t>NR165</t>
  </si>
  <si>
    <t>Podpora škálovania, redundancie a výpadkovej odolnosti</t>
  </si>
  <si>
    <t>Systém musí byť navrhnutý s ohľadom na škálovanie zápisov aj čítania, replikáciu (napr. replika sety) a musí byť odolný voči výpadkom bez obmedzenia funkcionality.</t>
  </si>
  <si>
    <t>NR166</t>
  </si>
  <si>
    <t>Možnosť archivácie udalostí do WORM úložísk</t>
  </si>
  <si>
    <t>Riešenie musí umožniť doplnkovú archiváciu udalostí do WORM úložísk, ktoré zaručujú nemennosť a dôveryhodnosť historických údajov.</t>
  </si>
  <si>
    <t>NR167</t>
  </si>
  <si>
    <t>Dvojúrovňový prístup k dátam pre integračné rozhrania</t>
  </si>
  <si>
    <t>Systémy môžu získavať údaje buď:
    priamym odberom zo zmenového logu (event streamu), alebo
    cez API vrstvu nad materializovanými pohľadmi.
Výber závisí od potrieb danej integračnej služby.</t>
  </si>
  <si>
    <t>NR168</t>
  </si>
  <si>
    <t>Tvorba vlastných optimalizovaných pohľadov pre externé systémy</t>
  </si>
  <si>
    <t>Externé integračné systémy si môžu vytvárať vlastné materializované pohľady s optimalizovanými indexami, ktoré budú prispôsobené ich konkrétnym business potrebám.</t>
  </si>
  <si>
    <t>NR169</t>
  </si>
  <si>
    <t>Zákaz priameho prístupu do zdrojovej databázy</t>
  </si>
  <si>
    <t>Zdrojová databáza systému ISKN 2.0 nesmie byť priamo prístupná pre externé subjekty. Musí byť vytvorená API nadstavba, ktorá zabezpečí riadený a autorizovaný prístup k údajom.</t>
  </si>
  <si>
    <t>NR170</t>
  </si>
  <si>
    <t>Autorizácia a redakcia údajov na základe oprávnení</t>
  </si>
  <si>
    <t>API rozhranie musí obsahovať bezpečnostnú vrstvu, ktorá zabezpečí redakciu (cenzurovanie) údajov nepovolených pre konkrétneho používateľa podľa jeho oprávnenia.</t>
  </si>
  <si>
    <t>NR171</t>
  </si>
  <si>
    <t>Správa oprávnení na úrovni schém a polí v logu</t>
  </si>
  <si>
    <t>Pred sprístupnením údajov musí byť určené, ktoré dátové polia a schémy sú prístupné konkrétnemu používateľovi. Systém musí tieto obmedzenia striktne uplatňovať pri každom výpise z logu.</t>
  </si>
  <si>
    <t>NR172</t>
  </si>
  <si>
    <t>Podpora šifrovania údajov v event stream logu</t>
  </si>
  <si>
    <t>Riešenie má podporovať šifrovanie údajov zapísaných v event streame ako ochranu pred neoprávneným prístupom, pričom dešifrovanie musí byť umožnené len po autentifikácii a autorizácii používateľa.</t>
  </si>
  <si>
    <t>NR173</t>
  </si>
  <si>
    <t>Možnosť zániku údajov cez zánik šifrovacieho kľúča</t>
  </si>
  <si>
    <t>Systém má podporovať koncept „práva na zabudnutie“ v súlade s GDPR formou zániku šifrovacieho kľúča, čím sa znemožní ďalšia obnova pôvodných údajov.</t>
  </si>
  <si>
    <t>NR174</t>
  </si>
  <si>
    <t>Možnosť nasadenia end-to-end šifrovania</t>
  </si>
  <si>
    <t>Systém by mal umožniť aj nasadenie end-to-end šifrovania medzi koncovými bodmi tam, kde je to relevantné.</t>
  </si>
  <si>
    <t>NR175</t>
  </si>
  <si>
    <t>Podpora systémového podpisovania údajov certifikátom systému</t>
  </si>
  <si>
    <t>Systém musí byť schopný automaticky podpisovať údaje alebo zmeny svojím vlastným certifikátom na účely zabezpečenia integrity a auditovateľnosti.</t>
  </si>
  <si>
    <t>NR176</t>
  </si>
  <si>
    <t>Používateľské podpisovanie úkonov kvalifikovaným certifikátom</t>
  </si>
  <si>
    <t>Každý používateľ musí mať možnosť elektronicky podpisovať svoje úkony vlastným kvalifikovaným certifikátom priamo v agendovom rozhraní systému.</t>
  </si>
  <si>
    <t>NR177</t>
  </si>
  <si>
    <t>Bezpečné uloženie a použitie používateľského certifikátu</t>
  </si>
  <si>
    <t>Certifikát používateľa musí byť uložený centrálne, šifrovane, a jeho použitie musí byť možné len po zadaní osobného hesla, čím sa zabezpečí, že len oprávnený používateľ môže daný úkon podpísať.</t>
  </si>
  <si>
    <t>NR178</t>
  </si>
  <si>
    <t>Jednoznačné priradenie zmien ku konkrétnemu používateľovi</t>
  </si>
  <si>
    <t>Každá zmena v systéme musí byť spätá s konkrétnym používateľom cez jeho podpis, čím sa zabezpečí nepopierateľnosť, auditovateľnosť a integrita zmien.</t>
  </si>
  <si>
    <t>NR179</t>
  </si>
  <si>
    <t>Integrácia podpisovania s mechanizmom oprávnení</t>
  </si>
  <si>
    <t>Elektronický podpis používateľa má byť súčasťou mechanizmu oprávnení – niektoré business funkcie môžu vyžadovať podpis ako dôkaz identity a právneho súhlasu používateľa s vykonaním úkonu.</t>
  </si>
  <si>
    <t>NR180</t>
  </si>
  <si>
    <t>Nemennosť dátových entít v čase</t>
  </si>
  <si>
    <t>Každá dátová entita v ISKN 2.0 musí mať fixnú schému platnú od jej zavedenia. Nie je povolené meniť význam, typy, pravidlá spracovania, ani odstraňovať existujúce polia. Rozšírenia sú možné len pridaním nových polí.</t>
  </si>
  <si>
    <t>NR181</t>
  </si>
  <si>
    <t>Verejný katalóg dátových entít</t>
  </si>
  <si>
    <t>ISKN 2.0 musí publikovať verejný katalóg entít obsahujúci ich názvy, jednoznačné ID, verziu schémy, dátové typy polí, ich význam a dátum platnosti verzie.</t>
  </si>
  <si>
    <t>NR182</t>
  </si>
  <si>
    <t>Podpora mapovania medzi starým a novým dátovým modelom</t>
  </si>
  <si>
    <t>Systém musí poskytovať mechanizmus mapovania medzi historickými údajmi z pôvodného ISKN a novým dátovým modelom prostredníctvom integračných rozhraní.</t>
  </si>
  <si>
    <t>NR183</t>
  </si>
  <si>
    <t>Hybridný dátový model s referenciami na historické údaje</t>
  </si>
  <si>
    <t>ISKN 2.0 musí umožňovať tvorbu dátových objektov, ktoré kombinujú nové dáta s referenciami na historické údaje, pričom je zachovaná auditovateľnosť a oddelenie pôvodných a nových záznamov.</t>
  </si>
  <si>
    <t>NR184</t>
  </si>
  <si>
    <t>Objektový dátový model pre SPI s väzbami medzi entitami</t>
  </si>
  <si>
    <t>Popisné informácie katastra (SPI) musia byť reprezentované objektovým modelom, kde každá entita zodpovedá business objektu (napr. parcela, vlastník) a medzi nimi sú explicitne definované väzby.</t>
  </si>
  <si>
    <t>NR185</t>
  </si>
  <si>
    <t>Podpora verzií a podtypov dátových objektov</t>
  </si>
  <si>
    <t>Každý objekt musí byť identifikovateľný podľa verzie a podtypu schémy. Systém musí zvládať rozdiely v štruktúre podľa historického kontextu.</t>
  </si>
  <si>
    <t>NR186</t>
  </si>
  <si>
    <t>Koexistencia štruktúrovaných a nestruktúrovaných častí objektu</t>
  </si>
  <si>
    <t>Systém musí umožniť, aby jeden objekt obsahoval zároveň štruktúrované aj nestruktúrované polia, podľa typu alebo zdroja dát (napr. poznámky v starých vs. nových údajoch).</t>
  </si>
  <si>
    <t>NR187</t>
  </si>
  <si>
    <t>Podpora objektov referencujúcich staré údaje bez vlastného obsahu</t>
  </si>
  <si>
    <t>ISKN 2.0 musí umožniť existenciu objektov, ktoré slúžia len ako referencie na záznamy v pôvodných údajoch a samy neobsahujú nový obsah.</t>
  </si>
  <si>
    <t>NR188</t>
  </si>
  <si>
    <t>Princíp copy-on-write pri aplikácii zmien</t>
  </si>
  <si>
    <t>Zmeny sa vykonávajú vytvorením novej verzie dotknutých častí objektu, pričom nedotknuté časti zostávajú nezmenené a platné. Tento princíp musí byť systémom implementovaný.</t>
  </si>
  <si>
    <t>NR189</t>
  </si>
  <si>
    <t>Možnosť efektívnej rekonštrukcie historických a aktuálnych stavov</t>
  </si>
  <si>
    <t>Systém musí umožniť rekonštrukciu AS-IS stavu k dátumu alebo k poradovému číslu zmeny bez potreby manipulovať s celými objektmi, vďaka efektívnemu ukladaniu zmenových udalostí.</t>
  </si>
  <si>
    <t>NR190</t>
  </si>
  <si>
    <t>Úsporný dátový model optimalizovaný pre priebežné zmeny</t>
  </si>
  <si>
    <t>Použitím zmenového prístupu a nemennosti údajov musí byť model navrhnutý tak, aby bol úsporný na ukladací priestor a efektívny pri spracovaní kontinuálnych zmien.</t>
  </si>
  <si>
    <t>NR191</t>
  </si>
  <si>
    <t>Prevádzka aplikačnej a dátovej vrstvy mimo technologickej architektúry</t>
  </si>
  <si>
    <t>Projekt ISKN 2.0 sa realizuje len do úrovne aplikačnej a dátovej architektúry. Technologická architektúra (hardware, sieťové prvky, prevádzkové vrstvy) bude riešená samostatne mimo rámca dodávky.</t>
  </si>
  <si>
    <t>NR192</t>
  </si>
  <si>
    <t>Vyžadovanie štyroch samostatných prevádzkových prostredí</t>
  </si>
  <si>
    <t>Systém musí byť pripravený na prevádzku v štyroch oddelených prostrediach: DEV, TEST, PREPROD a PROD. Produkčné prostredie musí byť oddelené od ostatných a neprístupné dodávateľovi.</t>
  </si>
  <si>
    <t>NR193</t>
  </si>
  <si>
    <t>Správa a úpravy dát v neprodukčných prostrediach dodávateľom</t>
  </si>
  <si>
    <t>Dodávateľ musí mať možnosť spravovať a upravovať dáta v prostrediach DEV, TEST a PREPROD podľa potreby, najmä za účelom vývoja, testovania a overenia funkčnosti pred nasadením do produkcie.</t>
  </si>
  <si>
    <t>NR194</t>
  </si>
  <si>
    <t>Dodávka systému vo forme Docker obrazov alebo aplikačných balíkov</t>
  </si>
  <si>
    <t>Dodávateľ je povinný dodať riešenie vo forme spustiteľných Docker obrazov alebo alternatívne ako aplikačné balíky, ktoré možno nasadiť do cieľového prostredia.</t>
  </si>
  <si>
    <t>NR195</t>
  </si>
  <si>
    <t>Možnosť dodania Infrastructure as Code (IaC) predpisov</t>
  </si>
  <si>
    <t>Dodávateľ môže ako alternatívu k Docker obrazom dodať Infrastructure as Code (IaC) skripty, ktoré umožnia zostavenie a spustenie aplikačného prostredia u prevádzkovateľa.</t>
  </si>
  <si>
    <t>NR196</t>
  </si>
  <si>
    <t>Poskytnutie vstupných údajov zo strany prevádzkovateľa</t>
  </si>
  <si>
    <t>Prevádzkovateľ zabezpečí vstupné údaje potrebné na konfiguráciu prostredia (napr. DNS záznamy), pričom návrh aplikačného prostredia sa prispôsobuje architektúre dodávateľa.</t>
  </si>
  <si>
    <t>NR197</t>
  </si>
  <si>
    <t>Konfigurovateľnosť bez potreby rebuildovania aplikácie</t>
  </si>
  <si>
    <t>Dodávateľ musí zabezpečiť, aby bolo možné systém konfigurovať pomocou vyhradených konfiguračných súborov alebo podobných mechanizmov bez potreby opätovnej kompilácie alebo rebuildu aplikácie.</t>
  </si>
  <si>
    <t>NR198</t>
  </si>
  <si>
    <t>Vypracovanie bezpečnostného projektu s metodikou STRIDE</t>
  </si>
  <si>
    <t>Dodávateľ musí vypracovať bezpečnostný projekt zahŕňajúci analýzu hrozieb podľa metodiky STRIDE, pokrývajúcu dôvernosť, integritu a dostupnosť údajov.</t>
  </si>
  <si>
    <t>NR199</t>
  </si>
  <si>
    <t>Zabezpečenie nepopierateľnosti úkonov a integrity logu</t>
  </si>
  <si>
    <t>Každá zmena musí byť digitálne podpísaná, logovaná a uložená v nemodifikovateľnej forme, čím sa zabezpečí nepopierateľnosť a auditovateľnosť všetkých úkonov.</t>
  </si>
  <si>
    <t>NR200</t>
  </si>
  <si>
    <t>Logovanie všetkých udalostí vrátane prístupov a lustrácií</t>
  </si>
  <si>
    <t>Systém musí logovať nielen zápisy, ale aj read-only operácie (lustrácie, prístupy k údajom) v súlade s bezpečnostnými požiadavkami.</t>
  </si>
  <si>
    <t>NR201</t>
  </si>
  <si>
    <t>Zápisy do logu až po replikácii – nízke RPO</t>
  </si>
  <si>
    <t>Zápis do zmenového logu musí byť potvrdený až po replikácii do viacerých úložísk, aby sa dosiahlo takmer nulové Recovery Point Objective.</t>
  </si>
  <si>
    <t>NR202</t>
  </si>
  <si>
    <t>Podpora cold storage a WORM úložísk pre zálohovanie</t>
  </si>
  <si>
    <t>Systém musí podporovať zálohovanie do cold storage alebo WORM archívov s cieľom zabezpečiť spätnú rekonštrukciu a integritu údajov.</t>
  </si>
  <si>
    <t>NR203</t>
  </si>
  <si>
    <t>Zero Trust architektúra s mTLS a IAM mechanizmami</t>
  </si>
  <si>
    <t>ISKN 2.0 musí byť navrhnutý podľa princípov Zero Trust Architecture. Komunikácia musí byť zabezpečená pomocou mTLS, PKI a IAM systému s PEP/PDP.</t>
  </si>
  <si>
    <t>NR204</t>
  </si>
  <si>
    <t>Zavedenie DevSecOps princípov</t>
  </si>
  <si>
    <t>Systém musí uplatňovať DevSecOps: automatizované bezpečnostné testy, statickú/dynamickú analýzu kódu, kontrolu integrity buildov a validáciu pred nasadením.</t>
  </si>
  <si>
    <t>NR205</t>
  </si>
  <si>
    <t>Reakcia na známe zraniteľnosti a poskytovanie opráv</t>
  </si>
  <si>
    <t>Dodávateľ je povinný bezodkladne reagovať na zistené bezpečnostné zraniteľnosti, opraviť ich a poskytnúť dokumentáciu o zásahu a jeho vplyve na systém.</t>
  </si>
  <si>
    <t>NR206</t>
  </si>
  <si>
    <t>Overovanie identít a rolí cez IAM s podporou OAuth 2.0 / OIDC</t>
  </si>
  <si>
    <t>Systém musí používať IAM server na autentifikáciu a autorizáciu používateľov cez štandardy OAuth 2.0 / OpenID Connect. Identity a role sú preberané z externých systémov.</t>
  </si>
  <si>
    <t>NR207</t>
  </si>
  <si>
    <t>Autorizácia cez distribuovaný PEP a centralizovaný PDP</t>
  </si>
  <si>
    <t>Autorizácia musí byť realizovaná kombináciou PEP (v API vrstvách) a PDP (v autorizačnom serveri), s podporou real-time vyhodnocovania pravidiel.</t>
  </si>
  <si>
    <t>NR208</t>
  </si>
  <si>
    <t>Podpora Policy Administration Point rozhrania pre správu autorizačných pravidiel</t>
  </si>
  <si>
    <t>Súčasťou systému musí byť rozhranie PAP na správu rolí, scope, claimov a pravidiel autorizácie – vrátane grafického rozhrania a API.</t>
  </si>
  <si>
    <t>NR209</t>
  </si>
  <si>
    <t>Kompatibilita logovania so SIEM a SOAR systémami</t>
  </si>
  <si>
    <t>Systém musí podporovať integráciu logovacích výstupov s externými nástrojmi SIEM/SOAR pre koreláciu a vyhodnocovanie incidentov.</t>
  </si>
  <si>
    <t>NR210</t>
  </si>
  <si>
    <t>Reakcia na incidenty z externej SOAR platformy</t>
  </si>
  <si>
    <t>Systém musí umožniť prijatie požiadaviek zo SOAR a vykonanie bezpečnostných akcií ako: odhlásenie používateľa, zneplatnenie tokenu, blokovanie operácií.</t>
  </si>
  <si>
    <t>NR211</t>
  </si>
  <si>
    <t>Digitálne podpisovanie každého záznamu v event logu</t>
  </si>
  <si>
    <t>Každá udalosť v systéme musí byť digitálne podpísaná komponentom alebo osobou, ktorá ju vyvolala, a musí byť uložená v nemodifikovateľnej forme.</t>
  </si>
  <si>
    <t>NR212</t>
  </si>
  <si>
    <t>Okamžitá replikácia do archívnych úložísk</t>
  </si>
  <si>
    <t>Po zápise udalosti do logu musí systém podporovať okamžitú replikáciu do archívnych WORM alebo cold storage úložísk, kde nie je možná manipulácia.</t>
  </si>
  <si>
    <t>NR213</t>
  </si>
  <si>
    <t>Konfigurovateľnosť pravidiel replikácie a zálohovania</t>
  </si>
  <si>
    <t>Prevádzkovateľ musí mať možnosť rozhodovať o počte, type, umiestnení a pravidlách replikácie záložných úložísk.</t>
  </si>
  <si>
    <t>NR214</t>
  </si>
  <si>
    <t>Minimalizácia funkcionality a bezpečnostné revízie počas vývoja</t>
  </si>
  <si>
    <t>Aplikácia musí byť čo najjednoduchšia, bez zbytočných komponentov, s pravidelnými bezpečnostnými auditmi a kontrolami zhody s návrhom riešenia.</t>
  </si>
  <si>
    <t>NR215</t>
  </si>
  <si>
    <t>Jednoznačná identifikácia buildov a sledovanie integrity</t>
  </si>
  <si>
    <t>Každé zostavenie a nasadenie musí byť jednoznačne identifikovateľné, podpisované, verziované a sledované z hľadiska integrity.</t>
  </si>
  <si>
    <t>NR216</t>
  </si>
  <si>
    <t>Centralizovaný IAM ako súčasť strediska podporných služieb</t>
  </si>
  <si>
    <t>Komponent IAM musí byť súčasťou architektúry ISKN 2.0 a umiestnený v segmente strediska podporných služieb. Zodpovedá za riadenie autentifikácie a autorizácie používateľov aj systémov.</t>
  </si>
  <si>
    <t>NR217</t>
  </si>
  <si>
    <t>Prevzatie identít a rolí z externých IAM zdrojov (realms)</t>
  </si>
  <si>
    <t>ISKN 2.0 nesmie obsahovať vlastnú správu používateľských účtov. Všetky identity musia byť preberané z externých IAM systémov podľa špecifikácie prevádzkovateľa.</t>
  </si>
  <si>
    <t>NR218</t>
  </si>
  <si>
    <t>Prevzatie organizačnej štruktúry a atribútov pre rozhodovanie</t>
  </si>
  <si>
    <t>IAM musí vedieť pracovať s organizačnou štruktúrou a poskytovať údaje o používateľských rolách, scopes a claimoch, potrebných na vyhodnotenie prístupových oprávnení v PEP.</t>
  </si>
  <si>
    <t>NR219</t>
  </si>
  <si>
    <t>Distribuované PEP a centralizovaný PDP pre rozhodovanie</t>
  </si>
  <si>
    <t>Rozhodovací mechanizmus (PDP) musí byť súčasťou autorizačného servera a zároveň musí byť oddelene nasaditeľný. PEP musí byť implementovaný v API rozhraniach.</t>
  </si>
  <si>
    <t>NR220</t>
  </si>
  <si>
    <t>Grafické rozhranie pre správu autorizačných pravidiel</t>
  </si>
  <si>
    <t>Autorizačný server musí obsahovať GUI pre správu dynamických pravidiel (roles, scopes, claims), ktoré môžu byť prispôsobované prevádzkovateľom.</t>
  </si>
  <si>
    <t>NR221</t>
  </si>
  <si>
    <t>Autorizačný server musí poznať všetky business pravidlá prístupov</t>
  </si>
  <si>
    <t>IAM musí disponovať znalosťou všetkých oprávnení a prístupových pravidiel relevantných pre systém ISKN 2.0, a to vrátane špecifických business scenárov.</t>
  </si>
  <si>
    <t>NR222</t>
  </si>
  <si>
    <t>Minimalizácia systémových identít pri M2M komunikácii</t>
  </si>
  <si>
    <t>V prípade M2M komunikácie je preferované použitie prenesenej identity používateľa namiesto čisto technických účtov. PEP rozhoduje podľa reálnej osoby, ktorá iniciovala požiadavku.</t>
  </si>
  <si>
    <t>NR223</t>
  </si>
  <si>
    <t>Workflow engine pre spracovanie udalostí a notifikácií</t>
  </si>
  <si>
    <t>Systém ISKN 2.0 musí obsahovať workflow engine, ktorý bude zabezpečovať spracovanie udalostí z externých systémov a vyvolávať na ich základe definované interné akcie.</t>
  </si>
  <si>
    <t>NR224</t>
  </si>
  <si>
    <t>Reaktívne spracovanie integračných vstupov cez workflow engine</t>
  </si>
  <si>
    <t>Workflow engine musí umožňovať automatické reagovanie na prichádzajúce notifikácie alebo vstupy z integrovaných systémov, vrátane spracovania údajov a volania interných API.</t>
  </si>
  <si>
    <t>NR225</t>
  </si>
  <si>
    <t>Integrácia workflow engine s externými systémami</t>
  </si>
  <si>
    <t>Workflow engine musí byť schopný prijímať vstupy z rôznych externých systémov, ako sú registre osôb, platobné systémy, a spracovávať ich v reálnom čase.</t>
  </si>
  <si>
    <t>NR226</t>
  </si>
  <si>
    <t>Orchestrácia systémových procesov na základe externých udalostí</t>
  </si>
  <si>
    <t>Workflow engine musí fungovať ako centrálny orchestrátor, ktorý mapuje prichádzajúce externé udalosti na konkrétne interné procesy systému ISKN 2.0.</t>
  </si>
  <si>
    <t>NR227</t>
  </si>
  <si>
    <t>Centralizovaná služba na generovanie poradových čísel</t>
  </si>
  <si>
    <t>V rámci strediska podporných služieb musí byť vytvorený centralizovaný komponent na generovanie poradových čísel s garantovanou silnou konzistenciou, ktorý sa použije pre business procesy vyžadujúce sekvenčné a nezameniteľné číslovanie.</t>
  </si>
  <si>
    <t>NR228</t>
  </si>
  <si>
    <t>Zachovanie konzistencie a unikátnosti naprieč mennými priestormi</t>
  </si>
  <si>
    <t>Komponent na generovanie čísel musí zabezpečiť konzistentné, unikátne a sekvenčné číslovanie v rámci definovaných menných priestorov, ktoré sa nesmú navzájom ovplyvňovať.</t>
  </si>
  <si>
    <t>Total Factor</t>
  </si>
  <si>
    <t>Index</t>
  </si>
  <si>
    <t>Poradie</t>
  </si>
  <si>
    <t>Nápoveda pre danú hodnotu</t>
  </si>
  <si>
    <t>Váha</t>
  </si>
  <si>
    <t>Súčin</t>
  </si>
  <si>
    <t>Distribuovaný systém</t>
  </si>
  <si>
    <t>Výkon</t>
  </si>
  <si>
    <t>Efektívnosť pre používateľa</t>
  </si>
  <si>
    <t>Komplexnosť vnútorných procesov</t>
  </si>
  <si>
    <t>Znovapoužiteľnosť</t>
  </si>
  <si>
    <t>Jednoduchosť inštalácie</t>
  </si>
  <si>
    <t>Jednoduchosť používania</t>
  </si>
  <si>
    <t>Prenosnosť</t>
  </si>
  <si>
    <t>Jednoduchosť zmeny</t>
  </si>
  <si>
    <t>Súbežnosť</t>
  </si>
  <si>
    <t>Osobitné bezpečnostné prvky</t>
  </si>
  <si>
    <t>Poskytuje priamy prístup k tretím systémom</t>
  </si>
  <si>
    <t>Špeciálne znalosti a zručnosti používateľov</t>
  </si>
  <si>
    <t>Znalosť vývojového procesu</t>
  </si>
  <si>
    <t>Skúsenosti s implementáciou</t>
  </si>
  <si>
    <t>Skúsenosti s objektovo orientovaným prístupom</t>
  </si>
  <si>
    <t>Schopnosť vedúcich analytikov</t>
  </si>
  <si>
    <t>Motivácia</t>
  </si>
  <si>
    <t>Stabilita požiadaviek</t>
  </si>
  <si>
    <t>Zamestnanci na čiastočný úväzok</t>
  </si>
  <si>
    <t>Zložitý programovací jazyk</t>
  </si>
  <si>
    <t>Používateľ</t>
  </si>
  <si>
    <t>Používateľ x</t>
  </si>
  <si>
    <t>Typ používateľa</t>
  </si>
  <si>
    <t>Podnikateľ (G2B)</t>
  </si>
  <si>
    <t>Občan (G2C)</t>
  </si>
  <si>
    <t>Zamestnanec inštitúcie verejnej správy (G2E)</t>
  </si>
  <si>
    <t>Inštitúcia verejnej správy (G2G)</t>
  </si>
  <si>
    <t>Zložitosť</t>
  </si>
  <si>
    <t>Počet</t>
  </si>
  <si>
    <t>Celkom</t>
  </si>
  <si>
    <t>Počet MDs Hlavné etapy realizácie</t>
  </si>
  <si>
    <t>Počet MDs Podporné oblasti realizácie</t>
  </si>
  <si>
    <t>Etapy projektu</t>
  </si>
  <si>
    <t>% dotácia</t>
  </si>
  <si>
    <t>% dotácie / pomocne</t>
  </si>
  <si>
    <t>Počet MD</t>
  </si>
  <si>
    <t>Priemerná vážená sadzba</t>
  </si>
  <si>
    <t>Pozícia</t>
  </si>
  <si>
    <t>Pozicia Vyber</t>
  </si>
  <si>
    <t>ISCO pozícia</t>
  </si>
  <si>
    <t>ISCO kód</t>
  </si>
  <si>
    <t>% etáp</t>
  </si>
  <si>
    <t>Počet MDs</t>
  </si>
  <si>
    <t>MD Rate bez DPH</t>
  </si>
  <si>
    <t>Suma bez DPH</t>
  </si>
  <si>
    <t>Číselník pozícií</t>
  </si>
  <si>
    <t>Sadzba v projekte bez DPH</t>
  </si>
  <si>
    <r>
      <rPr>
        <b/>
        <sz val="11"/>
        <color theme="0"/>
        <rFont val="Calibri Light"/>
        <family val="2"/>
        <scheme val="major"/>
      </rPr>
      <t>Sadzba - revízia výdavkov</t>
    </r>
    <r>
      <rPr>
        <b/>
        <sz val="11"/>
        <color theme="0"/>
        <rFont val="Calibri Light"/>
        <family val="1"/>
        <charset val="2"/>
        <scheme val="major"/>
      </rPr>
      <t xml:space="preserve"> bez DPH</t>
    </r>
  </si>
  <si>
    <t>Max % v projekte na HE</t>
  </si>
  <si>
    <t>V projekte</t>
  </si>
  <si>
    <t>% v projekte</t>
  </si>
  <si>
    <t>Súlad s max</t>
  </si>
  <si>
    <t>Poznámka</t>
  </si>
  <si>
    <t>Analýza a dizajn</t>
  </si>
  <si>
    <t>IT architekt</t>
  </si>
  <si>
    <t>IT architekt, projektant</t>
  </si>
  <si>
    <t>IT tester</t>
  </si>
  <si>
    <t>IT programátor/vývojár</t>
  </si>
  <si>
    <t>Systémový programátor</t>
  </si>
  <si>
    <t>Projektový manažér IT projektu</t>
  </si>
  <si>
    <t>Riadiaci pracovník (manažér) riešení IT</t>
  </si>
  <si>
    <t>IT analytik</t>
  </si>
  <si>
    <t>Analytik IKT</t>
  </si>
  <si>
    <t>Odborník pre IT dohľad/Quality Assurance</t>
  </si>
  <si>
    <t>Špecialista riadenia systému kvality</t>
  </si>
  <si>
    <t>Špecialista pre bezpečnosť IT</t>
  </si>
  <si>
    <t>Špecialista informačnej a kybernetickej bezpečnosti</t>
  </si>
  <si>
    <t>Špecialista pre infraštruktúrny/HW špecialista</t>
  </si>
  <si>
    <t>Špecialista v oblasti počítačových sietí</t>
  </si>
  <si>
    <t>Špecialista pre databázy</t>
  </si>
  <si>
    <t>Databázový dizajnér</t>
  </si>
  <si>
    <t>Školiteľ pre IT systémy</t>
  </si>
  <si>
    <t>IT/IS konzultant (napr. SAP)</t>
  </si>
  <si>
    <t xml:space="preserve">Iné </t>
  </si>
  <si>
    <t>Implementácia a testovanie</t>
  </si>
  <si>
    <t>Finančný manažér</t>
  </si>
  <si>
    <t>Administratívny pracovník</t>
  </si>
  <si>
    <t>Projektový manažér</t>
  </si>
  <si>
    <t>Manažér pre publicitu</t>
  </si>
  <si>
    <t>Manažér pre monitoring</t>
  </si>
  <si>
    <t>Špecialista na Verejné obstarávanie</t>
  </si>
  <si>
    <t>Nasadenie</t>
  </si>
  <si>
    <t>Podporná oblasť projektu</t>
  </si>
  <si>
    <t>Trvanie oblasti</t>
  </si>
  <si>
    <t>Počet FTE v oblasti</t>
  </si>
  <si>
    <t>Pocet MDs</t>
  </si>
  <si>
    <t>Externé projetkové riadenie</t>
  </si>
  <si>
    <t>Externá publicita a informovanosť</t>
  </si>
  <si>
    <t>MDs interné / Suma hlavné</t>
  </si>
  <si>
    <t>Koeficient odvodov</t>
  </si>
  <si>
    <t>Spolu za interné kapacity</t>
  </si>
  <si>
    <t>Odmeny v %</t>
  </si>
  <si>
    <t>Etapa projektu</t>
  </si>
  <si>
    <t>Trvanie etapy / podpornej oblasti</t>
  </si>
  <si>
    <t>% v etape / podpornej oblasti</t>
  </si>
  <si>
    <t>MD Rate s odvodmi</t>
  </si>
  <si>
    <t xml:space="preserve">Suma </t>
  </si>
  <si>
    <t>Etapa / oblasť</t>
  </si>
  <si>
    <t>Počet pozícií</t>
  </si>
  <si>
    <t>Hodinová sadzba - Hrubá mzda</t>
  </si>
  <si>
    <t>Odvody zamestnávateľ</t>
  </si>
  <si>
    <t>Hodinový náklad (superhrubý)</t>
  </si>
  <si>
    <t>Počet hodín</t>
  </si>
  <si>
    <t>Náklady na pozíciu</t>
  </si>
  <si>
    <t>Maximálna hod. sadzba (Hruba mzda)</t>
  </si>
  <si>
    <t>IT Architekt</t>
  </si>
  <si>
    <t>Hlavná</t>
  </si>
  <si>
    <t>Kľúčový používateľ</t>
  </si>
  <si>
    <t>IT Analytik</t>
  </si>
  <si>
    <t>Vlastník procesov</t>
  </si>
  <si>
    <t>Dátový špecialista</t>
  </si>
  <si>
    <t>Dátový kurátor</t>
  </si>
  <si>
    <t>Tester</t>
  </si>
  <si>
    <t>Špecialista na bezpečnosť</t>
  </si>
  <si>
    <t>Vlastník údajov</t>
  </si>
  <si>
    <t>Podporná</t>
  </si>
  <si>
    <t>Manažér kvality</t>
  </si>
  <si>
    <t>Účtovník</t>
  </si>
  <si>
    <t>Biznis analytik</t>
  </si>
  <si>
    <t>Manažér kybernetickej a informačnej bezpečnosti</t>
  </si>
  <si>
    <t>Špecialista na publicitu</t>
  </si>
  <si>
    <t>Pracovník v administratíve</t>
  </si>
  <si>
    <t>Projektové riadenie</t>
  </si>
  <si>
    <t>Publicita a informovanosť</t>
  </si>
  <si>
    <t>INDIKATÍVNY ROZPOČET SPOLU</t>
  </si>
  <si>
    <t>MOD_#</t>
  </si>
  <si>
    <t>Modul</t>
  </si>
  <si>
    <t>Popis
(Vrátane zdôvodnenia zvoleného technologického variantu - IaaS, PaaS, vývoj vlastnej aplikácie, COTS riešenie)</t>
  </si>
  <si>
    <t>Pocet MDs - externe</t>
  </si>
  <si>
    <t>Pocet MDs - interne</t>
  </si>
  <si>
    <t>Vazena sadzba interné</t>
  </si>
  <si>
    <t>Vazena sadzba - externe</t>
  </si>
  <si>
    <t>Suma internych prac</t>
  </si>
  <si>
    <t>Suma Externych prac</t>
  </si>
  <si>
    <t>Projektovy_manazer</t>
  </si>
  <si>
    <t>IT_programator</t>
  </si>
  <si>
    <t>IT_analytik</t>
  </si>
  <si>
    <t>IT_architekt</t>
  </si>
  <si>
    <t>Kvalita</t>
  </si>
  <si>
    <t>IT_tester</t>
  </si>
  <si>
    <t>Infrastrutkura</t>
  </si>
  <si>
    <t>Databazy</t>
  </si>
  <si>
    <t>IT_konzultant</t>
  </si>
  <si>
    <t>Bezpecnost</t>
  </si>
  <si>
    <t>Skolenie</t>
  </si>
  <si>
    <t>Ine</t>
  </si>
  <si>
    <t>IT konzultant</t>
  </si>
  <si>
    <t>Riadiaci pracovník (manažér) informačnej a kybernetickej bezpečnosti</t>
  </si>
  <si>
    <t>Mechanik počítačových sietí</t>
  </si>
  <si>
    <t>Softvérový architekt, dizajnér</t>
  </si>
  <si>
    <t>Databázový analytik</t>
  </si>
  <si>
    <t>Špecialista prevádzky mobilných a pevných technológií</t>
  </si>
  <si>
    <t>Správca digitálneho obsahu (Digital Content Manager)</t>
  </si>
  <si>
    <t>Pracovníci informačných služieb inde neuvedení</t>
  </si>
  <si>
    <t>Operátor klientskej podpory IKT</t>
  </si>
  <si>
    <t>Technik užívateľskej podpory IKT</t>
  </si>
  <si>
    <t>Aplikačný programátor</t>
  </si>
  <si>
    <t>OPII</t>
  </si>
  <si>
    <t>Nazov vyberu</t>
  </si>
  <si>
    <t xml:space="preserve">Pozície z OPII opravnenosti výdavkov </t>
  </si>
  <si>
    <t>ISCO pozicie</t>
  </si>
  <si>
    <t>ISCO kod</t>
  </si>
  <si>
    <t>IT programátor /vývojár</t>
  </si>
  <si>
    <t>Špecialista infrašktuktúry/HW špecialista</t>
  </si>
  <si>
    <t>Špecialista pre IT bezpečnosť</t>
  </si>
  <si>
    <t>Iná špecifická rola</t>
  </si>
  <si>
    <t>Položka</t>
  </si>
  <si>
    <t>SW / HW</t>
  </si>
  <si>
    <t>Účtovná položka</t>
  </si>
  <si>
    <t>Merná jednotka</t>
  </si>
  <si>
    <t>Jednotková cena €</t>
  </si>
  <si>
    <t>Celková suma €</t>
  </si>
  <si>
    <t>Zdroj ceny (odkazy na cenníky, prieskumy a pod.)</t>
  </si>
  <si>
    <t>Šalková</t>
  </si>
  <si>
    <t>013 Softvér</t>
  </si>
  <si>
    <t>ks</t>
  </si>
  <si>
    <t>Prieskum trhu realizovaný ÚGKK SR</t>
  </si>
  <si>
    <t>Šumiac</t>
  </si>
  <si>
    <t>Telgárt</t>
  </si>
  <si>
    <t>Polina</t>
  </si>
  <si>
    <t>Veľká Čalomija</t>
  </si>
  <si>
    <t>Babiná</t>
  </si>
  <si>
    <t>Sása</t>
  </si>
  <si>
    <t>Trubín</t>
  </si>
  <si>
    <t>Nálepkovo</t>
  </si>
  <si>
    <t>Belža</t>
  </si>
  <si>
    <t>Chym</t>
  </si>
  <si>
    <t>Perín</t>
  </si>
  <si>
    <t>Vyšný Lánec</t>
  </si>
  <si>
    <t>Lorinčík</t>
  </si>
  <si>
    <t>Oborín</t>
  </si>
  <si>
    <t>Pozdišovce</t>
  </si>
  <si>
    <t>Harichovce</t>
  </si>
  <si>
    <t>Malá Bara</t>
  </si>
  <si>
    <t>Plechotice</t>
  </si>
  <si>
    <t>Veľká Bara</t>
  </si>
  <si>
    <t>Bardejovská Nová Ves</t>
  </si>
  <si>
    <t>Hažín nad Cirochou</t>
  </si>
  <si>
    <t>Spišský Štvrtok</t>
  </si>
  <si>
    <t>Batizovce</t>
  </si>
  <si>
    <t>Pichne</t>
  </si>
  <si>
    <t>Hraničné</t>
  </si>
  <si>
    <t>Ladomirová</t>
  </si>
  <si>
    <t>Remeniny</t>
  </si>
  <si>
    <t>Malé Hoste</t>
  </si>
  <si>
    <t>Pochabany</t>
  </si>
  <si>
    <t>Veľké Hoste</t>
  </si>
  <si>
    <t>Krajné</t>
  </si>
  <si>
    <t>Dolné Bzince</t>
  </si>
  <si>
    <t>Horné Bzince</t>
  </si>
  <si>
    <t>Klátova Nová Ves</t>
  </si>
  <si>
    <t>Považská Teplá</t>
  </si>
  <si>
    <t>Valaská Belá</t>
  </si>
  <si>
    <t>Dohňany</t>
  </si>
  <si>
    <t>Ivanovce</t>
  </si>
  <si>
    <t>Vrakúň</t>
  </si>
  <si>
    <t>Tepličky</t>
  </si>
  <si>
    <t>Moravany nad Váhom</t>
  </si>
  <si>
    <t>Súľov-Hradná</t>
  </si>
  <si>
    <t>Pokryváč</t>
  </si>
  <si>
    <t>Nižná Boca</t>
  </si>
  <si>
    <t>Bobrov</t>
  </si>
  <si>
    <t>Lúčky</t>
  </si>
  <si>
    <t>Habovka</t>
  </si>
  <si>
    <t>Zábiedovo</t>
  </si>
  <si>
    <t>Lutiše</t>
  </si>
  <si>
    <t>Harmonogram v mesiacoch od spustenia</t>
  </si>
  <si>
    <t>Fáza projektu</t>
  </si>
  <si>
    <t>INK START</t>
  </si>
  <si>
    <t>INK END</t>
  </si>
  <si>
    <t>Start</t>
  </si>
  <si>
    <t>Korigovaný štart</t>
  </si>
  <si>
    <t>Trvanie</t>
  </si>
  <si>
    <t>Celkové náklady na vlastníctvo (TCO)</t>
  </si>
  <si>
    <t>Náklady na budúce riešenie</t>
  </si>
  <si>
    <t>SW produkty - sumár obstaranie</t>
  </si>
  <si>
    <t>SW produkty - sumár prevádzka</t>
  </si>
  <si>
    <t>Aplikácie - sumár obstaranie</t>
  </si>
  <si>
    <t>Aplikácie - sumár prevádzka</t>
  </si>
  <si>
    <t>SW a Aplikácie - výstupné náklady</t>
  </si>
  <si>
    <t>HW sumár obstaranie</t>
  </si>
  <si>
    <t>HW sumár prevádzka</t>
  </si>
  <si>
    <t>Riadenie a publicita projektu</t>
  </si>
  <si>
    <t xml:space="preserve">Spolu </t>
  </si>
  <si>
    <t>Náklady na existujúce riešenie
(pôvodné riešenie pred realizáciou projektu), ktoré bolo nahradené</t>
  </si>
  <si>
    <t>Rozdiel v nákladoch medzi existujúcim a navrhovaným riešením</t>
  </si>
  <si>
    <t>HW (aj systémový SW) sumár obstaranie</t>
  </si>
  <si>
    <t>HW (aj systémový SW) sumár prevádzka</t>
  </si>
  <si>
    <t>Náklady na obstaranie a prevádzku SW</t>
  </si>
  <si>
    <t>Názov</t>
  </si>
  <si>
    <t>Účet/skupina výdavkov</t>
  </si>
  <si>
    <t>Kód EKO klasifikácie</t>
  </si>
  <si>
    <t>Prevádzka vytvoreného riešenia</t>
  </si>
  <si>
    <t>SW produkty</t>
  </si>
  <si>
    <t>Poplatky vlastníkovi SW produktu - údržba / support k licenciám</t>
  </si>
  <si>
    <t>511 Opravy a udržiavanie</t>
  </si>
  <si>
    <t>Upgrade SW produktu</t>
  </si>
  <si>
    <t>Poplatky za udržanie funkčnosti / dostupnosti aplikácie / update</t>
  </si>
  <si>
    <t>Aplikačná podpora / helpdesk</t>
  </si>
  <si>
    <t>Rozvoj - doplnenie funkcionality aplikácie / upgrade</t>
  </si>
  <si>
    <t>Personálne náklady spojené s prevádzkou SW produktu a aplikácie</t>
  </si>
  <si>
    <t>521 Mzdové náklady</t>
  </si>
  <si>
    <t>Školenia spojené so SW a aplikáciou</t>
  </si>
  <si>
    <t>518 Ostatné služby</t>
  </si>
  <si>
    <t>Náklady na obstaranie a prevádzku HW</t>
  </si>
  <si>
    <t>Prevádzka riešenia</t>
  </si>
  <si>
    <t>Poplatky dodávateľovi podpory HW - údržba/maintenance</t>
  </si>
  <si>
    <t>Upgrade HW</t>
  </si>
  <si>
    <t>022 Samostatné hnuteľné veci
 a súbory hnuteľných vecí</t>
  </si>
  <si>
    <t>Náklady na priestory, energie</t>
  </si>
  <si>
    <t>Personálne náklady spojené s prevádzkou HW</t>
  </si>
  <si>
    <t>Školenia spojené s HW</t>
  </si>
  <si>
    <t>Vytvorenie riešenia - obstaranie</t>
  </si>
  <si>
    <t>Obstaranie, inštalácia SW produktu vrátane licencie k SW</t>
  </si>
  <si>
    <t>Participácia na vývoju SW (analýzy, testovanie a pod.)</t>
  </si>
  <si>
    <t>Vytvorenie aplikácie</t>
  </si>
  <si>
    <t>Participácia na vývoji Aplikácie (analýzy, testovanie a pod.)</t>
  </si>
  <si>
    <t>Riadenie a publicita</t>
  </si>
  <si>
    <t>Publicita,  informovanosť, ostatné výdavky</t>
  </si>
  <si>
    <t>637003/637004/...</t>
  </si>
  <si>
    <t>Technologické požiadavky</t>
  </si>
  <si>
    <t>Zmluvné poplatky</t>
  </si>
  <si>
    <t>Obstaranie</t>
  </si>
  <si>
    <t>Nákup, inštalácia a sprevádzkovanie HW 
vrátane systémového SW</t>
  </si>
  <si>
    <t>022 Samostatné hnuteľné veci a súbory hnuteľných vecí</t>
  </si>
  <si>
    <t>Nákup, inštalácia a sprevádzkovanie HW
 vrátane systémového SW</t>
  </si>
  <si>
    <t>112 Zásoby</t>
  </si>
  <si>
    <t>Inštalačné práce súvisiace s nakupovaným HW</t>
  </si>
  <si>
    <t>Popis</t>
  </si>
  <si>
    <t>Životnosť projektu (t)</t>
  </si>
  <si>
    <t>Referenčné obdobie je počet rokov, na ktorý sa vo finančnej analýze (analýze nákladov a výnosov) uvádzajú predpovede. Predpovede týkajúce sa budúceho trendu projektu by sa mali formulovať na obdobie, ktoré je primerané jeho ekonomicky užitočnému trvaniu a ktoré je dosť dlhé na to, aby zahŕňalo jeho pravdepodobné dlhodobejšie dosahy. Ide o časové obdobie, kedy je možné overiť úspešnosť investície. Trvanie sa mení podľa povahy investície. Referenčný časový horizont v rokoch podľa sektorov je uvedený podľa prílohy 1 Delegovaného nariadenia Komisie (EÚ) 480/2014 z 3. marca 2014, ktorým sa dopĺňa všeobecné nariadenie.</t>
  </si>
  <si>
    <t>rok</t>
  </si>
  <si>
    <t>Referenčná diskontná sadzba (i)</t>
  </si>
  <si>
    <t xml:space="preserve">Diskontná sadzba, ktorá sa má používať vo finančnej analýze má informovať investora o alternatívnych kapitálových nákladoch. Môže sa za ňu považovať ušlý výnos najlepšieho alternatívneho projektu.
V prípade verejných investičných projektov spolufinancovaných z fondov sa stanovuje 4 % finančná diskontná sadzbu pre výpočet čistej súčasnej hodnoty investície v stálych cenách roku predloženia žiadosti o NFP.
</t>
  </si>
  <si>
    <t>%</t>
  </si>
  <si>
    <t>Sociálna diskontná sadzba (r)</t>
  </si>
  <si>
    <t>Cieľom CBA je preukázať pri štrukturálne významných investíciách, že ekonomická čistá súčasná hodnota za dané obdobie a pri stanovenej sociálnej diskontnej sadzbe je kladná.</t>
  </si>
  <si>
    <t>Diskontovanie odhadovaných nákladov a prínosov: keď sa odhadne tok ekonomických nákladov a prínosov, mala by sa uplatniť štandardná diskontovaná metodika peňažného toku pomocou sociálnej diskontnej sadzby</t>
  </si>
  <si>
    <t>Priemerná mzda vo verejnej správe (aktuálna, W_ps)</t>
  </si>
  <si>
    <t>Priemerná mesačná hrubá mzda vo verejnej správe za rok 2024 (obdobie aktualizovať k času predloženia dokumentu), podľa ŠÚ SR</t>
  </si>
  <si>
    <t>Osobné náklady (Cper)</t>
  </si>
  <si>
    <t xml:space="preserve">Cper = (W_ps * Odvody) / Fond pracovnej doby. Odvody (SP, ZP, DP) sú 35,2%“. Osobné náklady sú faktorom prevádzkových variabilných nákladov.
</t>
  </si>
  <si>
    <t>EUR/hod</t>
  </si>
  <si>
    <t xml:space="preserve">Priemerná mzda v NH (Cperc) </t>
  </si>
  <si>
    <t>Priemerná mesačná hrubá mzda v národnom hospodárstve SR za 2024 (obdobie aktualizovať k času predloženia dokumentu), podľa ŠÚ SR</t>
  </si>
  <si>
    <t>Fond pracovnej doby - VS (FPDvs)</t>
  </si>
  <si>
    <t xml:space="preserve">Rok 2024 má dokopy 251 pracovných dní, t.j. 1882,5 pracovných hodín. S platenými sviatkami má rok 262 pracovných dní, t.j. 1965  pracovných hodín. 7,5 hodinový pracovný čas (obdobie aktualizovať k času predloženia dokumentu), podľa https://calendar.zoznam.sk/worktime-sksk.php </t>
  </si>
  <si>
    <t>hod/rok</t>
  </si>
  <si>
    <t>Fond pracovnej doby - NH (FPDnh)</t>
  </si>
  <si>
    <t>Rok 2024 má dokopy 251 pracovných dní, t.j. 2008 pracovných hodín. S platenými sviatkami má rok 262 pracovných dní, t.j. 2096 pracovných hodín.. 8 hodinový pracovný čas (obdobie aktualizovať k času predloženia dokumentu), podľa https://calendar.zoznam.sk/worktime-sksk.php</t>
  </si>
  <si>
    <t xml:space="preserve">Prvý rok, ktorým výpočet CBA a TCO začína, rok začatia projektu </t>
  </si>
  <si>
    <t>Subjekt / Objekt</t>
  </si>
  <si>
    <t>Zahraničná osoba (G2A)</t>
  </si>
  <si>
    <t>ISVS verejnej správy (G2IS G)</t>
  </si>
  <si>
    <t>ISVS mimo verejnej správy (G2IS B)</t>
  </si>
  <si>
    <t>Iné</t>
  </si>
  <si>
    <r>
      <t xml:space="preserve">Sem prosím vložte procesnú mapu stavu </t>
    </r>
    <r>
      <rPr>
        <b/>
        <sz val="11"/>
        <color theme="1"/>
        <rFont val="Calibri"/>
        <family val="2"/>
        <charset val="238"/>
        <scheme val="minor"/>
      </rPr>
      <t>AS IS</t>
    </r>
    <r>
      <rPr>
        <sz val="11"/>
        <color theme="1"/>
        <rFont val="Calibri"/>
        <family val="2"/>
        <charset val="238"/>
        <scheme val="minor"/>
      </rPr>
      <t xml:space="preserve"> a stavu </t>
    </r>
    <r>
      <rPr>
        <b/>
        <sz val="11"/>
        <color theme="1"/>
        <rFont val="Calibri"/>
        <family val="2"/>
        <charset val="238"/>
        <scheme val="minor"/>
      </rPr>
      <t>TO BE</t>
    </r>
  </si>
  <si>
    <t>napr.</t>
  </si>
  <si>
    <t>Procesy na strane úradníka (časové hodnoty)</t>
  </si>
  <si>
    <t>Proces č. 1</t>
  </si>
  <si>
    <t>Procesný krok č. 1</t>
  </si>
  <si>
    <t>Procesný krok č. 2</t>
  </si>
  <si>
    <t>Procesný krok č. 3</t>
  </si>
  <si>
    <t>Proces č. 2</t>
  </si>
  <si>
    <t>Zdroj</t>
  </si>
  <si>
    <t>prosím uveďte zdroj, v prípade vzorového prieskumu prosím vyplňte hodnoty za jednotlivé merania</t>
  </si>
  <si>
    <t>Meranie č. 1</t>
  </si>
  <si>
    <t>Meranie č. 2</t>
  </si>
  <si>
    <t>Meranie č. 3</t>
  </si>
  <si>
    <t>Meranie č. 4</t>
  </si>
  <si>
    <t>Meranie č. 5</t>
  </si>
  <si>
    <t>Meranie č. 6</t>
  </si>
  <si>
    <t>Meranie č. 7</t>
  </si>
  <si>
    <t>Meranie č. 8</t>
  </si>
  <si>
    <t>Meranie č. 9</t>
  </si>
  <si>
    <t>Meranie č. 10</t>
  </si>
  <si>
    <t>Meranie č. 11</t>
  </si>
  <si>
    <t>Meranie č. 12</t>
  </si>
  <si>
    <t>Meranie č. 13</t>
  </si>
  <si>
    <t>Meranie č. 14</t>
  </si>
  <si>
    <t>Meranie č. 15</t>
  </si>
  <si>
    <t>Meranie č. 16</t>
  </si>
  <si>
    <t>Meranie č. 17</t>
  </si>
  <si>
    <t>Meranie č. 18</t>
  </si>
  <si>
    <t>Meranie č. 19</t>
  </si>
  <si>
    <t>Meranie č. 20</t>
  </si>
  <si>
    <t>Meranie č. 21</t>
  </si>
  <si>
    <t>Meranie č. 22</t>
  </si>
  <si>
    <t>Meranie č. 23</t>
  </si>
  <si>
    <t>Meranie č. 24</t>
  </si>
  <si>
    <t>Meranie č. 25</t>
  </si>
  <si>
    <t>Meranie č. 26</t>
  </si>
  <si>
    <t>Meranie č. 27</t>
  </si>
  <si>
    <t>Meranie č. 28</t>
  </si>
  <si>
    <t>Meranie č. 29</t>
  </si>
  <si>
    <t>Meranie č. 30</t>
  </si>
  <si>
    <t>Procesy na strane občana (časové hodnoty)</t>
  </si>
  <si>
    <t>Zvýšenie nákladov - TCO celkovo</t>
  </si>
  <si>
    <t>Zvýšenie CAPEX</t>
  </si>
  <si>
    <t>Zníženie kvalitatívnych prínosov</t>
  </si>
  <si>
    <t>Zníženie počtu podaní v budúcom stave</t>
  </si>
  <si>
    <t>Zníženie očakávaného ušetreného času úradníka</t>
  </si>
  <si>
    <t>Zníženie očakávaného ušetreného času používateľa</t>
  </si>
  <si>
    <t>organizácia A</t>
  </si>
  <si>
    <t>organizácia B</t>
  </si>
  <si>
    <t>organizácia C</t>
  </si>
  <si>
    <t>organizácia ...</t>
  </si>
  <si>
    <t>Kontrola TO BE</t>
  </si>
  <si>
    <t>Počet zamestnancov vybavujúcich agendu</t>
  </si>
  <si>
    <t>Počet podaní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</si>
</sst>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0\ &quot;€&quot;;[Red]\-#,##0\ &quot;€&quot;"/>
    <numFmt numFmtId="8" formatCode="#,##0.00\ &quot;€&quot;;[Red]\-#,##0.00\ &quot;€&quot;"/>
    <numFmt numFmtId="42" formatCode="_-* #,##0\ &quot;€&quot;_-;\-* #,##0\ &quot;€&quot;_-;_-* &quot;-&quot;\ &quot;€&quot;_-;_-@_-"/>
    <numFmt numFmtId="44" formatCode="_-* #,##0.00\ &quot;€&quot;_-;\-* #,##0.00\ &quot;€&quot;_-;_-* &quot;-&quot;??\ &quot;€&quot;_-;_-@_-"/>
    <numFmt numFmtId="164" formatCode="_-* #,##0.00\ _€_-;\-* #,##0.00\ _€_-;_-* &quot;-&quot;??\ _€_-;_-@_-"/>
    <numFmt numFmtId="165" formatCode="_-* #,##0\ _€_-;\-* #,##0\ _€_-;_-* &quot;-&quot;??\ _€_-;_-@_-"/>
    <numFmt numFmtId="166" formatCode="0.0%"/>
    <numFmt numFmtId="167" formatCode="#,##0_ ;\-#,##0;\-;@"/>
    <numFmt numFmtId="168" formatCode="0.00;\-0.00;\-;@"/>
    <numFmt numFmtId="169" formatCode="#,##0\ &quot;€&quot;"/>
    <numFmt numFmtId="170" formatCode="#,##0.00\ &quot;€&quot;"/>
    <numFmt numFmtId="171" formatCode="#,##0.0\ &quot;€&quot;"/>
  </numFmts>
  <fonts count="97">
    <font>
      <sz val="11"/>
      <color theme="1"/>
      <name val="Calibri"/>
      <family val="2"/>
      <charset val="238"/>
      <scheme val="minor"/>
    </font>
    <font>
      <sz val="11"/>
      <color theme="1"/>
      <name val="Arial Narrow"/>
      <family val="2"/>
      <charset val="238"/>
    </font>
    <font>
      <sz val="11"/>
      <color theme="1"/>
      <name val="Calibri"/>
      <family val="2"/>
      <charset val="238"/>
      <scheme val="minor"/>
    </font>
    <font>
      <b/>
      <sz val="11"/>
      <name val="Arial Narrow"/>
      <family val="2"/>
      <charset val="238"/>
    </font>
    <font>
      <sz val="11"/>
      <name val="Calibri"/>
      <family val="2"/>
      <charset val="238"/>
      <scheme val="minor"/>
    </font>
    <font>
      <sz val="11"/>
      <name val="Arial Narrow"/>
      <family val="2"/>
      <charset val="238"/>
    </font>
    <font>
      <sz val="11"/>
      <color rgb="FF006100"/>
      <name val="Calibri"/>
      <family val="2"/>
      <charset val="238"/>
      <scheme val="minor"/>
    </font>
    <font>
      <b/>
      <sz val="11"/>
      <color rgb="FFFA7D00"/>
      <name val="Calibri"/>
      <family val="2"/>
      <charset val="238"/>
      <scheme val="minor"/>
    </font>
    <font>
      <b/>
      <sz val="11"/>
      <color theme="1"/>
      <name val="Calibri"/>
      <family val="2"/>
      <charset val="238"/>
      <scheme val="minor"/>
    </font>
    <font>
      <b/>
      <sz val="10"/>
      <name val="Arial"/>
      <family val="2"/>
      <charset val="238"/>
    </font>
    <font>
      <sz val="10"/>
      <name val="Arial"/>
      <family val="2"/>
      <charset val="238"/>
    </font>
    <font>
      <i/>
      <sz val="10"/>
      <name val="Arial"/>
      <family val="2"/>
      <charset val="238"/>
    </font>
    <font>
      <b/>
      <i/>
      <sz val="10"/>
      <name val="Arial"/>
      <family val="2"/>
      <charset val="238"/>
    </font>
    <font>
      <sz val="10"/>
      <color indexed="18"/>
      <name val="Arial"/>
      <family val="2"/>
      <charset val="238"/>
    </font>
    <font>
      <sz val="11"/>
      <color theme="1"/>
      <name val="Calibri"/>
      <family val="2"/>
      <charset val="238"/>
    </font>
    <font>
      <b/>
      <sz val="11"/>
      <color rgb="FF000000"/>
      <name val="Arial Narrow"/>
      <family val="2"/>
      <charset val="238"/>
    </font>
    <font>
      <b/>
      <sz val="9"/>
      <color rgb="FF000000"/>
      <name val="Arial Narrow"/>
      <family val="2"/>
      <charset val="238"/>
    </font>
    <font>
      <i/>
      <sz val="9"/>
      <color rgb="FF000000"/>
      <name val="Arial Narrow"/>
      <family val="2"/>
      <charset val="238"/>
    </font>
    <font>
      <i/>
      <sz val="8"/>
      <color rgb="FF000000"/>
      <name val="Arial Narrow"/>
      <family val="2"/>
      <charset val="238"/>
    </font>
    <font>
      <b/>
      <sz val="8"/>
      <color rgb="FFFA7D00"/>
      <name val="Calibri"/>
      <family val="2"/>
      <charset val="238"/>
      <scheme val="minor"/>
    </font>
    <font>
      <sz val="9"/>
      <color rgb="FF006100"/>
      <name val="Calibri"/>
      <family val="2"/>
      <charset val="238"/>
      <scheme val="minor"/>
    </font>
    <font>
      <b/>
      <i/>
      <sz val="11"/>
      <color theme="1"/>
      <name val="Calibri"/>
      <family val="2"/>
      <charset val="238"/>
      <scheme val="minor"/>
    </font>
    <font>
      <b/>
      <sz val="16"/>
      <color theme="1"/>
      <name val="Calibri"/>
      <family val="2"/>
      <charset val="238"/>
      <scheme val="minor"/>
    </font>
    <font>
      <b/>
      <sz val="14"/>
      <color theme="1"/>
      <name val="Arial"/>
      <family val="2"/>
      <charset val="238"/>
    </font>
    <font>
      <b/>
      <sz val="12"/>
      <color theme="1"/>
      <name val="Arial"/>
      <family val="2"/>
      <charset val="238"/>
    </font>
    <font>
      <sz val="11"/>
      <color theme="1"/>
      <name val="Arial"/>
      <family val="2"/>
      <charset val="238"/>
    </font>
    <font>
      <b/>
      <sz val="11"/>
      <color theme="1"/>
      <name val="Arial"/>
      <family val="2"/>
      <charset val="238"/>
    </font>
    <font>
      <i/>
      <sz val="11"/>
      <color theme="1"/>
      <name val="Calibri"/>
      <family val="2"/>
      <charset val="238"/>
      <scheme val="minor"/>
    </font>
    <font>
      <b/>
      <sz val="12"/>
      <color theme="1"/>
      <name val="Calibri"/>
      <family val="2"/>
      <charset val="238"/>
      <scheme val="minor"/>
    </font>
    <font>
      <sz val="9"/>
      <color theme="1"/>
      <name val="Calibri"/>
      <family val="2"/>
      <charset val="238"/>
      <scheme val="minor"/>
    </font>
    <font>
      <sz val="9"/>
      <name val="Arial"/>
      <family val="2"/>
      <charset val="238"/>
    </font>
    <font>
      <sz val="9"/>
      <color rgb="FFFA7D00"/>
      <name val="Calibri"/>
      <family val="2"/>
      <charset val="238"/>
      <scheme val="minor"/>
    </font>
    <font>
      <sz val="8"/>
      <color rgb="FFFA7D00"/>
      <name val="Calibri"/>
      <family val="2"/>
      <charset val="238"/>
      <scheme val="minor"/>
    </font>
    <font>
      <b/>
      <i/>
      <sz val="10"/>
      <color theme="1"/>
      <name val="Calibri"/>
      <family val="2"/>
      <charset val="238"/>
      <scheme val="minor"/>
    </font>
    <font>
      <b/>
      <sz val="11"/>
      <color theme="0" tint="-0.499984740745262"/>
      <name val="Calibri"/>
      <family val="2"/>
      <charset val="238"/>
      <scheme val="minor"/>
    </font>
    <font>
      <sz val="9"/>
      <color theme="0" tint="-0.499984740745262"/>
      <name val="Calibri"/>
      <family val="2"/>
      <charset val="238"/>
      <scheme val="minor"/>
    </font>
    <font>
      <sz val="11"/>
      <color theme="0" tint="-0.499984740745262"/>
      <name val="Calibri"/>
      <family val="2"/>
      <charset val="238"/>
      <scheme val="minor"/>
    </font>
    <font>
      <sz val="11"/>
      <color rgb="FF006100"/>
      <name val="Arial Narrow"/>
      <family val="2"/>
      <charset val="238"/>
    </font>
    <font>
      <sz val="11"/>
      <color theme="0"/>
      <name val="Calibri"/>
      <family val="2"/>
      <charset val="238"/>
      <scheme val="minor"/>
    </font>
    <font>
      <sz val="11"/>
      <color rgb="FFFF0000"/>
      <name val="Calibri"/>
      <family val="2"/>
      <charset val="238"/>
      <scheme val="minor"/>
    </font>
    <font>
      <sz val="10"/>
      <color theme="5" tint="-0.249977111117893"/>
      <name val="Arial"/>
      <family val="2"/>
      <charset val="238"/>
    </font>
    <font>
      <sz val="11"/>
      <color theme="5" tint="-0.249977111117893"/>
      <name val="Calibri"/>
      <family val="2"/>
      <charset val="238"/>
      <scheme val="minor"/>
    </font>
    <font>
      <b/>
      <sz val="14"/>
      <color theme="1"/>
      <name val="Calibri"/>
      <family val="2"/>
      <charset val="238"/>
      <scheme val="minor"/>
    </font>
    <font>
      <u/>
      <sz val="11"/>
      <color theme="10"/>
      <name val="Calibri"/>
      <family val="2"/>
      <charset val="238"/>
      <scheme val="minor"/>
    </font>
    <font>
      <b/>
      <sz val="11"/>
      <name val="Calibri"/>
      <family val="2"/>
      <charset val="238"/>
      <scheme val="minor"/>
    </font>
    <font>
      <i/>
      <sz val="11"/>
      <color theme="5" tint="-0.249977111117893"/>
      <name val="Calibri"/>
      <family val="2"/>
      <charset val="238"/>
      <scheme val="minor"/>
    </font>
    <font>
      <b/>
      <sz val="11"/>
      <color theme="5" tint="-0.249977111117893"/>
      <name val="Calibri"/>
      <family val="2"/>
      <charset val="238"/>
      <scheme val="minor"/>
    </font>
    <font>
      <sz val="11"/>
      <color theme="5" tint="-0.499984740745262"/>
      <name val="Calibri"/>
      <family val="2"/>
      <charset val="238"/>
      <scheme val="minor"/>
    </font>
    <font>
      <b/>
      <sz val="11"/>
      <color theme="5" tint="-0.499984740745262"/>
      <name val="Calibri"/>
      <family val="2"/>
      <charset val="238"/>
      <scheme val="minor"/>
    </font>
    <font>
      <sz val="16"/>
      <color rgb="FFFF0000"/>
      <name val="Calibri"/>
      <family val="2"/>
      <charset val="238"/>
      <scheme val="minor"/>
    </font>
    <font>
      <sz val="20"/>
      <color rgb="FFFF0000"/>
      <name val="Calibri"/>
      <family val="2"/>
      <charset val="238"/>
      <scheme val="minor"/>
    </font>
    <font>
      <sz val="22"/>
      <color rgb="FFFF0000"/>
      <name val="Calibri"/>
      <family val="2"/>
      <charset val="238"/>
      <scheme val="minor"/>
    </font>
    <font>
      <sz val="11"/>
      <color theme="1"/>
      <name val="Calibri Light"/>
      <family val="2"/>
      <scheme val="major"/>
    </font>
    <font>
      <sz val="11"/>
      <color theme="0"/>
      <name val="Calibri Light"/>
      <family val="2"/>
      <scheme val="major"/>
    </font>
    <font>
      <sz val="11"/>
      <color theme="5" tint="-0.249977111117893"/>
      <name val="Calibri Light"/>
      <family val="2"/>
      <scheme val="major"/>
    </font>
    <font>
      <b/>
      <sz val="11"/>
      <color theme="0"/>
      <name val="Calibri Light"/>
      <family val="2"/>
      <scheme val="major"/>
    </font>
    <font>
      <sz val="8"/>
      <name val="Calibri"/>
      <family val="2"/>
      <charset val="238"/>
      <scheme val="minor"/>
    </font>
    <font>
      <b/>
      <sz val="11"/>
      <color theme="1"/>
      <name val="Calibri Light"/>
      <family val="2"/>
      <scheme val="major"/>
    </font>
    <font>
      <sz val="11"/>
      <name val="Calibri Light"/>
      <family val="2"/>
      <scheme val="major"/>
    </font>
    <font>
      <sz val="10"/>
      <color theme="1"/>
      <name val="Calibri"/>
      <family val="2"/>
      <charset val="238"/>
      <scheme val="minor"/>
    </font>
    <font>
      <sz val="10"/>
      <color theme="1"/>
      <name val="Calibri Light"/>
      <family val="2"/>
      <scheme val="major"/>
    </font>
    <font>
      <sz val="10"/>
      <name val="Calibri Light"/>
      <family val="2"/>
      <scheme val="major"/>
    </font>
    <font>
      <b/>
      <sz val="10"/>
      <name val="Calibri Light"/>
      <family val="2"/>
      <scheme val="major"/>
    </font>
    <font>
      <u/>
      <sz val="10"/>
      <color indexed="12"/>
      <name val="Arial"/>
      <family val="2"/>
    </font>
    <font>
      <sz val="10"/>
      <color rgb="FF0070C0"/>
      <name val="Calibri Light"/>
      <family val="2"/>
      <scheme val="major"/>
    </font>
    <font>
      <b/>
      <sz val="10"/>
      <color rgb="FF0070C0"/>
      <name val="Calibri Light"/>
      <family val="2"/>
      <scheme val="major"/>
    </font>
    <font>
      <b/>
      <sz val="10"/>
      <color theme="1"/>
      <name val="Calibri Light"/>
      <family val="2"/>
      <scheme val="major"/>
    </font>
    <font>
      <b/>
      <sz val="10"/>
      <name val="Tahoma"/>
      <family val="2"/>
    </font>
    <font>
      <b/>
      <sz val="10"/>
      <color theme="1"/>
      <name val="Calibri"/>
      <family val="2"/>
      <scheme val="minor"/>
    </font>
    <font>
      <sz val="10"/>
      <color rgb="FF000000"/>
      <name val="Calibri Light"/>
      <family val="2"/>
      <scheme val="major"/>
    </font>
    <font>
      <b/>
      <sz val="10"/>
      <color rgb="FF000000"/>
      <name val="Calibri Light"/>
      <family val="2"/>
      <scheme val="major"/>
    </font>
    <font>
      <b/>
      <sz val="18"/>
      <color rgb="FFFF0000"/>
      <name val="Calibri"/>
      <family val="2"/>
      <scheme val="minor"/>
    </font>
    <font>
      <b/>
      <sz val="11"/>
      <color theme="0"/>
      <name val="Calibri Light"/>
      <family val="1"/>
      <charset val="2"/>
      <scheme val="major"/>
    </font>
    <font>
      <b/>
      <sz val="10"/>
      <color theme="0"/>
      <name val="Calibri"/>
      <family val="2"/>
      <scheme val="minor"/>
    </font>
    <font>
      <sz val="10"/>
      <color theme="1"/>
      <name val="Calibri"/>
      <family val="2"/>
      <scheme val="minor"/>
    </font>
    <font>
      <sz val="11"/>
      <color theme="1"/>
      <name val="Calibri"/>
      <family val="2"/>
      <scheme val="minor"/>
    </font>
    <font>
      <b/>
      <u/>
      <sz val="11"/>
      <color theme="5"/>
      <name val="Calibri"/>
      <family val="2"/>
      <scheme val="minor"/>
    </font>
    <font>
      <b/>
      <u/>
      <sz val="11"/>
      <color theme="5"/>
      <name val="Calibri"/>
      <family val="2"/>
      <charset val="238"/>
      <scheme val="minor"/>
    </font>
    <font>
      <b/>
      <sz val="18"/>
      <color theme="1"/>
      <name val="Calibri"/>
      <family val="2"/>
      <charset val="238"/>
    </font>
    <font>
      <sz val="18"/>
      <color theme="1"/>
      <name val="Calibri"/>
      <family val="2"/>
      <charset val="238"/>
      <scheme val="minor"/>
    </font>
    <font>
      <b/>
      <sz val="10"/>
      <name val="Calibri"/>
      <family val="2"/>
      <scheme val="minor"/>
    </font>
    <font>
      <sz val="11"/>
      <color rgb="FF000000"/>
      <name val="Calibri Light"/>
      <family val="2"/>
      <scheme val="major"/>
    </font>
    <font>
      <b/>
      <sz val="11"/>
      <color theme="1"/>
      <name val="Calibri"/>
      <family val="2"/>
      <scheme val="minor"/>
    </font>
    <font>
      <b/>
      <sz val="11"/>
      <color rgb="FF000000"/>
      <name val="Calibri"/>
      <family val="2"/>
      <scheme val="minor"/>
    </font>
    <font>
      <sz val="10"/>
      <color rgb="FF000000"/>
      <name val="Calibri Light"/>
      <family val="2"/>
    </font>
    <font>
      <b/>
      <sz val="10"/>
      <name val="Calibri Light"/>
      <family val="2"/>
    </font>
    <font>
      <b/>
      <sz val="10"/>
      <name val="Calibri Light"/>
    </font>
    <font>
      <sz val="10"/>
      <name val="Calibri Light"/>
      <family val="2"/>
    </font>
    <font>
      <sz val="10"/>
      <color rgb="FF000000"/>
      <name val="Calibri Light"/>
    </font>
    <font>
      <sz val="10"/>
      <name val="Calibri Light"/>
    </font>
    <font>
      <sz val="9"/>
      <name val="Calibri Light"/>
      <family val="2"/>
    </font>
    <font>
      <sz val="10"/>
      <color rgb="FFFF0000"/>
      <name val="Calibri Light"/>
      <family val="2"/>
    </font>
    <font>
      <i/>
      <sz val="11"/>
      <color rgb="FFFF0000"/>
      <name val="Arial Narrow"/>
      <family val="2"/>
      <charset val="238"/>
    </font>
    <font>
      <sz val="10"/>
      <color theme="1"/>
      <name val="Calibri Light"/>
      <scheme val="major"/>
    </font>
    <font>
      <strike/>
      <sz val="10"/>
      <name val="Calibri Light"/>
      <family val="2"/>
      <scheme val="major"/>
    </font>
    <font>
      <sz val="10"/>
      <name val="Calibri Light"/>
      <scheme val="major"/>
    </font>
    <font>
      <b/>
      <sz val="10"/>
      <name val="Calibri Light"/>
      <scheme val="major"/>
    </font>
  </fonts>
  <fills count="39">
    <fill>
      <patternFill patternType="none"/>
    </fill>
    <fill>
      <patternFill patternType="gray125"/>
    </fill>
    <fill>
      <patternFill patternType="solid">
        <fgColor rgb="FFA6A6A6"/>
        <bgColor indexed="64"/>
      </patternFill>
    </fill>
    <fill>
      <patternFill patternType="solid">
        <fgColor rgb="FFC6EFCE"/>
      </patternFill>
    </fill>
    <fill>
      <patternFill patternType="solid">
        <fgColor rgb="FFF2F2F2"/>
      </patternFill>
    </fill>
    <fill>
      <patternFill patternType="solid">
        <fgColor rgb="FFFFFFCC"/>
      </patternFill>
    </fill>
    <fill>
      <patternFill patternType="solid">
        <fgColor theme="0" tint="-0.249977111117893"/>
        <bgColor indexed="64"/>
      </patternFill>
    </fill>
    <fill>
      <patternFill patternType="solid">
        <fgColor theme="0" tint="-0.34998626667073579"/>
        <bgColor indexed="64"/>
      </patternFill>
    </fill>
    <fill>
      <patternFill patternType="solid">
        <fgColor rgb="FFD9D9D9"/>
        <bgColor rgb="FF000000"/>
      </patternFill>
    </fill>
    <fill>
      <patternFill patternType="solid">
        <fgColor theme="4"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3" tint="-0.249977111117893"/>
        <bgColor indexed="64"/>
      </patternFill>
    </fill>
    <fill>
      <patternFill patternType="solid">
        <fgColor theme="9" tint="0.59999389629810485"/>
        <bgColor indexed="64"/>
      </patternFill>
    </fill>
    <fill>
      <patternFill patternType="solid">
        <fgColor theme="2" tint="-0.499984740745262"/>
        <bgColor indexed="64"/>
      </patternFill>
    </fill>
    <fill>
      <patternFill patternType="solid">
        <fgColor rgb="FFFFFFCC"/>
        <bgColor indexed="64"/>
      </patternFill>
    </fill>
    <fill>
      <patternFill patternType="solid">
        <fgColor theme="6"/>
        <bgColor indexed="64"/>
      </patternFill>
    </fill>
    <fill>
      <patternFill patternType="solid">
        <fgColor theme="4" tint="0.39997558519241921"/>
        <bgColor indexed="64"/>
      </patternFill>
    </fill>
    <fill>
      <patternFill patternType="solid">
        <fgColor theme="6" tint="0.79998168889431442"/>
        <bgColor indexed="64"/>
      </patternFill>
    </fill>
    <fill>
      <patternFill patternType="solid">
        <fgColor theme="0"/>
        <bgColor indexed="64"/>
      </patternFill>
    </fill>
    <fill>
      <patternFill patternType="solid">
        <fgColor theme="2" tint="-9.9978637043366805E-2"/>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2"/>
        <bgColor indexed="64"/>
      </patternFill>
    </fill>
    <fill>
      <patternFill patternType="solid">
        <fgColor theme="8" tint="-0.249977111117893"/>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FFC000"/>
        <bgColor indexed="64"/>
      </patternFill>
    </fill>
    <fill>
      <patternFill patternType="solid">
        <fgColor theme="6" tint="0.59999389629810485"/>
        <bgColor indexed="64"/>
      </patternFill>
    </fill>
    <fill>
      <patternFill patternType="solid">
        <fgColor theme="8" tint="-0.499984740745262"/>
        <bgColor indexed="64"/>
      </patternFill>
    </fill>
    <fill>
      <patternFill patternType="solid">
        <fgColor theme="4" tint="-0.249977111117893"/>
        <bgColor indexed="64"/>
      </patternFill>
    </fill>
    <fill>
      <patternFill patternType="solid">
        <fgColor rgb="FFFFFF00"/>
        <bgColor indexed="64"/>
      </patternFill>
    </fill>
    <fill>
      <patternFill patternType="solid">
        <fgColor theme="8" tint="0.59999389629810485"/>
        <bgColor indexed="64"/>
      </patternFill>
    </fill>
    <fill>
      <patternFill patternType="solid">
        <fgColor rgb="FF00B050"/>
        <bgColor indexed="64"/>
      </patternFill>
    </fill>
    <fill>
      <patternFill patternType="solid">
        <fgColor theme="5" tint="0.39997558519241921"/>
        <bgColor indexed="64"/>
      </patternFill>
    </fill>
    <fill>
      <patternFill patternType="solid">
        <fgColor rgb="FFFFF2CC"/>
        <bgColor rgb="FF000000"/>
      </patternFill>
    </fill>
  </fills>
  <borders count="168">
    <border>
      <left/>
      <right/>
      <top/>
      <bottom/>
      <diagonal/>
    </border>
    <border>
      <left style="thick">
        <color indexed="64"/>
      </left>
      <right style="medium">
        <color indexed="64"/>
      </right>
      <top style="thick">
        <color indexed="64"/>
      </top>
      <bottom style="thick">
        <color indexed="64"/>
      </bottom>
      <diagonal/>
    </border>
    <border>
      <left/>
      <right style="medium">
        <color indexed="64"/>
      </right>
      <top style="thick">
        <color indexed="64"/>
      </top>
      <bottom style="thick">
        <color indexed="64"/>
      </bottom>
      <diagonal/>
    </border>
    <border>
      <left/>
      <right style="thick">
        <color indexed="64"/>
      </right>
      <top style="thick">
        <color indexed="64"/>
      </top>
      <bottom style="thick">
        <color indexed="64"/>
      </bottom>
      <diagonal/>
    </border>
    <border>
      <left style="medium">
        <color indexed="64"/>
      </left>
      <right style="thick">
        <color indexed="64"/>
      </right>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style="thick">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ck">
        <color indexed="64"/>
      </top>
      <bottom style="thick">
        <color indexed="64"/>
      </bottom>
      <diagonal/>
    </border>
    <border>
      <left style="thick">
        <color indexed="64"/>
      </left>
      <right style="medium">
        <color indexed="64"/>
      </right>
      <top style="medium">
        <color indexed="64"/>
      </top>
      <bottom/>
      <diagonal/>
    </border>
    <border>
      <left style="thick">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medium">
        <color indexed="64"/>
      </left>
      <right/>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top style="thin">
        <color indexed="64"/>
      </top>
      <bottom style="thin">
        <color indexed="64"/>
      </bottom>
      <diagonal/>
    </border>
    <border>
      <left/>
      <right style="thin">
        <color indexed="64"/>
      </right>
      <top style="medium">
        <color indexed="64"/>
      </top>
      <bottom/>
      <diagonal/>
    </border>
    <border>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right style="thin">
        <color rgb="FFB2B2B2"/>
      </right>
      <top style="thin">
        <color rgb="FFB2B2B2"/>
      </top>
      <bottom style="thin">
        <color rgb="FFB2B2B2"/>
      </bottom>
      <diagonal/>
    </border>
    <border>
      <left style="thin">
        <color rgb="FF7F7F7F"/>
      </left>
      <right style="medium">
        <color indexed="64"/>
      </right>
      <top style="medium">
        <color indexed="64"/>
      </top>
      <bottom style="thin">
        <color rgb="FF7F7F7F"/>
      </bottom>
      <diagonal/>
    </border>
    <border>
      <left style="medium">
        <color indexed="64"/>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right style="thin">
        <color rgb="FF7F7F7F"/>
      </right>
      <top style="thin">
        <color rgb="FF7F7F7F"/>
      </top>
      <bottom style="medium">
        <color indexed="64"/>
      </bottom>
      <diagonal/>
    </border>
    <border>
      <left style="medium">
        <color indexed="64"/>
      </left>
      <right style="thin">
        <color rgb="FF7F7F7F"/>
      </right>
      <top/>
      <bottom style="medium">
        <color indexed="64"/>
      </bottom>
      <diagonal/>
    </border>
    <border>
      <left style="thin">
        <color rgb="FF7F7F7F"/>
      </left>
      <right style="medium">
        <color indexed="64"/>
      </right>
      <top/>
      <bottom style="medium">
        <color indexed="64"/>
      </bottom>
      <diagonal/>
    </border>
    <border>
      <left style="thin">
        <color rgb="FF7F7F7F"/>
      </left>
      <right style="medium">
        <color indexed="64"/>
      </right>
      <top/>
      <bottom style="thin">
        <color rgb="FF7F7F7F"/>
      </bottom>
      <diagonal/>
    </border>
    <border>
      <left/>
      <right style="thin">
        <color rgb="FF7F7F7F"/>
      </right>
      <top style="medium">
        <color indexed="64"/>
      </top>
      <bottom style="thin">
        <color rgb="FF7F7F7F"/>
      </bottom>
      <diagonal/>
    </border>
    <border>
      <left style="thin">
        <color rgb="FF7F7F7F"/>
      </left>
      <right style="thin">
        <color rgb="FF7F7F7F"/>
      </right>
      <top style="medium">
        <color indexed="64"/>
      </top>
      <bottom style="thin">
        <color rgb="FF7F7F7F"/>
      </bottom>
      <diagonal/>
    </border>
    <border>
      <left style="thin">
        <color rgb="FFB2B2B2"/>
      </left>
      <right style="thin">
        <color rgb="FFB2B2B2"/>
      </right>
      <top style="medium">
        <color indexed="64"/>
      </top>
      <bottom style="thin">
        <color rgb="FFB2B2B2"/>
      </bottom>
      <diagonal/>
    </border>
    <border>
      <left style="thin">
        <color rgb="FFB2B2B2"/>
      </left>
      <right style="thin">
        <color rgb="FFB2B2B2"/>
      </right>
      <top style="thin">
        <color rgb="FFB2B2B2"/>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rgb="FFB2B2B2"/>
      </left>
      <right style="medium">
        <color indexed="64"/>
      </right>
      <top style="medium">
        <color indexed="64"/>
      </top>
      <bottom/>
      <diagonal/>
    </border>
    <border>
      <left style="thin">
        <color rgb="FFB2B2B2"/>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rgb="FF7F7F7F"/>
      </left>
      <right style="thin">
        <color rgb="FF7F7F7F"/>
      </right>
      <top style="thin">
        <color rgb="FF7F7F7F"/>
      </top>
      <bottom/>
      <diagonal/>
    </border>
    <border>
      <left style="medium">
        <color indexed="64"/>
      </left>
      <right style="thin">
        <color rgb="FF7F7F7F"/>
      </right>
      <top style="medium">
        <color indexed="64"/>
      </top>
      <bottom style="medium">
        <color indexed="64"/>
      </bottom>
      <diagonal/>
    </border>
    <border>
      <left style="thin">
        <color rgb="FF7F7F7F"/>
      </left>
      <right style="thin">
        <color rgb="FF7F7F7F"/>
      </right>
      <top style="medium">
        <color indexed="64"/>
      </top>
      <bottom style="medium">
        <color indexed="64"/>
      </bottom>
      <diagonal/>
    </border>
    <border>
      <left style="thin">
        <color rgb="FF7F7F7F"/>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right style="thin">
        <color rgb="FF7F7F7F"/>
      </right>
      <top style="thin">
        <color rgb="FF7F7F7F"/>
      </top>
      <bottom/>
      <diagonal/>
    </border>
    <border>
      <left/>
      <right style="medium">
        <color indexed="64"/>
      </right>
      <top style="medium">
        <color indexed="64"/>
      </top>
      <bottom style="thin">
        <color rgb="FF7F7F7F"/>
      </bottom>
      <diagonal/>
    </border>
    <border>
      <left/>
      <right style="medium">
        <color indexed="64"/>
      </right>
      <top style="thin">
        <color rgb="FF7F7F7F"/>
      </top>
      <bottom style="thin">
        <color rgb="FF7F7F7F"/>
      </bottom>
      <diagonal/>
    </border>
    <border>
      <left/>
      <right style="medium">
        <color indexed="64"/>
      </right>
      <top style="thin">
        <color rgb="FF7F7F7F"/>
      </top>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rgb="FF7F7F7F"/>
      </bottom>
      <diagonal/>
    </border>
    <border>
      <left style="medium">
        <color indexed="64"/>
      </left>
      <right style="medium">
        <color indexed="64"/>
      </right>
      <top style="thin">
        <color rgb="FF7F7F7F"/>
      </top>
      <bottom style="thin">
        <color rgb="FF7F7F7F"/>
      </bottom>
      <diagonal/>
    </border>
    <border>
      <left style="medium">
        <color indexed="64"/>
      </left>
      <right style="medium">
        <color indexed="64"/>
      </right>
      <top style="thin">
        <color rgb="FF7F7F7F"/>
      </top>
      <bottom/>
      <diagonal/>
    </border>
    <border>
      <left/>
      <right style="thin">
        <color rgb="FFB2B2B2"/>
      </right>
      <top style="medium">
        <color indexed="64"/>
      </top>
      <bottom style="thin">
        <color rgb="FFB2B2B2"/>
      </bottom>
      <diagonal/>
    </border>
    <border>
      <left/>
      <right style="thin">
        <color rgb="FFB2B2B2"/>
      </right>
      <top style="thin">
        <color rgb="FFB2B2B2"/>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right style="thin">
        <color rgb="FF7F7F7F"/>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rgb="FF7F7F7F"/>
      </left>
      <right style="thin">
        <color indexed="64"/>
      </right>
      <top style="medium">
        <color indexed="64"/>
      </top>
      <bottom style="medium">
        <color indexed="64"/>
      </bottom>
      <diagonal/>
    </border>
    <border>
      <left style="medium">
        <color indexed="64"/>
      </left>
      <right style="medium">
        <color indexed="64"/>
      </right>
      <top style="medium">
        <color indexed="64"/>
      </top>
      <bottom style="thin">
        <color rgb="FFB2B2B2"/>
      </bottom>
      <diagonal/>
    </border>
    <border>
      <left style="medium">
        <color indexed="64"/>
      </left>
      <right style="medium">
        <color indexed="64"/>
      </right>
      <top style="thin">
        <color rgb="FFB2B2B2"/>
      </top>
      <bottom style="medium">
        <color indexed="64"/>
      </bottom>
      <diagonal/>
    </border>
    <border>
      <left style="medium">
        <color indexed="64"/>
      </left>
      <right style="thin">
        <color rgb="FF7F7F7F"/>
      </right>
      <top style="thin">
        <color rgb="FF7F7F7F"/>
      </top>
      <bottom style="thin">
        <color rgb="FF7F7F7F"/>
      </bottom>
      <diagonal/>
    </border>
    <border>
      <left/>
      <right style="medium">
        <color indexed="64"/>
      </right>
      <top style="thin">
        <color rgb="FF7F7F7F"/>
      </top>
      <bottom style="medium">
        <color indexed="64"/>
      </bottom>
      <diagonal/>
    </border>
    <border>
      <left style="medium">
        <color indexed="64"/>
      </left>
      <right style="thin">
        <color rgb="FF7F7F7F"/>
      </right>
      <top style="medium">
        <color indexed="64"/>
      </top>
      <bottom style="thin">
        <color rgb="FF7F7F7F"/>
      </bottom>
      <diagonal/>
    </border>
    <border>
      <left style="medium">
        <color indexed="64"/>
      </left>
      <right style="thin">
        <color rgb="FF7F7F7F"/>
      </right>
      <top/>
      <bottom style="thin">
        <color rgb="FF7F7F7F"/>
      </bottom>
      <diagonal/>
    </border>
    <border>
      <left style="thin">
        <color rgb="FFB2B2B2"/>
      </left>
      <right style="thin">
        <color rgb="FFB2B2B2"/>
      </right>
      <top style="thin">
        <color rgb="FFB2B2B2"/>
      </top>
      <bottom/>
      <diagonal/>
    </border>
    <border>
      <left/>
      <right style="medium">
        <color indexed="64"/>
      </right>
      <top style="thin">
        <color indexed="64"/>
      </top>
      <bottom style="thin">
        <color rgb="FF7F7F7F"/>
      </bottom>
      <diagonal/>
    </border>
    <border>
      <left style="thin">
        <color rgb="FF7F7F7F"/>
      </left>
      <right style="medium">
        <color indexed="64"/>
      </right>
      <top style="thin">
        <color rgb="FF7F7F7F"/>
      </top>
      <bottom/>
      <diagonal/>
    </border>
    <border>
      <left/>
      <right style="thin">
        <color rgb="FFB2B2B2"/>
      </right>
      <top style="thin">
        <color rgb="FFB2B2B2"/>
      </top>
      <bottom/>
      <diagonal/>
    </border>
    <border>
      <left style="medium">
        <color indexed="64"/>
      </left>
      <right style="thin">
        <color rgb="FF7F7F7F"/>
      </right>
      <top style="thin">
        <color rgb="FF7F7F7F"/>
      </top>
      <bottom/>
      <diagonal/>
    </border>
    <border>
      <left style="thin">
        <color rgb="FF7F7F7F"/>
      </left>
      <right/>
      <top style="medium">
        <color indexed="64"/>
      </top>
      <bottom style="thin">
        <color rgb="FF7F7F7F"/>
      </bottom>
      <diagonal/>
    </border>
    <border>
      <left style="thin">
        <color rgb="FF7F7F7F"/>
      </left>
      <right style="medium">
        <color indexed="64"/>
      </right>
      <top style="medium">
        <color indexed="64"/>
      </top>
      <bottom/>
      <diagonal/>
    </border>
    <border>
      <left style="thin">
        <color rgb="FF7F7F7F"/>
      </left>
      <right/>
      <top style="thin">
        <color rgb="FF7F7F7F"/>
      </top>
      <bottom style="medium">
        <color indexed="64"/>
      </bottom>
      <diagonal/>
    </border>
    <border>
      <left style="thin">
        <color rgb="FF7F7F7F"/>
      </left>
      <right/>
      <top style="medium">
        <color indexed="64"/>
      </top>
      <bottom/>
      <diagonal/>
    </border>
    <border>
      <left style="medium">
        <color indexed="64"/>
      </left>
      <right style="thin">
        <color rgb="FF7F7F7F"/>
      </right>
      <top style="medium">
        <color indexed="64"/>
      </top>
      <bottom style="thin">
        <color indexed="64"/>
      </bottom>
      <diagonal/>
    </border>
    <border>
      <left style="thin">
        <color rgb="FF7F7F7F"/>
      </left>
      <right style="thin">
        <color rgb="FF7F7F7F"/>
      </right>
      <top style="medium">
        <color indexed="64"/>
      </top>
      <bottom style="thin">
        <color indexed="64"/>
      </bottom>
      <diagonal/>
    </border>
    <border>
      <left style="thin">
        <color rgb="FF7F7F7F"/>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medium">
        <color theme="1"/>
      </left>
      <right style="medium">
        <color theme="1"/>
      </right>
      <top style="medium">
        <color theme="1"/>
      </top>
      <bottom style="medium">
        <color theme="1"/>
      </bottom>
      <diagonal/>
    </border>
    <border>
      <left style="medium">
        <color theme="1"/>
      </left>
      <right/>
      <top style="medium">
        <color theme="1"/>
      </top>
      <bottom style="medium">
        <color theme="1"/>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style="thin">
        <color rgb="FFB2B2B2"/>
      </right>
      <top/>
      <bottom style="thin">
        <color rgb="FFB2B2B2"/>
      </bottom>
      <diagonal/>
    </border>
    <border>
      <left style="thin">
        <color rgb="FFB2B2B2"/>
      </left>
      <right style="thin">
        <color rgb="FFB2B2B2"/>
      </right>
      <top/>
      <bottom style="thin">
        <color rgb="FFB2B2B2"/>
      </bottom>
      <diagonal/>
    </border>
    <border>
      <left style="thin">
        <color rgb="FFB2B2B2"/>
      </left>
      <right style="thin">
        <color rgb="FFB2B2B2"/>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1" tint="0.499984740745262"/>
      </left>
      <right style="thin">
        <color theme="1" tint="0.499984740745262"/>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24994659260841701"/>
      </left>
      <right style="thin">
        <color theme="0" tint="-0.24994659260841701"/>
      </right>
      <top style="thin">
        <color theme="0" tint="-0.24994659260841701"/>
      </top>
      <bottom/>
      <diagonal/>
    </border>
    <border>
      <left style="thin">
        <color theme="2" tint="-0.249977111117893"/>
      </left>
      <right/>
      <top style="thin">
        <color theme="2" tint="-0.249977111117893"/>
      </top>
      <bottom style="thin">
        <color theme="2" tint="-0.249977111117893"/>
      </bottom>
      <diagonal/>
    </border>
    <border>
      <left/>
      <right style="thin">
        <color rgb="FFB2B2B2"/>
      </right>
      <top style="medium">
        <color indexed="64"/>
      </top>
      <bottom style="thin">
        <color theme="0" tint="-0.34998626667073579"/>
      </bottom>
      <diagonal/>
    </border>
    <border>
      <left style="thin">
        <color theme="0" tint="-0.24994659260841701"/>
      </left>
      <right style="thin">
        <color theme="0" tint="-0.24994659260841701"/>
      </right>
      <top/>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top/>
      <bottom style="thin">
        <color theme="0" tint="-0.24994659260841701"/>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
      <left/>
      <right/>
      <top style="thin">
        <color theme="1" tint="0.499984740745262"/>
      </top>
      <bottom style="thin">
        <color theme="1" tint="0.499984740745262"/>
      </bottom>
      <diagonal/>
    </border>
    <border>
      <left style="medium">
        <color theme="1"/>
      </left>
      <right/>
      <top style="medium">
        <color theme="1"/>
      </top>
      <bottom/>
      <diagonal/>
    </border>
    <border>
      <left/>
      <right style="medium">
        <color theme="1"/>
      </right>
      <top style="medium">
        <color theme="1"/>
      </top>
      <bottom/>
      <diagonal/>
    </border>
    <border>
      <left style="medium">
        <color theme="1"/>
      </left>
      <right/>
      <top/>
      <bottom style="medium">
        <color theme="1"/>
      </bottom>
      <diagonal/>
    </border>
    <border>
      <left/>
      <right style="medium">
        <color theme="1"/>
      </right>
      <top/>
      <bottom style="medium">
        <color theme="1"/>
      </bottom>
      <diagonal/>
    </border>
    <border>
      <left style="thin">
        <color theme="1" tint="0.499984740745262"/>
      </left>
      <right/>
      <top/>
      <bottom/>
      <diagonal/>
    </border>
    <border>
      <left/>
      <right/>
      <top style="thin">
        <color rgb="FF7F7F7F"/>
      </top>
      <bottom style="thin">
        <color rgb="FF7F7F7F"/>
      </bottom>
      <diagonal/>
    </border>
    <border>
      <left style="medium">
        <color indexed="64"/>
      </left>
      <right style="thin">
        <color indexed="64"/>
      </right>
      <top style="thin">
        <color rgb="FF7F7F7F"/>
      </top>
      <bottom style="medium">
        <color indexed="64"/>
      </bottom>
      <diagonal/>
    </border>
    <border>
      <left style="thin">
        <color indexed="64"/>
      </left>
      <right style="thin">
        <color indexed="64"/>
      </right>
      <top style="thin">
        <color rgb="FF7F7F7F"/>
      </top>
      <bottom style="medium">
        <color indexed="64"/>
      </bottom>
      <diagonal/>
    </border>
    <border>
      <left style="thin">
        <color indexed="64"/>
      </left>
      <right style="medium">
        <color indexed="64"/>
      </right>
      <top style="thin">
        <color rgb="FF7F7F7F"/>
      </top>
      <bottom style="medium">
        <color indexed="64"/>
      </bottom>
      <diagonal/>
    </border>
    <border>
      <left style="thin">
        <color theme="0" tint="-0.24994659260841701"/>
      </left>
      <right/>
      <top/>
      <bottom/>
      <diagonal/>
    </border>
    <border>
      <left/>
      <right style="thin">
        <color theme="0" tint="-0.24994659260841701"/>
      </right>
      <top/>
      <bottom/>
      <diagonal/>
    </border>
    <border>
      <left style="thin">
        <color rgb="FFBFBFBF"/>
      </left>
      <right style="thin">
        <color rgb="FFBFBFBF"/>
      </right>
      <top style="thin">
        <color rgb="FFBFBFBF"/>
      </top>
      <bottom style="thin">
        <color rgb="FFBFBFBF"/>
      </bottom>
      <diagonal/>
    </border>
    <border>
      <left style="thin">
        <color rgb="FFA6A6A6"/>
      </left>
      <right style="thin">
        <color rgb="FFA6A6A6"/>
      </right>
      <top style="thin">
        <color rgb="FFA6A6A6"/>
      </top>
      <bottom style="thin">
        <color rgb="FFA6A6A6"/>
      </bottom>
      <diagonal/>
    </border>
  </borders>
  <cellStyleXfs count="13">
    <xf numFmtId="0" fontId="0" fillId="0" borderId="0"/>
    <xf numFmtId="0" fontId="6" fillId="3" borderId="0" applyNumberFormat="0" applyBorder="0" applyAlignment="0" applyProtection="0"/>
    <xf numFmtId="0" fontId="7" fillId="4" borderId="16" applyNumberFormat="0" applyAlignment="0" applyProtection="0"/>
    <xf numFmtId="0" fontId="2" fillId="5" borderId="17" applyNumberFormat="0" applyFont="0" applyAlignment="0" applyProtection="0"/>
    <xf numFmtId="9" fontId="2" fillId="0" borderId="0" applyFont="0" applyFill="0" applyBorder="0" applyAlignment="0" applyProtection="0"/>
    <xf numFmtId="164" fontId="2" fillId="0" borderId="0" applyFont="0" applyFill="0" applyBorder="0" applyAlignment="0" applyProtection="0"/>
    <xf numFmtId="0" fontId="43" fillId="0" borderId="0" applyNumberFormat="0" applyFill="0" applyBorder="0" applyAlignment="0" applyProtection="0"/>
    <xf numFmtId="44" fontId="2" fillId="0" borderId="0" applyFont="0" applyFill="0" applyBorder="0" applyAlignment="0" applyProtection="0"/>
    <xf numFmtId="0" fontId="59" fillId="0" borderId="0"/>
    <xf numFmtId="0" fontId="63" fillId="0" borderId="0" applyNumberFormat="0" applyFill="0" applyBorder="0" applyAlignment="0" applyProtection="0">
      <alignment vertical="top"/>
      <protection locked="0"/>
    </xf>
    <xf numFmtId="0" fontId="2" fillId="0" borderId="0"/>
    <xf numFmtId="44" fontId="2" fillId="0" borderId="0" applyFont="0" applyFill="0" applyBorder="0" applyAlignment="0" applyProtection="0"/>
    <xf numFmtId="44" fontId="2" fillId="0" borderId="0" applyFont="0" applyFill="0" applyBorder="0" applyAlignment="0" applyProtection="0"/>
  </cellStyleXfs>
  <cellXfs count="905">
    <xf numFmtId="0" fontId="0" fillId="0" borderId="0" xfId="0"/>
    <xf numFmtId="0" fontId="3" fillId="2" borderId="1" xfId="0" applyFont="1" applyFill="1" applyBorder="1" applyAlignment="1">
      <alignment horizontal="left" vertical="top" wrapText="1"/>
    </xf>
    <xf numFmtId="0" fontId="3" fillId="2" borderId="2" xfId="0" applyFont="1" applyFill="1" applyBorder="1" applyAlignment="1">
      <alignment horizontal="justify" vertical="top" wrapText="1"/>
    </xf>
    <xf numFmtId="0" fontId="3" fillId="2" borderId="3" xfId="0" applyFont="1" applyFill="1" applyBorder="1" applyAlignment="1">
      <alignment horizontal="justify" vertical="top" wrapText="1"/>
    </xf>
    <xf numFmtId="0" fontId="4" fillId="0" borderId="0" xfId="0" applyFont="1" applyAlignment="1">
      <alignment vertical="top"/>
    </xf>
    <xf numFmtId="0" fontId="3" fillId="2" borderId="10" xfId="0" applyFont="1" applyFill="1" applyBorder="1" applyAlignment="1">
      <alignment horizontal="center" vertical="top" wrapText="1"/>
    </xf>
    <xf numFmtId="0" fontId="4" fillId="0" borderId="0" xfId="0" applyFont="1" applyAlignment="1">
      <alignment horizontal="center" vertical="top"/>
    </xf>
    <xf numFmtId="0" fontId="0" fillId="0" borderId="0" xfId="0" applyAlignment="1">
      <alignment horizontal="left" vertical="top" wrapText="1"/>
    </xf>
    <xf numFmtId="0" fontId="0" fillId="6" borderId="0" xfId="0" applyFill="1" applyAlignment="1">
      <alignment horizontal="left" vertical="top" wrapText="1"/>
    </xf>
    <xf numFmtId="0" fontId="4" fillId="6" borderId="14" xfId="0" applyFont="1" applyFill="1" applyBorder="1" applyAlignment="1">
      <alignment horizontal="left" vertical="top" wrapText="1"/>
    </xf>
    <xf numFmtId="0" fontId="4" fillId="6" borderId="24" xfId="0" applyFont="1" applyFill="1" applyBorder="1" applyAlignment="1">
      <alignment horizontal="left" vertical="top" wrapText="1"/>
    </xf>
    <xf numFmtId="0" fontId="9" fillId="6" borderId="15" xfId="0" applyFont="1" applyFill="1" applyBorder="1" applyAlignment="1">
      <alignment horizontal="left" vertical="top" wrapText="1"/>
    </xf>
    <xf numFmtId="0" fontId="10" fillId="6" borderId="31" xfId="0" applyFont="1" applyFill="1" applyBorder="1" applyAlignment="1">
      <alignment horizontal="left" vertical="top" wrapText="1"/>
    </xf>
    <xf numFmtId="0" fontId="0" fillId="6" borderId="32" xfId="0" applyFill="1" applyBorder="1" applyAlignment="1">
      <alignment horizontal="left" vertical="top" wrapText="1"/>
    </xf>
    <xf numFmtId="0" fontId="0" fillId="7" borderId="15" xfId="0" applyFill="1" applyBorder="1" applyAlignment="1">
      <alignment vertical="top" wrapText="1"/>
    </xf>
    <xf numFmtId="0" fontId="0" fillId="7" borderId="26" xfId="0" applyFill="1" applyBorder="1" applyAlignment="1">
      <alignment vertical="top" wrapText="1"/>
    </xf>
    <xf numFmtId="0" fontId="11" fillId="7" borderId="5" xfId="0" applyFont="1" applyFill="1" applyBorder="1" applyAlignment="1">
      <alignment vertical="top" wrapText="1"/>
    </xf>
    <xf numFmtId="0" fontId="9" fillId="7" borderId="0" xfId="0" applyFont="1" applyFill="1" applyAlignment="1">
      <alignment horizontal="center" vertical="top" wrapText="1"/>
    </xf>
    <xf numFmtId="0" fontId="0" fillId="6" borderId="18" xfId="0" applyFill="1" applyBorder="1" applyAlignment="1">
      <alignment horizontal="left" vertical="top" wrapText="1"/>
    </xf>
    <xf numFmtId="0" fontId="0" fillId="7" borderId="0" xfId="0" applyFill="1" applyAlignment="1">
      <alignment vertical="top" wrapText="1"/>
    </xf>
    <xf numFmtId="0" fontId="0" fillId="7" borderId="25" xfId="0" applyFill="1" applyBorder="1" applyAlignment="1">
      <alignment vertical="top" wrapText="1"/>
    </xf>
    <xf numFmtId="0" fontId="11" fillId="7" borderId="27" xfId="0" applyFont="1" applyFill="1" applyBorder="1" applyAlignment="1">
      <alignment vertical="top" wrapText="1"/>
    </xf>
    <xf numFmtId="0" fontId="0" fillId="7" borderId="24" xfId="0" applyFill="1" applyBorder="1" applyAlignment="1">
      <alignment vertical="top" wrapText="1"/>
    </xf>
    <xf numFmtId="0" fontId="11" fillId="7" borderId="6" xfId="0" applyFont="1" applyFill="1" applyBorder="1" applyAlignment="1">
      <alignment vertical="top" wrapText="1"/>
    </xf>
    <xf numFmtId="0" fontId="0" fillId="0" borderId="6" xfId="0" applyBorder="1" applyAlignment="1">
      <alignment horizontal="left" vertical="top" wrapText="1"/>
    </xf>
    <xf numFmtId="4" fontId="7" fillId="4" borderId="16" xfId="2" applyNumberFormat="1" applyAlignment="1">
      <alignment horizontal="right" vertical="top" wrapText="1"/>
    </xf>
    <xf numFmtId="4" fontId="7" fillId="4" borderId="35" xfId="2" applyNumberFormat="1" applyBorder="1" applyAlignment="1">
      <alignment horizontal="right" vertical="top" wrapText="1"/>
    </xf>
    <xf numFmtId="0" fontId="9" fillId="7" borderId="6" xfId="0" applyFont="1" applyFill="1" applyBorder="1" applyAlignment="1">
      <alignment horizontal="left" vertical="top" wrapText="1"/>
    </xf>
    <xf numFmtId="4" fontId="7" fillId="4" borderId="36" xfId="2" applyNumberFormat="1" applyBorder="1" applyAlignment="1">
      <alignment horizontal="right" vertical="top" wrapText="1"/>
    </xf>
    <xf numFmtId="4" fontId="6" fillId="3" borderId="0" xfId="1" applyNumberFormat="1" applyBorder="1" applyAlignment="1">
      <alignment horizontal="right" vertical="top" wrapText="1"/>
    </xf>
    <xf numFmtId="0" fontId="7" fillId="4" borderId="16" xfId="2" applyAlignment="1">
      <alignment horizontal="left" vertical="top"/>
    </xf>
    <xf numFmtId="0" fontId="0" fillId="0" borderId="39" xfId="0" applyBorder="1" applyAlignment="1">
      <alignment horizontal="left" vertical="top" wrapText="1"/>
    </xf>
    <xf numFmtId="4" fontId="7" fillId="4" borderId="41" xfId="2" applyNumberFormat="1" applyBorder="1" applyAlignment="1">
      <alignment horizontal="right" vertical="top" wrapText="1"/>
    </xf>
    <xf numFmtId="4" fontId="7" fillId="4" borderId="44" xfId="2" applyNumberFormat="1" applyBorder="1" applyAlignment="1">
      <alignment horizontal="right" vertical="top" wrapText="1"/>
    </xf>
    <xf numFmtId="0" fontId="14" fillId="0" borderId="0" xfId="0" applyFont="1"/>
    <xf numFmtId="0" fontId="0" fillId="6" borderId="6" xfId="0" applyFill="1" applyBorder="1" applyAlignment="1">
      <alignment horizontal="left" vertical="top" wrapText="1"/>
    </xf>
    <xf numFmtId="0" fontId="9" fillId="7" borderId="64" xfId="0" applyFont="1" applyFill="1" applyBorder="1" applyAlignment="1">
      <alignment horizontal="left" vertical="top" wrapText="1"/>
    </xf>
    <xf numFmtId="0" fontId="0" fillId="7" borderId="29" xfId="0" applyFill="1" applyBorder="1" applyAlignment="1">
      <alignment vertical="top" wrapText="1"/>
    </xf>
    <xf numFmtId="0" fontId="11" fillId="7" borderId="30" xfId="0" applyFont="1" applyFill="1" applyBorder="1" applyAlignment="1">
      <alignment vertical="top" wrapText="1"/>
    </xf>
    <xf numFmtId="4" fontId="7" fillId="4" borderId="65" xfId="2" applyNumberFormat="1" applyBorder="1" applyAlignment="1">
      <alignment horizontal="right" vertical="top" wrapText="1"/>
    </xf>
    <xf numFmtId="4" fontId="7" fillId="4" borderId="66" xfId="2" applyNumberFormat="1" applyBorder="1" applyAlignment="1">
      <alignment horizontal="right" vertical="top" wrapText="1"/>
    </xf>
    <xf numFmtId="4" fontId="7" fillId="4" borderId="67" xfId="2" applyNumberFormat="1" applyBorder="1" applyAlignment="1">
      <alignment horizontal="right" vertical="top" wrapText="1"/>
    </xf>
    <xf numFmtId="4" fontId="7" fillId="4" borderId="68" xfId="2" applyNumberFormat="1" applyBorder="1" applyAlignment="1">
      <alignment horizontal="right" vertical="top" wrapText="1"/>
    </xf>
    <xf numFmtId="4" fontId="7" fillId="4" borderId="70" xfId="2" applyNumberFormat="1" applyBorder="1" applyAlignment="1">
      <alignment horizontal="right" vertical="top" wrapText="1"/>
    </xf>
    <xf numFmtId="0" fontId="0" fillId="0" borderId="69" xfId="0" applyBorder="1" applyAlignment="1">
      <alignment horizontal="left" vertical="top" wrapText="1"/>
    </xf>
    <xf numFmtId="0" fontId="10" fillId="6" borderId="34" xfId="0" applyFont="1" applyFill="1" applyBorder="1" applyAlignment="1">
      <alignment horizontal="left" vertical="top" wrapText="1"/>
    </xf>
    <xf numFmtId="0" fontId="0" fillId="6" borderId="27" xfId="0" applyFill="1" applyBorder="1" applyAlignment="1">
      <alignment horizontal="left" vertical="top" wrapText="1"/>
    </xf>
    <xf numFmtId="4" fontId="7" fillId="4" borderId="71" xfId="2" applyNumberFormat="1" applyBorder="1" applyAlignment="1">
      <alignment horizontal="right" vertical="top" wrapText="1"/>
    </xf>
    <xf numFmtId="4" fontId="7" fillId="4" borderId="72" xfId="2" applyNumberFormat="1" applyBorder="1" applyAlignment="1">
      <alignment horizontal="right" vertical="top" wrapText="1"/>
    </xf>
    <xf numFmtId="4" fontId="7" fillId="4" borderId="73" xfId="2" applyNumberFormat="1" applyBorder="1" applyAlignment="1">
      <alignment horizontal="right" vertical="top" wrapText="1"/>
    </xf>
    <xf numFmtId="0" fontId="0" fillId="6" borderId="8" xfId="0" applyFill="1" applyBorder="1" applyAlignment="1">
      <alignment horizontal="left" vertical="top" wrapText="1"/>
    </xf>
    <xf numFmtId="0" fontId="0" fillId="6" borderId="9" xfId="0" applyFill="1" applyBorder="1" applyAlignment="1">
      <alignment horizontal="left" vertical="top" wrapText="1"/>
    </xf>
    <xf numFmtId="0" fontId="6" fillId="3" borderId="74" xfId="1" applyBorder="1" applyAlignment="1">
      <alignment horizontal="right" vertical="top" wrapText="1"/>
    </xf>
    <xf numFmtId="4" fontId="7" fillId="4" borderId="35" xfId="2" applyNumberFormat="1" applyBorder="1" applyAlignment="1">
      <alignment horizontal="left" vertical="top" wrapText="1"/>
    </xf>
    <xf numFmtId="4" fontId="7" fillId="4" borderId="75" xfId="2" applyNumberFormat="1" applyBorder="1" applyAlignment="1">
      <alignment horizontal="right" vertical="top" wrapText="1"/>
    </xf>
    <xf numFmtId="4" fontId="7" fillId="4" borderId="76" xfId="2" applyNumberFormat="1" applyBorder="1" applyAlignment="1">
      <alignment horizontal="right" vertical="top" wrapText="1"/>
    </xf>
    <xf numFmtId="4" fontId="7" fillId="4" borderId="77" xfId="2" applyNumberFormat="1" applyBorder="1" applyAlignment="1">
      <alignment horizontal="right" vertical="top" wrapText="1"/>
    </xf>
    <xf numFmtId="0" fontId="0" fillId="0" borderId="0" xfId="0" applyAlignment="1">
      <alignment wrapText="1"/>
    </xf>
    <xf numFmtId="0" fontId="9" fillId="0" borderId="0" xfId="0" applyFont="1" applyAlignment="1">
      <alignment horizontal="left" vertical="top" wrapText="1"/>
    </xf>
    <xf numFmtId="0" fontId="9" fillId="0" borderId="28" xfId="0" applyFont="1" applyBorder="1" applyAlignment="1">
      <alignment horizontal="left" vertical="top" wrapText="1"/>
    </xf>
    <xf numFmtId="3" fontId="7" fillId="4" borderId="14" xfId="2" applyNumberFormat="1" applyBorder="1" applyAlignment="1">
      <alignment horizontal="right" vertical="top" wrapText="1"/>
    </xf>
    <xf numFmtId="3" fontId="7" fillId="4" borderId="24" xfId="2" applyNumberFormat="1" applyBorder="1" applyAlignment="1">
      <alignment horizontal="right" vertical="top" wrapText="1"/>
    </xf>
    <xf numFmtId="3" fontId="7" fillId="4" borderId="15" xfId="2" applyNumberFormat="1" applyBorder="1" applyAlignment="1">
      <alignment horizontal="right" vertical="top" wrapText="1"/>
    </xf>
    <xf numFmtId="0" fontId="0" fillId="0" borderId="8" xfId="0" applyBorder="1" applyAlignment="1">
      <alignment horizontal="left" vertical="top" wrapText="1"/>
    </xf>
    <xf numFmtId="0" fontId="0" fillId="0" borderId="74" xfId="0" applyBorder="1" applyAlignment="1">
      <alignment horizontal="left" vertical="top" wrapText="1"/>
    </xf>
    <xf numFmtId="0" fontId="0" fillId="0" borderId="9" xfId="0" applyBorder="1" applyAlignment="1">
      <alignment horizontal="left" vertical="top" wrapText="1"/>
    </xf>
    <xf numFmtId="0" fontId="9" fillId="6" borderId="22" xfId="0" applyFont="1" applyFill="1" applyBorder="1" applyAlignment="1">
      <alignment horizontal="center" vertical="top" wrapText="1"/>
    </xf>
    <xf numFmtId="3" fontId="7" fillId="4" borderId="14" xfId="2" applyNumberFormat="1" applyBorder="1" applyAlignment="1">
      <alignment vertical="top" wrapText="1"/>
    </xf>
    <xf numFmtId="3" fontId="7" fillId="4" borderId="24" xfId="2" applyNumberFormat="1" applyBorder="1" applyAlignment="1">
      <alignment vertical="top" wrapText="1"/>
    </xf>
    <xf numFmtId="3" fontId="7" fillId="4" borderId="15" xfId="2" applyNumberFormat="1" applyBorder="1" applyAlignment="1">
      <alignment vertical="top" wrapText="1"/>
    </xf>
    <xf numFmtId="0" fontId="9" fillId="7" borderId="30" xfId="0" applyFont="1" applyFill="1" applyBorder="1" applyAlignment="1">
      <alignment horizontal="left" vertical="top" wrapText="1"/>
    </xf>
    <xf numFmtId="0" fontId="9" fillId="11" borderId="6" xfId="0" applyFont="1" applyFill="1" applyBorder="1" applyAlignment="1">
      <alignment horizontal="left" vertical="top" wrapText="1"/>
    </xf>
    <xf numFmtId="3" fontId="7" fillId="4" borderId="66" xfId="2" applyNumberFormat="1" applyBorder="1" applyAlignment="1">
      <alignment horizontal="right" vertical="top" wrapText="1"/>
    </xf>
    <xf numFmtId="3" fontId="7" fillId="4" borderId="67" xfId="2" applyNumberFormat="1" applyBorder="1" applyAlignment="1">
      <alignment horizontal="right" vertical="top" wrapText="1"/>
    </xf>
    <xf numFmtId="0" fontId="9" fillId="10" borderId="30" xfId="0" applyFont="1" applyFill="1" applyBorder="1" applyAlignment="1">
      <alignment horizontal="left" vertical="top" wrapText="1"/>
    </xf>
    <xf numFmtId="0" fontId="9" fillId="11" borderId="30" xfId="0" applyFont="1" applyFill="1" applyBorder="1" applyAlignment="1">
      <alignment horizontal="left" vertical="top" wrapText="1"/>
    </xf>
    <xf numFmtId="0" fontId="24" fillId="0" borderId="0" xfId="0" applyFont="1" applyAlignment="1">
      <alignment horizontal="center"/>
    </xf>
    <xf numFmtId="0" fontId="25" fillId="0" borderId="0" xfId="0" applyFont="1"/>
    <xf numFmtId="49" fontId="25" fillId="0" borderId="0" xfId="0" applyNumberFormat="1" applyFont="1"/>
    <xf numFmtId="3" fontId="7" fillId="4" borderId="67" xfId="2" applyNumberFormat="1" applyBorder="1"/>
    <xf numFmtId="0" fontId="23" fillId="0" borderId="0" xfId="0" applyFont="1" applyAlignment="1">
      <alignment horizontal="center"/>
    </xf>
    <xf numFmtId="0" fontId="25" fillId="0" borderId="0" xfId="0" applyFont="1" applyAlignment="1">
      <alignment horizontal="center"/>
    </xf>
    <xf numFmtId="0" fontId="24" fillId="0" borderId="0" xfId="0" applyFont="1"/>
    <xf numFmtId="0" fontId="24" fillId="0" borderId="0" xfId="0" applyFont="1" applyAlignment="1">
      <alignment wrapText="1"/>
    </xf>
    <xf numFmtId="0" fontId="23" fillId="0" borderId="0" xfId="0" applyFont="1"/>
    <xf numFmtId="0" fontId="9" fillId="7" borderId="64" xfId="0" applyFont="1" applyFill="1" applyBorder="1" applyAlignment="1">
      <alignment horizontal="center" vertical="top" wrapText="1"/>
    </xf>
    <xf numFmtId="3" fontId="7" fillId="4" borderId="35" xfId="2" applyNumberFormat="1" applyBorder="1"/>
    <xf numFmtId="3" fontId="7" fillId="4" borderId="82" xfId="2" applyNumberFormat="1" applyBorder="1"/>
    <xf numFmtId="0" fontId="0" fillId="6" borderId="83" xfId="0" applyFill="1" applyBorder="1" applyAlignment="1">
      <alignment horizontal="center" vertical="top" wrapText="1"/>
    </xf>
    <xf numFmtId="3" fontId="7" fillId="4" borderId="76" xfId="2" applyNumberFormat="1" applyBorder="1" applyAlignment="1">
      <alignment horizontal="right"/>
    </xf>
    <xf numFmtId="3" fontId="7" fillId="4" borderId="77" xfId="2" applyNumberFormat="1" applyBorder="1" applyAlignment="1">
      <alignment horizontal="right"/>
    </xf>
    <xf numFmtId="3" fontId="7" fillId="4" borderId="64" xfId="2" applyNumberFormat="1" applyBorder="1"/>
    <xf numFmtId="3" fontId="7" fillId="4" borderId="30" xfId="2" applyNumberFormat="1" applyBorder="1"/>
    <xf numFmtId="3" fontId="7" fillId="4" borderId="84" xfId="2" applyNumberFormat="1" applyBorder="1"/>
    <xf numFmtId="0" fontId="22" fillId="0" borderId="14" xfId="0" applyFont="1" applyBorder="1"/>
    <xf numFmtId="0" fontId="22" fillId="0" borderId="23" xfId="0" applyFont="1" applyBorder="1"/>
    <xf numFmtId="0" fontId="24" fillId="0" borderId="24" xfId="0" applyFont="1" applyBorder="1"/>
    <xf numFmtId="0" fontId="8" fillId="0" borderId="0" xfId="0" applyFont="1"/>
    <xf numFmtId="0" fontId="0" fillId="0" borderId="37" xfId="0" applyBorder="1" applyAlignment="1">
      <alignment horizontal="left"/>
    </xf>
    <xf numFmtId="0" fontId="0" fillId="0" borderId="38" xfId="0" applyBorder="1" applyAlignment="1">
      <alignment horizontal="left"/>
    </xf>
    <xf numFmtId="0" fontId="0" fillId="6" borderId="81" xfId="0" applyFill="1" applyBorder="1" applyAlignment="1">
      <alignment horizontal="center" vertical="top" wrapText="1"/>
    </xf>
    <xf numFmtId="0" fontId="0" fillId="6" borderId="55" xfId="0" applyFill="1" applyBorder="1" applyAlignment="1">
      <alignment horizontal="center" vertical="top" wrapText="1"/>
    </xf>
    <xf numFmtId="0" fontId="0" fillId="6" borderId="56" xfId="0" applyFill="1" applyBorder="1" applyAlignment="1">
      <alignment horizontal="center" vertical="top" wrapText="1"/>
    </xf>
    <xf numFmtId="3" fontId="7" fillId="4" borderId="87" xfId="2" applyNumberFormat="1" applyBorder="1"/>
    <xf numFmtId="3" fontId="7" fillId="4" borderId="72" xfId="2" applyNumberFormat="1" applyBorder="1"/>
    <xf numFmtId="3" fontId="7" fillId="4" borderId="42" xfId="2" applyNumberFormat="1" applyBorder="1"/>
    <xf numFmtId="3" fontId="7" fillId="4" borderId="45" xfId="2" applyNumberFormat="1" applyBorder="1"/>
    <xf numFmtId="3" fontId="7" fillId="4" borderId="88" xfId="2" applyNumberFormat="1" applyBorder="1"/>
    <xf numFmtId="3" fontId="7" fillId="4" borderId="89" xfId="2" applyNumberFormat="1" applyBorder="1" applyAlignment="1">
      <alignment horizontal="right" vertical="top" wrapText="1"/>
    </xf>
    <xf numFmtId="3" fontId="7" fillId="4" borderId="50" xfId="2" applyNumberFormat="1" applyBorder="1" applyAlignment="1">
      <alignment horizontal="right" vertical="top" wrapText="1"/>
    </xf>
    <xf numFmtId="3" fontId="7" fillId="4" borderId="46" xfId="2" applyNumberFormat="1" applyBorder="1" applyAlignment="1">
      <alignment vertical="top" wrapText="1"/>
    </xf>
    <xf numFmtId="3" fontId="7" fillId="4" borderId="43" xfId="2" applyNumberFormat="1" applyBorder="1" applyAlignment="1">
      <alignment vertical="top" wrapText="1"/>
    </xf>
    <xf numFmtId="3" fontId="7" fillId="4" borderId="90" xfId="2" applyNumberFormat="1" applyBorder="1" applyAlignment="1">
      <alignment vertical="top" wrapText="1"/>
    </xf>
    <xf numFmtId="3" fontId="7" fillId="4" borderId="16" xfId="2" applyNumberFormat="1" applyAlignment="1">
      <alignment vertical="top" wrapText="1"/>
    </xf>
    <xf numFmtId="0" fontId="29" fillId="0" borderId="0" xfId="0" applyFont="1"/>
    <xf numFmtId="4" fontId="7" fillId="4" borderId="48" xfId="2" applyNumberFormat="1" applyBorder="1" applyAlignment="1">
      <alignment horizontal="right" vertical="top" wrapText="1"/>
    </xf>
    <xf numFmtId="4" fontId="0" fillId="0" borderId="0" xfId="0" applyNumberFormat="1" applyAlignment="1">
      <alignment horizontal="left" vertical="top" wrapText="1"/>
    </xf>
    <xf numFmtId="0" fontId="2" fillId="6" borderId="53" xfId="0" applyFont="1" applyFill="1" applyBorder="1" applyAlignment="1">
      <alignment horizontal="center" vertical="top" wrapText="1"/>
    </xf>
    <xf numFmtId="0" fontId="2" fillId="6" borderId="81" xfId="0" applyFont="1" applyFill="1" applyBorder="1" applyAlignment="1">
      <alignment horizontal="center" vertical="top" wrapText="1"/>
    </xf>
    <xf numFmtId="0" fontId="2" fillId="6" borderId="55" xfId="0" applyFont="1" applyFill="1" applyBorder="1" applyAlignment="1">
      <alignment horizontal="center" vertical="top" wrapText="1"/>
    </xf>
    <xf numFmtId="0" fontId="2" fillId="6" borderId="56" xfId="0" applyFont="1" applyFill="1" applyBorder="1" applyAlignment="1">
      <alignment horizontal="center" vertical="top" wrapText="1"/>
    </xf>
    <xf numFmtId="0" fontId="2" fillId="0" borderId="37" xfId="0" applyFont="1" applyBorder="1" applyAlignment="1">
      <alignment horizontal="left"/>
    </xf>
    <xf numFmtId="3" fontId="7" fillId="4" borderId="92" xfId="2" applyNumberFormat="1" applyBorder="1"/>
    <xf numFmtId="3" fontId="7" fillId="4" borderId="16" xfId="2" applyNumberFormat="1"/>
    <xf numFmtId="4" fontId="7" fillId="4" borderId="93" xfId="2" applyNumberFormat="1" applyBorder="1" applyAlignment="1">
      <alignment horizontal="right" vertical="top" wrapText="1"/>
    </xf>
    <xf numFmtId="4" fontId="7" fillId="0" borderId="0" xfId="2" applyNumberFormat="1" applyFill="1" applyBorder="1" applyAlignment="1">
      <alignment horizontal="right" vertical="top" wrapText="1"/>
    </xf>
    <xf numFmtId="4" fontId="0" fillId="0" borderId="0" xfId="0" applyNumberFormat="1"/>
    <xf numFmtId="4" fontId="7" fillId="4" borderId="95" xfId="2" applyNumberFormat="1" applyBorder="1" applyAlignment="1">
      <alignment horizontal="right" vertical="top" wrapText="1"/>
    </xf>
    <xf numFmtId="0" fontId="0" fillId="0" borderId="0" xfId="0" applyAlignment="1">
      <alignment horizontal="center" vertical="top" wrapText="1"/>
    </xf>
    <xf numFmtId="0" fontId="0" fillId="0" borderId="0" xfId="0" applyAlignment="1">
      <alignment horizontal="center" vertical="top"/>
    </xf>
    <xf numFmtId="0" fontId="0" fillId="0" borderId="6" xfId="0" applyBorder="1"/>
    <xf numFmtId="0" fontId="0" fillId="0" borderId="5" xfId="0" applyBorder="1"/>
    <xf numFmtId="0" fontId="0" fillId="0" borderId="60" xfId="0" applyBorder="1" applyAlignment="1">
      <alignment horizontal="center" vertical="center"/>
    </xf>
    <xf numFmtId="0" fontId="0" fillId="0" borderId="13" xfId="0" applyBorder="1"/>
    <xf numFmtId="4" fontId="7" fillId="4" borderId="108" xfId="2" applyNumberFormat="1" applyBorder="1" applyAlignment="1">
      <alignment horizontal="right" vertical="top" wrapText="1"/>
    </xf>
    <xf numFmtId="4" fontId="7" fillId="4" borderId="107" xfId="2" applyNumberFormat="1" applyBorder="1" applyAlignment="1">
      <alignment horizontal="right" vertical="top" wrapText="1"/>
    </xf>
    <xf numFmtId="2" fontId="29" fillId="0" borderId="0" xfId="0" applyNumberFormat="1" applyFont="1"/>
    <xf numFmtId="0" fontId="0" fillId="0" borderId="0" xfId="0" applyAlignment="1">
      <alignment vertical="center"/>
    </xf>
    <xf numFmtId="0" fontId="0" fillId="0" borderId="0" xfId="0" applyAlignment="1">
      <alignment horizontal="left" vertical="center"/>
    </xf>
    <xf numFmtId="0" fontId="9" fillId="0" borderId="28" xfId="0" applyFont="1" applyBorder="1" applyAlignment="1">
      <alignment horizontal="left" vertical="center" wrapText="1"/>
    </xf>
    <xf numFmtId="0" fontId="30" fillId="0" borderId="28" xfId="0" applyFont="1" applyBorder="1" applyAlignment="1">
      <alignment horizontal="left" vertical="center" wrapText="1"/>
    </xf>
    <xf numFmtId="4" fontId="32" fillId="4" borderId="108" xfId="2" applyNumberFormat="1" applyFont="1" applyBorder="1" applyAlignment="1">
      <alignment horizontal="left" vertical="center" wrapText="1"/>
    </xf>
    <xf numFmtId="4" fontId="7" fillId="13" borderId="107" xfId="2" applyNumberFormat="1" applyFill="1" applyBorder="1" applyAlignment="1">
      <alignment horizontal="right" vertical="center" wrapText="1"/>
    </xf>
    <xf numFmtId="166" fontId="31" fillId="13" borderId="107" xfId="4" applyNumberFormat="1" applyFont="1" applyFill="1" applyBorder="1" applyAlignment="1">
      <alignment horizontal="right" vertical="center" wrapText="1"/>
    </xf>
    <xf numFmtId="3" fontId="31" fillId="13" borderId="107" xfId="4" applyNumberFormat="1" applyFont="1" applyFill="1" applyBorder="1" applyAlignment="1">
      <alignment horizontal="right" vertical="center" wrapText="1"/>
    </xf>
    <xf numFmtId="0" fontId="33" fillId="0" borderId="0" xfId="0" applyFont="1" applyAlignment="1">
      <alignment horizontal="right" vertical="center"/>
    </xf>
    <xf numFmtId="4" fontId="34" fillId="9" borderId="107" xfId="2" applyNumberFormat="1" applyFont="1" applyFill="1" applyBorder="1" applyAlignment="1">
      <alignment horizontal="right" vertical="center" wrapText="1"/>
    </xf>
    <xf numFmtId="166" fontId="35" fillId="9" borderId="107" xfId="4" applyNumberFormat="1" applyFont="1" applyFill="1" applyBorder="1" applyAlignment="1">
      <alignment horizontal="right" vertical="center" wrapText="1"/>
    </xf>
    <xf numFmtId="0" fontId="36" fillId="0" borderId="0" xfId="0" applyFont="1" applyAlignment="1">
      <alignment vertical="center"/>
    </xf>
    <xf numFmtId="3" fontId="35" fillId="9" borderId="107" xfId="4" applyNumberFormat="1" applyFont="1" applyFill="1" applyBorder="1" applyAlignment="1">
      <alignment horizontal="right" vertical="center" wrapText="1"/>
    </xf>
    <xf numFmtId="1" fontId="37" fillId="3" borderId="5" xfId="1" applyNumberFormat="1" applyFont="1" applyBorder="1" applyAlignment="1">
      <alignment horizontal="right" vertical="top" wrapText="1"/>
    </xf>
    <xf numFmtId="0" fontId="26" fillId="0" borderId="0" xfId="0" applyFont="1"/>
    <xf numFmtId="0" fontId="9" fillId="0" borderId="0" xfId="0" applyFont="1" applyAlignment="1">
      <alignment horizontal="center" vertical="top" wrapText="1"/>
    </xf>
    <xf numFmtId="3" fontId="7" fillId="0" borderId="0" xfId="2" applyNumberFormat="1" applyFill="1" applyBorder="1"/>
    <xf numFmtId="0" fontId="8" fillId="0" borderId="56" xfId="0" applyFont="1" applyBorder="1"/>
    <xf numFmtId="0" fontId="8" fillId="0" borderId="110" xfId="0" applyFont="1" applyBorder="1"/>
    <xf numFmtId="0" fontId="0" fillId="0" borderId="111" xfId="0" applyBorder="1" applyAlignment="1">
      <alignment horizontal="left"/>
    </xf>
    <xf numFmtId="0" fontId="9" fillId="7" borderId="30" xfId="0" applyFont="1" applyFill="1" applyBorder="1" applyAlignment="1">
      <alignment horizontal="center" vertical="top" wrapText="1"/>
    </xf>
    <xf numFmtId="0" fontId="0" fillId="0" borderId="6" xfId="0" applyBorder="1" applyAlignment="1">
      <alignment horizontal="right"/>
    </xf>
    <xf numFmtId="0" fontId="26" fillId="0" borderId="6" xfId="0" applyFont="1" applyBorder="1"/>
    <xf numFmtId="0" fontId="28" fillId="0" borderId="24" xfId="0" applyFont="1" applyBorder="1"/>
    <xf numFmtId="9" fontId="0" fillId="0" borderId="19" xfId="4" applyFont="1" applyBorder="1" applyAlignment="1">
      <alignment wrapText="1"/>
    </xf>
    <xf numFmtId="4" fontId="0" fillId="0" borderId="20" xfId="0" applyNumberFormat="1" applyBorder="1" applyAlignment="1">
      <alignment wrapText="1"/>
    </xf>
    <xf numFmtId="9" fontId="0" fillId="0" borderId="0" xfId="4" applyFont="1"/>
    <xf numFmtId="4" fontId="0" fillId="0" borderId="20" xfId="0" applyNumberFormat="1" applyBorder="1"/>
    <xf numFmtId="9" fontId="0" fillId="0" borderId="0" xfId="4" applyFont="1" applyBorder="1" applyAlignment="1">
      <alignment wrapText="1"/>
    </xf>
    <xf numFmtId="2" fontId="0" fillId="0" borderId="20" xfId="0" applyNumberFormat="1" applyBorder="1" applyAlignment="1">
      <alignment wrapText="1"/>
    </xf>
    <xf numFmtId="2" fontId="0" fillId="0" borderId="114" xfId="0" applyNumberFormat="1" applyBorder="1" applyAlignment="1">
      <alignment wrapText="1"/>
    </xf>
    <xf numFmtId="2" fontId="0" fillId="0" borderId="20" xfId="0" applyNumberFormat="1" applyBorder="1"/>
    <xf numFmtId="2" fontId="0" fillId="0" borderId="114" xfId="0" applyNumberFormat="1" applyBorder="1"/>
    <xf numFmtId="9" fontId="8" fillId="10" borderId="19" xfId="4" applyFont="1" applyFill="1" applyBorder="1" applyAlignment="1">
      <alignment wrapText="1"/>
    </xf>
    <xf numFmtId="9" fontId="8" fillId="10" borderId="113" xfId="4" applyFont="1" applyFill="1" applyBorder="1" applyAlignment="1">
      <alignment wrapText="1"/>
    </xf>
    <xf numFmtId="9" fontId="8" fillId="10" borderId="19" xfId="4" applyFont="1" applyFill="1" applyBorder="1"/>
    <xf numFmtId="9" fontId="8" fillId="10" borderId="113" xfId="4" applyFont="1" applyFill="1" applyBorder="1"/>
    <xf numFmtId="0" fontId="8" fillId="10" borderId="0" xfId="0" applyFont="1" applyFill="1" applyAlignment="1">
      <alignment wrapText="1"/>
    </xf>
    <xf numFmtId="4" fontId="8" fillId="10" borderId="0" xfId="0" applyNumberFormat="1" applyFont="1" applyFill="1" applyAlignment="1">
      <alignment wrapText="1"/>
    </xf>
    <xf numFmtId="0" fontId="8" fillId="10" borderId="20" xfId="0" applyFont="1" applyFill="1" applyBorder="1" applyAlignment="1">
      <alignment horizontal="right" wrapText="1"/>
    </xf>
    <xf numFmtId="0" fontId="8" fillId="10" borderId="19" xfId="0" applyFont="1" applyFill="1" applyBorder="1" applyAlignment="1">
      <alignment horizontal="right" wrapText="1"/>
    </xf>
    <xf numFmtId="0" fontId="8" fillId="10" borderId="112" xfId="0" applyFont="1" applyFill="1" applyBorder="1" applyAlignment="1">
      <alignment horizontal="right"/>
    </xf>
    <xf numFmtId="0" fontId="8" fillId="10" borderId="106" xfId="0" applyFont="1" applyFill="1" applyBorder="1" applyAlignment="1">
      <alignment horizontal="right"/>
    </xf>
    <xf numFmtId="4" fontId="0" fillId="0" borderId="0" xfId="0" applyNumberFormat="1" applyAlignment="1">
      <alignment wrapText="1"/>
    </xf>
    <xf numFmtId="2" fontId="0" fillId="0" borderId="0" xfId="0" applyNumberFormat="1" applyAlignment="1">
      <alignment wrapText="1"/>
    </xf>
    <xf numFmtId="0" fontId="8" fillId="0" borderId="0" xfId="0" applyFont="1" applyAlignment="1">
      <alignment horizontal="center" vertical="center" wrapText="1"/>
    </xf>
    <xf numFmtId="0" fontId="8" fillId="0" borderId="0" xfId="0" applyFont="1" applyAlignment="1">
      <alignment horizontal="right" wrapText="1"/>
    </xf>
    <xf numFmtId="4" fontId="8" fillId="0" borderId="0" xfId="0" applyNumberFormat="1" applyFont="1" applyAlignment="1">
      <alignment wrapText="1"/>
    </xf>
    <xf numFmtId="9" fontId="8" fillId="17" borderId="20" xfId="4" applyFont="1" applyFill="1" applyBorder="1" applyAlignment="1">
      <alignment wrapText="1"/>
    </xf>
    <xf numFmtId="2" fontId="0" fillId="0" borderId="0" xfId="0" applyNumberFormat="1"/>
    <xf numFmtId="9" fontId="8" fillId="17" borderId="21" xfId="4" applyFont="1" applyFill="1" applyBorder="1" applyAlignment="1">
      <alignment wrapText="1"/>
    </xf>
    <xf numFmtId="2" fontId="0" fillId="0" borderId="21" xfId="0" applyNumberFormat="1" applyBorder="1" applyAlignment="1">
      <alignment wrapText="1"/>
    </xf>
    <xf numFmtId="2" fontId="0" fillId="0" borderId="21" xfId="0" applyNumberFormat="1" applyBorder="1"/>
    <xf numFmtId="9" fontId="8" fillId="17" borderId="113" xfId="4" applyFont="1" applyFill="1" applyBorder="1" applyAlignment="1">
      <alignment wrapText="1"/>
    </xf>
    <xf numFmtId="9" fontId="8" fillId="17" borderId="114" xfId="4" applyFont="1" applyFill="1" applyBorder="1" applyAlignment="1">
      <alignment wrapText="1"/>
    </xf>
    <xf numFmtId="9" fontId="8" fillId="17" borderId="106" xfId="4" applyFont="1" applyFill="1" applyBorder="1" applyAlignment="1">
      <alignment wrapText="1"/>
    </xf>
    <xf numFmtId="0" fontId="0" fillId="15" borderId="55" xfId="0" applyFill="1" applyBorder="1"/>
    <xf numFmtId="0" fontId="0" fillId="15" borderId="22" xfId="0" applyFill="1" applyBorder="1"/>
    <xf numFmtId="0" fontId="0" fillId="15" borderId="80" xfId="0" applyFill="1" applyBorder="1"/>
    <xf numFmtId="0" fontId="0" fillId="15" borderId="104" xfId="0" applyFill="1" applyBorder="1"/>
    <xf numFmtId="0" fontId="0" fillId="0" borderId="0" xfId="0" applyAlignment="1">
      <alignment horizontal="center"/>
    </xf>
    <xf numFmtId="0" fontId="8" fillId="17" borderId="0" xfId="0" applyFont="1" applyFill="1"/>
    <xf numFmtId="0" fontId="8" fillId="17" borderId="0" xfId="0" applyFont="1" applyFill="1" applyAlignment="1">
      <alignment horizontal="left"/>
    </xf>
    <xf numFmtId="0" fontId="8" fillId="0" borderId="64" xfId="0" applyFont="1" applyBorder="1" applyAlignment="1">
      <alignment horizontal="center" vertical="center" wrapText="1"/>
    </xf>
    <xf numFmtId="0" fontId="27" fillId="0" borderId="123" xfId="0" applyFont="1" applyBorder="1" applyAlignment="1">
      <alignment horizontal="center" wrapText="1"/>
    </xf>
    <xf numFmtId="0" fontId="27" fillId="0" borderId="125" xfId="0" applyFont="1" applyBorder="1" applyAlignment="1">
      <alignment wrapText="1"/>
    </xf>
    <xf numFmtId="0" fontId="8" fillId="0" borderId="0" xfId="0" applyFont="1" applyAlignment="1">
      <alignment horizontal="center"/>
    </xf>
    <xf numFmtId="0" fontId="8" fillId="0" borderId="0" xfId="0" applyFont="1" applyAlignment="1">
      <alignment vertical="center"/>
    </xf>
    <xf numFmtId="0" fontId="8" fillId="0" borderId="126" xfId="0" applyFont="1" applyBorder="1" applyAlignment="1">
      <alignment horizontal="center" vertical="center" wrapText="1"/>
    </xf>
    <xf numFmtId="0" fontId="8" fillId="0" borderId="0" xfId="0" applyFont="1" applyAlignment="1">
      <alignment horizontal="center" vertical="center"/>
    </xf>
    <xf numFmtId="0" fontId="8" fillId="0" borderId="120" xfId="0" applyFont="1" applyBorder="1" applyAlignment="1">
      <alignment horizontal="center" vertical="center" wrapText="1"/>
    </xf>
    <xf numFmtId="0" fontId="0" fillId="0" borderId="0" xfId="0" applyAlignment="1">
      <alignment horizontal="left"/>
    </xf>
    <xf numFmtId="0" fontId="0" fillId="0" borderId="120" xfId="0" applyBorder="1" applyAlignment="1">
      <alignment horizontal="center" vertical="center" wrapText="1"/>
    </xf>
    <xf numFmtId="0" fontId="0" fillId="0" borderId="121" xfId="0" applyBorder="1" applyAlignment="1">
      <alignment horizontal="center" vertical="center" wrapText="1"/>
    </xf>
    <xf numFmtId="0" fontId="0" fillId="15" borderId="103" xfId="0" applyFill="1" applyBorder="1"/>
    <xf numFmtId="0" fontId="0" fillId="15" borderId="104" xfId="0" applyFill="1" applyBorder="1" applyAlignment="1">
      <alignment horizontal="center"/>
    </xf>
    <xf numFmtId="0" fontId="0" fillId="15" borderId="22" xfId="0" applyFill="1" applyBorder="1" applyAlignment="1">
      <alignment horizontal="center"/>
    </xf>
    <xf numFmtId="0" fontId="0" fillId="15" borderId="103" xfId="0" applyFill="1" applyBorder="1" applyAlignment="1">
      <alignment horizontal="center"/>
    </xf>
    <xf numFmtId="0" fontId="27" fillId="0" borderId="122" xfId="0" applyFont="1" applyBorder="1" applyAlignment="1">
      <alignment horizontal="center" wrapText="1"/>
    </xf>
    <xf numFmtId="0" fontId="0" fillId="15" borderId="114" xfId="0" applyFill="1" applyBorder="1" applyAlignment="1">
      <alignment horizontal="center"/>
    </xf>
    <xf numFmtId="0" fontId="28" fillId="9" borderId="64" xfId="0" applyFont="1" applyFill="1" applyBorder="1" applyAlignment="1">
      <alignment horizontal="left" vertical="top"/>
    </xf>
    <xf numFmtId="0" fontId="0" fillId="15" borderId="126" xfId="0" applyFill="1" applyBorder="1"/>
    <xf numFmtId="0" fontId="0" fillId="15" borderId="120" xfId="0" applyFill="1" applyBorder="1" applyAlignment="1">
      <alignment horizontal="left"/>
    </xf>
    <xf numFmtId="0" fontId="0" fillId="15" borderId="120" xfId="0" applyFill="1" applyBorder="1" applyAlignment="1">
      <alignment horizontal="center"/>
    </xf>
    <xf numFmtId="0" fontId="0" fillId="15" borderId="121" xfId="0" applyFill="1" applyBorder="1"/>
    <xf numFmtId="0" fontId="27" fillId="0" borderId="124" xfId="0" applyFont="1" applyBorder="1" applyAlignment="1">
      <alignment wrapText="1"/>
    </xf>
    <xf numFmtId="0" fontId="0" fillId="15" borderId="113" xfId="0" applyFill="1" applyBorder="1" applyAlignment="1">
      <alignment horizontal="center"/>
    </xf>
    <xf numFmtId="0" fontId="0" fillId="15" borderId="115" xfId="0" applyFill="1" applyBorder="1" applyAlignment="1">
      <alignment horizontal="center"/>
    </xf>
    <xf numFmtId="0" fontId="0" fillId="15" borderId="115" xfId="0" applyFill="1" applyBorder="1"/>
    <xf numFmtId="0" fontId="27" fillId="0" borderId="29" xfId="0" applyFont="1" applyBorder="1" applyAlignment="1">
      <alignment horizontal="center" wrapText="1"/>
    </xf>
    <xf numFmtId="0" fontId="0" fillId="15" borderId="126" xfId="0" applyFill="1" applyBorder="1" applyAlignment="1">
      <alignment horizontal="center"/>
    </xf>
    <xf numFmtId="0" fontId="42" fillId="0" borderId="0" xfId="0" applyFont="1"/>
    <xf numFmtId="0" fontId="8" fillId="9" borderId="127" xfId="0" applyFont="1" applyFill="1" applyBorder="1"/>
    <xf numFmtId="0" fontId="8" fillId="9" borderId="123" xfId="0" applyFont="1" applyFill="1" applyBorder="1"/>
    <xf numFmtId="0" fontId="8" fillId="9" borderId="125" xfId="0" applyFont="1" applyFill="1" applyBorder="1"/>
    <xf numFmtId="0" fontId="0" fillId="23" borderId="104" xfId="0" applyFill="1" applyBorder="1"/>
    <xf numFmtId="0" fontId="0" fillId="23" borderId="22" xfId="0" applyFill="1" applyBorder="1"/>
    <xf numFmtId="0" fontId="27" fillId="15" borderId="22" xfId="0" applyFont="1" applyFill="1" applyBorder="1"/>
    <xf numFmtId="0" fontId="8" fillId="0" borderId="55" xfId="0" applyFont="1" applyBorder="1" applyAlignment="1">
      <alignment horizontal="center"/>
    </xf>
    <xf numFmtId="0" fontId="8" fillId="0" borderId="0" xfId="0" applyFont="1" applyAlignment="1">
      <alignment vertical="top" wrapText="1"/>
    </xf>
    <xf numFmtId="0" fontId="8" fillId="0" borderId="0" xfId="0" applyFont="1" applyAlignment="1">
      <alignment vertical="top"/>
    </xf>
    <xf numFmtId="4" fontId="13" fillId="5" borderId="40" xfId="3" applyNumberFormat="1" applyFont="1" applyBorder="1" applyAlignment="1" applyProtection="1">
      <alignment horizontal="right" vertical="top" wrapText="1"/>
      <protection locked="0"/>
    </xf>
    <xf numFmtId="4" fontId="13" fillId="5" borderId="17" xfId="3" applyNumberFormat="1" applyFont="1" applyAlignment="1" applyProtection="1">
      <alignment horizontal="right" vertical="top" wrapText="1"/>
      <protection locked="0"/>
    </xf>
    <xf numFmtId="4" fontId="13" fillId="5" borderId="94" xfId="3" applyNumberFormat="1" applyFont="1" applyBorder="1" applyAlignment="1" applyProtection="1">
      <alignment horizontal="right" vertical="top" wrapText="1"/>
      <protection locked="0"/>
    </xf>
    <xf numFmtId="4" fontId="13" fillId="5" borderId="91" xfId="3" applyNumberFormat="1" applyFont="1" applyBorder="1" applyAlignment="1" applyProtection="1">
      <alignment horizontal="right" vertical="top" wrapText="1"/>
      <protection locked="0"/>
    </xf>
    <xf numFmtId="0" fontId="0" fillId="16" borderId="0" xfId="0" applyFill="1" applyAlignment="1">
      <alignment horizontal="left" vertical="top" wrapText="1"/>
    </xf>
    <xf numFmtId="0" fontId="27" fillId="0" borderId="0" xfId="0" applyFont="1" applyAlignment="1">
      <alignment horizontal="left" vertical="top" wrapText="1"/>
    </xf>
    <xf numFmtId="0" fontId="9" fillId="16" borderId="0" xfId="0" applyFont="1" applyFill="1" applyAlignment="1">
      <alignment horizontal="left" vertical="top" wrapText="1"/>
    </xf>
    <xf numFmtId="0" fontId="9" fillId="16" borderId="15" xfId="0" applyFont="1" applyFill="1" applyBorder="1" applyAlignment="1">
      <alignment horizontal="left" vertical="top" wrapText="1"/>
    </xf>
    <xf numFmtId="0" fontId="9" fillId="16" borderId="26" xfId="0" applyFont="1" applyFill="1" applyBorder="1" applyAlignment="1">
      <alignment horizontal="left" vertical="top" wrapText="1"/>
    </xf>
    <xf numFmtId="0" fontId="9" fillId="16" borderId="5" xfId="0" applyFont="1" applyFill="1" applyBorder="1" applyAlignment="1">
      <alignment horizontal="left" vertical="top" wrapText="1"/>
    </xf>
    <xf numFmtId="0" fontId="9" fillId="16" borderId="0" xfId="0" applyFont="1" applyFill="1" applyAlignment="1">
      <alignment horizontal="center" vertical="top" wrapText="1"/>
    </xf>
    <xf numFmtId="0" fontId="9" fillId="16" borderId="27" xfId="0" applyFont="1" applyFill="1" applyBorder="1" applyAlignment="1">
      <alignment horizontal="center" vertical="top" wrapText="1"/>
    </xf>
    <xf numFmtId="0" fontId="12" fillId="0" borderId="0" xfId="0" applyFont="1" applyAlignment="1">
      <alignment horizontal="left" vertical="top" wrapText="1"/>
    </xf>
    <xf numFmtId="0" fontId="0" fillId="0" borderId="13" xfId="0" applyBorder="1" applyAlignment="1">
      <alignment horizontal="left" vertical="top" wrapText="1"/>
    </xf>
    <xf numFmtId="167" fontId="0" fillId="0" borderId="14" xfId="5" applyNumberFormat="1" applyFont="1" applyBorder="1" applyAlignment="1" applyProtection="1">
      <alignment horizontal="center" vertical="center" wrapText="1"/>
    </xf>
    <xf numFmtId="167" fontId="0" fillId="0" borderId="23" xfId="5" applyNumberFormat="1" applyFont="1" applyBorder="1" applyAlignment="1" applyProtection="1">
      <alignment horizontal="center" vertical="center" wrapText="1"/>
    </xf>
    <xf numFmtId="167" fontId="0" fillId="0" borderId="13" xfId="5" applyNumberFormat="1" applyFont="1" applyBorder="1" applyAlignment="1" applyProtection="1">
      <alignment horizontal="center" vertical="center" wrapText="1"/>
    </xf>
    <xf numFmtId="167" fontId="13" fillId="5" borderId="78" xfId="5" applyNumberFormat="1" applyFont="1" applyFill="1" applyBorder="1" applyAlignment="1" applyProtection="1">
      <alignment horizontal="center" vertical="center" wrapText="1"/>
    </xf>
    <xf numFmtId="167" fontId="13" fillId="5" borderId="51" xfId="5" applyNumberFormat="1" applyFont="1" applyFill="1" applyBorder="1" applyAlignment="1" applyProtection="1">
      <alignment horizontal="center" vertical="center" wrapText="1"/>
    </xf>
    <xf numFmtId="167" fontId="40" fillId="18" borderId="51" xfId="5" applyNumberFormat="1" applyFont="1" applyFill="1" applyBorder="1" applyAlignment="1" applyProtection="1">
      <alignment horizontal="center" vertical="center" wrapText="1"/>
    </xf>
    <xf numFmtId="9" fontId="27" fillId="0" borderId="0" xfId="4" applyFont="1" applyAlignment="1" applyProtection="1">
      <alignment horizontal="left" vertical="top" wrapText="1"/>
    </xf>
    <xf numFmtId="167" fontId="0" fillId="0" borderId="24" xfId="5" applyNumberFormat="1" applyFont="1" applyBorder="1" applyAlignment="1" applyProtection="1">
      <alignment horizontal="center" vertical="center" wrapText="1"/>
    </xf>
    <xf numFmtId="167" fontId="0" fillId="0" borderId="0" xfId="5" applyNumberFormat="1" applyFont="1" applyBorder="1" applyAlignment="1" applyProtection="1">
      <alignment horizontal="center" vertical="center" wrapText="1"/>
    </xf>
    <xf numFmtId="167" fontId="0" fillId="0" borderId="6" xfId="5" applyNumberFormat="1" applyFont="1" applyBorder="1" applyAlignment="1" applyProtection="1">
      <alignment horizontal="center" vertical="center" wrapText="1"/>
    </xf>
    <xf numFmtId="167" fontId="40" fillId="18" borderId="17" xfId="5" applyNumberFormat="1" applyFont="1" applyFill="1" applyBorder="1" applyAlignment="1" applyProtection="1">
      <alignment horizontal="center" vertical="center" wrapText="1"/>
    </xf>
    <xf numFmtId="0" fontId="0" fillId="0" borderId="5" xfId="0" applyBorder="1" applyAlignment="1">
      <alignment horizontal="left" vertical="top" wrapText="1"/>
    </xf>
    <xf numFmtId="167" fontId="0" fillId="0" borderId="15" xfId="5" applyNumberFormat="1" applyFont="1" applyBorder="1" applyAlignment="1" applyProtection="1">
      <alignment horizontal="center" vertical="center" wrapText="1"/>
    </xf>
    <xf numFmtId="167" fontId="0" fillId="0" borderId="26" xfId="5" applyNumberFormat="1" applyFont="1" applyBorder="1" applyAlignment="1" applyProtection="1">
      <alignment horizontal="center" vertical="center" wrapText="1"/>
    </xf>
    <xf numFmtId="167" fontId="0" fillId="0" borderId="5" xfId="5" applyNumberFormat="1" applyFont="1" applyBorder="1" applyAlignment="1" applyProtection="1">
      <alignment horizontal="center" vertical="center" wrapText="1"/>
    </xf>
    <xf numFmtId="167" fontId="40" fillId="18" borderId="52" xfId="5" applyNumberFormat="1" applyFont="1" applyFill="1" applyBorder="1" applyAlignment="1" applyProtection="1">
      <alignment horizontal="center" vertical="center" wrapText="1"/>
    </xf>
    <xf numFmtId="168" fontId="0" fillId="0" borderId="14" xfId="0" applyNumberFormat="1" applyBorder="1" applyAlignment="1">
      <alignment horizontal="center" vertical="center" wrapText="1"/>
    </xf>
    <xf numFmtId="168" fontId="0" fillId="0" borderId="23" xfId="0" applyNumberFormat="1" applyBorder="1" applyAlignment="1">
      <alignment horizontal="center" vertical="center" wrapText="1"/>
    </xf>
    <xf numFmtId="168" fontId="0" fillId="0" borderId="13" xfId="0" applyNumberFormat="1" applyBorder="1" applyAlignment="1">
      <alignment horizontal="center" vertical="center" wrapText="1"/>
    </xf>
    <xf numFmtId="168" fontId="40" fillId="18" borderId="51" xfId="3" applyNumberFormat="1" applyFont="1" applyFill="1" applyBorder="1" applyAlignment="1" applyProtection="1">
      <alignment horizontal="center" vertical="center" wrapText="1"/>
    </xf>
    <xf numFmtId="168" fontId="0" fillId="0" borderId="24" xfId="0" applyNumberFormat="1" applyBorder="1" applyAlignment="1">
      <alignment horizontal="center" vertical="center" wrapText="1"/>
    </xf>
    <xf numFmtId="168" fontId="0" fillId="0" borderId="0" xfId="0" applyNumberFormat="1" applyAlignment="1">
      <alignment horizontal="center" vertical="center" wrapText="1"/>
    </xf>
    <xf numFmtId="168" fontId="0" fillId="0" borderId="6" xfId="0" applyNumberFormat="1" applyBorder="1" applyAlignment="1">
      <alignment horizontal="center" vertical="center" wrapText="1"/>
    </xf>
    <xf numFmtId="168" fontId="40" fillId="18" borderId="17" xfId="3" applyNumberFormat="1" applyFont="1" applyFill="1" applyAlignment="1" applyProtection="1">
      <alignment horizontal="center" vertical="center" wrapText="1"/>
    </xf>
    <xf numFmtId="168" fontId="0" fillId="0" borderId="15" xfId="0" applyNumberFormat="1" applyBorder="1" applyAlignment="1">
      <alignment horizontal="center" vertical="center" wrapText="1"/>
    </xf>
    <xf numFmtId="168" fontId="0" fillId="0" borderId="26" xfId="0" applyNumberFormat="1" applyBorder="1" applyAlignment="1">
      <alignment horizontal="center" vertical="center" wrapText="1"/>
    </xf>
    <xf numFmtId="168" fontId="0" fillId="0" borderId="5" xfId="0" applyNumberFormat="1" applyBorder="1" applyAlignment="1">
      <alignment horizontal="center" vertical="center" wrapText="1"/>
    </xf>
    <xf numFmtId="168" fontId="40" fillId="18" borderId="52" xfId="3" applyNumberFormat="1" applyFont="1" applyFill="1" applyBorder="1" applyAlignment="1" applyProtection="1">
      <alignment horizontal="center" vertical="center" wrapText="1"/>
    </xf>
    <xf numFmtId="9" fontId="27" fillId="0" borderId="18" xfId="0" applyNumberFormat="1" applyFont="1" applyBorder="1" applyAlignment="1">
      <alignment horizontal="left" vertical="top" wrapText="1"/>
    </xf>
    <xf numFmtId="0" fontId="0" fillId="0" borderId="18" xfId="0" applyBorder="1" applyAlignment="1">
      <alignment horizontal="left" vertical="top" wrapText="1"/>
    </xf>
    <xf numFmtId="0" fontId="27" fillId="0" borderId="21" xfId="0" applyFont="1" applyBorder="1" applyAlignment="1">
      <alignment horizontal="left" vertical="top" wrapText="1"/>
    </xf>
    <xf numFmtId="0" fontId="0" fillId="0" borderId="21" xfId="0" applyBorder="1" applyAlignment="1">
      <alignment horizontal="left" vertical="top" wrapText="1"/>
    </xf>
    <xf numFmtId="0" fontId="8" fillId="14" borderId="28" xfId="0" applyFont="1" applyFill="1" applyBorder="1" applyAlignment="1">
      <alignment horizontal="left" vertical="top" wrapText="1"/>
    </xf>
    <xf numFmtId="0" fontId="0" fillId="14" borderId="29" xfId="0" applyFill="1" applyBorder="1" applyAlignment="1">
      <alignment horizontal="left" vertical="top" wrapText="1"/>
    </xf>
    <xf numFmtId="0" fontId="0" fillId="14" borderId="30" xfId="0" applyFill="1" applyBorder="1" applyAlignment="1">
      <alignment horizontal="left" vertical="top" wrapText="1"/>
    </xf>
    <xf numFmtId="0" fontId="38" fillId="14" borderId="29" xfId="0" applyFont="1" applyFill="1" applyBorder="1" applyAlignment="1">
      <alignment horizontal="left" vertical="top" wrapText="1"/>
    </xf>
    <xf numFmtId="0" fontId="13" fillId="14" borderId="119" xfId="3" applyFont="1" applyFill="1" applyBorder="1" applyAlignment="1" applyProtection="1">
      <alignment horizontal="right" vertical="top" wrapText="1"/>
    </xf>
    <xf numFmtId="0" fontId="40" fillId="14" borderId="119" xfId="3" applyFont="1" applyFill="1" applyBorder="1" applyAlignment="1" applyProtection="1">
      <alignment horizontal="right" vertical="top" wrapText="1"/>
    </xf>
    <xf numFmtId="0" fontId="0" fillId="7" borderId="6" xfId="0" applyFill="1" applyBorder="1" applyAlignment="1">
      <alignment horizontal="left" vertical="top" wrapText="1"/>
    </xf>
    <xf numFmtId="167" fontId="41" fillId="18" borderId="24" xfId="5" applyNumberFormat="1" applyFont="1" applyFill="1" applyBorder="1" applyAlignment="1" applyProtection="1">
      <alignment horizontal="center" vertical="center" wrapText="1"/>
    </xf>
    <xf numFmtId="167" fontId="41" fillId="18" borderId="0" xfId="5" applyNumberFormat="1" applyFont="1" applyFill="1" applyBorder="1" applyAlignment="1" applyProtection="1">
      <alignment horizontal="center" vertical="center" wrapText="1"/>
    </xf>
    <xf numFmtId="167" fontId="41" fillId="18" borderId="6" xfId="5" applyNumberFormat="1" applyFont="1" applyFill="1" applyBorder="1" applyAlignment="1" applyProtection="1">
      <alignment horizontal="center" vertical="center" wrapText="1"/>
    </xf>
    <xf numFmtId="167" fontId="40" fillId="21" borderId="117" xfId="5" applyNumberFormat="1" applyFont="1" applyFill="1" applyBorder="1" applyAlignment="1" applyProtection="1">
      <alignment horizontal="center" vertical="center" wrapText="1"/>
    </xf>
    <xf numFmtId="167" fontId="40" fillId="21" borderId="118" xfId="5" applyNumberFormat="1" applyFont="1" applyFill="1" applyBorder="1" applyAlignment="1" applyProtection="1">
      <alignment horizontal="center" vertical="center" wrapText="1"/>
    </xf>
    <xf numFmtId="167" fontId="40" fillId="18" borderId="118" xfId="5" applyNumberFormat="1" applyFont="1" applyFill="1" applyBorder="1" applyAlignment="1" applyProtection="1">
      <alignment horizontal="center" vertical="center" wrapText="1"/>
    </xf>
    <xf numFmtId="9" fontId="27" fillId="0" borderId="24" xfId="0" applyNumberFormat="1" applyFont="1" applyBorder="1" applyAlignment="1">
      <alignment horizontal="left" vertical="top" wrapText="1"/>
    </xf>
    <xf numFmtId="167" fontId="40" fillId="21" borderId="40" xfId="5" applyNumberFormat="1" applyFont="1" applyFill="1" applyBorder="1" applyAlignment="1" applyProtection="1">
      <alignment horizontal="center" vertical="center" wrapText="1"/>
    </xf>
    <xf numFmtId="167" fontId="40" fillId="21" borderId="17" xfId="5" applyNumberFormat="1" applyFont="1" applyFill="1" applyBorder="1" applyAlignment="1" applyProtection="1">
      <alignment horizontal="center" vertical="center" wrapText="1"/>
    </xf>
    <xf numFmtId="0" fontId="0" fillId="7" borderId="5" xfId="0" applyFill="1" applyBorder="1" applyAlignment="1">
      <alignment horizontal="left" vertical="top" wrapText="1"/>
    </xf>
    <xf numFmtId="167" fontId="41" fillId="18" borderId="15" xfId="5" applyNumberFormat="1" applyFont="1" applyFill="1" applyBorder="1" applyAlignment="1" applyProtection="1">
      <alignment horizontal="center" vertical="center" wrapText="1"/>
    </xf>
    <xf numFmtId="167" fontId="41" fillId="18" borderId="26" xfId="5" applyNumberFormat="1" applyFont="1" applyFill="1" applyBorder="1" applyAlignment="1" applyProtection="1">
      <alignment horizontal="center" vertical="center" wrapText="1"/>
    </xf>
    <xf numFmtId="167" fontId="41" fillId="18" borderId="5" xfId="5" applyNumberFormat="1" applyFont="1" applyFill="1" applyBorder="1" applyAlignment="1" applyProtection="1">
      <alignment horizontal="center" vertical="center" wrapText="1"/>
    </xf>
    <xf numFmtId="167" fontId="40" fillId="21" borderId="79" xfId="5" applyNumberFormat="1" applyFont="1" applyFill="1" applyBorder="1" applyAlignment="1" applyProtection="1">
      <alignment horizontal="center" vertical="center" wrapText="1"/>
    </xf>
    <xf numFmtId="167" fontId="40" fillId="21" borderId="52" xfId="5" applyNumberFormat="1" applyFont="1" applyFill="1" applyBorder="1" applyAlignment="1" applyProtection="1">
      <alignment horizontal="center" vertical="center" wrapText="1"/>
    </xf>
    <xf numFmtId="167" fontId="40" fillId="21" borderId="78" xfId="5" applyNumberFormat="1" applyFont="1" applyFill="1" applyBorder="1" applyAlignment="1" applyProtection="1">
      <alignment horizontal="center" vertical="center" wrapText="1"/>
    </xf>
    <xf numFmtId="167" fontId="40" fillId="21" borderId="51" xfId="5" applyNumberFormat="1" applyFont="1" applyFill="1" applyBorder="1" applyAlignment="1" applyProtection="1">
      <alignment horizontal="center" vertical="center" wrapText="1"/>
    </xf>
    <xf numFmtId="168" fontId="40" fillId="21" borderId="78" xfId="5" applyNumberFormat="1" applyFont="1" applyFill="1" applyBorder="1" applyAlignment="1" applyProtection="1">
      <alignment horizontal="center" vertical="center" wrapText="1"/>
    </xf>
    <xf numFmtId="168" fontId="40" fillId="21" borderId="51" xfId="5" applyNumberFormat="1" applyFont="1" applyFill="1" applyBorder="1" applyAlignment="1" applyProtection="1">
      <alignment horizontal="center" vertical="center" wrapText="1"/>
    </xf>
    <xf numFmtId="168" fontId="40" fillId="18" borderId="51" xfId="5" applyNumberFormat="1" applyFont="1" applyFill="1" applyBorder="1" applyAlignment="1" applyProtection="1">
      <alignment horizontal="center" vertical="center" wrapText="1"/>
    </xf>
    <xf numFmtId="168" fontId="40" fillId="21" borderId="40" xfId="5" applyNumberFormat="1" applyFont="1" applyFill="1" applyBorder="1" applyAlignment="1" applyProtection="1">
      <alignment horizontal="center" vertical="center" wrapText="1"/>
    </xf>
    <xf numFmtId="168" fontId="40" fillId="21" borderId="17" xfId="5" applyNumberFormat="1" applyFont="1" applyFill="1" applyBorder="1" applyAlignment="1" applyProtection="1">
      <alignment horizontal="center" vertical="center" wrapText="1"/>
    </xf>
    <xf numFmtId="168" fontId="40" fillId="18" borderId="17" xfId="5" applyNumberFormat="1" applyFont="1" applyFill="1" applyBorder="1" applyAlignment="1" applyProtection="1">
      <alignment horizontal="center" vertical="center" wrapText="1"/>
    </xf>
    <xf numFmtId="168" fontId="40" fillId="21" borderId="79" xfId="5" applyNumberFormat="1" applyFont="1" applyFill="1" applyBorder="1" applyAlignment="1" applyProtection="1">
      <alignment horizontal="center" vertical="center" wrapText="1"/>
    </xf>
    <xf numFmtId="168" fontId="40" fillId="21" borderId="52" xfId="5" applyNumberFormat="1" applyFont="1" applyFill="1" applyBorder="1" applyAlignment="1" applyProtection="1">
      <alignment horizontal="center" vertical="center" wrapText="1"/>
    </xf>
    <xf numFmtId="168" fontId="40" fillId="18" borderId="52" xfId="5" applyNumberFormat="1" applyFont="1" applyFill="1" applyBorder="1" applyAlignment="1" applyProtection="1">
      <alignment horizontal="center" vertical="center" wrapText="1"/>
    </xf>
    <xf numFmtId="0" fontId="0" fillId="0" borderId="20" xfId="0" applyBorder="1" applyAlignment="1">
      <alignment horizontal="left" vertical="top" wrapText="1"/>
    </xf>
    <xf numFmtId="0" fontId="0" fillId="0" borderId="19" xfId="0" applyBorder="1" applyAlignment="1">
      <alignment horizontal="left" vertical="top" wrapText="1"/>
    </xf>
    <xf numFmtId="0" fontId="0" fillId="0" borderId="6" xfId="0" applyBorder="1" applyAlignment="1">
      <alignment horizontal="left"/>
    </xf>
    <xf numFmtId="3" fontId="7" fillId="4" borderId="74" xfId="2" applyNumberFormat="1" applyBorder="1" applyAlignment="1">
      <alignment horizontal="right"/>
    </xf>
    <xf numFmtId="3" fontId="7" fillId="4" borderId="87" xfId="2" applyNumberFormat="1" applyBorder="1" applyProtection="1">
      <protection locked="0"/>
    </xf>
    <xf numFmtId="3" fontId="7" fillId="4" borderId="35" xfId="2" applyNumberFormat="1" applyBorder="1" applyProtection="1">
      <protection locked="0"/>
    </xf>
    <xf numFmtId="3" fontId="7" fillId="4" borderId="72" xfId="2" applyNumberFormat="1" applyBorder="1" applyProtection="1">
      <protection locked="0"/>
    </xf>
    <xf numFmtId="0" fontId="5" fillId="24" borderId="4" xfId="0" applyFont="1" applyFill="1" applyBorder="1" applyAlignment="1">
      <alignment horizontal="left" vertical="top" wrapText="1"/>
    </xf>
    <xf numFmtId="0" fontId="5" fillId="24" borderId="5" xfId="0" applyFont="1" applyFill="1" applyBorder="1" applyAlignment="1">
      <alignment horizontal="justify" vertical="top" wrapText="1"/>
    </xf>
    <xf numFmtId="0" fontId="5" fillId="24" borderId="5" xfId="0" applyFont="1" applyFill="1" applyBorder="1" applyAlignment="1">
      <alignment horizontal="center" vertical="top" wrapText="1"/>
    </xf>
    <xf numFmtId="0" fontId="5" fillId="24" borderId="6" xfId="0" applyFont="1" applyFill="1" applyBorder="1" applyAlignment="1">
      <alignment horizontal="justify" vertical="top" wrapText="1"/>
    </xf>
    <xf numFmtId="0" fontId="5" fillId="24" borderId="24" xfId="0" applyFont="1" applyFill="1" applyBorder="1" applyAlignment="1">
      <alignment horizontal="left" vertical="top" wrapText="1"/>
    </xf>
    <xf numFmtId="0" fontId="5" fillId="24" borderId="64" xfId="0" applyFont="1" applyFill="1" applyBorder="1" applyAlignment="1">
      <alignment horizontal="justify" vertical="top" wrapText="1"/>
    </xf>
    <xf numFmtId="0" fontId="5" fillId="24" borderId="6" xfId="0" applyFont="1" applyFill="1" applyBorder="1" applyAlignment="1">
      <alignment horizontal="center" vertical="top" wrapText="1"/>
    </xf>
    <xf numFmtId="0" fontId="5" fillId="24" borderId="64" xfId="0" applyFont="1" applyFill="1" applyBorder="1" applyAlignment="1">
      <alignment horizontal="left" vertical="top" wrapText="1"/>
    </xf>
    <xf numFmtId="0" fontId="5" fillId="24" borderId="64" xfId="0" applyFont="1" applyFill="1" applyBorder="1" applyAlignment="1">
      <alignment horizontal="center" vertical="top" wrapText="1"/>
    </xf>
    <xf numFmtId="0" fontId="39" fillId="0" borderId="0" xfId="0" applyFont="1"/>
    <xf numFmtId="0" fontId="46" fillId="20" borderId="60" xfId="0" applyFont="1" applyFill="1" applyBorder="1" applyAlignment="1">
      <alignment horizontal="center" vertical="center"/>
    </xf>
    <xf numFmtId="0" fontId="46" fillId="20" borderId="59" xfId="0" applyFont="1" applyFill="1" applyBorder="1" applyAlignment="1">
      <alignment horizontal="center" vertical="center"/>
    </xf>
    <xf numFmtId="0" fontId="41" fillId="20" borderId="109" xfId="0" applyFont="1" applyFill="1" applyBorder="1"/>
    <xf numFmtId="0" fontId="41" fillId="20" borderId="55" xfId="0" applyFont="1" applyFill="1" applyBorder="1"/>
    <xf numFmtId="0" fontId="41" fillId="20" borderId="22" xfId="0" applyFont="1" applyFill="1" applyBorder="1"/>
    <xf numFmtId="0" fontId="41" fillId="20" borderId="103" xfId="0" applyFont="1" applyFill="1" applyBorder="1"/>
    <xf numFmtId="0" fontId="41" fillId="20" borderId="80" xfId="0" applyFont="1" applyFill="1" applyBorder="1"/>
    <xf numFmtId="0" fontId="41" fillId="20" borderId="106" xfId="0" applyFont="1" applyFill="1" applyBorder="1"/>
    <xf numFmtId="0" fontId="41" fillId="20" borderId="105" xfId="0" applyFont="1" applyFill="1" applyBorder="1"/>
    <xf numFmtId="4" fontId="48" fillId="22" borderId="49" xfId="2" applyNumberFormat="1" applyFont="1" applyFill="1" applyBorder="1" applyAlignment="1">
      <alignment horizontal="right" vertical="top" wrapText="1"/>
    </xf>
    <xf numFmtId="4" fontId="48" fillId="22" borderId="41" xfId="2" applyNumberFormat="1" applyFont="1" applyFill="1" applyBorder="1" applyAlignment="1">
      <alignment horizontal="right" vertical="top" wrapText="1"/>
    </xf>
    <xf numFmtId="4" fontId="48" fillId="22" borderId="50" xfId="2" applyNumberFormat="1" applyFont="1" applyFill="1" applyBorder="1" applyAlignment="1">
      <alignment horizontal="right" vertical="top" wrapText="1"/>
    </xf>
    <xf numFmtId="4" fontId="48" fillId="22" borderId="96" xfId="2" applyNumberFormat="1" applyFont="1" applyFill="1" applyBorder="1" applyAlignment="1">
      <alignment horizontal="right" vertical="top" wrapText="1"/>
    </xf>
    <xf numFmtId="4" fontId="48" fillId="22" borderId="89" xfId="2" applyNumberFormat="1" applyFont="1" applyFill="1" applyBorder="1" applyAlignment="1">
      <alignment horizontal="right" vertical="top" wrapText="1"/>
    </xf>
    <xf numFmtId="4" fontId="48" fillId="22" borderId="99" xfId="2" applyNumberFormat="1" applyFont="1" applyFill="1" applyBorder="1" applyAlignment="1">
      <alignment horizontal="right" vertical="top" wrapText="1"/>
    </xf>
    <xf numFmtId="4" fontId="48" fillId="22" borderId="97" xfId="2" applyNumberFormat="1" applyFont="1" applyFill="1" applyBorder="1" applyAlignment="1">
      <alignment horizontal="right" vertical="top" wrapText="1"/>
    </xf>
    <xf numFmtId="4" fontId="48" fillId="22" borderId="45" xfId="2" applyNumberFormat="1" applyFont="1" applyFill="1" applyBorder="1" applyAlignment="1">
      <alignment horizontal="right" vertical="top" wrapText="1"/>
    </xf>
    <xf numFmtId="4" fontId="48" fillId="22" borderId="44" xfId="2" applyNumberFormat="1" applyFont="1" applyFill="1" applyBorder="1" applyAlignment="1">
      <alignment horizontal="right" vertical="top" wrapText="1"/>
    </xf>
    <xf numFmtId="4" fontId="47" fillId="22" borderId="26" xfId="1" applyNumberFormat="1" applyFont="1" applyFill="1" applyBorder="1" applyAlignment="1">
      <alignment horizontal="right" vertical="top" wrapText="1"/>
    </xf>
    <xf numFmtId="4" fontId="48" fillId="22" borderId="43" xfId="2" applyNumberFormat="1" applyFont="1" applyFill="1" applyBorder="1" applyAlignment="1">
      <alignment horizontal="right" vertical="top" wrapText="1"/>
    </xf>
    <xf numFmtId="4" fontId="48" fillId="22" borderId="98" xfId="2" applyNumberFormat="1" applyFont="1" applyFill="1" applyBorder="1" applyAlignment="1">
      <alignment horizontal="right" vertical="top" wrapText="1"/>
    </xf>
    <xf numFmtId="4" fontId="48" fillId="22" borderId="42" xfId="2" applyNumberFormat="1" applyFont="1" applyFill="1" applyBorder="1" applyAlignment="1">
      <alignment horizontal="right" vertical="top" wrapText="1"/>
    </xf>
    <xf numFmtId="165" fontId="48" fillId="22" borderId="100" xfId="5" applyNumberFormat="1" applyFont="1" applyFill="1" applyBorder="1" applyAlignment="1">
      <alignment horizontal="right" vertical="top" wrapText="1"/>
    </xf>
    <xf numFmtId="165" fontId="48" fillId="22" borderId="101" xfId="5" applyNumberFormat="1" applyFont="1" applyFill="1" applyBorder="1" applyAlignment="1">
      <alignment horizontal="right" vertical="top" wrapText="1"/>
    </xf>
    <xf numFmtId="165" fontId="48" fillId="22" borderId="102" xfId="5" applyNumberFormat="1" applyFont="1" applyFill="1" applyBorder="1" applyAlignment="1">
      <alignment horizontal="right" vertical="top" wrapText="1"/>
    </xf>
    <xf numFmtId="165" fontId="48" fillId="22" borderId="46" xfId="5" applyNumberFormat="1" applyFont="1" applyFill="1" applyBorder="1" applyAlignment="1">
      <alignment horizontal="right" vertical="top" wrapText="1"/>
    </xf>
    <xf numFmtId="165" fontId="48" fillId="22" borderId="47" xfId="5" applyNumberFormat="1" applyFont="1" applyFill="1" applyBorder="1" applyAlignment="1">
      <alignment horizontal="right" vertical="top" wrapText="1"/>
    </xf>
    <xf numFmtId="0" fontId="0" fillId="16" borderId="0" xfId="0" applyFill="1" applyAlignment="1">
      <alignment horizontal="center" vertical="top" wrapText="1"/>
    </xf>
    <xf numFmtId="0" fontId="0" fillId="16" borderId="6" xfId="0" applyFill="1" applyBorder="1" applyAlignment="1">
      <alignment horizontal="center" vertical="top" wrapText="1"/>
    </xf>
    <xf numFmtId="0" fontId="0" fillId="16" borderId="24" xfId="0" applyFill="1" applyBorder="1" applyAlignment="1">
      <alignment horizontal="center" vertical="top" wrapText="1"/>
    </xf>
    <xf numFmtId="3" fontId="0" fillId="0" borderId="0" xfId="0" applyNumberFormat="1"/>
    <xf numFmtId="0" fontId="52" fillId="0" borderId="0" xfId="0" applyFont="1"/>
    <xf numFmtId="6" fontId="0" fillId="0" borderId="0" xfId="0" applyNumberFormat="1"/>
    <xf numFmtId="0" fontId="52" fillId="0" borderId="130" xfId="0" applyFont="1" applyBorder="1"/>
    <xf numFmtId="0" fontId="55" fillId="25" borderId="130" xfId="0" applyFont="1" applyFill="1" applyBorder="1" applyAlignment="1">
      <alignment horizontal="left" vertical="center"/>
    </xf>
    <xf numFmtId="0" fontId="57" fillId="0" borderId="0" xfId="0" applyFont="1"/>
    <xf numFmtId="0" fontId="52" fillId="22" borderId="130" xfId="0" applyFont="1" applyFill="1" applyBorder="1"/>
    <xf numFmtId="14" fontId="52" fillId="22" borderId="130" xfId="0" applyNumberFormat="1" applyFont="1" applyFill="1" applyBorder="1"/>
    <xf numFmtId="0" fontId="52" fillId="0" borderId="0" xfId="0" applyFont="1" applyAlignment="1">
      <alignment horizontal="right"/>
    </xf>
    <xf numFmtId="0" fontId="60" fillId="0" borderId="0" xfId="8" applyFont="1" applyAlignment="1">
      <alignment vertical="center"/>
    </xf>
    <xf numFmtId="2" fontId="60" fillId="0" borderId="0" xfId="8" applyNumberFormat="1" applyFont="1" applyAlignment="1">
      <alignment horizontal="right" vertical="center"/>
    </xf>
    <xf numFmtId="2" fontId="60" fillId="0" borderId="0" xfId="8" applyNumberFormat="1" applyFont="1" applyAlignment="1">
      <alignment horizontal="center" vertical="center"/>
    </xf>
    <xf numFmtId="0" fontId="60" fillId="0" borderId="0" xfId="8" applyFont="1" applyAlignment="1">
      <alignment horizontal="center" vertical="center"/>
    </xf>
    <xf numFmtId="0" fontId="60" fillId="0" borderId="0" xfId="8" applyFont="1" applyAlignment="1">
      <alignment horizontal="left" vertical="center"/>
    </xf>
    <xf numFmtId="0" fontId="61" fillId="0" borderId="131" xfId="8" applyFont="1" applyBorder="1" applyAlignment="1">
      <alignment horizontal="left" vertical="center"/>
    </xf>
    <xf numFmtId="0" fontId="61" fillId="0" borderId="131" xfId="8" applyFont="1" applyBorder="1" applyAlignment="1">
      <alignment horizontal="left" vertical="center" wrapText="1"/>
    </xf>
    <xf numFmtId="2" fontId="61" fillId="0" borderId="131" xfId="8" applyNumberFormat="1" applyFont="1" applyBorder="1" applyAlignment="1">
      <alignment horizontal="right" vertical="center" wrapText="1"/>
    </xf>
    <xf numFmtId="2" fontId="61" fillId="0" borderId="131" xfId="8" applyNumberFormat="1" applyFont="1" applyBorder="1" applyAlignment="1">
      <alignment horizontal="center" vertical="center" wrapText="1"/>
    </xf>
    <xf numFmtId="0" fontId="61" fillId="0" borderId="131" xfId="8" applyFont="1" applyBorder="1" applyAlignment="1">
      <alignment horizontal="center" vertical="center" wrapText="1"/>
    </xf>
    <xf numFmtId="0" fontId="61" fillId="26" borderId="131" xfId="8" applyFont="1" applyFill="1" applyBorder="1" applyAlignment="1">
      <alignment horizontal="left" vertical="center"/>
    </xf>
    <xf numFmtId="0" fontId="62" fillId="27" borderId="131" xfId="8" applyFont="1" applyFill="1" applyBorder="1" applyAlignment="1">
      <alignment horizontal="center" vertical="center" wrapText="1"/>
    </xf>
    <xf numFmtId="0" fontId="61" fillId="0" borderId="131" xfId="8" applyFont="1" applyBorder="1" applyAlignment="1">
      <alignment vertical="center"/>
    </xf>
    <xf numFmtId="0" fontId="61" fillId="26" borderId="131" xfId="8" applyFont="1" applyFill="1" applyBorder="1" applyAlignment="1">
      <alignment vertical="center"/>
    </xf>
    <xf numFmtId="0" fontId="61" fillId="0" borderId="131" xfId="8" applyFont="1" applyBorder="1" applyAlignment="1">
      <alignment vertical="center" wrapText="1"/>
    </xf>
    <xf numFmtId="0" fontId="60" fillId="0" borderId="131" xfId="8" applyFont="1" applyBorder="1" applyAlignment="1">
      <alignment vertical="center"/>
    </xf>
    <xf numFmtId="0" fontId="60" fillId="0" borderId="131" xfId="8" applyFont="1" applyBorder="1" applyAlignment="1">
      <alignment horizontal="left" vertical="center" wrapText="1"/>
    </xf>
    <xf numFmtId="0" fontId="64" fillId="0" borderId="131" xfId="8" applyFont="1" applyBorder="1" applyAlignment="1">
      <alignment horizontal="left" vertical="center" wrapText="1"/>
    </xf>
    <xf numFmtId="0" fontId="65" fillId="0" borderId="131" xfId="8" applyFont="1" applyBorder="1" applyAlignment="1">
      <alignment horizontal="center" vertical="center" wrapText="1"/>
    </xf>
    <xf numFmtId="0" fontId="61" fillId="26" borderId="131" xfId="8" applyFont="1" applyFill="1" applyBorder="1" applyAlignment="1">
      <alignment horizontal="left" vertical="center" wrapText="1"/>
    </xf>
    <xf numFmtId="0" fontId="60" fillId="0" borderId="131" xfId="8" applyFont="1" applyBorder="1" applyAlignment="1">
      <alignment horizontal="left" vertical="center"/>
    </xf>
    <xf numFmtId="0" fontId="60" fillId="0" borderId="132" xfId="8" applyFont="1" applyBorder="1" applyAlignment="1">
      <alignment vertical="center"/>
    </xf>
    <xf numFmtId="0" fontId="61" fillId="0" borderId="132" xfId="8" applyFont="1" applyBorder="1" applyAlignment="1">
      <alignment vertical="center" wrapText="1"/>
    </xf>
    <xf numFmtId="0" fontId="61" fillId="0" borderId="0" xfId="8" applyFont="1" applyAlignment="1">
      <alignment vertical="center"/>
    </xf>
    <xf numFmtId="0" fontId="61" fillId="0" borderId="133" xfId="8" applyFont="1" applyBorder="1" applyAlignment="1">
      <alignment vertical="center" wrapText="1"/>
    </xf>
    <xf numFmtId="0" fontId="61" fillId="0" borderId="134" xfId="8" applyFont="1" applyBorder="1" applyAlignment="1">
      <alignment vertical="center" wrapText="1"/>
    </xf>
    <xf numFmtId="0" fontId="62" fillId="0" borderId="131" xfId="8" applyFont="1" applyBorder="1" applyAlignment="1">
      <alignment horizontal="center" vertical="center" wrapText="1"/>
    </xf>
    <xf numFmtId="0" fontId="61" fillId="0" borderId="135" xfId="8" applyFont="1" applyBorder="1" applyAlignment="1">
      <alignment vertical="center" wrapText="1"/>
    </xf>
    <xf numFmtId="0" fontId="61" fillId="0" borderId="136" xfId="8" applyFont="1" applyBorder="1" applyAlignment="1">
      <alignment vertical="center" wrapText="1"/>
    </xf>
    <xf numFmtId="0" fontId="66" fillId="0" borderId="0" xfId="8" applyFont="1" applyAlignment="1">
      <alignment horizontal="center" vertical="center"/>
    </xf>
    <xf numFmtId="0" fontId="62" fillId="26" borderId="131" xfId="8" applyFont="1" applyFill="1" applyBorder="1" applyAlignment="1">
      <alignment horizontal="center" vertical="center"/>
    </xf>
    <xf numFmtId="0" fontId="62" fillId="26" borderId="131" xfId="8" applyFont="1" applyFill="1" applyBorder="1" applyAlignment="1">
      <alignment horizontal="center" vertical="center" wrapText="1"/>
    </xf>
    <xf numFmtId="0" fontId="62" fillId="28" borderId="131" xfId="8" applyFont="1" applyFill="1" applyBorder="1" applyAlignment="1">
      <alignment horizontal="center" vertical="center" wrapText="1"/>
    </xf>
    <xf numFmtId="0" fontId="62" fillId="22" borderId="131" xfId="8" applyFont="1" applyFill="1" applyBorder="1" applyAlignment="1">
      <alignment horizontal="center" vertical="center" wrapText="1"/>
    </xf>
    <xf numFmtId="49" fontId="62" fillId="22" borderId="131" xfId="8" applyNumberFormat="1" applyFont="1" applyFill="1" applyBorder="1" applyAlignment="1">
      <alignment horizontal="center" vertical="center" wrapText="1"/>
    </xf>
    <xf numFmtId="0" fontId="62" fillId="29" borderId="131" xfId="8" applyFont="1" applyFill="1" applyBorder="1" applyAlignment="1">
      <alignment horizontal="center" vertical="center" wrapText="1"/>
    </xf>
    <xf numFmtId="0" fontId="60" fillId="0" borderId="0" xfId="8" applyFont="1" applyAlignment="1">
      <alignment vertical="center" wrapText="1"/>
    </xf>
    <xf numFmtId="0" fontId="59" fillId="0" borderId="0" xfId="8"/>
    <xf numFmtId="0" fontId="59" fillId="0" borderId="0" xfId="8" applyAlignment="1">
      <alignment wrapText="1"/>
    </xf>
    <xf numFmtId="0" fontId="60" fillId="0" borderId="0" xfId="8" applyFont="1"/>
    <xf numFmtId="1" fontId="60" fillId="22" borderId="130" xfId="8" applyNumberFormat="1" applyFont="1" applyFill="1" applyBorder="1"/>
    <xf numFmtId="0" fontId="60" fillId="22" borderId="130" xfId="8" applyFont="1" applyFill="1" applyBorder="1"/>
    <xf numFmtId="0" fontId="60" fillId="26" borderId="130" xfId="8" applyFont="1" applyFill="1" applyBorder="1"/>
    <xf numFmtId="170" fontId="60" fillId="26" borderId="130" xfId="8" applyNumberFormat="1" applyFont="1" applyFill="1" applyBorder="1"/>
    <xf numFmtId="170" fontId="60" fillId="22" borderId="130" xfId="8" applyNumberFormat="1" applyFont="1" applyFill="1" applyBorder="1"/>
    <xf numFmtId="0" fontId="59" fillId="0" borderId="130" xfId="8" applyBorder="1"/>
    <xf numFmtId="0" fontId="59" fillId="22" borderId="130" xfId="8" applyFill="1" applyBorder="1"/>
    <xf numFmtId="0" fontId="59" fillId="22" borderId="130" xfId="8" applyFill="1" applyBorder="1" applyAlignment="1">
      <alignment horizontal="center"/>
    </xf>
    <xf numFmtId="0" fontId="59" fillId="22" borderId="130" xfId="8" applyFill="1" applyBorder="1" applyAlignment="1">
      <alignment horizontal="left"/>
    </xf>
    <xf numFmtId="0" fontId="69" fillId="26" borderId="130" xfId="8" applyFont="1" applyFill="1" applyBorder="1" applyAlignment="1">
      <alignment vertical="top"/>
    </xf>
    <xf numFmtId="0" fontId="69" fillId="26" borderId="130" xfId="8" applyFont="1" applyFill="1" applyBorder="1" applyAlignment="1">
      <alignment horizontal="center" vertical="top"/>
    </xf>
    <xf numFmtId="0" fontId="69" fillId="26" borderId="130" xfId="8" applyFont="1" applyFill="1" applyBorder="1" applyAlignment="1">
      <alignment vertical="top" wrapText="1"/>
    </xf>
    <xf numFmtId="0" fontId="60" fillId="26" borderId="130" xfId="8" applyFont="1" applyFill="1" applyBorder="1" applyAlignment="1">
      <alignment wrapText="1"/>
    </xf>
    <xf numFmtId="1" fontId="59" fillId="22" borderId="130" xfId="8" applyNumberFormat="1" applyFill="1" applyBorder="1"/>
    <xf numFmtId="0" fontId="59" fillId="26" borderId="130" xfId="8" applyFill="1" applyBorder="1"/>
    <xf numFmtId="0" fontId="59" fillId="6" borderId="130" xfId="8" applyFill="1" applyBorder="1"/>
    <xf numFmtId="14" fontId="59" fillId="26" borderId="130" xfId="8" applyNumberFormat="1" applyFill="1" applyBorder="1"/>
    <xf numFmtId="1" fontId="59" fillId="0" borderId="0" xfId="8" applyNumberFormat="1"/>
    <xf numFmtId="0" fontId="68" fillId="30" borderId="130" xfId="8" applyFont="1" applyFill="1" applyBorder="1" applyAlignment="1">
      <alignment wrapText="1"/>
    </xf>
    <xf numFmtId="10" fontId="60" fillId="26" borderId="130" xfId="8" applyNumberFormat="1" applyFont="1" applyFill="1" applyBorder="1"/>
    <xf numFmtId="0" fontId="60" fillId="22" borderId="131" xfId="10" applyFont="1" applyFill="1" applyBorder="1" applyAlignment="1" applyProtection="1">
      <alignment vertical="center" wrapText="1"/>
      <protection locked="0"/>
    </xf>
    <xf numFmtId="10" fontId="52" fillId="22" borderId="131" xfId="0" applyNumberFormat="1" applyFont="1" applyFill="1" applyBorder="1"/>
    <xf numFmtId="0" fontId="52" fillId="15" borderId="131" xfId="0" applyFont="1" applyFill="1" applyBorder="1"/>
    <xf numFmtId="1" fontId="52" fillId="22" borderId="131" xfId="0" applyNumberFormat="1" applyFont="1" applyFill="1" applyBorder="1"/>
    <xf numFmtId="0" fontId="52" fillId="31" borderId="130" xfId="0" applyFont="1" applyFill="1" applyBorder="1" applyAlignment="1">
      <alignment vertical="center"/>
    </xf>
    <xf numFmtId="0" fontId="53" fillId="12" borderId="28" xfId="0" applyFont="1" applyFill="1" applyBorder="1" applyAlignment="1">
      <alignment horizontal="left" vertical="center"/>
    </xf>
    <xf numFmtId="0" fontId="53" fillId="12" borderId="130" xfId="0" applyFont="1" applyFill="1" applyBorder="1" applyAlignment="1">
      <alignment horizontal="left" vertical="center"/>
    </xf>
    <xf numFmtId="0" fontId="53" fillId="12" borderId="130" xfId="0" applyFont="1" applyFill="1" applyBorder="1" applyAlignment="1">
      <alignment horizontal="center" vertical="center"/>
    </xf>
    <xf numFmtId="44" fontId="54" fillId="18" borderId="130" xfId="7" applyFont="1" applyFill="1" applyBorder="1" applyAlignment="1" applyProtection="1">
      <alignment horizontal="center" vertical="center" wrapText="1"/>
    </xf>
    <xf numFmtId="1" fontId="57" fillId="31" borderId="0" xfId="0" applyNumberFormat="1" applyFont="1" applyFill="1"/>
    <xf numFmtId="1" fontId="57" fillId="6" borderId="0" xfId="0" applyNumberFormat="1" applyFont="1" applyFill="1"/>
    <xf numFmtId="42" fontId="57" fillId="31" borderId="0" xfId="0" applyNumberFormat="1" applyFont="1" applyFill="1"/>
    <xf numFmtId="44" fontId="57" fillId="0" borderId="0" xfId="0" applyNumberFormat="1" applyFont="1"/>
    <xf numFmtId="167" fontId="0" fillId="0" borderId="14" xfId="0" applyNumberFormat="1" applyBorder="1" applyAlignment="1">
      <alignment horizontal="center" vertical="center" wrapText="1"/>
    </xf>
    <xf numFmtId="167" fontId="0" fillId="0" borderId="23" xfId="0" applyNumberFormat="1" applyBorder="1" applyAlignment="1">
      <alignment horizontal="center" vertical="center" wrapText="1"/>
    </xf>
    <xf numFmtId="167" fontId="0" fillId="0" borderId="24" xfId="0" applyNumberFormat="1" applyBorder="1" applyAlignment="1">
      <alignment horizontal="center" vertical="center" wrapText="1"/>
    </xf>
    <xf numFmtId="167" fontId="0" fillId="0" borderId="0" xfId="0" applyNumberFormat="1" applyAlignment="1">
      <alignment horizontal="center" vertical="center" wrapText="1"/>
    </xf>
    <xf numFmtId="167" fontId="0" fillId="0" borderId="15" xfId="0" applyNumberFormat="1" applyBorder="1" applyAlignment="1">
      <alignment horizontal="center" vertical="center" wrapText="1"/>
    </xf>
    <xf numFmtId="167" fontId="0" fillId="0" borderId="26" xfId="0" applyNumberFormat="1" applyBorder="1" applyAlignment="1">
      <alignment horizontal="center" vertical="center" wrapText="1"/>
    </xf>
    <xf numFmtId="3" fontId="7" fillId="4" borderId="66" xfId="2" applyNumberFormat="1" applyBorder="1" applyAlignment="1">
      <alignment vertical="top" wrapText="1"/>
    </xf>
    <xf numFmtId="3" fontId="7" fillId="4" borderId="67" xfId="2" applyNumberFormat="1" applyBorder="1" applyAlignment="1">
      <alignment vertical="top" wrapText="1"/>
    </xf>
    <xf numFmtId="0" fontId="8" fillId="0" borderId="130" xfId="0" applyFont="1" applyBorder="1" applyAlignment="1">
      <alignment horizontal="center" vertical="center"/>
    </xf>
    <xf numFmtId="0" fontId="8" fillId="17" borderId="130" xfId="0" applyFont="1" applyFill="1" applyBorder="1"/>
    <xf numFmtId="42" fontId="8" fillId="17" borderId="130" xfId="5" applyNumberFormat="1" applyFont="1" applyFill="1" applyBorder="1" applyProtection="1"/>
    <xf numFmtId="0" fontId="8" fillId="0" borderId="130" xfId="0" applyFont="1" applyBorder="1"/>
    <xf numFmtId="0" fontId="8" fillId="20" borderId="130" xfId="0" applyFont="1" applyFill="1" applyBorder="1"/>
    <xf numFmtId="42" fontId="41" fillId="20" borderId="130" xfId="5" applyNumberFormat="1" applyFont="1" applyFill="1" applyBorder="1" applyProtection="1"/>
    <xf numFmtId="0" fontId="8" fillId="19" borderId="130" xfId="0" applyFont="1" applyFill="1" applyBorder="1"/>
    <xf numFmtId="0" fontId="0" fillId="19" borderId="130" xfId="0" applyFill="1" applyBorder="1"/>
    <xf numFmtId="42" fontId="45" fillId="20" borderId="130" xfId="5" applyNumberFormat="1" applyFont="1" applyFill="1" applyBorder="1" applyProtection="1"/>
    <xf numFmtId="42" fontId="44" fillId="17" borderId="130" xfId="5" applyNumberFormat="1" applyFont="1" applyFill="1" applyBorder="1" applyProtection="1"/>
    <xf numFmtId="42" fontId="27" fillId="0" borderId="130" xfId="5" applyNumberFormat="1" applyFont="1" applyFill="1" applyBorder="1" applyProtection="1"/>
    <xf numFmtId="42" fontId="45" fillId="0" borderId="130" xfId="5" applyNumberFormat="1" applyFont="1" applyFill="1" applyBorder="1" applyProtection="1"/>
    <xf numFmtId="0" fontId="0" fillId="0" borderId="130" xfId="0" applyBorder="1"/>
    <xf numFmtId="42" fontId="0" fillId="0" borderId="130" xfId="0" applyNumberFormat="1" applyBorder="1"/>
    <xf numFmtId="0" fontId="0" fillId="6" borderId="130" xfId="0" applyFill="1" applyBorder="1" applyAlignment="1">
      <alignment horizontal="center" vertical="top" wrapText="1"/>
    </xf>
    <xf numFmtId="0" fontId="28" fillId="17" borderId="130" xfId="0" applyFont="1" applyFill="1" applyBorder="1" applyAlignment="1">
      <alignment vertical="center"/>
    </xf>
    <xf numFmtId="165" fontId="27" fillId="0" borderId="130" xfId="5" applyNumberFormat="1" applyFont="1" applyFill="1" applyBorder="1" applyProtection="1"/>
    <xf numFmtId="165" fontId="45" fillId="0" borderId="130" xfId="5" applyNumberFormat="1" applyFont="1" applyFill="1" applyBorder="1" applyProtection="1"/>
    <xf numFmtId="42" fontId="45" fillId="18" borderId="130" xfId="5" applyNumberFormat="1" applyFont="1" applyFill="1" applyBorder="1" applyProtection="1"/>
    <xf numFmtId="42" fontId="45" fillId="18" borderId="130" xfId="5" applyNumberFormat="1" applyFont="1" applyFill="1" applyBorder="1" applyAlignment="1" applyProtection="1">
      <alignment horizontal="left"/>
    </xf>
    <xf numFmtId="42" fontId="45" fillId="26" borderId="130" xfId="5" applyNumberFormat="1" applyFont="1" applyFill="1" applyBorder="1" applyProtection="1"/>
    <xf numFmtId="42" fontId="45" fillId="26" borderId="130" xfId="5" applyNumberFormat="1" applyFont="1" applyFill="1" applyBorder="1" applyAlignment="1" applyProtection="1">
      <alignment horizontal="center"/>
    </xf>
    <xf numFmtId="42" fontId="45" fillId="24" borderId="130" xfId="5" applyNumberFormat="1" applyFont="1" applyFill="1" applyBorder="1" applyAlignment="1" applyProtection="1">
      <alignment horizontal="left"/>
    </xf>
    <xf numFmtId="42" fontId="45" fillId="24" borderId="130" xfId="5" applyNumberFormat="1" applyFont="1" applyFill="1" applyBorder="1" applyProtection="1"/>
    <xf numFmtId="0" fontId="55" fillId="25" borderId="139" xfId="0" applyFont="1" applyFill="1" applyBorder="1" applyAlignment="1">
      <alignment horizontal="center" wrapText="1"/>
    </xf>
    <xf numFmtId="0" fontId="55" fillId="25" borderId="130" xfId="0" applyFont="1" applyFill="1" applyBorder="1" applyAlignment="1">
      <alignment vertical="center" wrapText="1"/>
    </xf>
    <xf numFmtId="0" fontId="55" fillId="25" borderId="130" xfId="0" applyFont="1" applyFill="1" applyBorder="1" applyAlignment="1">
      <alignment horizontal="center" wrapText="1"/>
    </xf>
    <xf numFmtId="0" fontId="52" fillId="0" borderId="0" xfId="0" applyFont="1" applyAlignment="1">
      <alignment wrapText="1"/>
    </xf>
    <xf numFmtId="0" fontId="61" fillId="22" borderId="131" xfId="8" applyFont="1" applyFill="1" applyBorder="1" applyAlignment="1">
      <alignment horizontal="left" vertical="center" wrapText="1"/>
    </xf>
    <xf numFmtId="0" fontId="68" fillId="26" borderId="130" xfId="8" applyFont="1" applyFill="1" applyBorder="1" applyAlignment="1">
      <alignment horizontal="center" vertical="center"/>
    </xf>
    <xf numFmtId="1" fontId="52" fillId="22" borderId="130" xfId="0" applyNumberFormat="1" applyFont="1" applyFill="1" applyBorder="1"/>
    <xf numFmtId="42" fontId="52" fillId="22" borderId="130" xfId="0" applyNumberFormat="1" applyFont="1" applyFill="1" applyBorder="1" applyAlignment="1">
      <alignment horizontal="center"/>
    </xf>
    <xf numFmtId="42" fontId="52" fillId="22" borderId="130" xfId="0" applyNumberFormat="1" applyFont="1" applyFill="1" applyBorder="1"/>
    <xf numFmtId="1" fontId="53" fillId="32" borderId="130" xfId="0" applyNumberFormat="1" applyFont="1" applyFill="1" applyBorder="1" applyAlignment="1">
      <alignment horizontal="center" vertical="center"/>
    </xf>
    <xf numFmtId="169" fontId="53" fillId="32" borderId="130" xfId="0" applyNumberFormat="1" applyFont="1" applyFill="1" applyBorder="1" applyAlignment="1">
      <alignment horizontal="center" vertical="center"/>
    </xf>
    <xf numFmtId="2" fontId="53" fillId="32" borderId="130" xfId="0" applyNumberFormat="1" applyFont="1" applyFill="1" applyBorder="1" applyAlignment="1">
      <alignment horizontal="center" vertical="center"/>
    </xf>
    <xf numFmtId="0" fontId="53" fillId="32" borderId="130" xfId="0" applyFont="1" applyFill="1" applyBorder="1" applyAlignment="1">
      <alignment vertical="center" wrapText="1"/>
    </xf>
    <xf numFmtId="0" fontId="53" fillId="32" borderId="130" xfId="0" applyFont="1" applyFill="1" applyBorder="1" applyAlignment="1">
      <alignment horizontal="center" vertical="center" wrapText="1"/>
    </xf>
    <xf numFmtId="169" fontId="52" fillId="22" borderId="130" xfId="0" applyNumberFormat="1" applyFont="1" applyFill="1" applyBorder="1"/>
    <xf numFmtId="10" fontId="53" fillId="32" borderId="130" xfId="0" applyNumberFormat="1" applyFont="1" applyFill="1" applyBorder="1" applyAlignment="1">
      <alignment horizontal="center" vertical="center"/>
    </xf>
    <xf numFmtId="0" fontId="60" fillId="0" borderId="0" xfId="8" applyFont="1" applyAlignment="1">
      <alignment wrapText="1"/>
    </xf>
    <xf numFmtId="0" fontId="62" fillId="30" borderId="130" xfId="8" applyFont="1" applyFill="1" applyBorder="1" applyAlignment="1">
      <alignment vertical="center" wrapText="1"/>
    </xf>
    <xf numFmtId="0" fontId="62" fillId="30" borderId="130" xfId="8" applyFont="1" applyFill="1" applyBorder="1" applyAlignment="1">
      <alignment horizontal="center" vertical="center" wrapText="1"/>
    </xf>
    <xf numFmtId="0" fontId="0" fillId="0" borderId="8" xfId="0" applyBorder="1" applyAlignment="1">
      <alignment horizontal="center" vertical="top" wrapText="1"/>
    </xf>
    <xf numFmtId="0" fontId="0" fillId="0" borderId="74" xfId="0" applyBorder="1" applyAlignment="1">
      <alignment horizontal="center" vertical="top" wrapText="1"/>
    </xf>
    <xf numFmtId="0" fontId="0" fillId="0" borderId="9" xfId="0" applyBorder="1" applyAlignment="1">
      <alignment horizontal="center" vertical="top" wrapText="1"/>
    </xf>
    <xf numFmtId="1" fontId="58" fillId="22" borderId="130" xfId="0" applyNumberFormat="1" applyFont="1" applyFill="1" applyBorder="1" applyAlignment="1">
      <alignment horizontal="center" vertical="center"/>
    </xf>
    <xf numFmtId="169" fontId="58" fillId="22" borderId="130" xfId="0" applyNumberFormat="1" applyFont="1" applyFill="1" applyBorder="1" applyAlignment="1">
      <alignment horizontal="right" vertical="center"/>
    </xf>
    <xf numFmtId="0" fontId="55" fillId="25" borderId="139" xfId="0" applyFont="1" applyFill="1" applyBorder="1" applyAlignment="1">
      <alignment horizontal="center" vertical="center" wrapText="1"/>
    </xf>
    <xf numFmtId="0" fontId="55" fillId="25" borderId="139" xfId="0" applyFont="1" applyFill="1" applyBorder="1" applyAlignment="1">
      <alignment horizontal="left" vertical="center" wrapText="1"/>
    </xf>
    <xf numFmtId="169" fontId="60" fillId="22" borderId="131" xfId="10" applyNumberFormat="1" applyFont="1" applyFill="1" applyBorder="1" applyAlignment="1">
      <alignment vertical="center" wrapText="1"/>
    </xf>
    <xf numFmtId="1" fontId="57" fillId="0" borderId="0" xfId="0" applyNumberFormat="1" applyFont="1"/>
    <xf numFmtId="169" fontId="52" fillId="22" borderId="130" xfId="0" applyNumberFormat="1" applyFont="1" applyFill="1" applyBorder="1" applyAlignment="1">
      <alignment horizontal="center" vertical="center"/>
    </xf>
    <xf numFmtId="42" fontId="58" fillId="22" borderId="130" xfId="0" applyNumberFormat="1" applyFont="1" applyFill="1" applyBorder="1" applyAlignment="1">
      <alignment horizontal="center" vertical="center"/>
    </xf>
    <xf numFmtId="169" fontId="60" fillId="22" borderId="131" xfId="10" applyNumberFormat="1" applyFont="1" applyFill="1" applyBorder="1" applyAlignment="1" applyProtection="1">
      <alignment vertical="center" wrapText="1"/>
      <protection locked="0"/>
    </xf>
    <xf numFmtId="42" fontId="52" fillId="0" borderId="0" xfId="0" applyNumberFormat="1" applyFont="1"/>
    <xf numFmtId="1" fontId="60" fillId="26" borderId="130" xfId="8" applyNumberFormat="1" applyFont="1" applyFill="1" applyBorder="1"/>
    <xf numFmtId="1" fontId="66" fillId="22" borderId="0" xfId="8" applyNumberFormat="1" applyFont="1" applyFill="1"/>
    <xf numFmtId="0" fontId="74" fillId="0" borderId="0" xfId="0" applyFont="1" applyAlignment="1">
      <alignment wrapText="1"/>
    </xf>
    <xf numFmtId="0" fontId="73" fillId="33" borderId="135" xfId="0" applyFont="1" applyFill="1" applyBorder="1" applyAlignment="1">
      <alignment horizontal="center" vertical="center" wrapText="1"/>
    </xf>
    <xf numFmtId="0" fontId="73" fillId="33" borderId="135" xfId="0" applyFont="1" applyFill="1" applyBorder="1" applyAlignment="1">
      <alignment wrapText="1"/>
    </xf>
    <xf numFmtId="0" fontId="74" fillId="10" borderId="135" xfId="0" applyFont="1" applyFill="1" applyBorder="1"/>
    <xf numFmtId="42" fontId="74" fillId="22" borderId="135" xfId="0" applyNumberFormat="1" applyFont="1" applyFill="1" applyBorder="1"/>
    <xf numFmtId="9" fontId="74" fillId="22" borderId="135" xfId="0" applyNumberFormat="1" applyFont="1" applyFill="1" applyBorder="1"/>
    <xf numFmtId="169" fontId="74" fillId="22" borderId="135" xfId="0" applyNumberFormat="1" applyFont="1" applyFill="1" applyBorder="1"/>
    <xf numFmtId="0" fontId="74" fillId="0" borderId="0" xfId="0" applyFont="1"/>
    <xf numFmtId="169" fontId="74" fillId="10" borderId="135" xfId="0" applyNumberFormat="1" applyFont="1" applyFill="1" applyBorder="1" applyAlignment="1">
      <alignment vertical="center"/>
    </xf>
    <xf numFmtId="42" fontId="74" fillId="0" borderId="135" xfId="0" applyNumberFormat="1" applyFont="1" applyBorder="1"/>
    <xf numFmtId="0" fontId="74" fillId="0" borderId="135" xfId="0" applyFont="1" applyBorder="1"/>
    <xf numFmtId="0" fontId="75" fillId="15" borderId="22" xfId="0" applyFont="1" applyFill="1" applyBorder="1"/>
    <xf numFmtId="0" fontId="76" fillId="19" borderId="104" xfId="6" applyFont="1" applyFill="1" applyBorder="1" applyAlignment="1">
      <alignment vertical="center"/>
    </xf>
    <xf numFmtId="0" fontId="76" fillId="19" borderId="22" xfId="6" applyFont="1" applyFill="1" applyBorder="1" applyAlignment="1">
      <alignment vertical="center"/>
    </xf>
    <xf numFmtId="0" fontId="8" fillId="9" borderId="124" xfId="0" applyFont="1" applyFill="1" applyBorder="1"/>
    <xf numFmtId="0" fontId="0" fillId="34" borderId="104" xfId="0" applyFill="1" applyBorder="1"/>
    <xf numFmtId="0" fontId="0" fillId="6" borderId="104" xfId="0" applyFill="1" applyBorder="1"/>
    <xf numFmtId="0" fontId="0" fillId="6" borderId="22" xfId="0" applyFill="1" applyBorder="1"/>
    <xf numFmtId="0" fontId="0" fillId="35" borderId="22" xfId="0" applyFill="1" applyBorder="1"/>
    <xf numFmtId="0" fontId="0" fillId="30" borderId="22" xfId="0" applyFill="1" applyBorder="1"/>
    <xf numFmtId="0" fontId="0" fillId="36" borderId="22" xfId="0" applyFill="1" applyBorder="1"/>
    <xf numFmtId="0" fontId="0" fillId="34" borderId="22" xfId="0" applyFill="1" applyBorder="1"/>
    <xf numFmtId="0" fontId="55" fillId="25" borderId="130" xfId="0" applyFont="1" applyFill="1" applyBorder="1" applyAlignment="1">
      <alignment vertical="center"/>
    </xf>
    <xf numFmtId="0" fontId="61" fillId="26" borderId="131" xfId="8" applyFont="1" applyFill="1" applyBorder="1" applyAlignment="1">
      <alignment vertical="center" wrapText="1"/>
    </xf>
    <xf numFmtId="0" fontId="61" fillId="26" borderId="131" xfId="9" applyFont="1" applyFill="1" applyBorder="1" applyAlignment="1" applyProtection="1">
      <alignment horizontal="left" vertical="center" wrapText="1"/>
    </xf>
    <xf numFmtId="0" fontId="60" fillId="26" borderId="131" xfId="8" applyFont="1" applyFill="1" applyBorder="1" applyAlignment="1">
      <alignment horizontal="left" vertical="center" wrapText="1"/>
    </xf>
    <xf numFmtId="0" fontId="0" fillId="26" borderId="130" xfId="0" applyFill="1" applyBorder="1"/>
    <xf numFmtId="167" fontId="13" fillId="26" borderId="78" xfId="5" applyNumberFormat="1" applyFont="1" applyFill="1" applyBorder="1" applyAlignment="1" applyProtection="1">
      <alignment horizontal="center" vertical="center" wrapText="1"/>
    </xf>
    <xf numFmtId="167" fontId="13" fillId="26" borderId="51" xfId="5" applyNumberFormat="1" applyFont="1" applyFill="1" applyBorder="1" applyAlignment="1" applyProtection="1">
      <alignment horizontal="center" vertical="center" wrapText="1"/>
    </xf>
    <xf numFmtId="167" fontId="13" fillId="26" borderId="40" xfId="5" applyNumberFormat="1" applyFont="1" applyFill="1" applyBorder="1" applyAlignment="1" applyProtection="1">
      <alignment horizontal="center" vertical="center" wrapText="1"/>
    </xf>
    <xf numFmtId="167" fontId="13" fillId="26" borderId="17" xfId="5" applyNumberFormat="1" applyFont="1" applyFill="1" applyBorder="1" applyAlignment="1" applyProtection="1">
      <alignment horizontal="center" vertical="center" wrapText="1"/>
    </xf>
    <xf numFmtId="167" fontId="13" fillId="26" borderId="79" xfId="5" applyNumberFormat="1" applyFont="1" applyFill="1" applyBorder="1" applyAlignment="1" applyProtection="1">
      <alignment horizontal="center" vertical="center" wrapText="1"/>
    </xf>
    <xf numFmtId="167" fontId="13" fillId="26" borderId="52" xfId="5" applyNumberFormat="1" applyFont="1" applyFill="1" applyBorder="1" applyAlignment="1" applyProtection="1">
      <alignment horizontal="center" vertical="center" wrapText="1"/>
    </xf>
    <xf numFmtId="168" fontId="13" fillId="26" borderId="78" xfId="3" applyNumberFormat="1" applyFont="1" applyFill="1" applyBorder="1" applyAlignment="1" applyProtection="1">
      <alignment horizontal="center" vertical="center" wrapText="1"/>
    </xf>
    <xf numFmtId="168" fontId="13" fillId="26" borderId="51" xfId="3" applyNumberFormat="1" applyFont="1" applyFill="1" applyBorder="1" applyAlignment="1" applyProtection="1">
      <alignment horizontal="center" vertical="center" wrapText="1"/>
    </xf>
    <xf numFmtId="168" fontId="13" fillId="26" borderId="40" xfId="3" applyNumberFormat="1" applyFont="1" applyFill="1" applyBorder="1" applyAlignment="1" applyProtection="1">
      <alignment horizontal="center" vertical="center" wrapText="1"/>
    </xf>
    <xf numFmtId="168" fontId="13" fillId="26" borderId="17" xfId="3" applyNumberFormat="1" applyFont="1" applyFill="1" applyAlignment="1" applyProtection="1">
      <alignment horizontal="center" vertical="center" wrapText="1"/>
    </xf>
    <xf numFmtId="168" fontId="13" fillId="26" borderId="79" xfId="3" applyNumberFormat="1" applyFont="1" applyFill="1" applyBorder="1" applyAlignment="1" applyProtection="1">
      <alignment horizontal="center" vertical="center" wrapText="1"/>
    </xf>
    <xf numFmtId="168" fontId="13" fillId="26" borderId="52" xfId="3" applyNumberFormat="1" applyFont="1" applyFill="1" applyBorder="1" applyAlignment="1" applyProtection="1">
      <alignment horizontal="center" vertical="center" wrapText="1"/>
    </xf>
    <xf numFmtId="0" fontId="52" fillId="26" borderId="130" xfId="0" applyFont="1" applyFill="1" applyBorder="1"/>
    <xf numFmtId="10" fontId="52" fillId="26" borderId="130" xfId="0" applyNumberFormat="1" applyFont="1" applyFill="1" applyBorder="1"/>
    <xf numFmtId="9" fontId="52" fillId="26" borderId="130" xfId="0" applyNumberFormat="1" applyFont="1" applyFill="1" applyBorder="1"/>
    <xf numFmtId="169" fontId="60" fillId="26" borderId="131" xfId="10" applyNumberFormat="1" applyFont="1" applyFill="1" applyBorder="1" applyAlignment="1" applyProtection="1">
      <alignment horizontal="center" vertical="center"/>
      <protection locked="0"/>
    </xf>
    <xf numFmtId="1" fontId="52" fillId="26" borderId="130" xfId="0" applyNumberFormat="1" applyFont="1" applyFill="1" applyBorder="1"/>
    <xf numFmtId="1" fontId="60" fillId="26" borderId="131" xfId="10" applyNumberFormat="1" applyFont="1" applyFill="1" applyBorder="1" applyAlignment="1" applyProtection="1">
      <alignment horizontal="center" vertical="center" wrapText="1"/>
      <protection locked="0"/>
    </xf>
    <xf numFmtId="0" fontId="60" fillId="26" borderId="131" xfId="10" applyFont="1" applyFill="1" applyBorder="1" applyAlignment="1" applyProtection="1">
      <alignment vertical="center" wrapText="1"/>
      <protection locked="0"/>
    </xf>
    <xf numFmtId="0" fontId="52" fillId="26" borderId="130" xfId="0" applyFont="1" applyFill="1" applyBorder="1" applyAlignment="1">
      <alignment vertical="center"/>
    </xf>
    <xf numFmtId="0" fontId="52" fillId="26" borderId="130" xfId="3" applyFont="1" applyFill="1" applyBorder="1" applyAlignment="1">
      <alignment horizontal="center"/>
    </xf>
    <xf numFmtId="0" fontId="52" fillId="26" borderId="130" xfId="0" applyFont="1" applyFill="1" applyBorder="1" applyAlignment="1">
      <alignment horizontal="left" vertical="center"/>
    </xf>
    <xf numFmtId="0" fontId="52" fillId="26" borderId="130" xfId="0" applyFont="1" applyFill="1" applyBorder="1" applyAlignment="1">
      <alignment horizontal="center" vertical="center"/>
    </xf>
    <xf numFmtId="8" fontId="52" fillId="26" borderId="130" xfId="7" applyNumberFormat="1" applyFont="1" applyFill="1" applyBorder="1" applyAlignment="1">
      <alignment horizontal="center" vertical="center"/>
    </xf>
    <xf numFmtId="0" fontId="52" fillId="26" borderId="140" xfId="0" applyFont="1" applyFill="1" applyBorder="1" applyAlignment="1">
      <alignment horizontal="left" vertical="center"/>
    </xf>
    <xf numFmtId="44" fontId="52" fillId="26" borderId="130" xfId="7" applyFont="1" applyFill="1" applyBorder="1" applyAlignment="1">
      <alignment horizontal="center" vertical="center"/>
    </xf>
    <xf numFmtId="44" fontId="52" fillId="26" borderId="130" xfId="7" applyFont="1" applyFill="1" applyBorder="1" applyAlignment="1">
      <alignment horizontal="left" vertical="center"/>
    </xf>
    <xf numFmtId="3" fontId="7" fillId="26" borderId="14" xfId="2" applyNumberFormat="1" applyFill="1" applyBorder="1" applyAlignment="1">
      <alignment horizontal="right" vertical="top" wrapText="1"/>
    </xf>
    <xf numFmtId="3" fontId="7" fillId="26" borderId="24" xfId="2" applyNumberFormat="1" applyFill="1" applyBorder="1" applyAlignment="1">
      <alignment horizontal="right" vertical="top" wrapText="1"/>
    </xf>
    <xf numFmtId="3" fontId="7" fillId="26" borderId="15" xfId="2" applyNumberFormat="1" applyFill="1" applyBorder="1" applyAlignment="1">
      <alignment horizontal="right" vertical="top" wrapText="1"/>
    </xf>
    <xf numFmtId="3" fontId="7" fillId="26" borderId="14" xfId="2" applyNumberFormat="1" applyFill="1" applyBorder="1" applyAlignment="1">
      <alignment vertical="top" wrapText="1"/>
    </xf>
    <xf numFmtId="3" fontId="7" fillId="26" borderId="24" xfId="2" applyNumberFormat="1" applyFill="1" applyBorder="1" applyAlignment="1">
      <alignment vertical="top" wrapText="1"/>
    </xf>
    <xf numFmtId="3" fontId="7" fillId="26" borderId="15" xfId="2" applyNumberFormat="1" applyFill="1" applyBorder="1" applyAlignment="1">
      <alignment vertical="top" wrapText="1"/>
    </xf>
    <xf numFmtId="0" fontId="0" fillId="22" borderId="22" xfId="0" applyFill="1" applyBorder="1" applyAlignment="1">
      <alignment horizontal="center" vertical="top" wrapText="1"/>
    </xf>
    <xf numFmtId="0" fontId="17" fillId="0" borderId="23" xfId="0" applyFont="1" applyBorder="1" applyAlignment="1">
      <alignment vertical="center" wrapText="1"/>
    </xf>
    <xf numFmtId="0" fontId="17" fillId="0" borderId="0" xfId="0" applyFont="1" applyAlignment="1">
      <alignment vertical="center" wrapText="1"/>
    </xf>
    <xf numFmtId="3" fontId="13" fillId="9" borderId="78" xfId="3" applyNumberFormat="1" applyFont="1" applyFill="1" applyBorder="1" applyAlignment="1">
      <alignment vertical="top" wrapText="1"/>
    </xf>
    <xf numFmtId="3" fontId="13" fillId="9" borderId="40" xfId="3" applyNumberFormat="1" applyFont="1" applyFill="1" applyBorder="1" applyAlignment="1">
      <alignment vertical="top" wrapText="1"/>
    </xf>
    <xf numFmtId="3" fontId="13" fillId="9" borderId="79" xfId="3" applyNumberFormat="1" applyFont="1" applyFill="1" applyBorder="1" applyAlignment="1">
      <alignment vertical="top" wrapText="1"/>
    </xf>
    <xf numFmtId="3" fontId="13" fillId="26" borderId="78" xfId="3" applyNumberFormat="1" applyFont="1" applyFill="1" applyBorder="1" applyAlignment="1">
      <alignment vertical="top" wrapText="1"/>
    </xf>
    <xf numFmtId="3" fontId="13" fillId="26" borderId="40" xfId="3" applyNumberFormat="1" applyFont="1" applyFill="1" applyBorder="1" applyAlignment="1">
      <alignment vertical="top" wrapText="1"/>
    </xf>
    <xf numFmtId="3" fontId="13" fillId="26" borderId="78" xfId="3" applyNumberFormat="1" applyFont="1" applyFill="1" applyBorder="1" applyAlignment="1">
      <alignment horizontal="right" vertical="top" wrapText="1"/>
    </xf>
    <xf numFmtId="3" fontId="13" fillId="26" borderId="40" xfId="3" applyNumberFormat="1" applyFont="1" applyFill="1" applyBorder="1" applyAlignment="1">
      <alignment horizontal="right" vertical="top" wrapText="1"/>
    </xf>
    <xf numFmtId="3" fontId="13" fillId="26" borderId="79" xfId="3" applyNumberFormat="1" applyFont="1" applyFill="1" applyBorder="1" applyAlignment="1">
      <alignment horizontal="right" vertical="top" wrapText="1"/>
    </xf>
    <xf numFmtId="3" fontId="13" fillId="26" borderId="79" xfId="3" applyNumberFormat="1" applyFont="1" applyFill="1" applyBorder="1" applyAlignment="1">
      <alignment vertical="top" wrapText="1"/>
    </xf>
    <xf numFmtId="3" fontId="13" fillId="9" borderId="141" xfId="3" applyNumberFormat="1" applyFont="1" applyFill="1" applyBorder="1" applyAlignment="1">
      <alignment horizontal="right" vertical="top" wrapText="1"/>
    </xf>
    <xf numFmtId="3" fontId="13" fillId="9" borderId="117" xfId="3" applyNumberFormat="1" applyFont="1" applyFill="1" applyBorder="1" applyAlignment="1">
      <alignment horizontal="right" vertical="top" wrapText="1"/>
    </xf>
    <xf numFmtId="3" fontId="13" fillId="9" borderId="40" xfId="3" applyNumberFormat="1" applyFont="1" applyFill="1" applyBorder="1" applyAlignment="1">
      <alignment horizontal="right" vertical="top" wrapText="1"/>
    </xf>
    <xf numFmtId="3" fontId="13" fillId="9" borderId="78" xfId="3" applyNumberFormat="1" applyFont="1" applyFill="1" applyBorder="1" applyAlignment="1">
      <alignment horizontal="right" vertical="top" wrapText="1"/>
    </xf>
    <xf numFmtId="3" fontId="13" fillId="9" borderId="94" xfId="3" applyNumberFormat="1" applyFont="1" applyFill="1" applyBorder="1" applyAlignment="1">
      <alignment horizontal="right" vertical="top" wrapText="1"/>
    </xf>
    <xf numFmtId="0" fontId="9" fillId="17" borderId="6" xfId="0" applyFont="1" applyFill="1" applyBorder="1" applyAlignment="1">
      <alignment horizontal="center" vertical="top" wrapText="1"/>
    </xf>
    <xf numFmtId="0" fontId="9" fillId="37" borderId="6" xfId="0" applyFont="1" applyFill="1" applyBorder="1" applyAlignment="1">
      <alignment horizontal="center" vertical="top" wrapText="1"/>
    </xf>
    <xf numFmtId="2" fontId="3" fillId="26" borderId="74" xfId="1" applyNumberFormat="1" applyFont="1" applyFill="1" applyBorder="1" applyAlignment="1">
      <alignment vertical="top" wrapText="1"/>
    </xf>
    <xf numFmtId="2" fontId="3" fillId="26" borderId="64" xfId="1" applyNumberFormat="1" applyFont="1" applyFill="1" applyBorder="1" applyAlignment="1">
      <alignment vertical="top" wrapText="1"/>
    </xf>
    <xf numFmtId="2" fontId="3" fillId="26" borderId="6" xfId="1" applyNumberFormat="1" applyFont="1" applyFill="1" applyBorder="1" applyAlignment="1">
      <alignment vertical="top" wrapText="1"/>
    </xf>
    <xf numFmtId="0" fontId="3" fillId="26" borderId="30" xfId="3" applyFont="1" applyFill="1" applyBorder="1" applyAlignment="1">
      <alignment vertical="top"/>
    </xf>
    <xf numFmtId="0" fontId="0" fillId="0" borderId="22" xfId="0" applyBorder="1"/>
    <xf numFmtId="0" fontId="77" fillId="19" borderId="22" xfId="6" applyFont="1" applyFill="1" applyBorder="1" applyAlignment="1">
      <alignment vertical="center"/>
    </xf>
    <xf numFmtId="171" fontId="60" fillId="26" borderId="131" xfId="10" applyNumberFormat="1" applyFont="1" applyFill="1" applyBorder="1" applyAlignment="1" applyProtection="1">
      <alignment horizontal="center" vertical="center"/>
      <protection locked="0"/>
    </xf>
    <xf numFmtId="171" fontId="60" fillId="26" borderId="131" xfId="10" applyNumberFormat="1" applyFont="1" applyFill="1" applyBorder="1" applyAlignment="1" applyProtection="1">
      <alignment horizontal="center" vertical="center" wrapText="1"/>
      <protection locked="0"/>
    </xf>
    <xf numFmtId="0" fontId="57" fillId="0" borderId="0" xfId="0" applyFont="1" applyAlignment="1">
      <alignment horizontal="center" vertical="center"/>
    </xf>
    <xf numFmtId="171" fontId="60" fillId="22" borderId="131" xfId="10" applyNumberFormat="1" applyFont="1" applyFill="1" applyBorder="1" applyAlignment="1" applyProtection="1">
      <alignment horizontal="center" vertical="center"/>
      <protection locked="0"/>
    </xf>
    <xf numFmtId="9" fontId="52" fillId="0" borderId="130" xfId="0" applyNumberFormat="1" applyFont="1" applyBorder="1"/>
    <xf numFmtId="1" fontId="52" fillId="0" borderId="130" xfId="0" applyNumberFormat="1" applyFont="1" applyBorder="1"/>
    <xf numFmtId="42" fontId="52" fillId="0" borderId="130" xfId="0" applyNumberFormat="1" applyFont="1" applyBorder="1" applyAlignment="1">
      <alignment horizontal="center"/>
    </xf>
    <xf numFmtId="0" fontId="59" fillId="30" borderId="130" xfId="8" applyFill="1" applyBorder="1" applyAlignment="1">
      <alignment horizontal="center" vertical="center"/>
    </xf>
    <xf numFmtId="0" fontId="69" fillId="30" borderId="130" xfId="8" applyFont="1" applyFill="1" applyBorder="1" applyAlignment="1">
      <alignment horizontal="left" vertical="center" wrapText="1"/>
    </xf>
    <xf numFmtId="0" fontId="69" fillId="13" borderId="130" xfId="8" applyFont="1" applyFill="1" applyBorder="1" applyAlignment="1">
      <alignment horizontal="center" vertical="center"/>
    </xf>
    <xf numFmtId="0" fontId="70" fillId="26" borderId="130" xfId="8" applyFont="1" applyFill="1" applyBorder="1" applyAlignment="1">
      <alignment horizontal="center" vertical="center"/>
    </xf>
    <xf numFmtId="0" fontId="70" fillId="22" borderId="130" xfId="8" applyFont="1" applyFill="1" applyBorder="1" applyAlignment="1">
      <alignment horizontal="center" vertical="center"/>
    </xf>
    <xf numFmtId="0" fontId="59" fillId="22" borderId="0" xfId="8" applyFill="1"/>
    <xf numFmtId="0" fontId="59" fillId="30" borderId="0" xfId="8" applyFill="1"/>
    <xf numFmtId="0" fontId="59" fillId="30" borderId="130" xfId="8" applyFill="1" applyBorder="1" applyAlignment="1">
      <alignment horizontal="center" vertical="top"/>
    </xf>
    <xf numFmtId="0" fontId="69" fillId="30" borderId="130" xfId="8" applyFont="1" applyFill="1" applyBorder="1" applyAlignment="1">
      <alignment vertical="top" wrapText="1"/>
    </xf>
    <xf numFmtId="0" fontId="68" fillId="22" borderId="64" xfId="8" applyFont="1" applyFill="1" applyBorder="1"/>
    <xf numFmtId="0" fontId="68" fillId="22" borderId="0" xfId="8" applyFont="1" applyFill="1"/>
    <xf numFmtId="0" fontId="59" fillId="30" borderId="146" xfId="8" applyFill="1" applyBorder="1" applyAlignment="1">
      <alignment horizontal="center" vertical="center"/>
    </xf>
    <xf numFmtId="0" fontId="69" fillId="13" borderId="130" xfId="8" applyFont="1" applyFill="1" applyBorder="1" applyAlignment="1">
      <alignment horizontal="left" vertical="top" wrapText="1"/>
    </xf>
    <xf numFmtId="0" fontId="60" fillId="0" borderId="0" xfId="0" applyFont="1" applyAlignment="1">
      <alignment horizontal="left" vertical="top" wrapText="1"/>
    </xf>
    <xf numFmtId="0" fontId="68" fillId="30" borderId="142" xfId="8" applyFont="1" applyFill="1" applyBorder="1" applyAlignment="1">
      <alignment horizontal="left" vertical="top" wrapText="1"/>
    </xf>
    <xf numFmtId="0" fontId="68" fillId="30" borderId="139" xfId="8" applyFont="1" applyFill="1" applyBorder="1" applyAlignment="1">
      <alignment horizontal="left" vertical="top" wrapText="1"/>
    </xf>
    <xf numFmtId="0" fontId="68" fillId="30" borderId="142" xfId="8" applyFont="1" applyFill="1" applyBorder="1" applyAlignment="1">
      <alignment vertical="top" wrapText="1"/>
    </xf>
    <xf numFmtId="0" fontId="68" fillId="30" borderId="143" xfId="8" applyFont="1" applyFill="1" applyBorder="1" applyAlignment="1">
      <alignment vertical="top" wrapText="1"/>
    </xf>
    <xf numFmtId="0" fontId="68" fillId="0" borderId="0" xfId="8" applyFont="1"/>
    <xf numFmtId="9" fontId="74" fillId="15" borderId="135" xfId="0" applyNumberFormat="1" applyFont="1" applyFill="1" applyBorder="1"/>
    <xf numFmtId="2" fontId="52" fillId="26" borderId="130" xfId="0" applyNumberFormat="1" applyFont="1" applyFill="1" applyBorder="1"/>
    <xf numFmtId="169" fontId="60" fillId="26" borderId="131" xfId="10" applyNumberFormat="1" applyFont="1" applyFill="1" applyBorder="1" applyAlignment="1" applyProtection="1">
      <alignment horizontal="left" vertical="center"/>
      <protection locked="0"/>
    </xf>
    <xf numFmtId="10" fontId="57" fillId="31" borderId="0" xfId="0" applyNumberFormat="1" applyFont="1" applyFill="1"/>
    <xf numFmtId="42" fontId="74" fillId="15" borderId="135" xfId="0" applyNumberFormat="1" applyFont="1" applyFill="1" applyBorder="1"/>
    <xf numFmtId="169" fontId="80" fillId="0" borderId="135" xfId="0" applyNumberFormat="1" applyFont="1" applyBorder="1"/>
    <xf numFmtId="0" fontId="60" fillId="0" borderId="0" xfId="10" applyFont="1" applyAlignment="1" applyProtection="1">
      <alignment vertical="center" wrapText="1"/>
      <protection locked="0"/>
    </xf>
    <xf numFmtId="0" fontId="81" fillId="0" borderId="0" xfId="0" applyFont="1"/>
    <xf numFmtId="0" fontId="81" fillId="0" borderId="0" xfId="0" applyFont="1" applyAlignment="1">
      <alignment vertical="center"/>
    </xf>
    <xf numFmtId="0" fontId="81" fillId="0" borderId="0" xfId="0" applyFont="1" applyAlignment="1">
      <alignment horizontal="left" vertical="center"/>
    </xf>
    <xf numFmtId="0" fontId="81" fillId="0" borderId="0" xfId="0" applyFont="1" applyAlignment="1">
      <alignment horizontal="right" vertical="center" wrapText="1"/>
    </xf>
    <xf numFmtId="0" fontId="81" fillId="0" borderId="0" xfId="0" applyFont="1" applyAlignment="1">
      <alignment horizontal="right" wrapText="1"/>
    </xf>
    <xf numFmtId="0" fontId="57" fillId="31" borderId="0" xfId="0" applyFont="1" applyFill="1" applyAlignment="1">
      <alignment wrapText="1"/>
    </xf>
    <xf numFmtId="0" fontId="57" fillId="31" borderId="147" xfId="0" applyFont="1" applyFill="1" applyBorder="1" applyAlignment="1">
      <alignment wrapText="1"/>
    </xf>
    <xf numFmtId="0" fontId="57" fillId="26" borderId="0" xfId="0" applyFont="1" applyFill="1" applyAlignment="1">
      <alignment vertical="center"/>
    </xf>
    <xf numFmtId="10" fontId="57" fillId="26" borderId="147" xfId="0" applyNumberFormat="1" applyFont="1" applyFill="1" applyBorder="1" applyAlignment="1">
      <alignment vertical="center"/>
    </xf>
    <xf numFmtId="170" fontId="52" fillId="22" borderId="130" xfId="0" applyNumberFormat="1" applyFont="1" applyFill="1" applyBorder="1" applyAlignment="1">
      <alignment horizontal="center"/>
    </xf>
    <xf numFmtId="2" fontId="58" fillId="22" borderId="130" xfId="0" applyNumberFormat="1" applyFont="1" applyFill="1" applyBorder="1" applyAlignment="1">
      <alignment horizontal="center" vertical="center"/>
    </xf>
    <xf numFmtId="2" fontId="60" fillId="22" borderId="130" xfId="8" applyNumberFormat="1" applyFont="1" applyFill="1" applyBorder="1"/>
    <xf numFmtId="169" fontId="60" fillId="22" borderId="131" xfId="10" applyNumberFormat="1" applyFont="1" applyFill="1" applyBorder="1" applyAlignment="1" applyProtection="1">
      <alignment horizontal="left" vertical="center"/>
      <protection locked="0"/>
    </xf>
    <xf numFmtId="0" fontId="82" fillId="0" borderId="0" xfId="0" applyFont="1"/>
    <xf numFmtId="0" fontId="61" fillId="19" borderId="131" xfId="8" applyFont="1" applyFill="1" applyBorder="1" applyAlignment="1">
      <alignment horizontal="center" vertical="center" wrapText="1"/>
    </xf>
    <xf numFmtId="0" fontId="61" fillId="23" borderId="131" xfId="8" applyFont="1" applyFill="1" applyBorder="1" applyAlignment="1">
      <alignment horizontal="center" vertical="center" wrapText="1"/>
    </xf>
    <xf numFmtId="2" fontId="61" fillId="23" borderId="131" xfId="8" applyNumberFormat="1" applyFont="1" applyFill="1" applyBorder="1" applyAlignment="1">
      <alignment horizontal="center" vertical="center" wrapText="1"/>
    </xf>
    <xf numFmtId="2" fontId="61" fillId="23" borderId="131" xfId="8" applyNumberFormat="1" applyFont="1" applyFill="1" applyBorder="1" applyAlignment="1">
      <alignment horizontal="right" vertical="center" wrapText="1"/>
    </xf>
    <xf numFmtId="0" fontId="83" fillId="0" borderId="0" xfId="0" applyFont="1"/>
    <xf numFmtId="169" fontId="74" fillId="10" borderId="135" xfId="0" applyNumberFormat="1" applyFont="1" applyFill="1" applyBorder="1" applyAlignment="1">
      <alignment horizontal="center" vertical="center"/>
    </xf>
    <xf numFmtId="169" fontId="74" fillId="10" borderId="150" xfId="0" applyNumberFormat="1" applyFont="1" applyFill="1" applyBorder="1" applyAlignment="1">
      <alignment horizontal="center" vertical="center"/>
    </xf>
    <xf numFmtId="0" fontId="0" fillId="6" borderId="5" xfId="0" applyFill="1" applyBorder="1" applyAlignment="1">
      <alignment horizontal="left" vertical="top" wrapText="1"/>
    </xf>
    <xf numFmtId="4" fontId="7" fillId="4" borderId="160" xfId="2" applyNumberFormat="1" applyBorder="1" applyAlignment="1">
      <alignment horizontal="right" vertical="top" wrapText="1"/>
    </xf>
    <xf numFmtId="0" fontId="0" fillId="6" borderId="26" xfId="0" applyFill="1" applyBorder="1" applyAlignment="1">
      <alignment horizontal="left" vertical="top" wrapText="1"/>
    </xf>
    <xf numFmtId="0" fontId="9" fillId="7" borderId="29" xfId="0" applyFont="1" applyFill="1" applyBorder="1" applyAlignment="1">
      <alignment horizontal="left" vertical="top" wrapText="1"/>
    </xf>
    <xf numFmtId="0" fontId="0" fillId="6" borderId="14" xfId="0" applyFill="1" applyBorder="1" applyAlignment="1">
      <alignment horizontal="left" vertical="top" wrapText="1"/>
    </xf>
    <xf numFmtId="0" fontId="0" fillId="6" borderId="13" xfId="0" applyFill="1" applyBorder="1" applyAlignment="1">
      <alignment horizontal="left" vertical="top" wrapText="1"/>
    </xf>
    <xf numFmtId="0" fontId="0" fillId="6" borderId="15" xfId="0" applyFill="1" applyBorder="1" applyAlignment="1">
      <alignment horizontal="left" vertical="top" wrapText="1"/>
    </xf>
    <xf numFmtId="4" fontId="48" fillId="22" borderId="161" xfId="2" applyNumberFormat="1" applyFont="1" applyFill="1" applyBorder="1" applyAlignment="1">
      <alignment horizontal="right" vertical="top" wrapText="1"/>
    </xf>
    <xf numFmtId="4" fontId="48" fillId="22" borderId="162" xfId="2" applyNumberFormat="1" applyFont="1" applyFill="1" applyBorder="1" applyAlignment="1">
      <alignment horizontal="right" vertical="top" wrapText="1"/>
    </xf>
    <xf numFmtId="4" fontId="48" fillId="22" borderId="163" xfId="2" applyNumberFormat="1" applyFont="1" applyFill="1" applyBorder="1" applyAlignment="1">
      <alignment horizontal="right" vertical="top" wrapText="1"/>
    </xf>
    <xf numFmtId="0" fontId="9" fillId="7" borderId="28" xfId="0" applyFont="1" applyFill="1" applyBorder="1" applyAlignment="1">
      <alignment horizontal="left" vertical="top" wrapText="1"/>
    </xf>
    <xf numFmtId="0" fontId="73" fillId="33" borderId="136" xfId="0" applyFont="1" applyFill="1" applyBorder="1" applyAlignment="1">
      <alignment horizontal="center" wrapText="1"/>
    </xf>
    <xf numFmtId="0" fontId="52" fillId="31" borderId="0" xfId="0" applyFont="1" applyFill="1"/>
    <xf numFmtId="0" fontId="74" fillId="10" borderId="136" xfId="0" applyFont="1" applyFill="1" applyBorder="1"/>
    <xf numFmtId="169" fontId="74" fillId="10" borderId="135" xfId="0" applyNumberFormat="1" applyFont="1" applyFill="1" applyBorder="1" applyAlignment="1">
      <alignment horizontal="left" vertical="center"/>
    </xf>
    <xf numFmtId="0" fontId="84" fillId="38" borderId="166" xfId="0" applyFont="1" applyFill="1" applyBorder="1"/>
    <xf numFmtId="0" fontId="85" fillId="38" borderId="167" xfId="0" applyFont="1" applyFill="1" applyBorder="1" applyAlignment="1">
      <alignment horizontal="center" vertical="center" wrapText="1"/>
    </xf>
    <xf numFmtId="0" fontId="86" fillId="38" borderId="167" xfId="0" applyFont="1" applyFill="1" applyBorder="1" applyAlignment="1">
      <alignment horizontal="center" vertical="center" wrapText="1"/>
    </xf>
    <xf numFmtId="0" fontId="87" fillId="38" borderId="167" xfId="0" applyFont="1" applyFill="1" applyBorder="1" applyAlignment="1">
      <alignment vertical="center" wrapText="1"/>
    </xf>
    <xf numFmtId="0" fontId="87" fillId="38" borderId="167" xfId="0" applyFont="1" applyFill="1" applyBorder="1" applyAlignment="1">
      <alignment horizontal="left" vertical="center" wrapText="1"/>
    </xf>
    <xf numFmtId="0" fontId="88" fillId="38" borderId="167" xfId="0" applyFont="1" applyFill="1" applyBorder="1" applyAlignment="1">
      <alignment vertical="center"/>
    </xf>
    <xf numFmtId="0" fontId="89" fillId="38" borderId="167" xfId="0" applyFont="1" applyFill="1" applyBorder="1" applyAlignment="1">
      <alignment horizontal="left" vertical="center" wrapText="1"/>
    </xf>
    <xf numFmtId="0" fontId="89" fillId="38" borderId="167" xfId="0" applyFont="1" applyFill="1" applyBorder="1" applyAlignment="1">
      <alignment vertical="center" wrapText="1"/>
    </xf>
    <xf numFmtId="0" fontId="90" fillId="38" borderId="167" xfId="0" applyFont="1" applyFill="1" applyBorder="1" applyAlignment="1">
      <alignment vertical="center" wrapText="1"/>
    </xf>
    <xf numFmtId="0" fontId="87" fillId="38" borderId="167" xfId="0" applyFont="1" applyFill="1" applyBorder="1" applyAlignment="1">
      <alignment vertical="center"/>
    </xf>
    <xf numFmtId="0" fontId="84" fillId="38" borderId="167" xfId="0" applyFont="1" applyFill="1" applyBorder="1" applyAlignment="1">
      <alignment horizontal="left" vertical="center" wrapText="1"/>
    </xf>
    <xf numFmtId="0" fontId="84" fillId="38" borderId="167" xfId="0" applyFont="1" applyFill="1" applyBorder="1" applyAlignment="1">
      <alignment horizontal="left" vertical="center"/>
    </xf>
    <xf numFmtId="0" fontId="84" fillId="38" borderId="167" xfId="0" applyFont="1" applyFill="1" applyBorder="1" applyAlignment="1">
      <alignment vertical="center" wrapText="1"/>
    </xf>
    <xf numFmtId="0" fontId="84" fillId="38" borderId="167" xfId="0" applyFont="1" applyFill="1" applyBorder="1" applyAlignment="1">
      <alignment vertical="center"/>
    </xf>
    <xf numFmtId="0" fontId="87" fillId="38" borderId="167" xfId="0" applyFont="1" applyFill="1" applyBorder="1" applyAlignment="1">
      <alignment horizontal="left" vertical="center"/>
    </xf>
    <xf numFmtId="0" fontId="59" fillId="22" borderId="130" xfId="8" applyFill="1" applyBorder="1" applyAlignment="1">
      <alignment wrapText="1"/>
    </xf>
    <xf numFmtId="167" fontId="41" fillId="18" borderId="14" xfId="5" applyNumberFormat="1" applyFont="1" applyFill="1" applyBorder="1" applyAlignment="1" applyProtection="1">
      <alignment horizontal="center" vertical="center" wrapText="1"/>
    </xf>
    <xf numFmtId="167" fontId="41" fillId="18" borderId="23" xfId="5" applyNumberFormat="1" applyFont="1" applyFill="1" applyBorder="1" applyAlignment="1" applyProtection="1">
      <alignment horizontal="center" vertical="center" wrapText="1"/>
    </xf>
    <xf numFmtId="167" fontId="41" fillId="18" borderId="13" xfId="5" applyNumberFormat="1" applyFont="1" applyFill="1" applyBorder="1" applyAlignment="1" applyProtection="1">
      <alignment horizontal="center" vertical="center" wrapText="1"/>
    </xf>
    <xf numFmtId="0" fontId="60" fillId="26" borderId="131" xfId="8" applyFont="1" applyFill="1" applyBorder="1" applyAlignment="1">
      <alignment vertical="center"/>
    </xf>
    <xf numFmtId="0" fontId="93" fillId="26" borderId="131" xfId="8" applyFont="1" applyFill="1" applyBorder="1" applyAlignment="1">
      <alignment vertical="center"/>
    </xf>
    <xf numFmtId="170" fontId="93" fillId="26" borderId="130" xfId="8" applyNumberFormat="1" applyFont="1" applyFill="1" applyBorder="1"/>
    <xf numFmtId="0" fontId="95" fillId="26" borderId="131" xfId="8" applyFont="1" applyFill="1" applyBorder="1" applyAlignment="1">
      <alignment horizontal="left" vertical="center" wrapText="1"/>
    </xf>
    <xf numFmtId="0" fontId="96" fillId="26" borderId="131" xfId="8" applyFont="1" applyFill="1" applyBorder="1" applyAlignment="1">
      <alignment horizontal="center" vertical="center" wrapText="1"/>
    </xf>
    <xf numFmtId="0" fontId="78" fillId="0" borderId="0" xfId="0" applyFont="1" applyAlignment="1">
      <alignment horizontal="center" wrapText="1"/>
    </xf>
    <xf numFmtId="0" fontId="79" fillId="0" borderId="0" xfId="0" applyFont="1" applyAlignment="1">
      <alignment horizontal="center" wrapText="1"/>
    </xf>
    <xf numFmtId="0" fontId="15" fillId="8" borderId="57" xfId="0" applyFont="1" applyFill="1" applyBorder="1" applyAlignment="1">
      <alignment horizontal="right" vertical="center" wrapText="1"/>
    </xf>
    <xf numFmtId="0" fontId="15" fillId="8" borderId="33" xfId="0" applyFont="1" applyFill="1" applyBorder="1" applyAlignment="1">
      <alignment horizontal="right" vertical="center" wrapText="1"/>
    </xf>
    <xf numFmtId="0" fontId="15" fillId="15" borderId="22" xfId="0" applyFont="1" applyFill="1" applyBorder="1" applyAlignment="1">
      <alignment horizontal="left" vertical="center" wrapText="1"/>
    </xf>
    <xf numFmtId="0" fontId="15" fillId="15" borderId="37" xfId="0" applyFont="1" applyFill="1" applyBorder="1" applyAlignment="1">
      <alignment horizontal="left" vertical="center" wrapText="1"/>
    </xf>
    <xf numFmtId="0" fontId="15" fillId="8" borderId="53" xfId="0" applyFont="1" applyFill="1" applyBorder="1" applyAlignment="1">
      <alignment horizontal="right" vertical="center" wrapText="1"/>
    </xf>
    <xf numFmtId="0" fontId="15" fillId="8" borderId="54" xfId="0" applyFont="1" applyFill="1" applyBorder="1" applyAlignment="1">
      <alignment horizontal="right" vertical="center" wrapText="1"/>
    </xf>
    <xf numFmtId="0" fontId="3" fillId="15" borderId="55" xfId="0" applyFont="1" applyFill="1" applyBorder="1" applyAlignment="1">
      <alignment horizontal="left" vertical="center" wrapText="1"/>
    </xf>
    <xf numFmtId="0" fontId="3" fillId="15" borderId="56" xfId="0" applyFont="1" applyFill="1" applyBorder="1" applyAlignment="1">
      <alignment horizontal="left" vertical="center" wrapText="1"/>
    </xf>
    <xf numFmtId="0" fontId="43" fillId="15" borderId="22" xfId="6" applyFill="1" applyBorder="1" applyAlignment="1">
      <alignment horizontal="left" vertical="center" wrapText="1"/>
    </xf>
    <xf numFmtId="49" fontId="15" fillId="15" borderId="22" xfId="0" applyNumberFormat="1" applyFont="1" applyFill="1" applyBorder="1" applyAlignment="1">
      <alignment horizontal="left" vertical="center" wrapText="1"/>
    </xf>
    <xf numFmtId="49" fontId="15" fillId="15" borderId="37" xfId="0" applyNumberFormat="1" applyFont="1" applyFill="1" applyBorder="1" applyAlignment="1">
      <alignment horizontal="left" vertical="center" wrapText="1"/>
    </xf>
    <xf numFmtId="0" fontId="17" fillId="9" borderId="155" xfId="0" applyFont="1" applyFill="1" applyBorder="1" applyAlignment="1">
      <alignment horizontal="center" vertical="center" wrapText="1"/>
    </xf>
    <xf numFmtId="0" fontId="17" fillId="9" borderId="156" xfId="0" applyFont="1" applyFill="1" applyBorder="1" applyAlignment="1">
      <alignment horizontal="center" vertical="center" wrapText="1"/>
    </xf>
    <xf numFmtId="0" fontId="17" fillId="9" borderId="157" xfId="0" applyFont="1" applyFill="1" applyBorder="1" applyAlignment="1">
      <alignment horizontal="center" vertical="center" wrapText="1"/>
    </xf>
    <xf numFmtId="0" fontId="17" fillId="9" borderId="158" xfId="0" applyFont="1" applyFill="1" applyBorder="1" applyAlignment="1">
      <alignment horizontal="center" vertical="center" wrapText="1"/>
    </xf>
    <xf numFmtId="0" fontId="18" fillId="26" borderId="51" xfId="3" applyFont="1" applyFill="1" applyBorder="1" applyAlignment="1">
      <alignment horizontal="center" vertical="center" wrapText="1"/>
    </xf>
    <xf numFmtId="0" fontId="18" fillId="26" borderId="52" xfId="3" applyFont="1" applyFill="1" applyBorder="1" applyAlignment="1">
      <alignment horizontal="center" vertical="center" wrapText="1"/>
    </xf>
    <xf numFmtId="0" fontId="20" fillId="3" borderId="62" xfId="1" applyFont="1" applyBorder="1" applyAlignment="1">
      <alignment horizontal="center" vertical="center" wrapText="1"/>
    </xf>
    <xf numFmtId="0" fontId="20" fillId="3" borderId="63" xfId="1" applyFont="1" applyBorder="1" applyAlignment="1">
      <alignment horizontal="center" vertical="center" wrapText="1"/>
    </xf>
    <xf numFmtId="0" fontId="92" fillId="15" borderId="22" xfId="0" applyFont="1" applyFill="1" applyBorder="1" applyAlignment="1">
      <alignment horizontal="left" vertical="center" wrapText="1"/>
    </xf>
    <xf numFmtId="0" fontId="92" fillId="15" borderId="37" xfId="0" applyFont="1" applyFill="1" applyBorder="1" applyAlignment="1">
      <alignment horizontal="left" vertical="center" wrapText="1"/>
    </xf>
    <xf numFmtId="0" fontId="15" fillId="8" borderId="58" xfId="0" applyFont="1" applyFill="1" applyBorder="1" applyAlignment="1">
      <alignment horizontal="right" vertical="center" wrapText="1"/>
    </xf>
    <xf numFmtId="0" fontId="15" fillId="8" borderId="59" xfId="0" applyFont="1" applyFill="1" applyBorder="1" applyAlignment="1">
      <alignment horizontal="right" vertical="center" wrapText="1"/>
    </xf>
    <xf numFmtId="0" fontId="92" fillId="15" borderId="60" xfId="0" applyFont="1" applyFill="1" applyBorder="1" applyAlignment="1">
      <alignment horizontal="left" vertical="center"/>
    </xf>
    <xf numFmtId="0" fontId="92" fillId="15" borderId="61" xfId="0" applyFont="1" applyFill="1" applyBorder="1" applyAlignment="1">
      <alignment horizontal="left" vertical="center"/>
    </xf>
    <xf numFmtId="0" fontId="16" fillId="0" borderId="0" xfId="0" applyFont="1" applyAlignment="1">
      <alignment horizontal="center"/>
    </xf>
    <xf numFmtId="0" fontId="17" fillId="8" borderId="14" xfId="0" applyFont="1" applyFill="1" applyBorder="1" applyAlignment="1">
      <alignment horizontal="center" vertical="center" wrapText="1"/>
    </xf>
    <xf numFmtId="0" fontId="17" fillId="8" borderId="13" xfId="0" applyFont="1" applyFill="1" applyBorder="1" applyAlignment="1">
      <alignment horizontal="center" vertical="center" wrapText="1"/>
    </xf>
    <xf numFmtId="0" fontId="17" fillId="8" borderId="15" xfId="0" applyFont="1" applyFill="1" applyBorder="1" applyAlignment="1">
      <alignment horizontal="center" vertical="center" wrapText="1"/>
    </xf>
    <xf numFmtId="0" fontId="17" fillId="8" borderId="5" xfId="0" applyFont="1" applyFill="1" applyBorder="1" applyAlignment="1">
      <alignment horizontal="center" vertical="center" wrapText="1"/>
    </xf>
    <xf numFmtId="0" fontId="17" fillId="0" borderId="23" xfId="0" applyFont="1" applyBorder="1" applyAlignment="1">
      <alignment horizontal="center" vertical="center" wrapText="1"/>
    </xf>
    <xf numFmtId="0" fontId="17" fillId="0" borderId="0" xfId="0" applyFont="1" applyAlignment="1">
      <alignment horizontal="center" vertical="center" wrapText="1"/>
    </xf>
    <xf numFmtId="0" fontId="19" fillId="4" borderId="50" xfId="2" applyFont="1" applyBorder="1" applyAlignment="1">
      <alignment horizontal="center" vertical="center" wrapText="1"/>
    </xf>
    <xf numFmtId="0" fontId="19" fillId="4" borderId="43" xfId="2" applyFont="1" applyBorder="1" applyAlignment="1">
      <alignment horizontal="center" vertical="center" wrapText="1"/>
    </xf>
    <xf numFmtId="0" fontId="8" fillId="0" borderId="130" xfId="0" applyFont="1" applyBorder="1" applyAlignment="1">
      <alignment horizontal="center"/>
    </xf>
    <xf numFmtId="0" fontId="73" fillId="33" borderId="159" xfId="0" applyFont="1" applyFill="1" applyBorder="1" applyAlignment="1">
      <alignment horizontal="center" wrapText="1"/>
    </xf>
    <xf numFmtId="0" fontId="73" fillId="33" borderId="0" xfId="0" applyFont="1" applyFill="1" applyAlignment="1">
      <alignment horizontal="center" wrapText="1"/>
    </xf>
    <xf numFmtId="0" fontId="73" fillId="33" borderId="135" xfId="0" applyFont="1" applyFill="1" applyBorder="1" applyAlignment="1">
      <alignment horizontal="center" wrapText="1"/>
    </xf>
    <xf numFmtId="0" fontId="74" fillId="10" borderId="150" xfId="0" applyFont="1" applyFill="1" applyBorder="1" applyAlignment="1">
      <alignment horizontal="center"/>
    </xf>
    <xf numFmtId="0" fontId="74" fillId="10" borderId="136" xfId="0" applyFont="1" applyFill="1" applyBorder="1" applyAlignment="1">
      <alignment horizontal="center"/>
    </xf>
    <xf numFmtId="0" fontId="73" fillId="33" borderId="135" xfId="0" applyFont="1" applyFill="1" applyBorder="1" applyAlignment="1">
      <alignment horizontal="center" vertical="center" wrapText="1"/>
    </xf>
    <xf numFmtId="0" fontId="73" fillId="33" borderId="150" xfId="0" applyFont="1" applyFill="1" applyBorder="1" applyAlignment="1">
      <alignment horizontal="center" wrapText="1"/>
    </xf>
    <xf numFmtId="0" fontId="73" fillId="33" borderId="154" xfId="0" applyFont="1" applyFill="1" applyBorder="1" applyAlignment="1">
      <alignment horizontal="center" wrapText="1"/>
    </xf>
    <xf numFmtId="0" fontId="73" fillId="33" borderId="136" xfId="0" applyFont="1" applyFill="1" applyBorder="1" applyAlignment="1">
      <alignment horizontal="center" wrapText="1"/>
    </xf>
    <xf numFmtId="0" fontId="73" fillId="33" borderId="151" xfId="0" applyFont="1" applyFill="1" applyBorder="1" applyAlignment="1">
      <alignment horizontal="center" vertical="center" wrapText="1"/>
    </xf>
    <xf numFmtId="0" fontId="73" fillId="33" borderId="134" xfId="0" applyFont="1" applyFill="1" applyBorder="1" applyAlignment="1">
      <alignment horizontal="center" vertical="center" wrapText="1"/>
    </xf>
    <xf numFmtId="0" fontId="73" fillId="33" borderId="152" xfId="0" applyFont="1" applyFill="1" applyBorder="1" applyAlignment="1">
      <alignment horizontal="center" vertical="center" wrapText="1"/>
    </xf>
    <xf numFmtId="0" fontId="73" fillId="33" borderId="153" xfId="0" applyFont="1" applyFill="1" applyBorder="1" applyAlignment="1">
      <alignment horizontal="center" vertical="center" wrapText="1"/>
    </xf>
    <xf numFmtId="0" fontId="73" fillId="33" borderId="133" xfId="0" applyFont="1" applyFill="1" applyBorder="1" applyAlignment="1">
      <alignment horizontal="center" vertical="center" wrapText="1"/>
    </xf>
    <xf numFmtId="0" fontId="73" fillId="33" borderId="149" xfId="0" applyFont="1" applyFill="1" applyBorder="1" applyAlignment="1">
      <alignment horizontal="center" vertical="center" wrapText="1"/>
    </xf>
    <xf numFmtId="0" fontId="74" fillId="10" borderId="133" xfId="0" applyFont="1" applyFill="1" applyBorder="1" applyAlignment="1">
      <alignment horizontal="left" vertical="center"/>
    </xf>
    <xf numFmtId="0" fontId="74" fillId="10" borderId="148" xfId="0" applyFont="1" applyFill="1" applyBorder="1" applyAlignment="1">
      <alignment horizontal="left" vertical="center"/>
    </xf>
    <xf numFmtId="0" fontId="74" fillId="10" borderId="149" xfId="0" applyFont="1" applyFill="1" applyBorder="1" applyAlignment="1">
      <alignment horizontal="left" vertical="center"/>
    </xf>
    <xf numFmtId="169" fontId="74" fillId="10" borderId="135" xfId="0" applyNumberFormat="1" applyFont="1" applyFill="1" applyBorder="1" applyAlignment="1">
      <alignment horizontal="center" vertical="center"/>
    </xf>
    <xf numFmtId="0" fontId="74" fillId="10" borderId="150" xfId="0" applyFont="1" applyFill="1" applyBorder="1" applyAlignment="1">
      <alignment horizontal="left" vertical="center"/>
    </xf>
    <xf numFmtId="0" fontId="74" fillId="10" borderId="136" xfId="0" applyFont="1" applyFill="1" applyBorder="1" applyAlignment="1">
      <alignment horizontal="left" vertical="center"/>
    </xf>
    <xf numFmtId="0" fontId="74" fillId="10" borderId="151" xfId="0" applyFont="1" applyFill="1" applyBorder="1" applyAlignment="1">
      <alignment horizontal="left" vertical="center"/>
    </xf>
    <xf numFmtId="0" fontId="74" fillId="10" borderId="134" xfId="0" applyFont="1" applyFill="1" applyBorder="1" applyAlignment="1">
      <alignment horizontal="left" vertical="center"/>
    </xf>
    <xf numFmtId="0" fontId="74" fillId="10" borderId="152" xfId="0" applyFont="1" applyFill="1" applyBorder="1" applyAlignment="1">
      <alignment horizontal="left" vertical="center"/>
    </xf>
    <xf numFmtId="0" fontId="74" fillId="10" borderId="153" xfId="0" applyFont="1" applyFill="1" applyBorder="1" applyAlignment="1">
      <alignment horizontal="left" vertical="center"/>
    </xf>
    <xf numFmtId="0" fontId="74" fillId="10" borderId="151" xfId="0" applyFont="1" applyFill="1" applyBorder="1" applyAlignment="1">
      <alignment horizontal="center" vertical="center"/>
    </xf>
    <xf numFmtId="0" fontId="74" fillId="10" borderId="159" xfId="0" applyFont="1" applyFill="1" applyBorder="1" applyAlignment="1">
      <alignment horizontal="center" vertical="center"/>
    </xf>
    <xf numFmtId="0" fontId="74" fillId="10" borderId="152" xfId="0" applyFont="1" applyFill="1" applyBorder="1" applyAlignment="1">
      <alignment horizontal="center" vertical="center"/>
    </xf>
    <xf numFmtId="169" fontId="74" fillId="10" borderId="150" xfId="0" applyNumberFormat="1" applyFont="1" applyFill="1" applyBorder="1" applyAlignment="1">
      <alignment horizontal="center" vertical="center"/>
    </xf>
    <xf numFmtId="169" fontId="74" fillId="10" borderId="154" xfId="0" applyNumberFormat="1" applyFont="1" applyFill="1" applyBorder="1" applyAlignment="1">
      <alignment horizontal="center" vertical="center"/>
    </xf>
    <xf numFmtId="0" fontId="0" fillId="6" borderId="25" xfId="0" applyFill="1" applyBorder="1" applyAlignment="1">
      <alignment horizontal="center" vertical="top" wrapText="1"/>
    </xf>
    <xf numFmtId="0" fontId="0" fillId="6" borderId="5" xfId="0" applyFill="1" applyBorder="1" applyAlignment="1">
      <alignment horizontal="center" vertical="top" wrapText="1"/>
    </xf>
    <xf numFmtId="0" fontId="9" fillId="6" borderId="28" xfId="0" applyFont="1" applyFill="1" applyBorder="1" applyAlignment="1">
      <alignment horizontal="center" vertical="top" wrapText="1"/>
    </xf>
    <xf numFmtId="0" fontId="9" fillId="6" borderId="29" xfId="0" applyFont="1" applyFill="1" applyBorder="1" applyAlignment="1">
      <alignment horizontal="center" vertical="top" wrapText="1"/>
    </xf>
    <xf numFmtId="0" fontId="9" fillId="6" borderId="30" xfId="0" applyFont="1" applyFill="1" applyBorder="1" applyAlignment="1">
      <alignment horizontal="center" vertical="top" wrapText="1"/>
    </xf>
    <xf numFmtId="0" fontId="9" fillId="6" borderId="14" xfId="0" applyFont="1" applyFill="1" applyBorder="1" applyAlignment="1">
      <alignment horizontal="center" vertical="top" wrapText="1"/>
    </xf>
    <xf numFmtId="0" fontId="9" fillId="6" borderId="23" xfId="0" applyFont="1" applyFill="1" applyBorder="1" applyAlignment="1">
      <alignment horizontal="center" vertical="top" wrapText="1"/>
    </xf>
    <xf numFmtId="0" fontId="9" fillId="6" borderId="13" xfId="0" applyFont="1" applyFill="1" applyBorder="1" applyAlignment="1">
      <alignment horizontal="center" vertical="top" wrapText="1"/>
    </xf>
    <xf numFmtId="0" fontId="0" fillId="6" borderId="31" xfId="0" applyFill="1" applyBorder="1" applyAlignment="1">
      <alignment horizontal="center" vertical="top" wrapText="1"/>
    </xf>
    <xf numFmtId="0" fontId="0" fillId="6" borderId="13" xfId="0" applyFill="1" applyBorder="1" applyAlignment="1">
      <alignment horizontal="center" vertical="top" wrapText="1"/>
    </xf>
    <xf numFmtId="0" fontId="48" fillId="22" borderId="53" xfId="0" applyFont="1" applyFill="1" applyBorder="1" applyAlignment="1">
      <alignment horizontal="center" vertical="top" wrapText="1"/>
    </xf>
    <xf numFmtId="0" fontId="48" fillId="22" borderId="110" xfId="0" applyFont="1" applyFill="1" applyBorder="1" applyAlignment="1">
      <alignment horizontal="center" vertical="top" wrapText="1"/>
    </xf>
    <xf numFmtId="0" fontId="48" fillId="22" borderId="58" xfId="0" applyFont="1" applyFill="1" applyBorder="1" applyAlignment="1">
      <alignment horizontal="center" vertical="top" wrapText="1"/>
    </xf>
    <xf numFmtId="0" fontId="48" fillId="22" borderId="129" xfId="0" applyFont="1" applyFill="1" applyBorder="1" applyAlignment="1">
      <alignment horizontal="center" vertical="top" wrapText="1"/>
    </xf>
    <xf numFmtId="0" fontId="9" fillId="6" borderId="18" xfId="0" applyFont="1" applyFill="1" applyBorder="1" applyAlignment="1">
      <alignment horizontal="center" vertical="top" wrapText="1"/>
    </xf>
    <xf numFmtId="0" fontId="9" fillId="6" borderId="58" xfId="0" applyFont="1" applyFill="1" applyBorder="1" applyAlignment="1">
      <alignment horizontal="center" vertical="top" wrapText="1"/>
    </xf>
    <xf numFmtId="0" fontId="9" fillId="6" borderId="128" xfId="0" applyFont="1" applyFill="1" applyBorder="1" applyAlignment="1">
      <alignment horizontal="center" vertical="top" wrapText="1"/>
    </xf>
    <xf numFmtId="0" fontId="9" fillId="6" borderId="129" xfId="0" applyFont="1" applyFill="1" applyBorder="1" applyAlignment="1">
      <alignment horizontal="center" vertical="top" wrapText="1"/>
    </xf>
    <xf numFmtId="0" fontId="8" fillId="0" borderId="14" xfId="0" applyFont="1" applyBorder="1" applyAlignment="1">
      <alignment horizontal="center" vertical="top" wrapText="1"/>
    </xf>
    <xf numFmtId="0" fontId="8" fillId="0" borderId="23" xfId="0" applyFont="1" applyBorder="1" applyAlignment="1">
      <alignment horizontal="center" vertical="top" wrapText="1"/>
    </xf>
    <xf numFmtId="0" fontId="8" fillId="0" borderId="15" xfId="0" applyFont="1" applyBorder="1" applyAlignment="1">
      <alignment horizontal="center" vertical="top" wrapText="1"/>
    </xf>
    <xf numFmtId="0" fontId="8" fillId="0" borderId="26" xfId="0" applyFont="1" applyBorder="1" applyAlignment="1">
      <alignment horizontal="center" vertical="top" wrapText="1"/>
    </xf>
    <xf numFmtId="0" fontId="9" fillId="6" borderId="24" xfId="0" applyFont="1" applyFill="1" applyBorder="1" applyAlignment="1">
      <alignment horizontal="center" vertical="top" wrapText="1"/>
    </xf>
    <xf numFmtId="0" fontId="9" fillId="6" borderId="0" xfId="0" applyFont="1" applyFill="1" applyAlignment="1">
      <alignment horizontal="center" vertical="top" wrapText="1"/>
    </xf>
    <xf numFmtId="0" fontId="9" fillId="6" borderId="20" xfId="0" applyFont="1" applyFill="1" applyBorder="1" applyAlignment="1">
      <alignment horizontal="center" vertical="top" wrapText="1"/>
    </xf>
    <xf numFmtId="0" fontId="9" fillId="6" borderId="19" xfId="0" applyFont="1" applyFill="1" applyBorder="1" applyAlignment="1">
      <alignment horizontal="center" vertical="top" wrapText="1"/>
    </xf>
    <xf numFmtId="0" fontId="9" fillId="6" borderId="6" xfId="0" applyFont="1" applyFill="1" applyBorder="1" applyAlignment="1">
      <alignment horizontal="center" vertical="top" wrapText="1"/>
    </xf>
    <xf numFmtId="0" fontId="0" fillId="0" borderId="15" xfId="0" applyBorder="1" applyAlignment="1">
      <alignment horizontal="center" vertical="top" wrapText="1"/>
    </xf>
    <xf numFmtId="0" fontId="0" fillId="0" borderId="26" xfId="0" applyBorder="1" applyAlignment="1">
      <alignment horizontal="center" vertical="top" wrapText="1"/>
    </xf>
    <xf numFmtId="0" fontId="0" fillId="0" borderId="5" xfId="0" applyBorder="1" applyAlignment="1">
      <alignment horizontal="center" vertical="top" wrapText="1"/>
    </xf>
    <xf numFmtId="0" fontId="0" fillId="22" borderId="14" xfId="0" applyFill="1" applyBorder="1" applyAlignment="1">
      <alignment horizontal="center" vertical="top" wrapText="1"/>
    </xf>
    <xf numFmtId="0" fontId="0" fillId="22" borderId="23" xfId="0" applyFill="1" applyBorder="1" applyAlignment="1">
      <alignment horizontal="center" vertical="top" wrapText="1"/>
    </xf>
    <xf numFmtId="0" fontId="0" fillId="22" borderId="13" xfId="0" applyFill="1" applyBorder="1" applyAlignment="1">
      <alignment horizontal="center" vertical="top" wrapText="1"/>
    </xf>
    <xf numFmtId="0" fontId="8" fillId="0" borderId="14" xfId="0" applyFont="1" applyBorder="1" applyAlignment="1">
      <alignment horizontal="left" vertical="top" wrapText="1"/>
    </xf>
    <xf numFmtId="0" fontId="8" fillId="0" borderId="24" xfId="0" applyFont="1" applyBorder="1" applyAlignment="1">
      <alignment horizontal="left" vertical="top" wrapText="1"/>
    </xf>
    <xf numFmtId="0" fontId="8" fillId="0" borderId="15" xfId="0" applyFont="1" applyBorder="1" applyAlignment="1">
      <alignment horizontal="left" vertical="top" wrapText="1"/>
    </xf>
    <xf numFmtId="0" fontId="50" fillId="0" borderId="0" xfId="0" applyFont="1" applyAlignment="1">
      <alignment horizontal="left" vertical="top" wrapText="1"/>
    </xf>
    <xf numFmtId="0" fontId="0" fillId="0" borderId="23" xfId="0" applyBorder="1" applyAlignment="1">
      <alignment horizontal="left" vertical="top" wrapText="1"/>
    </xf>
    <xf numFmtId="0" fontId="0" fillId="0" borderId="0" xfId="0" applyAlignment="1">
      <alignment horizontal="left" vertical="top" wrapText="1"/>
    </xf>
    <xf numFmtId="0" fontId="0" fillId="0" borderId="26" xfId="0" applyBorder="1" applyAlignment="1">
      <alignment horizontal="left" vertical="top" wrapText="1"/>
    </xf>
    <xf numFmtId="0" fontId="71" fillId="0" borderId="112" xfId="0" applyFont="1" applyBorder="1" applyAlignment="1">
      <alignment horizontal="left" vertical="top" wrapText="1"/>
    </xf>
    <xf numFmtId="0" fontId="71" fillId="0" borderId="18" xfId="0" applyFont="1" applyBorder="1" applyAlignment="1">
      <alignment horizontal="left" vertical="top" wrapText="1"/>
    </xf>
    <xf numFmtId="0" fontId="71" fillId="0" borderId="33" xfId="0" applyFont="1" applyBorder="1" applyAlignment="1">
      <alignment horizontal="left" vertical="top" wrapText="1"/>
    </xf>
    <xf numFmtId="0" fontId="71" fillId="0" borderId="103" xfId="0" applyFont="1" applyBorder="1" applyAlignment="1">
      <alignment horizontal="left" vertical="top" wrapText="1"/>
    </xf>
    <xf numFmtId="0" fontId="8" fillId="7" borderId="24" xfId="0" applyFont="1" applyFill="1" applyBorder="1" applyAlignment="1">
      <alignment horizontal="left" vertical="top" wrapText="1"/>
    </xf>
    <xf numFmtId="0" fontId="8" fillId="7" borderId="15" xfId="0" applyFont="1" applyFill="1" applyBorder="1" applyAlignment="1">
      <alignment horizontal="left" vertical="top" wrapText="1"/>
    </xf>
    <xf numFmtId="0" fontId="0" fillId="7" borderId="0" xfId="0" applyFill="1" applyAlignment="1">
      <alignment horizontal="left" vertical="top" wrapText="1"/>
    </xf>
    <xf numFmtId="0" fontId="0" fillId="7" borderId="26" xfId="0" applyFill="1" applyBorder="1" applyAlignment="1">
      <alignment horizontal="left" vertical="top" wrapText="1"/>
    </xf>
    <xf numFmtId="0" fontId="8" fillId="7" borderId="14" xfId="0" applyFont="1" applyFill="1" applyBorder="1" applyAlignment="1">
      <alignment horizontal="left" vertical="top" wrapText="1"/>
    </xf>
    <xf numFmtId="0" fontId="0" fillId="7" borderId="23" xfId="0" applyFill="1" applyBorder="1" applyAlignment="1">
      <alignment horizontal="left" vertical="top" wrapText="1"/>
    </xf>
    <xf numFmtId="0" fontId="0" fillId="16" borderId="14" xfId="0" applyFill="1" applyBorder="1" applyAlignment="1">
      <alignment horizontal="center" vertical="top" wrapText="1"/>
    </xf>
    <xf numFmtId="0" fontId="0" fillId="16" borderId="23" xfId="0" applyFill="1" applyBorder="1" applyAlignment="1">
      <alignment horizontal="center" vertical="top" wrapText="1"/>
    </xf>
    <xf numFmtId="0" fontId="0" fillId="16" borderId="13" xfId="0" applyFill="1" applyBorder="1" applyAlignment="1">
      <alignment horizontal="center" vertical="top" wrapText="1"/>
    </xf>
    <xf numFmtId="0" fontId="62" fillId="22" borderId="137" xfId="8" applyFont="1" applyFill="1" applyBorder="1" applyAlignment="1">
      <alignment horizontal="center" vertical="center" wrapText="1"/>
    </xf>
    <xf numFmtId="0" fontId="62" fillId="22" borderId="138" xfId="8" applyFont="1" applyFill="1" applyBorder="1" applyAlignment="1">
      <alignment horizontal="center" vertical="center" wrapText="1"/>
    </xf>
    <xf numFmtId="0" fontId="62" fillId="22" borderId="132" xfId="8" applyFont="1" applyFill="1" applyBorder="1" applyAlignment="1">
      <alignment horizontal="center" vertical="center" wrapText="1"/>
    </xf>
    <xf numFmtId="0" fontId="62" fillId="28" borderId="137" xfId="8" applyFont="1" applyFill="1" applyBorder="1" applyAlignment="1">
      <alignment horizontal="center" vertical="center" wrapText="1"/>
    </xf>
    <xf numFmtId="0" fontId="62" fillId="28" borderId="138" xfId="8" applyFont="1" applyFill="1" applyBorder="1" applyAlignment="1">
      <alignment horizontal="center" vertical="center" wrapText="1"/>
    </xf>
    <xf numFmtId="0" fontId="62" fillId="28" borderId="132" xfId="8" applyFont="1" applyFill="1" applyBorder="1" applyAlignment="1">
      <alignment horizontal="center" vertical="center" wrapText="1"/>
    </xf>
    <xf numFmtId="0" fontId="62" fillId="26" borderId="137" xfId="8" applyFont="1" applyFill="1" applyBorder="1" applyAlignment="1">
      <alignment horizontal="center" vertical="center" wrapText="1"/>
    </xf>
    <xf numFmtId="0" fontId="62" fillId="26" borderId="132" xfId="8" applyFont="1" applyFill="1" applyBorder="1" applyAlignment="1">
      <alignment horizontal="center" vertical="center" wrapText="1"/>
    </xf>
    <xf numFmtId="0" fontId="61" fillId="27" borderId="137" xfId="8" applyFont="1" applyFill="1" applyBorder="1" applyAlignment="1">
      <alignment horizontal="center" vertical="center" wrapText="1"/>
    </xf>
    <xf numFmtId="0" fontId="61" fillId="27" borderId="138" xfId="8" applyFont="1" applyFill="1" applyBorder="1" applyAlignment="1">
      <alignment horizontal="center" vertical="center" wrapText="1"/>
    </xf>
    <xf numFmtId="0" fontId="61" fillId="27" borderId="132" xfId="8" applyFont="1" applyFill="1" applyBorder="1" applyAlignment="1">
      <alignment horizontal="center" vertical="center" wrapText="1"/>
    </xf>
    <xf numFmtId="0" fontId="59" fillId="22" borderId="130" xfId="8" applyFill="1" applyBorder="1" applyAlignment="1">
      <alignment horizontal="center"/>
    </xf>
    <xf numFmtId="0" fontId="57" fillId="22" borderId="0" xfId="0" applyFont="1" applyFill="1" applyAlignment="1">
      <alignment horizontal="left"/>
    </xf>
    <xf numFmtId="0" fontId="57" fillId="22" borderId="147" xfId="0" applyFont="1" applyFill="1" applyBorder="1" applyAlignment="1">
      <alignment horizontal="left"/>
    </xf>
    <xf numFmtId="0" fontId="52" fillId="26" borderId="164" xfId="0" applyFont="1" applyFill="1" applyBorder="1" applyAlignment="1">
      <alignment horizontal="center"/>
    </xf>
    <xf numFmtId="0" fontId="52" fillId="26" borderId="0" xfId="0" applyFont="1" applyFill="1" applyAlignment="1">
      <alignment horizontal="center"/>
    </xf>
    <xf numFmtId="0" fontId="52" fillId="26" borderId="165" xfId="0" applyFont="1" applyFill="1" applyBorder="1" applyAlignment="1">
      <alignment horizontal="center"/>
    </xf>
    <xf numFmtId="0" fontId="52" fillId="26" borderId="164" xfId="0" applyFont="1" applyFill="1" applyBorder="1" applyAlignment="1">
      <alignment horizontal="left"/>
    </xf>
    <xf numFmtId="0" fontId="52" fillId="26" borderId="0" xfId="0" applyFont="1" applyFill="1" applyAlignment="1">
      <alignment horizontal="left"/>
    </xf>
    <xf numFmtId="0" fontId="53" fillId="32" borderId="144" xfId="0" applyFont="1" applyFill="1" applyBorder="1" applyAlignment="1">
      <alignment horizontal="center"/>
    </xf>
    <xf numFmtId="0" fontId="53" fillId="32" borderId="145" xfId="0" applyFont="1" applyFill="1" applyBorder="1" applyAlignment="1">
      <alignment horizontal="center"/>
    </xf>
    <xf numFmtId="0" fontId="53" fillId="32" borderId="146" xfId="0" applyFont="1" applyFill="1" applyBorder="1" applyAlignment="1">
      <alignment horizontal="center"/>
    </xf>
    <xf numFmtId="0" fontId="58" fillId="6" borderId="142" xfId="0" applyFont="1" applyFill="1" applyBorder="1" applyAlignment="1">
      <alignment horizontal="center" vertical="center"/>
    </xf>
    <xf numFmtId="0" fontId="58" fillId="6" borderId="143" xfId="0" applyFont="1" applyFill="1" applyBorder="1" applyAlignment="1">
      <alignment horizontal="center" vertical="center"/>
    </xf>
    <xf numFmtId="0" fontId="58" fillId="6" borderId="139" xfId="0" applyFont="1" applyFill="1" applyBorder="1" applyAlignment="1">
      <alignment horizontal="center" vertical="center"/>
    </xf>
    <xf numFmtId="0" fontId="52" fillId="22" borderId="130" xfId="0" applyFont="1" applyFill="1" applyBorder="1" applyAlignment="1">
      <alignment horizontal="left" vertical="top"/>
    </xf>
    <xf numFmtId="0" fontId="52" fillId="26" borderId="130" xfId="0" applyFont="1" applyFill="1" applyBorder="1" applyAlignment="1">
      <alignment horizontal="left" vertical="top"/>
    </xf>
    <xf numFmtId="0" fontId="52" fillId="26" borderId="130" xfId="0" applyFont="1" applyFill="1" applyBorder="1" applyAlignment="1">
      <alignment horizontal="left" vertical="top" wrapText="1"/>
    </xf>
    <xf numFmtId="0" fontId="55" fillId="25" borderId="130" xfId="0" applyFont="1" applyFill="1" applyBorder="1" applyAlignment="1">
      <alignment horizontal="center"/>
    </xf>
    <xf numFmtId="0" fontId="25" fillId="0" borderId="0" xfId="0" applyFont="1" applyAlignment="1">
      <alignment horizontal="center"/>
    </xf>
    <xf numFmtId="0" fontId="28" fillId="0" borderId="0" xfId="0" applyFont="1" applyAlignment="1">
      <alignment horizontal="left" vertical="top" wrapText="1"/>
    </xf>
    <xf numFmtId="0" fontId="0" fillId="0" borderId="0" xfId="0" applyAlignment="1">
      <alignment horizontal="center" vertical="center" wrapText="1"/>
    </xf>
    <xf numFmtId="0" fontId="0" fillId="0" borderId="0" xfId="0" applyAlignment="1">
      <alignment horizontal="center" vertical="center"/>
    </xf>
    <xf numFmtId="0" fontId="22" fillId="0" borderId="26" xfId="0" applyFont="1" applyBorder="1" applyAlignment="1">
      <alignment horizontal="left"/>
    </xf>
    <xf numFmtId="0" fontId="22" fillId="0" borderId="27" xfId="0" applyFont="1" applyBorder="1" applyAlignment="1">
      <alignment horizontal="left"/>
    </xf>
    <xf numFmtId="0" fontId="21" fillId="11" borderId="28" xfId="0" applyFont="1" applyFill="1" applyBorder="1" applyAlignment="1">
      <alignment horizontal="left"/>
    </xf>
    <xf numFmtId="0" fontId="21" fillId="11" borderId="29" xfId="0" applyFont="1" applyFill="1" applyBorder="1" applyAlignment="1">
      <alignment horizontal="left"/>
    </xf>
    <xf numFmtId="0" fontId="21" fillId="11" borderId="0" xfId="0" applyFont="1" applyFill="1" applyAlignment="1">
      <alignment horizontal="left"/>
    </xf>
    <xf numFmtId="0" fontId="21" fillId="37" borderId="28" xfId="0" applyFont="1" applyFill="1" applyBorder="1" applyAlignment="1">
      <alignment horizontal="left"/>
    </xf>
    <xf numFmtId="0" fontId="21" fillId="37" borderId="29" xfId="0" applyFont="1" applyFill="1" applyBorder="1" applyAlignment="1">
      <alignment horizontal="left"/>
    </xf>
    <xf numFmtId="0" fontId="50" fillId="0" borderId="21" xfId="0" applyFont="1" applyBorder="1" applyAlignment="1">
      <alignment horizontal="left"/>
    </xf>
    <xf numFmtId="0" fontId="21" fillId="17" borderId="28" xfId="0" applyFont="1" applyFill="1" applyBorder="1" applyAlignment="1">
      <alignment horizontal="left"/>
    </xf>
    <xf numFmtId="0" fontId="21" fillId="17" borderId="29" xfId="0" applyFont="1" applyFill="1" applyBorder="1" applyAlignment="1">
      <alignment horizontal="left"/>
    </xf>
    <xf numFmtId="0" fontId="49" fillId="0" borderId="0" xfId="0" applyFont="1"/>
    <xf numFmtId="0" fontId="21" fillId="17" borderId="0" xfId="0" applyFont="1" applyFill="1" applyAlignment="1">
      <alignment horizontal="left"/>
    </xf>
    <xf numFmtId="0" fontId="21" fillId="37" borderId="0" xfId="0" applyFont="1" applyFill="1" applyAlignment="1">
      <alignment horizontal="left"/>
    </xf>
    <xf numFmtId="0" fontId="51" fillId="0" borderId="21" xfId="0" applyFont="1" applyBorder="1" applyAlignment="1">
      <alignment horizontal="left"/>
    </xf>
    <xf numFmtId="0" fontId="49" fillId="0" borderId="0" xfId="0" applyFont="1" applyAlignment="1">
      <alignment wrapText="1"/>
    </xf>
    <xf numFmtId="0" fontId="1" fillId="24" borderId="8" xfId="0" applyFont="1" applyFill="1" applyBorder="1" applyAlignment="1">
      <alignment horizontal="center" vertical="top"/>
    </xf>
    <xf numFmtId="0" fontId="1" fillId="24" borderId="74" xfId="0" applyFont="1" applyFill="1" applyBorder="1" applyAlignment="1">
      <alignment horizontal="center" vertical="top"/>
    </xf>
    <xf numFmtId="0" fontId="5" fillId="24" borderId="8" xfId="0" applyFont="1" applyFill="1" applyBorder="1" applyAlignment="1">
      <alignment horizontal="left" vertical="top" wrapText="1"/>
    </xf>
    <xf numFmtId="0" fontId="5" fillId="24" borderId="74" xfId="0" applyFont="1" applyFill="1" applyBorder="1" applyAlignment="1">
      <alignment horizontal="left" vertical="top" wrapText="1"/>
    </xf>
    <xf numFmtId="0" fontId="1" fillId="24" borderId="8" xfId="0" applyFont="1" applyFill="1" applyBorder="1" applyAlignment="1">
      <alignment vertical="top" wrapText="1"/>
    </xf>
    <xf numFmtId="0" fontId="1" fillId="24" borderId="74" xfId="0" applyFont="1" applyFill="1" applyBorder="1" applyAlignment="1">
      <alignment vertical="top" wrapText="1"/>
    </xf>
    <xf numFmtId="2" fontId="3" fillId="26" borderId="85" xfId="3" applyNumberFormat="1" applyFont="1" applyFill="1" applyBorder="1" applyAlignment="1">
      <alignment horizontal="right" vertical="top" wrapText="1"/>
    </xf>
    <xf numFmtId="2" fontId="3" fillId="26" borderId="86" xfId="3" applyNumberFormat="1" applyFont="1" applyFill="1" applyBorder="1" applyAlignment="1">
      <alignment horizontal="right" vertical="top" wrapText="1"/>
    </xf>
    <xf numFmtId="0" fontId="5" fillId="24" borderId="7" xfId="0" applyFont="1" applyFill="1" applyBorder="1" applyAlignment="1">
      <alignment horizontal="left" vertical="top" wrapText="1"/>
    </xf>
    <xf numFmtId="0" fontId="5" fillId="24" borderId="4" xfId="0" applyFont="1" applyFill="1" applyBorder="1" applyAlignment="1">
      <alignment horizontal="left" vertical="top" wrapText="1"/>
    </xf>
    <xf numFmtId="166" fontId="37" fillId="3" borderId="8" xfId="4" applyNumberFormat="1" applyFont="1" applyFill="1" applyBorder="1" applyAlignment="1">
      <alignment horizontal="right" vertical="top" wrapText="1"/>
    </xf>
    <xf numFmtId="166" fontId="37" fillId="3" borderId="9" xfId="4" applyNumberFormat="1" applyFont="1" applyFill="1" applyBorder="1" applyAlignment="1">
      <alignment horizontal="right" vertical="top" wrapText="1"/>
    </xf>
    <xf numFmtId="166" fontId="37" fillId="3" borderId="8" xfId="4" applyNumberFormat="1" applyFont="1" applyFill="1" applyBorder="1" applyAlignment="1">
      <alignment vertical="top" wrapText="1"/>
    </xf>
    <xf numFmtId="166" fontId="37" fillId="3" borderId="9" xfId="4" applyNumberFormat="1" applyFont="1" applyFill="1" applyBorder="1" applyAlignment="1">
      <alignment vertical="top" wrapText="1"/>
    </xf>
    <xf numFmtId="0" fontId="5" fillId="24" borderId="14" xfId="0" applyFont="1" applyFill="1" applyBorder="1" applyAlignment="1">
      <alignment horizontal="left" vertical="top" wrapText="1"/>
    </xf>
    <xf numFmtId="0" fontId="5" fillId="24" borderId="15" xfId="0" applyFont="1" applyFill="1" applyBorder="1" applyAlignment="1">
      <alignment horizontal="left" vertical="top" wrapText="1"/>
    </xf>
    <xf numFmtId="2" fontId="37" fillId="3" borderId="8" xfId="4" applyNumberFormat="1" applyFont="1" applyFill="1" applyBorder="1" applyAlignment="1">
      <alignment vertical="top" wrapText="1"/>
    </xf>
    <xf numFmtId="2" fontId="37" fillId="3" borderId="9" xfId="4" applyNumberFormat="1" applyFont="1" applyFill="1" applyBorder="1" applyAlignment="1">
      <alignment vertical="top" wrapText="1"/>
    </xf>
    <xf numFmtId="0" fontId="1" fillId="24" borderId="9" xfId="0" applyFont="1" applyFill="1" applyBorder="1" applyAlignment="1">
      <alignment vertical="top" wrapText="1"/>
    </xf>
    <xf numFmtId="0" fontId="5" fillId="24" borderId="11" xfId="0" applyFont="1" applyFill="1" applyBorder="1" applyAlignment="1">
      <alignment horizontal="left" vertical="top" wrapText="1"/>
    </xf>
    <xf numFmtId="0" fontId="5" fillId="24" borderId="12" xfId="0" applyFont="1" applyFill="1" applyBorder="1" applyAlignment="1">
      <alignment horizontal="left" vertical="top" wrapText="1"/>
    </xf>
    <xf numFmtId="0" fontId="5" fillId="24" borderId="8" xfId="0" applyFont="1" applyFill="1" applyBorder="1" applyAlignment="1">
      <alignment horizontal="center" vertical="top" wrapText="1"/>
    </xf>
    <xf numFmtId="0" fontId="5" fillId="24" borderId="9" xfId="0" applyFont="1" applyFill="1" applyBorder="1" applyAlignment="1">
      <alignment horizontal="center" vertical="top" wrapText="1"/>
    </xf>
    <xf numFmtId="0" fontId="1" fillId="24" borderId="13" xfId="0" applyFont="1" applyFill="1" applyBorder="1" applyAlignment="1">
      <alignment horizontal="center" vertical="top"/>
    </xf>
    <xf numFmtId="0" fontId="1" fillId="24" borderId="5" xfId="0" applyFont="1" applyFill="1" applyBorder="1" applyAlignment="1">
      <alignment horizontal="center" vertical="top"/>
    </xf>
    <xf numFmtId="0" fontId="8" fillId="17" borderId="115" xfId="0" applyFont="1" applyFill="1" applyBorder="1" applyAlignment="1">
      <alignment horizontal="left" wrapText="1"/>
    </xf>
    <xf numFmtId="0" fontId="8" fillId="17" borderId="33" xfId="0" applyFont="1" applyFill="1" applyBorder="1" applyAlignment="1">
      <alignment horizontal="left" wrapText="1"/>
    </xf>
    <xf numFmtId="0" fontId="8" fillId="17" borderId="103" xfId="0" applyFont="1" applyFill="1" applyBorder="1" applyAlignment="1">
      <alignment horizontal="left" wrapText="1"/>
    </xf>
    <xf numFmtId="0" fontId="8" fillId="17" borderId="80" xfId="0" applyFont="1" applyFill="1" applyBorder="1" applyAlignment="1">
      <alignment horizontal="center" vertical="top" wrapText="1"/>
    </xf>
    <xf numFmtId="0" fontId="8" fillId="17" borderId="116" xfId="0" applyFont="1" applyFill="1" applyBorder="1" applyAlignment="1">
      <alignment horizontal="center" vertical="top" wrapText="1"/>
    </xf>
    <xf numFmtId="0" fontId="8" fillId="17" borderId="104" xfId="0" applyFont="1" applyFill="1" applyBorder="1" applyAlignment="1">
      <alignment horizontal="center" vertical="top" wrapText="1"/>
    </xf>
    <xf numFmtId="0" fontId="8" fillId="10" borderId="115" xfId="0" applyFont="1" applyFill="1" applyBorder="1" applyAlignment="1">
      <alignment horizontal="center" wrapText="1"/>
    </xf>
    <xf numFmtId="0" fontId="8" fillId="10" borderId="103" xfId="0" applyFont="1" applyFill="1" applyBorder="1" applyAlignment="1">
      <alignment horizontal="center" wrapText="1"/>
    </xf>
    <xf numFmtId="0" fontId="8" fillId="10" borderId="115" xfId="0" applyFont="1" applyFill="1" applyBorder="1" applyAlignment="1">
      <alignment horizontal="center" vertical="center" wrapText="1"/>
    </xf>
    <xf numFmtId="0" fontId="8" fillId="10" borderId="103" xfId="0" applyFont="1" applyFill="1" applyBorder="1" applyAlignment="1">
      <alignment horizontal="center" vertical="center" wrapText="1"/>
    </xf>
    <xf numFmtId="0" fontId="8" fillId="0" borderId="24" xfId="0" applyFont="1" applyBorder="1" applyAlignment="1">
      <alignment horizontal="center" vertical="top" wrapText="1"/>
    </xf>
    <xf numFmtId="0" fontId="0" fillId="0" borderId="23" xfId="0" applyBorder="1" applyAlignment="1">
      <alignment horizontal="center" vertical="top"/>
    </xf>
    <xf numFmtId="0" fontId="0" fillId="0" borderId="0" xfId="0" applyAlignment="1">
      <alignment horizontal="center" vertical="top"/>
    </xf>
    <xf numFmtId="0" fontId="0" fillId="0" borderId="26" xfId="0" applyBorder="1" applyAlignment="1">
      <alignment horizontal="center" vertical="top"/>
    </xf>
    <xf numFmtId="0" fontId="8" fillId="0" borderId="14" xfId="0" applyFont="1" applyBorder="1" applyAlignment="1">
      <alignment horizontal="center" vertical="center"/>
    </xf>
    <xf numFmtId="0" fontId="8" fillId="0" borderId="23" xfId="0" applyFont="1" applyBorder="1" applyAlignment="1">
      <alignment horizontal="center" vertical="center"/>
    </xf>
    <xf numFmtId="0" fontId="8" fillId="0" borderId="13" xfId="0" applyFont="1" applyBorder="1" applyAlignment="1">
      <alignment horizontal="center" vertical="center"/>
    </xf>
    <xf numFmtId="0" fontId="8" fillId="0" borderId="15" xfId="0" applyFont="1" applyBorder="1" applyAlignment="1">
      <alignment horizontal="center" vertical="center"/>
    </xf>
    <xf numFmtId="0" fontId="8" fillId="0" borderId="26" xfId="0" applyFont="1" applyBorder="1" applyAlignment="1">
      <alignment horizontal="center" vertical="center"/>
    </xf>
    <xf numFmtId="0" fontId="8" fillId="0" borderId="5" xfId="0" applyFont="1" applyBorder="1" applyAlignment="1">
      <alignment horizontal="center" vertical="center"/>
    </xf>
    <xf numFmtId="0" fontId="46" fillId="20" borderId="14" xfId="0" applyFont="1" applyFill="1" applyBorder="1" applyAlignment="1">
      <alignment horizontal="center"/>
    </xf>
    <xf numFmtId="0" fontId="46" fillId="20" borderId="23" xfId="0" applyFont="1" applyFill="1" applyBorder="1" applyAlignment="1">
      <alignment horizontal="center"/>
    </xf>
  </cellXfs>
  <cellStyles count="13">
    <cellStyle name="Calculation" xfId="2" builtinId="22"/>
    <cellStyle name="Comma" xfId="5" builtinId="3"/>
    <cellStyle name="Currency" xfId="7" builtinId="4"/>
    <cellStyle name="Good" xfId="1" builtinId="26"/>
    <cellStyle name="Hyperlink" xfId="6" builtinId="8"/>
    <cellStyle name="Hypertextové prepojenie 2" xfId="9" xr:uid="{00000000-0005-0000-0000-000003000000}"/>
    <cellStyle name="Mena 2" xfId="11" xr:uid="{00000000-0005-0000-0000-000005000000}"/>
    <cellStyle name="Mena 3" xfId="12" xr:uid="{00000000-0005-0000-0000-000006000000}"/>
    <cellStyle name="Normal" xfId="0" builtinId="0"/>
    <cellStyle name="Normálna 2" xfId="8" xr:uid="{00000000-0005-0000-0000-000008000000}"/>
    <cellStyle name="Normálne 2" xfId="10" xr:uid="{00000000-0005-0000-0000-000009000000}"/>
    <cellStyle name="Note" xfId="3" builtinId="10"/>
    <cellStyle name="Percent" xfId="4" builtinId="5"/>
  </cellStyles>
  <dxfs count="32">
    <dxf>
      <font>
        <color theme="0" tint="-0.14996795556505021"/>
      </font>
    </dxf>
    <dxf>
      <font>
        <color theme="0" tint="-0.14996795556505021"/>
      </font>
    </dxf>
    <dxf>
      <fill>
        <patternFill>
          <bgColor theme="0" tint="-0.14996795556505021"/>
        </patternFill>
      </fill>
    </dxf>
    <dxf>
      <font>
        <b/>
        <i/>
        <color rgb="FFFF0000"/>
      </font>
    </dxf>
    <dxf>
      <font>
        <b/>
        <i/>
        <color rgb="FFFF0000"/>
      </font>
    </dxf>
    <dxf>
      <font>
        <b/>
        <i/>
        <color rgb="FFFF0000"/>
      </font>
    </dxf>
    <dxf>
      <font>
        <b/>
        <i val="0"/>
        <color rgb="FF00B050"/>
      </font>
    </dxf>
    <dxf>
      <font>
        <b/>
        <i/>
        <color rgb="FFFF0000"/>
      </font>
    </dxf>
    <dxf>
      <font>
        <b/>
        <i/>
        <color rgb="FFCA9D0C"/>
      </font>
    </dxf>
    <dxf>
      <font>
        <b/>
        <i/>
        <color rgb="FFCA9D0C"/>
      </font>
    </dxf>
    <dxf>
      <font>
        <b/>
        <i/>
        <color rgb="FFFF0000"/>
      </font>
    </dxf>
    <dxf>
      <font>
        <b/>
        <i/>
        <color rgb="FFFF0000"/>
      </font>
    </dxf>
    <dxf>
      <fill>
        <patternFill>
          <bgColor theme="7" tint="0.79998168889431442"/>
        </patternFill>
      </fill>
    </dxf>
    <dxf>
      <font>
        <color theme="0"/>
      </font>
    </dxf>
    <dxf>
      <fill>
        <patternFill>
          <bgColor theme="7" tint="0.79998168889431442"/>
        </patternFill>
      </fill>
    </dxf>
    <dxf>
      <font>
        <color theme="0"/>
      </font>
    </dxf>
    <dxf>
      <font>
        <color auto="1"/>
      </font>
      <fill>
        <patternFill>
          <bgColor theme="0" tint="-0.14996795556505021"/>
        </patternFill>
      </fill>
    </dxf>
    <dxf>
      <fill>
        <patternFill>
          <bgColor theme="7" tint="0.79998168889431442"/>
        </patternFill>
      </fill>
    </dxf>
    <dxf>
      <font>
        <b/>
        <i/>
        <color rgb="FFFF0000"/>
      </font>
    </dxf>
    <dxf>
      <font>
        <b/>
        <i/>
        <color rgb="FFFF0000"/>
      </font>
    </dxf>
    <dxf>
      <font>
        <b/>
        <i val="0"/>
        <condense val="0"/>
        <extend val="0"/>
        <color indexed="10"/>
      </font>
    </dxf>
    <dxf>
      <font>
        <b/>
        <i/>
        <color rgb="FFFF0000"/>
      </font>
    </dxf>
    <dxf>
      <font>
        <b/>
        <i/>
        <color rgb="FFFF0000"/>
      </font>
    </dxf>
    <dxf>
      <font>
        <b/>
        <i val="0"/>
        <color rgb="FF00B050"/>
      </font>
    </dxf>
    <dxf>
      <font>
        <b/>
        <i/>
        <color rgb="FFFF0000"/>
      </font>
    </dxf>
    <dxf>
      <font>
        <b/>
        <i val="0"/>
        <color rgb="FF00B050"/>
      </font>
    </dxf>
    <dxf>
      <font>
        <b/>
        <i/>
        <color rgb="FFFF0000"/>
      </font>
    </dxf>
    <dxf>
      <font>
        <b/>
        <i val="0"/>
        <color rgb="FF00B050"/>
      </font>
      <numFmt numFmtId="13" formatCode="0%"/>
    </dxf>
    <dxf>
      <font>
        <b/>
        <i/>
        <color rgb="FFFF0000"/>
      </font>
    </dxf>
    <dxf>
      <font>
        <b/>
        <i val="0"/>
        <color rgb="FF00B050"/>
      </font>
    </dxf>
    <dxf>
      <font>
        <color theme="0" tint="-0.24994659260841701"/>
      </font>
    </dxf>
    <dxf>
      <font>
        <color theme="0" tint="-0.24994659260841701"/>
      </font>
    </dxf>
  </dxfs>
  <tableStyles count="0" defaultTableStyle="TableStyleMedium2" defaultPivotStyle="PivotStyleLight16"/>
  <colors>
    <mruColors>
      <color rgb="FFFFFFCC"/>
      <color rgb="FFCA9D0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ustomXml" Target="../customXml/item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noFill/>
            <a:ln>
              <a:noFill/>
            </a:ln>
            <a:effectLst/>
          </c:spPr>
          <c:invertIfNegative val="0"/>
          <c:cat>
            <c:multiLvlStrRef>
              <c:f>Harmonogram!$B$3:$C$107</c:f>
              <c:multiLvlStrCache>
                <c:ptCount val="65"/>
                <c:lvl>
                  <c:pt idx="0">
                    <c:v>Analýza a dizajn</c:v>
                  </c:pt>
                  <c:pt idx="1">
                    <c:v>Nákupo HW a krabicový SW</c:v>
                  </c:pt>
                  <c:pt idx="2">
                    <c:v>Implementácia</c:v>
                  </c:pt>
                  <c:pt idx="3">
                    <c:v>Testovanie</c:v>
                  </c:pt>
                  <c:pt idx="4">
                    <c:v>Nasadenie</c:v>
                  </c:pt>
                  <c:pt idx="5">
                    <c:v>Analýza a dizajn</c:v>
                  </c:pt>
                  <c:pt idx="6">
                    <c:v>Nákupo HW a krabicový SW</c:v>
                  </c:pt>
                  <c:pt idx="7">
                    <c:v>Implementácia</c:v>
                  </c:pt>
                  <c:pt idx="8">
                    <c:v>Testovanie</c:v>
                  </c:pt>
                  <c:pt idx="9">
                    <c:v>Nasadenie</c:v>
                  </c:pt>
                  <c:pt idx="10">
                    <c:v>Analýza a dizajn</c:v>
                  </c:pt>
                  <c:pt idx="11">
                    <c:v>Nákupo HW a krabicový SW</c:v>
                  </c:pt>
                  <c:pt idx="12">
                    <c:v>Implementácia</c:v>
                  </c:pt>
                  <c:pt idx="13">
                    <c:v>Testovanie</c:v>
                  </c:pt>
                  <c:pt idx="14">
                    <c:v>Nasadenie</c:v>
                  </c:pt>
                  <c:pt idx="15">
                    <c:v>Analýza a dizajn</c:v>
                  </c:pt>
                  <c:pt idx="16">
                    <c:v>Nákupo HW a krabicový SW</c:v>
                  </c:pt>
                  <c:pt idx="17">
                    <c:v>Implementácia</c:v>
                  </c:pt>
                  <c:pt idx="18">
                    <c:v>Testovanie</c:v>
                  </c:pt>
                  <c:pt idx="19">
                    <c:v>Nasadenie</c:v>
                  </c:pt>
                  <c:pt idx="20">
                    <c:v>Analýza a dizajn</c:v>
                  </c:pt>
                  <c:pt idx="21">
                    <c:v>Nákupo HW a krabicový SW</c:v>
                  </c:pt>
                  <c:pt idx="22">
                    <c:v>Implementácia</c:v>
                  </c:pt>
                  <c:pt idx="23">
                    <c:v>Testovanie</c:v>
                  </c:pt>
                  <c:pt idx="24">
                    <c:v>Nasadenie</c:v>
                  </c:pt>
                  <c:pt idx="25">
                    <c:v>Analýza a dizajn</c:v>
                  </c:pt>
                  <c:pt idx="26">
                    <c:v>Nákupo HW a krabicový SW</c:v>
                  </c:pt>
                  <c:pt idx="27">
                    <c:v>Implementácia</c:v>
                  </c:pt>
                  <c:pt idx="28">
                    <c:v>Testovanie</c:v>
                  </c:pt>
                  <c:pt idx="29">
                    <c:v>Nasadenie</c:v>
                  </c:pt>
                  <c:pt idx="30">
                    <c:v>Analýza a dizajn</c:v>
                  </c:pt>
                  <c:pt idx="31">
                    <c:v>Nákupo HW a krabicový SW</c:v>
                  </c:pt>
                  <c:pt idx="32">
                    <c:v>Implementácia</c:v>
                  </c:pt>
                  <c:pt idx="33">
                    <c:v>Testovanie</c:v>
                  </c:pt>
                  <c:pt idx="34">
                    <c:v>Nasadenie</c:v>
                  </c:pt>
                  <c:pt idx="35">
                    <c:v>Analýza a dizajn</c:v>
                  </c:pt>
                  <c:pt idx="36">
                    <c:v>Nákupo HW a krabicový SW</c:v>
                  </c:pt>
                  <c:pt idx="37">
                    <c:v>Implementácia</c:v>
                  </c:pt>
                  <c:pt idx="38">
                    <c:v>Testovanie</c:v>
                  </c:pt>
                  <c:pt idx="39">
                    <c:v>Nasadenie</c:v>
                  </c:pt>
                  <c:pt idx="40">
                    <c:v>Analýza a dizajn</c:v>
                  </c:pt>
                  <c:pt idx="41">
                    <c:v>Nákupo HW a krabicový SW</c:v>
                  </c:pt>
                  <c:pt idx="42">
                    <c:v>Implementácia</c:v>
                  </c:pt>
                  <c:pt idx="43">
                    <c:v>Testovanie</c:v>
                  </c:pt>
                  <c:pt idx="44">
                    <c:v>Nasadenie</c:v>
                  </c:pt>
                  <c:pt idx="45">
                    <c:v>Analýza a dizajn</c:v>
                  </c:pt>
                  <c:pt idx="46">
                    <c:v>Nákupo HW a krabicový SW</c:v>
                  </c:pt>
                  <c:pt idx="47">
                    <c:v>Implementácia</c:v>
                  </c:pt>
                  <c:pt idx="48">
                    <c:v>Testovanie</c:v>
                  </c:pt>
                  <c:pt idx="49">
                    <c:v>Nasadenie</c:v>
                  </c:pt>
                  <c:pt idx="50">
                    <c:v>Analýza a dizajn</c:v>
                  </c:pt>
                  <c:pt idx="51">
                    <c:v>Nákupo HW a krabicový SW</c:v>
                  </c:pt>
                  <c:pt idx="52">
                    <c:v>Implementácia</c:v>
                  </c:pt>
                  <c:pt idx="53">
                    <c:v>Testovanie</c:v>
                  </c:pt>
                  <c:pt idx="54">
                    <c:v>Nasadenie</c:v>
                  </c:pt>
                  <c:pt idx="55">
                    <c:v>Analýza a dizajn</c:v>
                  </c:pt>
                  <c:pt idx="56">
                    <c:v>Nákupo HW a krabicový SW</c:v>
                  </c:pt>
                  <c:pt idx="57">
                    <c:v>Implementácia</c:v>
                  </c:pt>
                  <c:pt idx="58">
                    <c:v>Testovanie</c:v>
                  </c:pt>
                  <c:pt idx="59">
                    <c:v>Nasadenie</c:v>
                  </c:pt>
                  <c:pt idx="60">
                    <c:v>Analýza a dizajn</c:v>
                  </c:pt>
                  <c:pt idx="61">
                    <c:v>Nákupo HW a krabicový SW</c:v>
                  </c:pt>
                  <c:pt idx="62">
                    <c:v>Implementácia</c:v>
                  </c:pt>
                  <c:pt idx="63">
                    <c:v>Testovanie</c:v>
                  </c:pt>
                  <c:pt idx="64">
                    <c:v>Nasadenie</c:v>
                  </c:pt>
                </c:lvl>
                <c:lvl>
                  <c:pt idx="0">
                    <c:v>Grafické rozhranie agendového systému -  správa podaní a konaní</c:v>
                  </c:pt>
                  <c:pt idx="5">
                    <c:v>Grafické rozhranie agendového systému - poskytovanie udajov a platby</c:v>
                  </c:pt>
                  <c:pt idx="10">
                    <c:v>Grafické rozhranie agendového systému - správa údajov katastra</c:v>
                  </c:pt>
                  <c:pt idx="15">
                    <c:v>Integračné služby - poskytovanie udajov a platby</c:v>
                  </c:pt>
                  <c:pt idx="20">
                    <c:v>Integračné služby - správa podaní a konaní </c:v>
                  </c:pt>
                  <c:pt idx="25">
                    <c:v>Integračné služby - správa údajov katastra</c:v>
                  </c:pt>
                  <c:pt idx="30">
                    <c:v>Registratúrne stredisko - Platby </c:v>
                  </c:pt>
                  <c:pt idx="35">
                    <c:v>Registratúrne stredisko - Podania a konania</c:v>
                  </c:pt>
                  <c:pt idx="40">
                    <c:v>Registratúrne stredisko - Poskytovanie údajov  </c:v>
                  </c:pt>
                  <c:pt idx="45">
                    <c:v>Stredisko katastrálneho operátu</c:v>
                  </c:pt>
                  <c:pt idx="50">
                    <c:v>Stredisko podporných služieb - poskytovanie udajov a platby</c:v>
                  </c:pt>
                  <c:pt idx="55">
                    <c:v>Stredisko podporných služieb - správa podaní a konaní</c:v>
                  </c:pt>
                  <c:pt idx="60">
                    <c:v>Stredisko podporných služieb - správa údajov katastra</c:v>
                  </c:pt>
                </c:lvl>
              </c:multiLvlStrCache>
            </c:multiLvlStrRef>
          </c:cat>
          <c:val>
            <c:numRef>
              <c:f>Harmonogram!$H$3:$H$107</c:f>
              <c:numCache>
                <c:formatCode>General</c:formatCode>
                <c:ptCount val="105"/>
                <c:pt idx="0">
                  <c:v>0</c:v>
                </c:pt>
                <c:pt idx="1">
                  <c:v>-1</c:v>
                </c:pt>
                <c:pt idx="2">
                  <c:v>3</c:v>
                </c:pt>
                <c:pt idx="3">
                  <c:v>3</c:v>
                </c:pt>
                <c:pt idx="4">
                  <c:v>10</c:v>
                </c:pt>
                <c:pt idx="5">
                  <c:v>12</c:v>
                </c:pt>
                <c:pt idx="6">
                  <c:v>-1</c:v>
                </c:pt>
                <c:pt idx="7">
                  <c:v>3</c:v>
                </c:pt>
                <c:pt idx="8">
                  <c:v>3</c:v>
                </c:pt>
                <c:pt idx="9">
                  <c:v>10</c:v>
                </c:pt>
                <c:pt idx="10">
                  <c:v>-12</c:v>
                </c:pt>
                <c:pt idx="11">
                  <c:v>-1</c:v>
                </c:pt>
                <c:pt idx="12">
                  <c:v>3</c:v>
                </c:pt>
                <c:pt idx="13">
                  <c:v>10</c:v>
                </c:pt>
                <c:pt idx="14">
                  <c:v>-1</c:v>
                </c:pt>
                <c:pt idx="15">
                  <c:v>12</c:v>
                </c:pt>
                <c:pt idx="16">
                  <c:v>-1</c:v>
                </c:pt>
                <c:pt idx="17">
                  <c:v>3</c:v>
                </c:pt>
                <c:pt idx="18">
                  <c:v>10</c:v>
                </c:pt>
                <c:pt idx="19">
                  <c:v>-1</c:v>
                </c:pt>
                <c:pt idx="20">
                  <c:v>0</c:v>
                </c:pt>
                <c:pt idx="21">
                  <c:v>-1</c:v>
                </c:pt>
                <c:pt idx="22">
                  <c:v>3</c:v>
                </c:pt>
                <c:pt idx="23">
                  <c:v>10</c:v>
                </c:pt>
                <c:pt idx="24">
                  <c:v>-1</c:v>
                </c:pt>
                <c:pt idx="25">
                  <c:v>-12</c:v>
                </c:pt>
                <c:pt idx="26">
                  <c:v>-1</c:v>
                </c:pt>
                <c:pt idx="27">
                  <c:v>3</c:v>
                </c:pt>
                <c:pt idx="28">
                  <c:v>10</c:v>
                </c:pt>
                <c:pt idx="29">
                  <c:v>-1</c:v>
                </c:pt>
                <c:pt idx="30">
                  <c:v>12</c:v>
                </c:pt>
                <c:pt idx="31">
                  <c:v>-1</c:v>
                </c:pt>
                <c:pt idx="32">
                  <c:v>3</c:v>
                </c:pt>
                <c:pt idx="33">
                  <c:v>10</c:v>
                </c:pt>
                <c:pt idx="34">
                  <c:v>-1</c:v>
                </c:pt>
                <c:pt idx="35">
                  <c:v>0</c:v>
                </c:pt>
                <c:pt idx="36">
                  <c:v>-1</c:v>
                </c:pt>
                <c:pt idx="37">
                  <c:v>3</c:v>
                </c:pt>
                <c:pt idx="38">
                  <c:v>10</c:v>
                </c:pt>
                <c:pt idx="39">
                  <c:v>-1</c:v>
                </c:pt>
                <c:pt idx="40">
                  <c:v>12</c:v>
                </c:pt>
                <c:pt idx="41">
                  <c:v>-1</c:v>
                </c:pt>
                <c:pt idx="42">
                  <c:v>3</c:v>
                </c:pt>
                <c:pt idx="43">
                  <c:v>10</c:v>
                </c:pt>
                <c:pt idx="44">
                  <c:v>-1</c:v>
                </c:pt>
                <c:pt idx="45">
                  <c:v>-12</c:v>
                </c:pt>
                <c:pt idx="46">
                  <c:v>-1</c:v>
                </c:pt>
                <c:pt idx="47">
                  <c:v>-1</c:v>
                </c:pt>
                <c:pt idx="48">
                  <c:v>-1</c:v>
                </c:pt>
                <c:pt idx="49">
                  <c:v>-1</c:v>
                </c:pt>
                <c:pt idx="50">
                  <c:v>12</c:v>
                </c:pt>
                <c:pt idx="51">
                  <c:v>-1</c:v>
                </c:pt>
                <c:pt idx="52">
                  <c:v>-1</c:v>
                </c:pt>
                <c:pt idx="53">
                  <c:v>-1</c:v>
                </c:pt>
                <c:pt idx="54">
                  <c:v>-1</c:v>
                </c:pt>
                <c:pt idx="55">
                  <c:v>0</c:v>
                </c:pt>
                <c:pt idx="56">
                  <c:v>-1</c:v>
                </c:pt>
                <c:pt idx="57">
                  <c:v>-1</c:v>
                </c:pt>
                <c:pt idx="58">
                  <c:v>-1</c:v>
                </c:pt>
                <c:pt idx="59">
                  <c:v>-1</c:v>
                </c:pt>
                <c:pt idx="60">
                  <c:v>-12</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-1</c:v>
                </c:pt>
                <c:pt idx="92">
                  <c:v>-1</c:v>
                </c:pt>
                <c:pt idx="93">
                  <c:v>-1</c:v>
                </c:pt>
                <c:pt idx="94">
                  <c:v>-1</c:v>
                </c:pt>
                <c:pt idx="95">
                  <c:v>-1</c:v>
                </c:pt>
                <c:pt idx="96">
                  <c:v>-1</c:v>
                </c:pt>
                <c:pt idx="97">
                  <c:v>-1</c:v>
                </c:pt>
                <c:pt idx="98">
                  <c:v>-1</c:v>
                </c:pt>
                <c:pt idx="99">
                  <c:v>-1</c:v>
                </c:pt>
                <c:pt idx="100">
                  <c:v>-1</c:v>
                </c:pt>
                <c:pt idx="101">
                  <c:v>-1</c:v>
                </c:pt>
                <c:pt idx="102">
                  <c:v>-1</c:v>
                </c:pt>
                <c:pt idx="103">
                  <c:v>-1</c:v>
                </c:pt>
                <c:pt idx="104">
                  <c:v>-1</c:v>
                </c:pt>
              </c:numCache>
            </c:numRef>
          </c:val>
          <c:extLst>
            <c:ext xmlns:c16="http://schemas.microsoft.com/office/drawing/2014/chart" uri="{C3380CC4-5D6E-409C-BE32-E72D297353CC}">
              <c16:uniqueId val="{00000000-1BEF-452E-B8C6-F82A3524DD3D}"/>
            </c:ext>
          </c:extLst>
        </c:ser>
        <c:ser>
          <c:idx val="1"/>
          <c:order val="1"/>
          <c:spPr>
            <a:solidFill>
              <a:schemeClr val="tx2">
                <a:lumMod val="75000"/>
              </a:schemeClr>
            </a:solidFill>
            <a:ln>
              <a:noFill/>
            </a:ln>
            <a:effectLst/>
          </c:spPr>
          <c:invertIfNegative val="0"/>
          <c:cat>
            <c:multiLvlStrRef>
              <c:f>Harmonogram!$B$3:$C$107</c:f>
              <c:multiLvlStrCache>
                <c:ptCount val="65"/>
                <c:lvl>
                  <c:pt idx="0">
                    <c:v>Analýza a dizajn</c:v>
                  </c:pt>
                  <c:pt idx="1">
                    <c:v>Nákupo HW a krabicový SW</c:v>
                  </c:pt>
                  <c:pt idx="2">
                    <c:v>Implementácia</c:v>
                  </c:pt>
                  <c:pt idx="3">
                    <c:v>Testovanie</c:v>
                  </c:pt>
                  <c:pt idx="4">
                    <c:v>Nasadenie</c:v>
                  </c:pt>
                  <c:pt idx="5">
                    <c:v>Analýza a dizajn</c:v>
                  </c:pt>
                  <c:pt idx="6">
                    <c:v>Nákupo HW a krabicový SW</c:v>
                  </c:pt>
                  <c:pt idx="7">
                    <c:v>Implementácia</c:v>
                  </c:pt>
                  <c:pt idx="8">
                    <c:v>Testovanie</c:v>
                  </c:pt>
                  <c:pt idx="9">
                    <c:v>Nasadenie</c:v>
                  </c:pt>
                  <c:pt idx="10">
                    <c:v>Analýza a dizajn</c:v>
                  </c:pt>
                  <c:pt idx="11">
                    <c:v>Nákupo HW a krabicový SW</c:v>
                  </c:pt>
                  <c:pt idx="12">
                    <c:v>Implementácia</c:v>
                  </c:pt>
                  <c:pt idx="13">
                    <c:v>Testovanie</c:v>
                  </c:pt>
                  <c:pt idx="14">
                    <c:v>Nasadenie</c:v>
                  </c:pt>
                  <c:pt idx="15">
                    <c:v>Analýza a dizajn</c:v>
                  </c:pt>
                  <c:pt idx="16">
                    <c:v>Nákupo HW a krabicový SW</c:v>
                  </c:pt>
                  <c:pt idx="17">
                    <c:v>Implementácia</c:v>
                  </c:pt>
                  <c:pt idx="18">
                    <c:v>Testovanie</c:v>
                  </c:pt>
                  <c:pt idx="19">
                    <c:v>Nasadenie</c:v>
                  </c:pt>
                  <c:pt idx="20">
                    <c:v>Analýza a dizajn</c:v>
                  </c:pt>
                  <c:pt idx="21">
                    <c:v>Nákupo HW a krabicový SW</c:v>
                  </c:pt>
                  <c:pt idx="22">
                    <c:v>Implementácia</c:v>
                  </c:pt>
                  <c:pt idx="23">
                    <c:v>Testovanie</c:v>
                  </c:pt>
                  <c:pt idx="24">
                    <c:v>Nasadenie</c:v>
                  </c:pt>
                  <c:pt idx="25">
                    <c:v>Analýza a dizajn</c:v>
                  </c:pt>
                  <c:pt idx="26">
                    <c:v>Nákupo HW a krabicový SW</c:v>
                  </c:pt>
                  <c:pt idx="27">
                    <c:v>Implementácia</c:v>
                  </c:pt>
                  <c:pt idx="28">
                    <c:v>Testovanie</c:v>
                  </c:pt>
                  <c:pt idx="29">
                    <c:v>Nasadenie</c:v>
                  </c:pt>
                  <c:pt idx="30">
                    <c:v>Analýza a dizajn</c:v>
                  </c:pt>
                  <c:pt idx="31">
                    <c:v>Nákupo HW a krabicový SW</c:v>
                  </c:pt>
                  <c:pt idx="32">
                    <c:v>Implementácia</c:v>
                  </c:pt>
                  <c:pt idx="33">
                    <c:v>Testovanie</c:v>
                  </c:pt>
                  <c:pt idx="34">
                    <c:v>Nasadenie</c:v>
                  </c:pt>
                  <c:pt idx="35">
                    <c:v>Analýza a dizajn</c:v>
                  </c:pt>
                  <c:pt idx="36">
                    <c:v>Nákupo HW a krabicový SW</c:v>
                  </c:pt>
                  <c:pt idx="37">
                    <c:v>Implementácia</c:v>
                  </c:pt>
                  <c:pt idx="38">
                    <c:v>Testovanie</c:v>
                  </c:pt>
                  <c:pt idx="39">
                    <c:v>Nasadenie</c:v>
                  </c:pt>
                  <c:pt idx="40">
                    <c:v>Analýza a dizajn</c:v>
                  </c:pt>
                  <c:pt idx="41">
                    <c:v>Nákupo HW a krabicový SW</c:v>
                  </c:pt>
                  <c:pt idx="42">
                    <c:v>Implementácia</c:v>
                  </c:pt>
                  <c:pt idx="43">
                    <c:v>Testovanie</c:v>
                  </c:pt>
                  <c:pt idx="44">
                    <c:v>Nasadenie</c:v>
                  </c:pt>
                  <c:pt idx="45">
                    <c:v>Analýza a dizajn</c:v>
                  </c:pt>
                  <c:pt idx="46">
                    <c:v>Nákupo HW a krabicový SW</c:v>
                  </c:pt>
                  <c:pt idx="47">
                    <c:v>Implementácia</c:v>
                  </c:pt>
                  <c:pt idx="48">
                    <c:v>Testovanie</c:v>
                  </c:pt>
                  <c:pt idx="49">
                    <c:v>Nasadenie</c:v>
                  </c:pt>
                  <c:pt idx="50">
                    <c:v>Analýza a dizajn</c:v>
                  </c:pt>
                  <c:pt idx="51">
                    <c:v>Nákupo HW a krabicový SW</c:v>
                  </c:pt>
                  <c:pt idx="52">
                    <c:v>Implementácia</c:v>
                  </c:pt>
                  <c:pt idx="53">
                    <c:v>Testovanie</c:v>
                  </c:pt>
                  <c:pt idx="54">
                    <c:v>Nasadenie</c:v>
                  </c:pt>
                  <c:pt idx="55">
                    <c:v>Analýza a dizajn</c:v>
                  </c:pt>
                  <c:pt idx="56">
                    <c:v>Nákupo HW a krabicový SW</c:v>
                  </c:pt>
                  <c:pt idx="57">
                    <c:v>Implementácia</c:v>
                  </c:pt>
                  <c:pt idx="58">
                    <c:v>Testovanie</c:v>
                  </c:pt>
                  <c:pt idx="59">
                    <c:v>Nasadenie</c:v>
                  </c:pt>
                  <c:pt idx="60">
                    <c:v>Analýza a dizajn</c:v>
                  </c:pt>
                  <c:pt idx="61">
                    <c:v>Nákupo HW a krabicový SW</c:v>
                  </c:pt>
                  <c:pt idx="62">
                    <c:v>Implementácia</c:v>
                  </c:pt>
                  <c:pt idx="63">
                    <c:v>Testovanie</c:v>
                  </c:pt>
                  <c:pt idx="64">
                    <c:v>Nasadenie</c:v>
                  </c:pt>
                </c:lvl>
                <c:lvl>
                  <c:pt idx="0">
                    <c:v>Grafické rozhranie agendového systému -  správa podaní a konaní</c:v>
                  </c:pt>
                  <c:pt idx="5">
                    <c:v>Grafické rozhranie agendového systému - poskytovanie udajov a platby</c:v>
                  </c:pt>
                  <c:pt idx="10">
                    <c:v>Grafické rozhranie agendového systému - správa údajov katastra</c:v>
                  </c:pt>
                  <c:pt idx="15">
                    <c:v>Integračné služby - poskytovanie udajov a platby</c:v>
                  </c:pt>
                  <c:pt idx="20">
                    <c:v>Integračné služby - správa podaní a konaní </c:v>
                  </c:pt>
                  <c:pt idx="25">
                    <c:v>Integračné služby - správa údajov katastra</c:v>
                  </c:pt>
                  <c:pt idx="30">
                    <c:v>Registratúrne stredisko - Platby </c:v>
                  </c:pt>
                  <c:pt idx="35">
                    <c:v>Registratúrne stredisko - Podania a konania</c:v>
                  </c:pt>
                  <c:pt idx="40">
                    <c:v>Registratúrne stredisko - Poskytovanie údajov  </c:v>
                  </c:pt>
                  <c:pt idx="45">
                    <c:v>Stredisko katastrálneho operátu</c:v>
                  </c:pt>
                  <c:pt idx="50">
                    <c:v>Stredisko podporných služieb - poskytovanie udajov a platby</c:v>
                  </c:pt>
                  <c:pt idx="55">
                    <c:v>Stredisko podporných služieb - správa podaní a konaní</c:v>
                  </c:pt>
                  <c:pt idx="60">
                    <c:v>Stredisko podporných služieb - správa údajov katastra</c:v>
                  </c:pt>
                </c:lvl>
              </c:multiLvlStrCache>
            </c:multiLvlStrRef>
          </c:cat>
          <c:val>
            <c:numRef>
              <c:f>Harmonogram!$I$3:$I$107</c:f>
              <c:numCache>
                <c:formatCode>General</c:formatCode>
                <c:ptCount val="105"/>
                <c:pt idx="0">
                  <c:v>3</c:v>
                </c:pt>
                <c:pt idx="1">
                  <c:v>0</c:v>
                </c:pt>
                <c:pt idx="2">
                  <c:v>7</c:v>
                </c:pt>
                <c:pt idx="3">
                  <c:v>7</c:v>
                </c:pt>
                <c:pt idx="4">
                  <c:v>2</c:v>
                </c:pt>
                <c:pt idx="5">
                  <c:v>3</c:v>
                </c:pt>
                <c:pt idx="6">
                  <c:v>0</c:v>
                </c:pt>
                <c:pt idx="7">
                  <c:v>7</c:v>
                </c:pt>
                <c:pt idx="8">
                  <c:v>7</c:v>
                </c:pt>
                <c:pt idx="9">
                  <c:v>14</c:v>
                </c:pt>
                <c:pt idx="10">
                  <c:v>3</c:v>
                </c:pt>
                <c:pt idx="11">
                  <c:v>0</c:v>
                </c:pt>
                <c:pt idx="12">
                  <c:v>7</c:v>
                </c:pt>
                <c:pt idx="13">
                  <c:v>2</c:v>
                </c:pt>
                <c:pt idx="14">
                  <c:v>1</c:v>
                </c:pt>
                <c:pt idx="15">
                  <c:v>3</c:v>
                </c:pt>
                <c:pt idx="16">
                  <c:v>0</c:v>
                </c:pt>
                <c:pt idx="17">
                  <c:v>7</c:v>
                </c:pt>
                <c:pt idx="18">
                  <c:v>2</c:v>
                </c:pt>
                <c:pt idx="19">
                  <c:v>25</c:v>
                </c:pt>
                <c:pt idx="20">
                  <c:v>3</c:v>
                </c:pt>
                <c:pt idx="21">
                  <c:v>0</c:v>
                </c:pt>
                <c:pt idx="22">
                  <c:v>7</c:v>
                </c:pt>
                <c:pt idx="23">
                  <c:v>2</c:v>
                </c:pt>
                <c:pt idx="24">
                  <c:v>13</c:v>
                </c:pt>
                <c:pt idx="25">
                  <c:v>3</c:v>
                </c:pt>
                <c:pt idx="26">
                  <c:v>0</c:v>
                </c:pt>
                <c:pt idx="27">
                  <c:v>7</c:v>
                </c:pt>
                <c:pt idx="28">
                  <c:v>2</c:v>
                </c:pt>
                <c:pt idx="29">
                  <c:v>1</c:v>
                </c:pt>
                <c:pt idx="30">
                  <c:v>3</c:v>
                </c:pt>
                <c:pt idx="31">
                  <c:v>0</c:v>
                </c:pt>
                <c:pt idx="32">
                  <c:v>7</c:v>
                </c:pt>
                <c:pt idx="33">
                  <c:v>2</c:v>
                </c:pt>
                <c:pt idx="34">
                  <c:v>25</c:v>
                </c:pt>
                <c:pt idx="35">
                  <c:v>3</c:v>
                </c:pt>
                <c:pt idx="36">
                  <c:v>0</c:v>
                </c:pt>
                <c:pt idx="37">
                  <c:v>7</c:v>
                </c:pt>
                <c:pt idx="38">
                  <c:v>2</c:v>
                </c:pt>
                <c:pt idx="39">
                  <c:v>13</c:v>
                </c:pt>
                <c:pt idx="40">
                  <c:v>3</c:v>
                </c:pt>
                <c:pt idx="41">
                  <c:v>0</c:v>
                </c:pt>
                <c:pt idx="42">
                  <c:v>7</c:v>
                </c:pt>
                <c:pt idx="43">
                  <c:v>2</c:v>
                </c:pt>
                <c:pt idx="44">
                  <c:v>25</c:v>
                </c:pt>
                <c:pt idx="49">
                  <c:v>1</c:v>
                </c:pt>
                <c:pt idx="54">
                  <c:v>25</c:v>
                </c:pt>
                <c:pt idx="59">
                  <c:v>13</c:v>
                </c:pt>
                <c:pt idx="64">
                  <c:v>1</c:v>
                </c:pt>
                <c:pt idx="69">
                  <c:v>1</c:v>
                </c:pt>
                <c:pt idx="74">
                  <c:v>1</c:v>
                </c:pt>
                <c:pt idx="79">
                  <c:v>1</c:v>
                </c:pt>
                <c:pt idx="84">
                  <c:v>1</c:v>
                </c:pt>
                <c:pt idx="89">
                  <c:v>1</c:v>
                </c:pt>
                <c:pt idx="94">
                  <c:v>1</c:v>
                </c:pt>
                <c:pt idx="99">
                  <c:v>1</c:v>
                </c:pt>
                <c:pt idx="104">
                  <c:v>1</c:v>
                </c:pt>
              </c:numCache>
            </c:numRef>
          </c:val>
          <c:extLst>
            <c:ext xmlns:c16="http://schemas.microsoft.com/office/drawing/2014/chart" uri="{C3380CC4-5D6E-409C-BE32-E72D297353CC}">
              <c16:uniqueId val="{00000003-1BEF-452E-B8C6-F82A3524DD3D}"/>
            </c:ext>
          </c:extLst>
        </c:ser>
        <c:dLbls>
          <c:showLegendKey val="0"/>
          <c:showVal val="0"/>
          <c:showCatName val="0"/>
          <c:showSerName val="0"/>
          <c:showPercent val="0"/>
          <c:showBubbleSize val="0"/>
        </c:dLbls>
        <c:gapWidth val="150"/>
        <c:overlap val="100"/>
        <c:axId val="315036191"/>
        <c:axId val="243043167"/>
      </c:barChart>
      <c:catAx>
        <c:axId val="315036191"/>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243043167"/>
        <c:crosses val="autoZero"/>
        <c:auto val="1"/>
        <c:lblAlgn val="ctr"/>
        <c:lblOffset val="100"/>
        <c:noMultiLvlLbl val="0"/>
      </c:catAx>
      <c:valAx>
        <c:axId val="243043167"/>
        <c:scaling>
          <c:orientation val="minMax"/>
        </c:scaling>
        <c:delete val="0"/>
        <c:axPos val="t"/>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315036191"/>
        <c:crosses val="autoZero"/>
        <c:crossBetween val="between"/>
        <c:majorUnit val="1"/>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k-SK"/>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74</xdr:col>
      <xdr:colOff>266700</xdr:colOff>
      <xdr:row>5</xdr:row>
      <xdr:rowOff>0</xdr:rowOff>
    </xdr:from>
    <xdr:to>
      <xdr:col>93</xdr:col>
      <xdr:colOff>305920</xdr:colOff>
      <xdr:row>31</xdr:row>
      <xdr:rowOff>129988</xdr:rowOff>
    </xdr:to>
    <xdr:pic>
      <xdr:nvPicPr>
        <xdr:cNvPr id="2" name="Picture 1">
          <a:extLst>
            <a:ext uri="{FF2B5EF4-FFF2-40B4-BE49-F238E27FC236}">
              <a16:creationId xmlns:a16="http://schemas.microsoft.com/office/drawing/2014/main" id="{A6D3BB2D-28DF-C687-4152-44A718835965}"/>
            </a:ext>
          </a:extLst>
        </xdr:cNvPr>
        <xdr:cNvPicPr>
          <a:picLocks noChangeAspect="1"/>
        </xdr:cNvPicPr>
      </xdr:nvPicPr>
      <xdr:blipFill>
        <a:blip xmlns:r="http://schemas.openxmlformats.org/officeDocument/2006/relationships" r:embed="rId1"/>
        <a:stretch>
          <a:fillRect/>
        </a:stretch>
      </xdr:blipFill>
      <xdr:spPr>
        <a:xfrm>
          <a:off x="69456300" y="1638300"/>
          <a:ext cx="11621620" cy="508298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11</xdr:col>
      <xdr:colOff>7620</xdr:colOff>
      <xdr:row>1</xdr:row>
      <xdr:rowOff>91440</xdr:rowOff>
    </xdr:from>
    <xdr:to>
      <xdr:col>23</xdr:col>
      <xdr:colOff>502920</xdr:colOff>
      <xdr:row>107</xdr:row>
      <xdr:rowOff>53340</xdr:rowOff>
    </xdr:to>
    <xdr:graphicFrame macro="">
      <xdr:nvGraphicFramePr>
        <xdr:cNvPr id="2" name="Graf 1">
          <a:extLst>
            <a:ext uri="{FF2B5EF4-FFF2-40B4-BE49-F238E27FC236}">
              <a16:creationId xmlns:a16="http://schemas.microsoft.com/office/drawing/2014/main" id="{18A32D78-6FAE-47C1-8BC5-7F720AC5882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3</xdr:row>
      <xdr:rowOff>19050</xdr:rowOff>
    </xdr:from>
    <xdr:to>
      <xdr:col>11</xdr:col>
      <xdr:colOff>552450</xdr:colOff>
      <xdr:row>35</xdr:row>
      <xdr:rowOff>140105</xdr:rowOff>
    </xdr:to>
    <xdr:pic>
      <xdr:nvPicPr>
        <xdr:cNvPr id="2" name="Obrázok 1">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590550"/>
          <a:ext cx="7258050" cy="6217055"/>
        </a:xfrm>
        <a:prstGeom prst="rect">
          <a:avLst/>
        </a:prstGeom>
      </xdr:spPr>
    </xdr:pic>
    <xdr:clientData/>
  </xdr:twoCellAnchor>
  <xdr:twoCellAnchor editAs="oneCell">
    <xdr:from>
      <xdr:col>18</xdr:col>
      <xdr:colOff>600074</xdr:colOff>
      <xdr:row>3</xdr:row>
      <xdr:rowOff>0</xdr:rowOff>
    </xdr:from>
    <xdr:to>
      <xdr:col>44</xdr:col>
      <xdr:colOff>508192</xdr:colOff>
      <xdr:row>35</xdr:row>
      <xdr:rowOff>0</xdr:rowOff>
    </xdr:to>
    <xdr:pic>
      <xdr:nvPicPr>
        <xdr:cNvPr id="3" name="Obrázok 2">
          <a:extLst>
            <a:ext uri="{FF2B5EF4-FFF2-40B4-BE49-F238E27FC236}">
              <a16:creationId xmlns:a16="http://schemas.microsoft.com/office/drawing/2014/main" id="{00000000-0008-0000-11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572874" y="571500"/>
          <a:ext cx="15757718" cy="60960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7ec55e5b485898c3/MIRRI_Dokumentacia/P_01_a_I_01_a_P_03_a_I_03_PRILOHA_KATALOG_POZIADAVIEK_mapovanie-a-zivotny-cyklus_Projekt_AA_OVM_BB_OsobaXY_DDMMYY_v0.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VINNE_STANDARDY_ISVS"/>
      <sheetName val="KATALOG_POZIADAVKY"/>
      <sheetName val="FINAL_UCPA_Moduly"/>
      <sheetName val="MODULY"/>
      <sheetName val="TFC_v02"/>
      <sheetName val="ECF_v02"/>
      <sheetName val="UAW_v02"/>
      <sheetName val="INKREMENTY"/>
      <sheetName val="VZOR_OTAZKY_DO_VO"/>
      <sheetName val="VZOR_TESTOVANIE"/>
      <sheetName val="VZOR_POZIADAVKY_PROCESY_EVS"/>
      <sheetName val="Skratky"/>
      <sheetName val="CISELNIK"/>
      <sheetName val="POVINNE_STANDARDY_ISVS1"/>
      <sheetName val="VZOR_OTAZKY_DO_VO1"/>
      <sheetName val="VZOR_POZIADAVKY_PROCESY_EVS1"/>
      <sheetName val="POVINNE STANDARDY_ISVS"/>
      <sheetName val="VZOR_OTAZKY DO VO"/>
      <sheetName val="VZOR_POZIADAVKY PROCESY_EVS"/>
      <sheetName val="MODULY_CBA"/>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A2">
            <v>0</v>
          </cell>
          <cell r="B2" t="str">
            <v>Funkcna poziadavka</v>
          </cell>
        </row>
        <row r="3">
          <cell r="A3">
            <v>15</v>
          </cell>
          <cell r="B3" t="str">
            <v>Nefunkcna poziadavka</v>
          </cell>
        </row>
        <row r="4">
          <cell r="A4">
            <v>20</v>
          </cell>
          <cell r="B4" t="str">
            <v>Technicka poziadavka</v>
          </cell>
        </row>
        <row r="5">
          <cell r="A5">
            <v>25</v>
          </cell>
        </row>
        <row r="6">
          <cell r="A6">
            <v>30</v>
          </cell>
        </row>
      </sheetData>
      <sheetData sheetId="13"/>
      <sheetData sheetId="14"/>
      <sheetData sheetId="15"/>
      <sheetData sheetId="16"/>
      <sheetData sheetId="17"/>
      <sheetData sheetId="18"/>
      <sheetData sheetId="1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skgeodesy.sk/sk/"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árok1">
    <tabColor rgb="FFFFFF00"/>
  </sheetPr>
  <dimension ref="A1:R40"/>
  <sheetViews>
    <sheetView zoomScaleNormal="100" workbookViewId="0">
      <selection activeCell="E36" sqref="E36"/>
    </sheetView>
  </sheetViews>
  <sheetFormatPr defaultColWidth="8.81640625" defaultRowHeight="14.5"/>
  <cols>
    <col min="2" max="2" width="11.7265625" customWidth="1"/>
    <col min="4" max="4" width="6.453125" customWidth="1"/>
    <col min="6" max="6" width="7.7265625" customWidth="1"/>
    <col min="7" max="7" width="12.26953125" customWidth="1"/>
    <col min="8" max="8" width="6" customWidth="1"/>
    <col min="9" max="9" width="14.26953125" customWidth="1"/>
  </cols>
  <sheetData>
    <row r="1" spans="1:18">
      <c r="A1" s="34"/>
      <c r="B1" s="34"/>
      <c r="C1" s="34"/>
      <c r="D1" s="34"/>
      <c r="E1" s="34"/>
      <c r="F1" s="34"/>
      <c r="G1" s="34"/>
      <c r="H1" s="34"/>
      <c r="I1" s="34"/>
      <c r="J1" s="236"/>
      <c r="K1" s="237"/>
      <c r="L1" s="237"/>
      <c r="M1" s="237"/>
      <c r="N1" s="237"/>
      <c r="O1" s="237"/>
      <c r="P1" s="237"/>
      <c r="Q1" s="237"/>
      <c r="R1" s="237"/>
    </row>
    <row r="2" spans="1:18">
      <c r="A2" s="34"/>
      <c r="B2" s="34"/>
      <c r="C2" s="34"/>
      <c r="D2" s="34"/>
      <c r="E2" s="34"/>
      <c r="F2" s="34"/>
      <c r="G2" s="34"/>
      <c r="H2" s="34"/>
      <c r="I2" s="34"/>
      <c r="J2" s="237"/>
      <c r="K2" s="237"/>
      <c r="L2" s="237"/>
      <c r="M2" s="237"/>
      <c r="N2" s="237"/>
      <c r="O2" s="237"/>
      <c r="P2" s="237"/>
      <c r="Q2" s="237"/>
      <c r="R2" s="237"/>
    </row>
    <row r="3" spans="1:18" ht="15" customHeight="1">
      <c r="A3" s="34"/>
      <c r="B3" s="34"/>
      <c r="C3" s="34"/>
      <c r="D3" s="34"/>
      <c r="E3" s="34"/>
      <c r="F3" s="34"/>
      <c r="G3" s="34"/>
      <c r="H3" s="34"/>
      <c r="I3" s="34"/>
      <c r="J3" s="237"/>
      <c r="K3" s="237"/>
      <c r="L3" s="237"/>
      <c r="M3" s="237"/>
      <c r="N3" s="237"/>
      <c r="O3" s="237"/>
      <c r="P3" s="237"/>
      <c r="Q3" s="237"/>
      <c r="R3" s="237"/>
    </row>
    <row r="4" spans="1:18" ht="15" customHeight="1">
      <c r="A4" s="34"/>
      <c r="B4" s="34"/>
      <c r="C4" s="34"/>
      <c r="D4" s="34"/>
      <c r="E4" s="34"/>
      <c r="F4" s="34"/>
      <c r="G4" s="34"/>
      <c r="H4" s="34"/>
      <c r="I4" s="34"/>
      <c r="J4" s="237"/>
      <c r="K4" s="237"/>
      <c r="L4" s="237"/>
      <c r="M4" s="237"/>
      <c r="N4" s="237"/>
      <c r="O4" s="237"/>
      <c r="P4" s="237"/>
      <c r="Q4" s="237"/>
      <c r="R4" s="237"/>
    </row>
    <row r="5" spans="1:18">
      <c r="A5" s="34"/>
      <c r="B5" s="34"/>
      <c r="C5" s="34"/>
      <c r="D5" s="34"/>
      <c r="E5" s="34"/>
      <c r="F5" s="34"/>
      <c r="G5" s="34"/>
      <c r="H5" s="34"/>
      <c r="I5" s="34"/>
      <c r="J5" s="237"/>
      <c r="K5" s="237"/>
      <c r="L5" s="237"/>
      <c r="M5" s="237"/>
      <c r="N5" s="237"/>
      <c r="O5" s="237"/>
      <c r="P5" s="237"/>
      <c r="Q5" s="237"/>
      <c r="R5" s="237"/>
    </row>
    <row r="6" spans="1:18" ht="57.75" customHeight="1">
      <c r="A6" s="690" t="s">
        <v>0</v>
      </c>
      <c r="B6" s="690"/>
      <c r="C6" s="690"/>
      <c r="D6" s="690"/>
      <c r="E6" s="690"/>
      <c r="F6" s="690"/>
      <c r="G6" s="690"/>
      <c r="H6" s="690"/>
      <c r="I6" s="690"/>
      <c r="J6" s="237"/>
      <c r="K6" s="237"/>
      <c r="L6" s="237"/>
      <c r="M6" s="237"/>
      <c r="N6" s="237"/>
      <c r="O6" s="237"/>
      <c r="P6" s="237"/>
      <c r="Q6" s="237"/>
      <c r="R6" s="237"/>
    </row>
    <row r="7" spans="1:18">
      <c r="A7" s="691"/>
      <c r="B7" s="691"/>
      <c r="C7" s="691"/>
      <c r="D7" s="691"/>
      <c r="E7" s="691"/>
      <c r="F7" s="691"/>
      <c r="G7" s="691"/>
      <c r="H7" s="691"/>
      <c r="I7" s="691"/>
      <c r="J7" s="237"/>
      <c r="K7" s="648" t="s">
        <v>1</v>
      </c>
      <c r="L7" s="237"/>
      <c r="M7" s="237"/>
      <c r="N7" s="237"/>
      <c r="O7" s="237"/>
      <c r="P7" s="237"/>
      <c r="Q7" s="237"/>
      <c r="R7" s="237"/>
    </row>
    <row r="8" spans="1:18" ht="3.75" customHeight="1">
      <c r="A8" s="691"/>
      <c r="B8" s="691"/>
      <c r="C8" s="691"/>
      <c r="D8" s="691"/>
      <c r="E8" s="691"/>
      <c r="F8" s="691"/>
      <c r="G8" s="691"/>
      <c r="H8" s="691"/>
      <c r="I8" s="691"/>
      <c r="J8" s="237"/>
      <c r="K8" s="237"/>
      <c r="L8" s="237"/>
      <c r="M8" s="237"/>
      <c r="N8" s="237"/>
      <c r="O8" s="237"/>
      <c r="P8" s="237"/>
      <c r="Q8" s="237"/>
      <c r="R8" s="237"/>
    </row>
    <row r="9" spans="1:18" ht="14.25" hidden="1" customHeight="1">
      <c r="A9" s="691"/>
      <c r="B9" s="691"/>
      <c r="C9" s="691"/>
      <c r="D9" s="691"/>
      <c r="E9" s="691"/>
      <c r="F9" s="691"/>
      <c r="G9" s="691"/>
      <c r="H9" s="691"/>
      <c r="I9" s="691"/>
      <c r="J9" s="237"/>
      <c r="K9" s="237"/>
      <c r="L9" s="237"/>
      <c r="M9" s="237"/>
      <c r="N9" s="237"/>
      <c r="O9" s="237"/>
      <c r="P9" s="237"/>
      <c r="Q9" s="237"/>
      <c r="R9" s="237"/>
    </row>
    <row r="10" spans="1:18" ht="15" customHeight="1">
      <c r="A10" s="34"/>
      <c r="B10" s="34"/>
      <c r="C10" s="34"/>
      <c r="D10" s="34"/>
      <c r="E10" s="34"/>
      <c r="F10" s="34"/>
      <c r="G10" s="34"/>
      <c r="H10" s="34"/>
      <c r="I10" s="34"/>
      <c r="J10" s="237"/>
      <c r="K10" s="237"/>
      <c r="L10" s="237"/>
      <c r="M10" s="237"/>
      <c r="N10" s="237"/>
      <c r="O10" s="237"/>
      <c r="P10" s="237"/>
      <c r="Q10" s="237"/>
      <c r="R10" s="237"/>
    </row>
    <row r="11" spans="1:18">
      <c r="B11" s="34"/>
      <c r="C11" s="34"/>
      <c r="D11" s="34"/>
      <c r="E11" s="34"/>
      <c r="F11" s="34"/>
      <c r="G11" s="34"/>
      <c r="H11" s="34"/>
      <c r="I11" s="34"/>
      <c r="J11" s="237"/>
      <c r="K11" s="237"/>
      <c r="L11" s="237"/>
      <c r="M11" s="237"/>
      <c r="N11" s="237"/>
      <c r="O11" s="237"/>
      <c r="P11" s="237"/>
      <c r="Q11" s="237"/>
      <c r="R11" s="237"/>
    </row>
    <row r="12" spans="1:18" ht="15" thickBot="1">
      <c r="B12" s="34"/>
      <c r="C12" s="34"/>
      <c r="D12" s="34"/>
      <c r="E12" s="34"/>
      <c r="F12" s="34"/>
      <c r="G12" s="34"/>
      <c r="H12" s="34"/>
      <c r="I12" s="34"/>
      <c r="J12" s="237"/>
      <c r="K12" s="237"/>
      <c r="L12" s="237"/>
      <c r="M12" s="237"/>
      <c r="N12" s="237"/>
      <c r="O12" s="237"/>
      <c r="P12" s="237"/>
      <c r="Q12" s="237"/>
      <c r="R12" s="237"/>
    </row>
    <row r="13" spans="1:18">
      <c r="A13" s="696" t="s">
        <v>2</v>
      </c>
      <c r="B13" s="697"/>
      <c r="C13" s="698" t="s">
        <v>3</v>
      </c>
      <c r="D13" s="698"/>
      <c r="E13" s="698"/>
      <c r="F13" s="698"/>
      <c r="G13" s="698"/>
      <c r="H13" s="698"/>
      <c r="I13" s="699"/>
      <c r="J13" s="237"/>
      <c r="K13" s="237"/>
      <c r="L13" s="237"/>
      <c r="M13" s="237"/>
      <c r="N13" s="237"/>
      <c r="O13" s="237"/>
      <c r="P13" s="237"/>
      <c r="Q13" s="237"/>
      <c r="R13" s="237"/>
    </row>
    <row r="14" spans="1:18">
      <c r="A14" s="692" t="s">
        <v>4</v>
      </c>
      <c r="B14" s="693"/>
      <c r="C14" s="694"/>
      <c r="D14" s="694"/>
      <c r="E14" s="694"/>
      <c r="F14" s="694"/>
      <c r="G14" s="694"/>
      <c r="H14" s="694"/>
      <c r="I14" s="695"/>
      <c r="J14" s="237"/>
      <c r="K14" s="237"/>
      <c r="L14" s="237"/>
      <c r="M14" s="237"/>
      <c r="N14" s="237"/>
      <c r="O14" s="237"/>
      <c r="P14" s="237"/>
      <c r="Q14" s="237"/>
      <c r="R14" s="237"/>
    </row>
    <row r="15" spans="1:18" ht="30.75" customHeight="1">
      <c r="A15" s="692" t="s">
        <v>5</v>
      </c>
      <c r="B15" s="693"/>
      <c r="C15" s="694" t="s">
        <v>6</v>
      </c>
      <c r="D15" s="694"/>
      <c r="E15" s="694"/>
      <c r="F15" s="694"/>
      <c r="G15" s="694"/>
      <c r="H15" s="694"/>
      <c r="I15" s="695"/>
      <c r="J15" s="237"/>
      <c r="K15" s="237"/>
      <c r="L15" s="237"/>
      <c r="M15" s="237"/>
      <c r="N15" s="237"/>
      <c r="O15" s="237"/>
      <c r="P15" s="237"/>
      <c r="Q15" s="237"/>
      <c r="R15" s="237"/>
    </row>
    <row r="16" spans="1:18" ht="14.5" customHeight="1">
      <c r="A16" s="692" t="s">
        <v>7</v>
      </c>
      <c r="B16" s="693"/>
      <c r="C16" s="694" t="s">
        <v>8</v>
      </c>
      <c r="D16" s="694"/>
      <c r="E16" s="694"/>
      <c r="F16" s="694"/>
      <c r="G16" s="694"/>
      <c r="H16" s="694"/>
      <c r="I16" s="695"/>
      <c r="J16" s="237"/>
      <c r="K16" s="237"/>
      <c r="L16" s="237"/>
      <c r="M16" s="237"/>
      <c r="N16" s="237"/>
      <c r="O16" s="237"/>
      <c r="P16" s="237"/>
      <c r="Q16" s="237"/>
      <c r="R16" s="237"/>
    </row>
    <row r="17" spans="1:18">
      <c r="A17" s="692" t="s">
        <v>9</v>
      </c>
      <c r="B17" s="693"/>
      <c r="C17" s="694" t="s">
        <v>10</v>
      </c>
      <c r="D17" s="694"/>
      <c r="E17" s="694"/>
      <c r="F17" s="694"/>
      <c r="G17" s="694"/>
      <c r="H17" s="694"/>
      <c r="I17" s="695"/>
      <c r="J17" s="237"/>
      <c r="K17" s="237"/>
      <c r="L17" s="237"/>
      <c r="M17" s="237"/>
      <c r="N17" s="237"/>
      <c r="O17" s="237"/>
      <c r="P17" s="237"/>
      <c r="Q17" s="237"/>
      <c r="R17" s="237"/>
    </row>
    <row r="18" spans="1:18">
      <c r="A18" s="692" t="s">
        <v>11</v>
      </c>
      <c r="B18" s="693"/>
      <c r="C18" s="694" t="s">
        <v>12</v>
      </c>
      <c r="D18" s="694"/>
      <c r="E18" s="694"/>
      <c r="F18" s="694"/>
      <c r="G18" s="694"/>
      <c r="H18" s="694"/>
      <c r="I18" s="695"/>
      <c r="J18" s="237"/>
      <c r="K18" s="237"/>
      <c r="L18" s="237"/>
      <c r="M18" s="237"/>
      <c r="N18" s="237"/>
      <c r="O18" s="237"/>
      <c r="P18" s="237"/>
      <c r="Q18" s="237"/>
      <c r="R18" s="237"/>
    </row>
    <row r="19" spans="1:18">
      <c r="A19" s="692" t="s">
        <v>13</v>
      </c>
      <c r="B19" s="693"/>
      <c r="C19" s="700" t="s">
        <v>14</v>
      </c>
      <c r="D19" s="694"/>
      <c r="E19" s="694"/>
      <c r="F19" s="694"/>
      <c r="G19" s="694"/>
      <c r="H19" s="694"/>
      <c r="I19" s="695"/>
      <c r="J19" s="237"/>
      <c r="K19" s="237"/>
      <c r="L19" s="237"/>
      <c r="M19" s="237"/>
      <c r="N19" s="237"/>
      <c r="O19" s="237"/>
      <c r="P19" s="237"/>
      <c r="Q19" s="237"/>
      <c r="R19" s="237"/>
    </row>
    <row r="20" spans="1:18">
      <c r="A20" s="692" t="s">
        <v>15</v>
      </c>
      <c r="B20" s="693"/>
      <c r="C20" s="701" t="s">
        <v>16</v>
      </c>
      <c r="D20" s="701"/>
      <c r="E20" s="701"/>
      <c r="F20" s="701"/>
      <c r="G20" s="701"/>
      <c r="H20" s="701"/>
      <c r="I20" s="702"/>
      <c r="J20" s="237"/>
      <c r="K20" s="237"/>
      <c r="L20" s="237"/>
      <c r="M20" s="237"/>
      <c r="N20" s="237"/>
      <c r="O20" s="237"/>
      <c r="P20" s="237"/>
      <c r="Q20" s="237"/>
      <c r="R20" s="237"/>
    </row>
    <row r="21" spans="1:18" ht="19.399999999999999" customHeight="1">
      <c r="A21" s="692" t="s">
        <v>17</v>
      </c>
      <c r="B21" s="693"/>
      <c r="C21" s="711" t="s">
        <v>18</v>
      </c>
      <c r="D21" s="711"/>
      <c r="E21" s="711"/>
      <c r="F21" s="711"/>
      <c r="G21" s="711"/>
      <c r="H21" s="711"/>
      <c r="I21" s="712"/>
      <c r="J21" s="237"/>
      <c r="K21" s="237"/>
      <c r="L21" s="237"/>
      <c r="M21" s="237"/>
      <c r="N21" s="237"/>
      <c r="O21" s="237"/>
      <c r="P21" s="237"/>
      <c r="Q21" s="237"/>
      <c r="R21" s="237"/>
    </row>
    <row r="22" spans="1:18" ht="33" customHeight="1" thickBot="1">
      <c r="A22" s="713" t="s">
        <v>19</v>
      </c>
      <c r="B22" s="714"/>
      <c r="C22" s="715" t="s">
        <v>20</v>
      </c>
      <c r="D22" s="715"/>
      <c r="E22" s="715"/>
      <c r="F22" s="715"/>
      <c r="G22" s="715"/>
      <c r="H22" s="715"/>
      <c r="I22" s="716"/>
      <c r="J22" s="237"/>
      <c r="K22" s="237"/>
      <c r="L22" s="237"/>
      <c r="M22" s="237"/>
      <c r="N22" s="237"/>
      <c r="O22" s="237"/>
      <c r="P22" s="237"/>
      <c r="Q22" s="237"/>
      <c r="R22" s="237"/>
    </row>
    <row r="23" spans="1:18">
      <c r="A23" s="34"/>
      <c r="B23" s="34"/>
      <c r="C23" s="34"/>
      <c r="D23" s="34"/>
      <c r="E23" s="34"/>
      <c r="F23" s="34"/>
      <c r="G23" s="34"/>
      <c r="H23" s="34"/>
      <c r="I23" s="34"/>
      <c r="J23" s="237"/>
      <c r="K23" s="237"/>
      <c r="L23" s="237"/>
      <c r="M23" s="237"/>
      <c r="N23" s="237"/>
      <c r="O23" s="237"/>
      <c r="P23" s="237"/>
      <c r="Q23" s="237"/>
      <c r="R23" s="237"/>
    </row>
    <row r="24" spans="1:18" ht="15" thickBot="1">
      <c r="A24" s="717" t="s">
        <v>21</v>
      </c>
      <c r="B24" s="717"/>
      <c r="C24" s="717"/>
      <c r="D24" s="717"/>
      <c r="E24" s="717"/>
      <c r="F24" s="717"/>
      <c r="G24" s="717"/>
      <c r="H24" s="717"/>
      <c r="I24" s="717"/>
      <c r="J24" s="237"/>
      <c r="K24" s="237"/>
      <c r="L24" s="237"/>
      <c r="M24" s="237"/>
      <c r="N24" s="237"/>
      <c r="O24" s="237"/>
      <c r="P24" s="237"/>
      <c r="Q24" s="237"/>
      <c r="R24" s="237"/>
    </row>
    <row r="25" spans="1:18" ht="14.5" customHeight="1">
      <c r="A25" s="718" t="s">
        <v>22</v>
      </c>
      <c r="B25" s="719"/>
      <c r="C25" s="722" t="s">
        <v>23</v>
      </c>
      <c r="D25" s="722"/>
      <c r="E25" s="724" t="s">
        <v>24</v>
      </c>
      <c r="F25" s="724"/>
      <c r="G25" s="707" t="s">
        <v>25</v>
      </c>
      <c r="H25" s="707"/>
      <c r="I25" s="709" t="s">
        <v>26</v>
      </c>
      <c r="J25" s="237"/>
      <c r="K25" s="237"/>
      <c r="L25" s="237"/>
      <c r="M25" s="237"/>
      <c r="N25" s="237"/>
      <c r="O25" s="237"/>
      <c r="P25" s="237"/>
      <c r="Q25" s="237"/>
      <c r="R25" s="237"/>
    </row>
    <row r="26" spans="1:18" ht="15" thickBot="1">
      <c r="A26" s="720"/>
      <c r="B26" s="721"/>
      <c r="C26" s="723"/>
      <c r="D26" s="723"/>
      <c r="E26" s="725"/>
      <c r="F26" s="725"/>
      <c r="G26" s="708"/>
      <c r="H26" s="708"/>
      <c r="I26" s="710"/>
      <c r="J26" s="237"/>
      <c r="K26" s="237"/>
      <c r="L26" s="237"/>
      <c r="M26" s="237"/>
      <c r="N26" s="237"/>
      <c r="O26" s="237"/>
      <c r="P26" s="237"/>
      <c r="Q26" s="237"/>
      <c r="R26" s="237"/>
    </row>
    <row r="27" spans="1:18">
      <c r="A27" s="573"/>
      <c r="B27" s="573"/>
      <c r="C27" s="703" t="s">
        <v>27</v>
      </c>
      <c r="D27" s="704"/>
      <c r="E27" s="573"/>
      <c r="F27" s="573"/>
      <c r="G27" s="573"/>
      <c r="H27" s="573"/>
      <c r="I27" s="573"/>
      <c r="J27" s="237"/>
      <c r="K27" s="237"/>
      <c r="L27" s="237"/>
      <c r="M27" s="237"/>
      <c r="N27" s="237"/>
      <c r="O27" s="237"/>
      <c r="P27" s="237"/>
      <c r="Q27" s="237"/>
      <c r="R27" s="237"/>
    </row>
    <row r="28" spans="1:18" ht="15" thickBot="1">
      <c r="A28" s="574"/>
      <c r="B28" s="574"/>
      <c r="C28" s="705"/>
      <c r="D28" s="706"/>
      <c r="E28" s="574"/>
      <c r="F28" s="574"/>
      <c r="G28" s="574"/>
      <c r="H28" s="574"/>
      <c r="I28" s="574"/>
      <c r="J28" s="237"/>
      <c r="K28" s="237"/>
      <c r="L28" s="237"/>
      <c r="M28" s="237"/>
      <c r="N28" s="237"/>
      <c r="O28" s="237"/>
      <c r="P28" s="237"/>
      <c r="Q28" s="237"/>
      <c r="R28" s="237"/>
    </row>
    <row r="29" spans="1:18">
      <c r="A29" s="574"/>
      <c r="B29" s="574"/>
      <c r="C29" s="574"/>
      <c r="D29" s="574"/>
      <c r="E29" s="574"/>
      <c r="F29" s="574"/>
      <c r="G29" s="574"/>
      <c r="H29" s="574"/>
      <c r="I29" s="574"/>
      <c r="J29" s="237"/>
      <c r="K29" s="237"/>
      <c r="L29" s="237"/>
      <c r="M29" s="237"/>
      <c r="N29" s="237"/>
      <c r="O29" s="237"/>
      <c r="P29" s="237"/>
      <c r="Q29" s="237"/>
      <c r="R29" s="237"/>
    </row>
    <row r="30" spans="1:18">
      <c r="A30" s="78"/>
      <c r="B30" s="78"/>
      <c r="C30" s="34"/>
      <c r="D30" s="34"/>
      <c r="E30" s="34"/>
      <c r="F30" s="34"/>
      <c r="G30" s="34"/>
      <c r="H30" s="34"/>
      <c r="I30" s="34"/>
      <c r="J30" s="237"/>
      <c r="K30" s="237"/>
      <c r="L30" s="237"/>
      <c r="M30" s="237"/>
      <c r="N30" s="237"/>
      <c r="O30" s="237"/>
      <c r="P30" s="237"/>
      <c r="Q30" s="237"/>
      <c r="R30" s="237"/>
    </row>
    <row r="31" spans="1:18">
      <c r="A31" s="34"/>
      <c r="B31" s="34"/>
      <c r="C31" s="34"/>
      <c r="D31" s="34"/>
      <c r="E31" s="34"/>
      <c r="F31" s="34"/>
      <c r="G31" s="34"/>
      <c r="H31" s="34"/>
      <c r="I31" s="34"/>
      <c r="J31" s="237"/>
      <c r="K31" s="237"/>
      <c r="L31" s="237"/>
      <c r="M31" s="237"/>
      <c r="N31" s="237"/>
      <c r="O31" s="237"/>
      <c r="P31" s="237"/>
      <c r="Q31" s="237"/>
      <c r="R31" s="237"/>
    </row>
    <row r="32" spans="1:18">
      <c r="A32" s="34"/>
      <c r="B32" s="34"/>
      <c r="C32" s="34"/>
      <c r="D32" s="34"/>
      <c r="E32" s="34"/>
      <c r="F32" s="34"/>
      <c r="G32" s="34"/>
      <c r="H32" s="34"/>
      <c r="I32" s="34"/>
      <c r="J32" s="237"/>
      <c r="K32" s="237"/>
      <c r="L32" s="237"/>
      <c r="M32" s="237"/>
      <c r="N32" s="237"/>
      <c r="O32" s="237"/>
      <c r="P32" s="237"/>
      <c r="Q32" s="237"/>
      <c r="R32" s="237"/>
    </row>
    <row r="33" spans="1:18">
      <c r="A33" s="34"/>
      <c r="B33" s="34"/>
      <c r="C33" s="34"/>
      <c r="D33" s="34"/>
      <c r="E33" s="34"/>
      <c r="F33" s="34"/>
      <c r="G33" s="34"/>
      <c r="H33" s="34"/>
      <c r="I33" s="34"/>
      <c r="J33" s="237"/>
      <c r="K33" s="237"/>
      <c r="L33" s="237"/>
      <c r="M33" s="237"/>
      <c r="N33" s="237"/>
      <c r="O33" s="237"/>
      <c r="P33" s="237"/>
      <c r="Q33" s="237"/>
      <c r="R33" s="237"/>
    </row>
    <row r="34" spans="1:18">
      <c r="A34" s="34"/>
      <c r="B34" s="34"/>
      <c r="C34" s="34"/>
      <c r="D34" s="34"/>
      <c r="E34" s="34"/>
      <c r="F34" s="34"/>
      <c r="G34" s="34"/>
      <c r="H34" s="34"/>
      <c r="I34" s="34"/>
      <c r="J34" s="237"/>
      <c r="K34" s="237"/>
      <c r="L34" s="237"/>
      <c r="M34" s="237"/>
      <c r="N34" s="237"/>
      <c r="O34" s="237"/>
      <c r="P34" s="237"/>
      <c r="Q34" s="237"/>
      <c r="R34" s="237"/>
    </row>
    <row r="35" spans="1:18">
      <c r="A35" s="34"/>
      <c r="B35" s="34"/>
      <c r="C35" s="34"/>
      <c r="D35" s="34"/>
      <c r="E35" s="34"/>
      <c r="F35" s="34"/>
      <c r="G35" s="34"/>
      <c r="H35" s="34"/>
      <c r="I35" s="34"/>
      <c r="J35" s="237"/>
      <c r="K35" s="237"/>
      <c r="L35" s="237"/>
      <c r="M35" s="237"/>
      <c r="N35" s="237"/>
      <c r="O35" s="237"/>
      <c r="P35" s="237"/>
      <c r="Q35" s="237"/>
      <c r="R35" s="237"/>
    </row>
    <row r="36" spans="1:18">
      <c r="A36" s="34"/>
      <c r="B36" s="34"/>
      <c r="C36" s="34"/>
      <c r="D36" s="34"/>
      <c r="E36" s="34"/>
      <c r="F36" s="34"/>
      <c r="G36" s="34"/>
      <c r="H36" s="34"/>
      <c r="I36" s="34"/>
      <c r="J36" s="237"/>
      <c r="K36" s="237"/>
      <c r="L36" s="237"/>
      <c r="M36" s="237"/>
      <c r="N36" s="237"/>
      <c r="O36" s="237"/>
      <c r="P36" s="237"/>
      <c r="Q36" s="237"/>
      <c r="R36" s="237"/>
    </row>
    <row r="37" spans="1:18">
      <c r="A37" s="34"/>
      <c r="B37" s="34"/>
      <c r="C37" s="34"/>
      <c r="D37" s="34"/>
      <c r="E37" s="34"/>
      <c r="F37" s="34"/>
      <c r="G37" s="34"/>
      <c r="H37" s="34"/>
      <c r="I37" s="34"/>
    </row>
    <row r="38" spans="1:18">
      <c r="A38" s="34"/>
      <c r="B38" s="34"/>
      <c r="C38" s="34"/>
      <c r="D38" s="34"/>
      <c r="E38" s="34"/>
      <c r="F38" s="34"/>
      <c r="G38" s="34"/>
      <c r="H38" s="34"/>
      <c r="I38" s="34"/>
    </row>
    <row r="39" spans="1:18">
      <c r="A39" s="34"/>
      <c r="B39" s="34"/>
      <c r="C39" s="34"/>
      <c r="D39" s="34"/>
      <c r="E39" s="34"/>
      <c r="F39" s="34"/>
      <c r="G39" s="34"/>
      <c r="H39" s="34"/>
      <c r="I39" s="34"/>
    </row>
    <row r="40" spans="1:18">
      <c r="A40" s="34"/>
      <c r="B40" s="34"/>
      <c r="C40" s="34"/>
      <c r="D40" s="34"/>
      <c r="E40" s="34"/>
      <c r="F40" s="34"/>
      <c r="G40" s="34"/>
      <c r="H40" s="34"/>
      <c r="I40" s="34"/>
    </row>
  </sheetData>
  <mergeCells count="28">
    <mergeCell ref="C27:D28"/>
    <mergeCell ref="G25:H26"/>
    <mergeCell ref="I25:I26"/>
    <mergeCell ref="A21:B21"/>
    <mergeCell ref="C21:I21"/>
    <mergeCell ref="A22:B22"/>
    <mergeCell ref="C22:I22"/>
    <mergeCell ref="A24:I24"/>
    <mergeCell ref="A25:B26"/>
    <mergeCell ref="C25:D26"/>
    <mergeCell ref="E25:F26"/>
    <mergeCell ref="A18:B18"/>
    <mergeCell ref="C18:I18"/>
    <mergeCell ref="A19:B19"/>
    <mergeCell ref="C19:I19"/>
    <mergeCell ref="A20:B20"/>
    <mergeCell ref="C20:I20"/>
    <mergeCell ref="A6:I9"/>
    <mergeCell ref="A16:B16"/>
    <mergeCell ref="C16:I16"/>
    <mergeCell ref="A17:B17"/>
    <mergeCell ref="C17:I17"/>
    <mergeCell ref="A13:B13"/>
    <mergeCell ref="C13:I13"/>
    <mergeCell ref="A14:B14"/>
    <mergeCell ref="C14:I14"/>
    <mergeCell ref="A15:B15"/>
    <mergeCell ref="C15:I15"/>
  </mergeCells>
  <hyperlinks>
    <hyperlink ref="C19" r:id="rId1" xr:uid="{8EF273F2-946B-4C6B-B598-75E84C765C4E}"/>
  </hyperlinks>
  <pageMargins left="0.7" right="0.7" top="0.75" bottom="0.75" header="0.3" footer="0.3"/>
  <pageSetup paperSize="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C000"/>
  </sheetPr>
  <dimension ref="A1:G22"/>
  <sheetViews>
    <sheetView workbookViewId="0">
      <pane xSplit="1" ySplit="1" topLeftCell="B16" activePane="bottomRight" state="frozen"/>
      <selection pane="topRight" activeCell="B1" sqref="B1"/>
      <selection pane="bottomLeft" activeCell="A2" sqref="A2"/>
      <selection pane="bottomRight" activeCell="F22" sqref="F22"/>
    </sheetView>
  </sheetViews>
  <sheetFormatPr defaultColWidth="8.81640625" defaultRowHeight="13"/>
  <cols>
    <col min="1" max="1" width="8.81640625" style="617"/>
    <col min="2" max="7" width="33.26953125" style="617" customWidth="1"/>
    <col min="8" max="16384" width="8.81640625" style="617"/>
  </cols>
  <sheetData>
    <row r="1" spans="1:7">
      <c r="A1" s="617" t="s">
        <v>283</v>
      </c>
      <c r="B1" s="617">
        <v>0</v>
      </c>
      <c r="C1" s="617">
        <v>1</v>
      </c>
      <c r="D1" s="617">
        <v>2</v>
      </c>
      <c r="E1" s="617">
        <v>3</v>
      </c>
      <c r="F1" s="617">
        <v>4</v>
      </c>
      <c r="G1" s="617">
        <v>5</v>
      </c>
    </row>
    <row r="2" spans="1:7" ht="52">
      <c r="A2" s="617" t="s">
        <v>284</v>
      </c>
      <c r="B2" s="617" t="s">
        <v>285</v>
      </c>
      <c r="C2" s="617" t="s">
        <v>286</v>
      </c>
      <c r="D2" s="617" t="s">
        <v>287</v>
      </c>
      <c r="E2" s="617" t="s">
        <v>288</v>
      </c>
      <c r="F2" s="617" t="s">
        <v>289</v>
      </c>
      <c r="G2" s="617" t="s">
        <v>290</v>
      </c>
    </row>
    <row r="3" spans="1:7" ht="182">
      <c r="A3" s="617" t="s">
        <v>291</v>
      </c>
      <c r="B3" s="617" t="s">
        <v>292</v>
      </c>
      <c r="C3" s="617" t="s">
        <v>293</v>
      </c>
      <c r="D3" s="617" t="s">
        <v>294</v>
      </c>
      <c r="E3" s="617" t="s">
        <v>295</v>
      </c>
      <c r="F3" s="617" t="s">
        <v>296</v>
      </c>
      <c r="G3" s="617" t="s">
        <v>297</v>
      </c>
    </row>
    <row r="4" spans="1:7" ht="286">
      <c r="A4" s="617" t="s">
        <v>298</v>
      </c>
      <c r="B4" s="617" t="s">
        <v>299</v>
      </c>
      <c r="C4" s="617" t="s">
        <v>300</v>
      </c>
      <c r="D4" s="617" t="s">
        <v>301</v>
      </c>
      <c r="E4" s="617" t="s">
        <v>302</v>
      </c>
      <c r="F4" s="617" t="s">
        <v>303</v>
      </c>
      <c r="G4" s="617" t="s">
        <v>304</v>
      </c>
    </row>
    <row r="5" spans="1:7" ht="247">
      <c r="A5" s="617" t="s">
        <v>305</v>
      </c>
      <c r="B5" s="617" t="s">
        <v>306</v>
      </c>
      <c r="C5" s="617" t="s">
        <v>307</v>
      </c>
      <c r="D5" s="617" t="s">
        <v>308</v>
      </c>
      <c r="E5" s="617" t="s">
        <v>309</v>
      </c>
      <c r="F5" s="617" t="s">
        <v>310</v>
      </c>
      <c r="G5" s="617" t="s">
        <v>311</v>
      </c>
    </row>
    <row r="6" spans="1:7" ht="52">
      <c r="A6" s="617" t="s">
        <v>312</v>
      </c>
      <c r="B6" s="617" t="s">
        <v>313</v>
      </c>
      <c r="C6" s="617" t="s">
        <v>314</v>
      </c>
      <c r="D6" s="617" t="s">
        <v>315</v>
      </c>
      <c r="E6" s="617" t="s">
        <v>316</v>
      </c>
      <c r="F6" s="617" t="s">
        <v>317</v>
      </c>
      <c r="G6" s="617" t="s">
        <v>318</v>
      </c>
    </row>
    <row r="7" spans="1:7" ht="104">
      <c r="A7" s="617" t="s">
        <v>319</v>
      </c>
      <c r="B7" s="617" t="s">
        <v>320</v>
      </c>
      <c r="C7" s="617" t="s">
        <v>321</v>
      </c>
      <c r="D7" s="617" t="s">
        <v>322</v>
      </c>
      <c r="E7" s="617" t="s">
        <v>323</v>
      </c>
      <c r="F7" s="617" t="s">
        <v>324</v>
      </c>
      <c r="G7" s="617" t="s">
        <v>325</v>
      </c>
    </row>
    <row r="8" spans="1:7" ht="195">
      <c r="A8" s="617" t="s">
        <v>326</v>
      </c>
      <c r="B8" s="617" t="s">
        <v>327</v>
      </c>
      <c r="C8" s="617" t="s">
        <v>328</v>
      </c>
      <c r="D8" s="617" t="s">
        <v>329</v>
      </c>
      <c r="E8" s="617" t="s">
        <v>330</v>
      </c>
      <c r="F8" s="617" t="s">
        <v>331</v>
      </c>
      <c r="G8" s="617" t="s">
        <v>332</v>
      </c>
    </row>
    <row r="9" spans="1:7" ht="234">
      <c r="A9" s="617" t="s">
        <v>333</v>
      </c>
      <c r="B9" s="617" t="s">
        <v>334</v>
      </c>
      <c r="C9" s="617" t="s">
        <v>335</v>
      </c>
      <c r="D9" s="617" t="s">
        <v>336</v>
      </c>
      <c r="E9" s="617" t="s">
        <v>337</v>
      </c>
      <c r="F9" s="617" t="s">
        <v>338</v>
      </c>
      <c r="G9" s="617" t="s">
        <v>339</v>
      </c>
    </row>
    <row r="10" spans="1:7" ht="377">
      <c r="A10" s="617" t="s">
        <v>340</v>
      </c>
      <c r="B10" s="617" t="s">
        <v>306</v>
      </c>
      <c r="C10" s="617" t="s">
        <v>341</v>
      </c>
      <c r="D10" s="617" t="s">
        <v>342</v>
      </c>
      <c r="E10" s="617" t="s">
        <v>343</v>
      </c>
      <c r="F10" s="617" t="s">
        <v>344</v>
      </c>
      <c r="G10" s="617" t="s">
        <v>345</v>
      </c>
    </row>
    <row r="11" spans="1:7" ht="78">
      <c r="A11" s="617" t="s">
        <v>346</v>
      </c>
      <c r="B11" s="617" t="s">
        <v>347</v>
      </c>
      <c r="C11" s="617" t="s">
        <v>348</v>
      </c>
      <c r="D11" s="617" t="s">
        <v>349</v>
      </c>
      <c r="E11" s="617" t="s">
        <v>350</v>
      </c>
      <c r="F11" s="617" t="s">
        <v>351</v>
      </c>
      <c r="G11" s="617" t="s">
        <v>352</v>
      </c>
    </row>
    <row r="12" spans="1:7" ht="143">
      <c r="A12" s="617" t="s">
        <v>353</v>
      </c>
      <c r="B12" s="617" t="s">
        <v>354</v>
      </c>
      <c r="C12" s="617" t="s">
        <v>355</v>
      </c>
      <c r="D12" s="617" t="s">
        <v>356</v>
      </c>
      <c r="E12" s="617" t="s">
        <v>357</v>
      </c>
      <c r="F12" s="617" t="s">
        <v>358</v>
      </c>
      <c r="G12" s="617" t="s">
        <v>359</v>
      </c>
    </row>
    <row r="13" spans="1:7" ht="39">
      <c r="A13" s="617" t="s">
        <v>360</v>
      </c>
      <c r="B13" s="617" t="s">
        <v>361</v>
      </c>
      <c r="C13" s="617" t="s">
        <v>362</v>
      </c>
      <c r="D13" s="617" t="s">
        <v>363</v>
      </c>
      <c r="E13" s="617" t="s">
        <v>364</v>
      </c>
      <c r="F13" s="617" t="s">
        <v>365</v>
      </c>
      <c r="G13" s="617" t="s">
        <v>366</v>
      </c>
    </row>
    <row r="14" spans="1:7" ht="52">
      <c r="A14" s="617" t="s">
        <v>367</v>
      </c>
      <c r="B14" s="617" t="s">
        <v>368</v>
      </c>
      <c r="C14" s="617" t="s">
        <v>369</v>
      </c>
      <c r="D14" s="617" t="s">
        <v>370</v>
      </c>
      <c r="E14" s="617" t="s">
        <v>371</v>
      </c>
      <c r="F14" s="617" t="s">
        <v>372</v>
      </c>
      <c r="G14" s="617" t="s">
        <v>373</v>
      </c>
    </row>
    <row r="15" spans="1:7" ht="26">
      <c r="A15" s="617" t="s">
        <v>374</v>
      </c>
      <c r="B15" s="617" t="s">
        <v>375</v>
      </c>
      <c r="C15" s="617" t="s">
        <v>376</v>
      </c>
      <c r="D15" s="617" t="s">
        <v>377</v>
      </c>
      <c r="E15" s="617" t="s">
        <v>378</v>
      </c>
      <c r="F15" s="617" t="s">
        <v>379</v>
      </c>
      <c r="G15" s="617" t="s">
        <v>380</v>
      </c>
    </row>
    <row r="16" spans="1:7" ht="39">
      <c r="A16" s="617" t="s">
        <v>381</v>
      </c>
      <c r="B16" s="617" t="s">
        <v>382</v>
      </c>
      <c r="C16" s="617" t="s">
        <v>383</v>
      </c>
      <c r="D16" s="617" t="s">
        <v>384</v>
      </c>
      <c r="E16" s="617" t="s">
        <v>385</v>
      </c>
      <c r="F16" s="617" t="s">
        <v>386</v>
      </c>
      <c r="G16" s="617" t="s">
        <v>387</v>
      </c>
    </row>
    <row r="17" spans="1:7" ht="52">
      <c r="A17" s="617" t="s">
        <v>388</v>
      </c>
      <c r="B17" s="617" t="s">
        <v>389</v>
      </c>
      <c r="C17" s="617" t="s">
        <v>390</v>
      </c>
      <c r="D17" s="617" t="s">
        <v>391</v>
      </c>
      <c r="E17" s="617" t="s">
        <v>392</v>
      </c>
      <c r="F17" s="617" t="s">
        <v>393</v>
      </c>
      <c r="G17" s="617" t="s">
        <v>394</v>
      </c>
    </row>
    <row r="18" spans="1:7" ht="26">
      <c r="A18" s="617" t="s">
        <v>395</v>
      </c>
      <c r="B18" s="617" t="s">
        <v>396</v>
      </c>
      <c r="C18" s="617" t="s">
        <v>397</v>
      </c>
      <c r="D18" s="617" t="s">
        <v>398</v>
      </c>
      <c r="E18" s="617" t="s">
        <v>399</v>
      </c>
      <c r="F18" s="617" t="s">
        <v>400</v>
      </c>
      <c r="G18" s="617" t="s">
        <v>401</v>
      </c>
    </row>
    <row r="19" spans="1:7" ht="52">
      <c r="A19" s="617" t="s">
        <v>402</v>
      </c>
      <c r="B19" s="617" t="s">
        <v>403</v>
      </c>
      <c r="C19" s="617" t="s">
        <v>404</v>
      </c>
      <c r="D19" s="617" t="s">
        <v>405</v>
      </c>
      <c r="E19" s="617" t="s">
        <v>406</v>
      </c>
      <c r="F19" s="617" t="s">
        <v>407</v>
      </c>
      <c r="G19" s="617" t="s">
        <v>408</v>
      </c>
    </row>
    <row r="20" spans="1:7" ht="65">
      <c r="A20" s="617" t="s">
        <v>409</v>
      </c>
      <c r="B20" s="617" t="s">
        <v>410</v>
      </c>
      <c r="C20" s="617" t="s">
        <v>411</v>
      </c>
      <c r="D20" s="617" t="s">
        <v>412</v>
      </c>
      <c r="E20" s="617" t="s">
        <v>413</v>
      </c>
      <c r="F20" s="617" t="s">
        <v>414</v>
      </c>
      <c r="G20" s="617" t="s">
        <v>415</v>
      </c>
    </row>
    <row r="21" spans="1:7" ht="26">
      <c r="A21" s="617" t="s">
        <v>416</v>
      </c>
      <c r="B21" s="617" t="s">
        <v>417</v>
      </c>
      <c r="C21" s="617" t="s">
        <v>418</v>
      </c>
      <c r="D21" s="617" t="s">
        <v>419</v>
      </c>
      <c r="E21" s="617" t="s">
        <v>420</v>
      </c>
      <c r="F21" s="617" t="s">
        <v>421</v>
      </c>
      <c r="G21" s="617" t="s">
        <v>422</v>
      </c>
    </row>
    <row r="22" spans="1:7" ht="26">
      <c r="A22" s="617" t="s">
        <v>423</v>
      </c>
      <c r="B22" s="617" t="s">
        <v>424</v>
      </c>
      <c r="C22" s="617" t="s">
        <v>425</v>
      </c>
      <c r="D22" s="617" t="s">
        <v>426</v>
      </c>
      <c r="E22" s="617" t="s">
        <v>427</v>
      </c>
      <c r="F22" s="617" t="s">
        <v>428</v>
      </c>
      <c r="G22" s="617" t="s">
        <v>429</v>
      </c>
    </row>
  </sheetData>
  <phoneticPr fontId="56" type="noConversion"/>
  <pageMargins left="0.7" right="0.7" top="0.75" bottom="0.75" header="0.3" footer="0.3"/>
  <pageSetup paperSize="9" orientation="portrait"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árok25">
    <tabColor rgb="FFFFC000"/>
  </sheetPr>
  <dimension ref="A1:H21"/>
  <sheetViews>
    <sheetView zoomScale="190" zoomScaleNormal="190" workbookViewId="0">
      <selection activeCell="A4" sqref="A4"/>
    </sheetView>
  </sheetViews>
  <sheetFormatPr defaultColWidth="8.81640625" defaultRowHeight="13"/>
  <cols>
    <col min="1" max="1" width="18.7265625" style="410" customWidth="1"/>
    <col min="2" max="2" width="12" style="410" customWidth="1"/>
    <col min="3" max="3" width="6.1796875" style="410" customWidth="1"/>
    <col min="4" max="5" width="12" style="410" customWidth="1"/>
    <col min="6" max="7" width="11.26953125" style="410" customWidth="1"/>
    <col min="8" max="16384" width="8.81640625" style="410"/>
  </cols>
  <sheetData>
    <row r="1" spans="1:8" s="411" customFormat="1" ht="26">
      <c r="A1" s="431" t="s">
        <v>430</v>
      </c>
      <c r="B1" s="431" t="s">
        <v>431</v>
      </c>
      <c r="C1" s="431" t="s">
        <v>194</v>
      </c>
      <c r="D1" s="431" t="s">
        <v>432</v>
      </c>
      <c r="E1" s="431" t="s">
        <v>433</v>
      </c>
      <c r="F1" s="431" t="s">
        <v>233</v>
      </c>
      <c r="G1" s="431" t="s">
        <v>434</v>
      </c>
    </row>
    <row r="2" spans="1:8">
      <c r="A2" s="428" t="s">
        <v>249</v>
      </c>
      <c r="B2" s="429">
        <v>46388</v>
      </c>
      <c r="C2" s="426">
        <f t="shared" ref="C2:C21" si="0">IF(ISBLANK(B2),"",YEAR(B2))</f>
        <v>2027</v>
      </c>
      <c r="D2" s="429">
        <v>46752</v>
      </c>
      <c r="E2" s="419">
        <f>IF(ISBLANK(B2),"",ROUND((D2-B2+1)/30,0))</f>
        <v>12</v>
      </c>
      <c r="F2" s="426">
        <f>IF(ISBLANK(B2),"",ROUNDUP(((D2+1)-MIN($B$2:$B$21))/365,))</f>
        <v>1</v>
      </c>
      <c r="G2" s="426">
        <f>IF(ISBLANK(B2),"",ROUND((D2-$B$2+1)/30,0))</f>
        <v>12</v>
      </c>
      <c r="H2" s="430"/>
    </row>
    <row r="3" spans="1:8">
      <c r="A3" s="428" t="s">
        <v>243</v>
      </c>
      <c r="B3" s="429">
        <v>46753</v>
      </c>
      <c r="C3" s="426">
        <f t="shared" si="0"/>
        <v>2028</v>
      </c>
      <c r="D3" s="429">
        <v>47118</v>
      </c>
      <c r="E3" s="419">
        <f t="shared" ref="E3:E21" si="1">IF(ISBLANK(B3),"",ROUND((D3-B3+1)/30,0))</f>
        <v>12</v>
      </c>
      <c r="F3" s="426">
        <f t="shared" ref="F3:F21" si="2">IF(ISBLANK(B3),"",ROUNDUP(((D3+1)-MIN($B$2:$B$21))/365,))</f>
        <v>3</v>
      </c>
      <c r="G3" s="426">
        <f>IF(ISBLANK(B3),"",ROUND((D3-$B$2+1)/30,0))</f>
        <v>24</v>
      </c>
    </row>
    <row r="4" spans="1:8">
      <c r="A4" s="428" t="s">
        <v>246</v>
      </c>
      <c r="B4" s="429">
        <v>47119</v>
      </c>
      <c r="C4" s="426">
        <f t="shared" si="0"/>
        <v>2029</v>
      </c>
      <c r="D4" s="429">
        <v>47483</v>
      </c>
      <c r="E4" s="419">
        <f t="shared" si="1"/>
        <v>12</v>
      </c>
      <c r="F4" s="426">
        <f t="shared" si="2"/>
        <v>4</v>
      </c>
      <c r="G4" s="426">
        <f>IF(ISBLANK(B4),"",ROUND((D4-$B$2+1)/30,0))</f>
        <v>37</v>
      </c>
    </row>
    <row r="5" spans="1:8">
      <c r="A5" s="428" t="s">
        <v>435</v>
      </c>
      <c r="B5" s="427"/>
      <c r="C5" s="426" t="str">
        <f t="shared" si="0"/>
        <v/>
      </c>
      <c r="D5" s="427"/>
      <c r="E5" s="419" t="str">
        <f t="shared" si="1"/>
        <v/>
      </c>
      <c r="F5" s="426" t="str">
        <f t="shared" si="2"/>
        <v/>
      </c>
      <c r="G5" s="426"/>
    </row>
    <row r="6" spans="1:8">
      <c r="A6" s="428" t="s">
        <v>436</v>
      </c>
      <c r="B6" s="427"/>
      <c r="C6" s="426" t="str">
        <f t="shared" si="0"/>
        <v/>
      </c>
      <c r="D6" s="427"/>
      <c r="E6" s="419" t="str">
        <f t="shared" si="1"/>
        <v/>
      </c>
      <c r="F6" s="426" t="str">
        <f t="shared" si="2"/>
        <v/>
      </c>
      <c r="G6" s="426"/>
    </row>
    <row r="7" spans="1:8">
      <c r="A7" s="428" t="s">
        <v>437</v>
      </c>
      <c r="B7" s="427"/>
      <c r="C7" s="426" t="str">
        <f t="shared" si="0"/>
        <v/>
      </c>
      <c r="D7" s="427"/>
      <c r="E7" s="419" t="str">
        <f t="shared" si="1"/>
        <v/>
      </c>
      <c r="F7" s="426" t="str">
        <f t="shared" si="2"/>
        <v/>
      </c>
      <c r="G7" s="426"/>
    </row>
    <row r="8" spans="1:8">
      <c r="A8" s="428" t="s">
        <v>438</v>
      </c>
      <c r="B8" s="427"/>
      <c r="C8" s="426" t="str">
        <f t="shared" si="0"/>
        <v/>
      </c>
      <c r="D8" s="427"/>
      <c r="E8" s="419" t="str">
        <f t="shared" si="1"/>
        <v/>
      </c>
      <c r="F8" s="426" t="str">
        <f t="shared" si="2"/>
        <v/>
      </c>
      <c r="G8" s="426"/>
    </row>
    <row r="9" spans="1:8">
      <c r="A9" s="428" t="s">
        <v>439</v>
      </c>
      <c r="B9" s="427"/>
      <c r="C9" s="426" t="str">
        <f t="shared" si="0"/>
        <v/>
      </c>
      <c r="D9" s="427"/>
      <c r="E9" s="419" t="str">
        <f t="shared" si="1"/>
        <v/>
      </c>
      <c r="F9" s="426" t="str">
        <f t="shared" si="2"/>
        <v/>
      </c>
      <c r="G9" s="426"/>
    </row>
    <row r="10" spans="1:8">
      <c r="A10" s="428" t="s">
        <v>440</v>
      </c>
      <c r="B10" s="427"/>
      <c r="C10" s="426" t="str">
        <f t="shared" si="0"/>
        <v/>
      </c>
      <c r="D10" s="427"/>
      <c r="E10" s="419" t="str">
        <f t="shared" si="1"/>
        <v/>
      </c>
      <c r="F10" s="426" t="str">
        <f t="shared" si="2"/>
        <v/>
      </c>
      <c r="G10" s="426"/>
    </row>
    <row r="11" spans="1:8">
      <c r="A11" s="428" t="s">
        <v>441</v>
      </c>
      <c r="B11" s="427"/>
      <c r="C11" s="426" t="str">
        <f t="shared" si="0"/>
        <v/>
      </c>
      <c r="D11" s="427"/>
      <c r="E11" s="419" t="str">
        <f t="shared" si="1"/>
        <v/>
      </c>
      <c r="F11" s="426" t="str">
        <f t="shared" si="2"/>
        <v/>
      </c>
      <c r="G11" s="426"/>
    </row>
    <row r="12" spans="1:8">
      <c r="A12" s="428" t="s">
        <v>442</v>
      </c>
      <c r="B12" s="427"/>
      <c r="C12" s="426" t="str">
        <f t="shared" si="0"/>
        <v/>
      </c>
      <c r="D12" s="427"/>
      <c r="E12" s="419" t="str">
        <f t="shared" si="1"/>
        <v/>
      </c>
      <c r="F12" s="426" t="str">
        <f t="shared" si="2"/>
        <v/>
      </c>
      <c r="G12" s="426"/>
    </row>
    <row r="13" spans="1:8">
      <c r="A13" s="428" t="s">
        <v>443</v>
      </c>
      <c r="B13" s="427"/>
      <c r="C13" s="426" t="str">
        <f t="shared" si="0"/>
        <v/>
      </c>
      <c r="D13" s="427"/>
      <c r="E13" s="419" t="str">
        <f t="shared" si="1"/>
        <v/>
      </c>
      <c r="F13" s="426" t="str">
        <f t="shared" si="2"/>
        <v/>
      </c>
      <c r="G13" s="426"/>
    </row>
    <row r="14" spans="1:8">
      <c r="A14" s="428" t="s">
        <v>444</v>
      </c>
      <c r="B14" s="427"/>
      <c r="C14" s="426" t="str">
        <f t="shared" si="0"/>
        <v/>
      </c>
      <c r="D14" s="427"/>
      <c r="E14" s="419" t="str">
        <f t="shared" si="1"/>
        <v/>
      </c>
      <c r="F14" s="426" t="str">
        <f t="shared" si="2"/>
        <v/>
      </c>
      <c r="G14" s="426"/>
    </row>
    <row r="15" spans="1:8">
      <c r="A15" s="428" t="s">
        <v>445</v>
      </c>
      <c r="B15" s="427"/>
      <c r="C15" s="426" t="str">
        <f t="shared" si="0"/>
        <v/>
      </c>
      <c r="D15" s="427"/>
      <c r="E15" s="419" t="str">
        <f t="shared" si="1"/>
        <v/>
      </c>
      <c r="F15" s="426" t="str">
        <f t="shared" si="2"/>
        <v/>
      </c>
      <c r="G15" s="426"/>
    </row>
    <row r="16" spans="1:8">
      <c r="A16" s="428" t="s">
        <v>446</v>
      </c>
      <c r="B16" s="427"/>
      <c r="C16" s="426" t="str">
        <f t="shared" si="0"/>
        <v/>
      </c>
      <c r="D16" s="427"/>
      <c r="E16" s="419" t="str">
        <f t="shared" si="1"/>
        <v/>
      </c>
      <c r="F16" s="426" t="str">
        <f t="shared" si="2"/>
        <v/>
      </c>
      <c r="G16" s="426"/>
    </row>
    <row r="17" spans="1:7">
      <c r="A17" s="428" t="s">
        <v>447</v>
      </c>
      <c r="B17" s="427"/>
      <c r="C17" s="426" t="str">
        <f t="shared" si="0"/>
        <v/>
      </c>
      <c r="D17" s="427"/>
      <c r="E17" s="419" t="str">
        <f t="shared" si="1"/>
        <v/>
      </c>
      <c r="F17" s="426" t="str">
        <f t="shared" si="2"/>
        <v/>
      </c>
      <c r="G17" s="426"/>
    </row>
    <row r="18" spans="1:7">
      <c r="A18" s="428" t="s">
        <v>448</v>
      </c>
      <c r="B18" s="427"/>
      <c r="C18" s="426" t="str">
        <f t="shared" si="0"/>
        <v/>
      </c>
      <c r="D18" s="427"/>
      <c r="E18" s="419" t="str">
        <f t="shared" si="1"/>
        <v/>
      </c>
      <c r="F18" s="426" t="str">
        <f t="shared" si="2"/>
        <v/>
      </c>
      <c r="G18" s="426"/>
    </row>
    <row r="19" spans="1:7">
      <c r="A19" s="428" t="s">
        <v>449</v>
      </c>
      <c r="B19" s="427"/>
      <c r="C19" s="426" t="str">
        <f t="shared" si="0"/>
        <v/>
      </c>
      <c r="D19" s="427"/>
      <c r="E19" s="419" t="str">
        <f t="shared" si="1"/>
        <v/>
      </c>
      <c r="F19" s="426" t="str">
        <f t="shared" si="2"/>
        <v/>
      </c>
      <c r="G19" s="426"/>
    </row>
    <row r="20" spans="1:7">
      <c r="A20" s="428" t="s">
        <v>450</v>
      </c>
      <c r="B20" s="427"/>
      <c r="C20" s="426" t="str">
        <f t="shared" si="0"/>
        <v/>
      </c>
      <c r="D20" s="427"/>
      <c r="E20" s="419" t="str">
        <f t="shared" si="1"/>
        <v/>
      </c>
      <c r="F20" s="426" t="str">
        <f t="shared" si="2"/>
        <v/>
      </c>
      <c r="G20" s="426"/>
    </row>
    <row r="21" spans="1:7">
      <c r="A21" s="428" t="s">
        <v>451</v>
      </c>
      <c r="B21" s="427"/>
      <c r="C21" s="426" t="str">
        <f t="shared" si="0"/>
        <v/>
      </c>
      <c r="D21" s="427"/>
      <c r="E21" s="419" t="str">
        <f t="shared" si="1"/>
        <v/>
      </c>
      <c r="F21" s="426" t="str">
        <f t="shared" si="2"/>
        <v/>
      </c>
      <c r="G21" s="426"/>
    </row>
  </sheetData>
  <dataValidations count="1">
    <dataValidation type="date" allowBlank="1" showInputMessage="1" showErrorMessage="1" sqref="B2:B21 D2:D21" xr:uid="{00000000-0002-0000-0A00-000000000000}">
      <formula1>36526</formula1>
      <formula2>55153</formula2>
    </dataValidation>
  </dataValidations>
  <pageMargins left="0.7" right="0.7" top="0.75" bottom="0.75" header="0.3" footer="0.3"/>
  <pageSetup paperSize="9" orientation="portrait"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árok26">
    <tabColor rgb="FFFFC000"/>
  </sheetPr>
  <dimension ref="A1:AG448"/>
  <sheetViews>
    <sheetView topLeftCell="B1" zoomScale="85" zoomScaleNormal="85" workbookViewId="0">
      <pane ySplit="2" topLeftCell="A101" activePane="bottomLeft" state="frozen"/>
      <selection activeCell="I3" sqref="I3"/>
      <selection pane="bottomLeft" activeCell="D104" sqref="D104"/>
    </sheetView>
  </sheetViews>
  <sheetFormatPr defaultColWidth="10.453125" defaultRowHeight="13"/>
  <cols>
    <col min="1" max="1" width="18.1796875" style="376" customWidth="1"/>
    <col min="2" max="2" width="46.453125" style="376" customWidth="1"/>
    <col min="3" max="3" width="58.7265625" style="373" customWidth="1"/>
    <col min="4" max="4" width="50.1796875" style="373" customWidth="1"/>
    <col min="5" max="5" width="57.7265625" style="373" customWidth="1"/>
    <col min="6" max="6" width="27.453125" style="373" customWidth="1"/>
    <col min="7" max="7" width="19.26953125" style="373" customWidth="1"/>
    <col min="8" max="9" width="17" style="373" customWidth="1"/>
    <col min="10" max="10" width="17" style="376" hidden="1" customWidth="1"/>
    <col min="11" max="11" width="17" style="376" customWidth="1"/>
    <col min="12" max="12" width="13.7265625" style="375" customWidth="1"/>
    <col min="13" max="14" width="13.7265625" style="376" customWidth="1"/>
    <col min="15" max="15" width="13.7265625" style="375" customWidth="1"/>
    <col min="16" max="16" width="14.26953125" style="374" customWidth="1"/>
    <col min="17" max="17" width="27.453125" style="373" customWidth="1"/>
    <col min="18" max="18" width="34.26953125" style="373" customWidth="1"/>
    <col min="19" max="19" width="64.453125" style="373" customWidth="1"/>
    <col min="20" max="20" width="34.453125" style="373" customWidth="1"/>
    <col min="21" max="21" width="30.453125" style="373" customWidth="1"/>
    <col min="22" max="22" width="26.26953125" style="373" customWidth="1"/>
    <col min="23" max="24" width="44.453125" style="373" customWidth="1"/>
    <col min="25" max="26" width="36.26953125" style="373" customWidth="1"/>
    <col min="27" max="28" width="38" style="373" customWidth="1"/>
    <col min="29" max="29" width="52.7265625" style="373" customWidth="1"/>
    <col min="30" max="30" width="35.453125" style="373" customWidth="1"/>
    <col min="31" max="31" width="30.26953125" style="373" customWidth="1"/>
    <col min="32" max="16384" width="10.453125" style="373"/>
  </cols>
  <sheetData>
    <row r="1" spans="1:33" ht="45.65" customHeight="1">
      <c r="A1" s="818" t="s">
        <v>452</v>
      </c>
      <c r="B1" s="819"/>
      <c r="C1" s="819"/>
      <c r="D1" s="819"/>
      <c r="E1" s="819"/>
      <c r="F1" s="819"/>
      <c r="G1" s="819"/>
      <c r="H1" s="819"/>
      <c r="I1" s="819"/>
      <c r="J1" s="819"/>
      <c r="K1" s="819"/>
      <c r="L1" s="819"/>
      <c r="M1" s="819"/>
      <c r="N1" s="819"/>
      <c r="O1" s="819"/>
      <c r="P1" s="819"/>
      <c r="Q1" s="819"/>
      <c r="R1" s="819"/>
      <c r="S1" s="820"/>
      <c r="T1" s="810" t="s">
        <v>453</v>
      </c>
      <c r="U1" s="811"/>
      <c r="V1" s="812"/>
      <c r="W1" s="813" t="s">
        <v>454</v>
      </c>
      <c r="X1" s="814"/>
      <c r="Y1" s="814"/>
      <c r="Z1" s="814"/>
      <c r="AA1" s="814"/>
      <c r="AB1" s="814"/>
      <c r="AC1" s="815"/>
      <c r="AD1" s="816" t="s">
        <v>455</v>
      </c>
      <c r="AE1" s="817"/>
      <c r="AF1" s="409"/>
    </row>
    <row r="2" spans="1:33" s="402" customFormat="1" ht="52">
      <c r="A2" s="384" t="s">
        <v>456</v>
      </c>
      <c r="B2" s="384" t="s">
        <v>457</v>
      </c>
      <c r="C2" s="384" t="s">
        <v>458</v>
      </c>
      <c r="D2" s="384" t="s">
        <v>459</v>
      </c>
      <c r="E2" s="384" t="s">
        <v>460</v>
      </c>
      <c r="F2" s="384" t="s">
        <v>461</v>
      </c>
      <c r="G2" s="384" t="s">
        <v>462</v>
      </c>
      <c r="H2" s="408" t="s">
        <v>463</v>
      </c>
      <c r="I2" s="408" t="s">
        <v>464</v>
      </c>
      <c r="J2" s="408" t="s">
        <v>465</v>
      </c>
      <c r="K2" s="408" t="s">
        <v>466</v>
      </c>
      <c r="L2" s="408" t="s">
        <v>230</v>
      </c>
      <c r="M2" s="408" t="s">
        <v>229</v>
      </c>
      <c r="N2" s="408" t="s">
        <v>228</v>
      </c>
      <c r="O2" s="408" t="s">
        <v>467</v>
      </c>
      <c r="P2" s="408" t="s">
        <v>468</v>
      </c>
      <c r="Q2" s="384" t="s">
        <v>469</v>
      </c>
      <c r="R2" s="384" t="s">
        <v>470</v>
      </c>
      <c r="S2" s="384" t="s">
        <v>471</v>
      </c>
      <c r="T2" s="407" t="s">
        <v>472</v>
      </c>
      <c r="U2" s="407" t="s">
        <v>473</v>
      </c>
      <c r="V2" s="406" t="s">
        <v>474</v>
      </c>
      <c r="W2" s="405" t="s">
        <v>475</v>
      </c>
      <c r="X2" s="405" t="s">
        <v>476</v>
      </c>
      <c r="Y2" s="405" t="s">
        <v>477</v>
      </c>
      <c r="Z2" s="405" t="s">
        <v>478</v>
      </c>
      <c r="AA2" s="405" t="s">
        <v>479</v>
      </c>
      <c r="AB2" s="405" t="s">
        <v>480</v>
      </c>
      <c r="AC2" s="405" t="s">
        <v>481</v>
      </c>
      <c r="AD2" s="404" t="s">
        <v>482</v>
      </c>
      <c r="AE2" s="403" t="s">
        <v>483</v>
      </c>
    </row>
    <row r="3" spans="1:33" s="396" customFormat="1" ht="52">
      <c r="A3" s="667" t="s">
        <v>484</v>
      </c>
      <c r="B3" s="667" t="s">
        <v>485</v>
      </c>
      <c r="C3" s="669" t="s">
        <v>486</v>
      </c>
      <c r="D3" s="669" t="s">
        <v>487</v>
      </c>
      <c r="E3" s="670" t="s">
        <v>488</v>
      </c>
      <c r="F3" s="671" t="s">
        <v>489</v>
      </c>
      <c r="G3" s="670" t="s">
        <v>263</v>
      </c>
      <c r="H3" s="382">
        <v>3</v>
      </c>
      <c r="I3" s="382">
        <v>15</v>
      </c>
      <c r="J3" s="382">
        <f t="shared" ref="J3:J34" si="0">IF(ISNUMBER(H3),H3,)</f>
        <v>3</v>
      </c>
      <c r="K3" s="645">
        <f>H3*I3</f>
        <v>45</v>
      </c>
      <c r="L3" s="646">
        <f>IFERROR(IF(B3="funkcna poziadavka",VLOOKUP(G3,MODULY_CBA!$B$3:$E$23,4,0)*H3/SUMIFS($H$3:$H$199,$G$3:$G$199,G3,$B$3:$B$199,B3),),)</f>
        <v>0.86842105263157898</v>
      </c>
      <c r="M3" s="645">
        <f>IFERROR(IF(B3="Funkcna poziadavka",VLOOKUP(G3,MODULY_CBA!$B$3:$E$23,3,0),),)</f>
        <v>1.085</v>
      </c>
      <c r="N3" s="645">
        <f>IFERROR(IF(B3="funkcna poziadavka",VLOOKUP(G3,MODULY_CBA!$B$3:$E$23,2,0),),)</f>
        <v>1.1400000000000001</v>
      </c>
      <c r="O3" s="646">
        <f>(I3+L3)*M3*N3*H3</f>
        <v>58.882949999999994</v>
      </c>
      <c r="P3" s="647">
        <f>IFERROR(O3*VLOOKUP(G3,MODULY_CBA!$B$3:$F$23,5,0),)</f>
        <v>1766.4884999999999</v>
      </c>
      <c r="Q3" s="482" t="str">
        <f>IFERROR(VLOOKUP(G3,MODULY_CBA!$B$3:$I$23,6,0),"")</f>
        <v>Inkrement 1</v>
      </c>
      <c r="R3" s="387"/>
      <c r="S3" s="387"/>
      <c r="T3" s="387"/>
      <c r="U3" s="387"/>
      <c r="V3" s="399"/>
      <c r="W3" s="379"/>
      <c r="X3" s="379"/>
      <c r="Y3" s="387"/>
      <c r="Z3" s="387"/>
      <c r="AA3" s="387"/>
      <c r="AB3" s="387"/>
      <c r="AC3" s="387"/>
      <c r="AD3" s="387"/>
      <c r="AE3" s="387"/>
      <c r="AF3" s="401"/>
      <c r="AG3" s="400"/>
    </row>
    <row r="4" spans="1:33" s="396" customFormat="1" ht="52">
      <c r="A4" s="667" t="s">
        <v>490</v>
      </c>
      <c r="B4" s="668" t="s">
        <v>485</v>
      </c>
      <c r="C4" s="669" t="s">
        <v>491</v>
      </c>
      <c r="D4" s="669" t="s">
        <v>492</v>
      </c>
      <c r="E4" s="670" t="s">
        <v>493</v>
      </c>
      <c r="F4" s="671" t="s">
        <v>489</v>
      </c>
      <c r="G4" s="670" t="s">
        <v>255</v>
      </c>
      <c r="H4" s="382">
        <v>3</v>
      </c>
      <c r="I4" s="382">
        <v>15</v>
      </c>
      <c r="J4" s="382">
        <f t="shared" si="0"/>
        <v>3</v>
      </c>
      <c r="K4" s="645">
        <f t="shared" ref="K4:K67" si="1">H4*I4</f>
        <v>45</v>
      </c>
      <c r="L4" s="646">
        <f>IFERROR(IF(B4="funkcna poziadavka",VLOOKUP(G4,MODULY_CBA!$B$3:$E$23,4,0)*H4/SUMIFS($H$3:$H$199,$G$3:$G$199,G4,$B$3:$B$199,B4),),)</f>
        <v>16.5</v>
      </c>
      <c r="M4" s="645">
        <f>IFERROR(IF(B4="Funkcna poziadavka",VLOOKUP(G4,MODULY_CBA!$B$3:$E$23,3,0),),)</f>
        <v>1.085</v>
      </c>
      <c r="N4" s="645">
        <f>IFERROR(IF(B4="funkcna poziadavka",VLOOKUP(G4,MODULY_CBA!$B$3:$E$23,2,0),),)</f>
        <v>1.1400000000000001</v>
      </c>
      <c r="O4" s="646">
        <f t="shared" ref="O4:O11" si="2">(I4+L4)*M4*N4*H4</f>
        <v>116.88705000000002</v>
      </c>
      <c r="P4" s="647">
        <f>IFERROR(O4*VLOOKUP(G4,MODULY_CBA!$B$3:$F$23,5,0),)</f>
        <v>3506.6115000000004</v>
      </c>
      <c r="Q4" s="482" t="str">
        <f>IFERROR(VLOOKUP(G4,MODULY_CBA!$B$3:$I$23,6,0),"")</f>
        <v>Inkrement 1</v>
      </c>
      <c r="R4" s="387"/>
      <c r="S4" s="387"/>
      <c r="T4" s="387"/>
      <c r="U4" s="387"/>
      <c r="V4" s="399"/>
      <c r="W4" s="379"/>
      <c r="X4" s="379"/>
      <c r="Y4" s="387"/>
      <c r="Z4" s="387"/>
      <c r="AA4" s="387"/>
      <c r="AB4" s="387"/>
      <c r="AC4" s="387"/>
      <c r="AD4" s="387"/>
      <c r="AE4" s="387"/>
      <c r="AF4" s="401"/>
      <c r="AG4" s="400"/>
    </row>
    <row r="5" spans="1:33" s="396" customFormat="1" ht="39">
      <c r="A5" s="667" t="s">
        <v>494</v>
      </c>
      <c r="B5" s="667" t="s">
        <v>485</v>
      </c>
      <c r="C5" s="669" t="s">
        <v>495</v>
      </c>
      <c r="D5" s="669" t="s">
        <v>496</v>
      </c>
      <c r="E5" s="670" t="s">
        <v>497</v>
      </c>
      <c r="F5" s="671" t="s">
        <v>489</v>
      </c>
      <c r="G5" s="670" t="s">
        <v>259</v>
      </c>
      <c r="H5" s="382">
        <v>3</v>
      </c>
      <c r="I5" s="382">
        <v>15</v>
      </c>
      <c r="J5" s="382">
        <f t="shared" si="0"/>
        <v>3</v>
      </c>
      <c r="K5" s="645">
        <f t="shared" si="1"/>
        <v>45</v>
      </c>
      <c r="L5" s="646">
        <f>IFERROR(IF(B5="funkcna poziadavka",VLOOKUP(G5,MODULY_CBA!$B$3:$E$23,4,0)*H5/SUMIFS($H$3:$H$199,$G$3:$G$199,G5,$B$3:$B$199,B5),),)</f>
        <v>0.44594594594594594</v>
      </c>
      <c r="M5" s="645">
        <f>IFERROR(IF(B5="Funkcna poziadavka",VLOOKUP(G5,MODULY_CBA!$B$3:$E$23,3,0),),)</f>
        <v>1.085</v>
      </c>
      <c r="N5" s="645">
        <f>IFERROR(IF(B5="funkcna poziadavka",VLOOKUP(G5,MODULY_CBA!$B$3:$E$23,2,0),),)</f>
        <v>1.1400000000000001</v>
      </c>
      <c r="O5" s="646">
        <f t="shared" si="2"/>
        <v>57.315271621621619</v>
      </c>
      <c r="P5" s="647">
        <f>IFERROR(O5*VLOOKUP(G5,MODULY_CBA!$B$3:$F$23,5,0),)</f>
        <v>1719.4581486486486</v>
      </c>
      <c r="Q5" s="482" t="str">
        <f>IFERROR(VLOOKUP(G5,MODULY_CBA!$B$3:$I$23,6,0),"")</f>
        <v>Inkrement 2</v>
      </c>
      <c r="R5" s="387"/>
      <c r="S5" s="387"/>
      <c r="T5" s="387"/>
      <c r="U5" s="387"/>
      <c r="V5" s="399"/>
      <c r="W5" s="379"/>
      <c r="X5" s="379"/>
      <c r="Y5" s="387"/>
      <c r="Z5" s="387"/>
      <c r="AA5" s="387"/>
      <c r="AB5" s="387"/>
      <c r="AC5" s="387"/>
      <c r="AD5" s="387"/>
      <c r="AE5" s="387"/>
      <c r="AF5" s="401"/>
      <c r="AG5" s="400"/>
    </row>
    <row r="6" spans="1:33" s="396" customFormat="1" ht="65">
      <c r="A6" s="667" t="s">
        <v>498</v>
      </c>
      <c r="B6" s="667" t="s">
        <v>485</v>
      </c>
      <c r="C6" s="669" t="s">
        <v>499</v>
      </c>
      <c r="D6" s="669" t="s">
        <v>500</v>
      </c>
      <c r="E6" s="670" t="s">
        <v>501</v>
      </c>
      <c r="F6" s="671" t="s">
        <v>489</v>
      </c>
      <c r="G6" s="670" t="s">
        <v>259</v>
      </c>
      <c r="H6" s="382">
        <v>3</v>
      </c>
      <c r="I6" s="382">
        <v>15</v>
      </c>
      <c r="J6" s="382">
        <f t="shared" si="0"/>
        <v>3</v>
      </c>
      <c r="K6" s="645">
        <f t="shared" si="1"/>
        <v>45</v>
      </c>
      <c r="L6" s="646">
        <f>IFERROR(IF(B6="funkcna poziadavka",VLOOKUP(G6,MODULY_CBA!$B$3:$E$23,4,0)*H6/SUMIFS($H$3:$H$199,$G$3:$G$199,G6,$B$3:$B$199,B6),),)</f>
        <v>0.44594594594594594</v>
      </c>
      <c r="M6" s="645">
        <f>IFERROR(IF(B6="Funkcna poziadavka",VLOOKUP(G6,MODULY_CBA!$B$3:$E$23,3,0),),)</f>
        <v>1.085</v>
      </c>
      <c r="N6" s="645">
        <f>IFERROR(IF(B6="funkcna poziadavka",VLOOKUP(G6,MODULY_CBA!$B$3:$E$23,2,0),),)</f>
        <v>1.1400000000000001</v>
      </c>
      <c r="O6" s="646">
        <f t="shared" si="2"/>
        <v>57.315271621621619</v>
      </c>
      <c r="P6" s="647">
        <f>IFERROR(O6*VLOOKUP(G6,MODULY_CBA!$B$3:$F$23,5,0),)</f>
        <v>1719.4581486486486</v>
      </c>
      <c r="Q6" s="482" t="str">
        <f>IFERROR(VLOOKUP(G6,MODULY_CBA!$B$3:$I$23,6,0),"")</f>
        <v>Inkrement 2</v>
      </c>
      <c r="R6" s="387"/>
      <c r="S6" s="387"/>
      <c r="T6" s="387"/>
      <c r="U6" s="387"/>
      <c r="V6" s="399"/>
      <c r="W6" s="379"/>
      <c r="X6" s="379"/>
      <c r="Y6" s="387"/>
      <c r="Z6" s="387"/>
      <c r="AA6" s="387"/>
      <c r="AB6" s="387"/>
      <c r="AC6" s="387"/>
      <c r="AD6" s="387"/>
      <c r="AE6" s="387"/>
      <c r="AF6" s="401"/>
      <c r="AG6" s="400"/>
    </row>
    <row r="7" spans="1:33" s="396" customFormat="1" ht="39">
      <c r="A7" s="667" t="s">
        <v>502</v>
      </c>
      <c r="B7" s="667" t="s">
        <v>485</v>
      </c>
      <c r="C7" s="669" t="s">
        <v>495</v>
      </c>
      <c r="D7" s="669" t="s">
        <v>503</v>
      </c>
      <c r="E7" s="670" t="s">
        <v>504</v>
      </c>
      <c r="F7" s="671" t="s">
        <v>489</v>
      </c>
      <c r="G7" s="670" t="s">
        <v>269</v>
      </c>
      <c r="H7" s="382">
        <v>3</v>
      </c>
      <c r="I7" s="382">
        <v>15</v>
      </c>
      <c r="J7" s="382">
        <f t="shared" si="0"/>
        <v>3</v>
      </c>
      <c r="K7" s="645">
        <f t="shared" si="1"/>
        <v>45</v>
      </c>
      <c r="L7" s="646">
        <f>IFERROR(IF(B7="funkcna poziadavka",VLOOKUP(G7,MODULY_CBA!$B$3:$E$23,4,0)*H7/SUMIFS($H$3:$H$199,$G$3:$G$199,G7,$B$3:$B$199,B7),),)</f>
        <v>3</v>
      </c>
      <c r="M7" s="645">
        <f>IFERROR(IF(B7="Funkcna poziadavka",VLOOKUP(G7,MODULY_CBA!$B$3:$E$23,3,0),),)</f>
        <v>1.085</v>
      </c>
      <c r="N7" s="645">
        <f>IFERROR(IF(B7="funkcna poziadavka",VLOOKUP(G7,MODULY_CBA!$B$3:$E$23,2,0),),)</f>
        <v>1.1400000000000001</v>
      </c>
      <c r="O7" s="646">
        <f t="shared" si="2"/>
        <v>66.792600000000007</v>
      </c>
      <c r="P7" s="647">
        <f>IFERROR(O7*VLOOKUP(G7,MODULY_CBA!$B$3:$F$23,5,0),)</f>
        <v>2003.7780000000002</v>
      </c>
      <c r="Q7" s="482" t="str">
        <f>IFERROR(VLOOKUP(G7,MODULY_CBA!$B$3:$I$23,6,0),"")</f>
        <v>Inkrement 1</v>
      </c>
      <c r="R7" s="387"/>
      <c r="S7" s="387"/>
      <c r="T7" s="387"/>
      <c r="U7" s="387"/>
      <c r="V7" s="399"/>
      <c r="W7" s="379"/>
      <c r="X7" s="379"/>
      <c r="Y7" s="387"/>
      <c r="Z7" s="387"/>
      <c r="AA7" s="387"/>
      <c r="AB7" s="387"/>
      <c r="AC7" s="387"/>
      <c r="AD7" s="387"/>
      <c r="AE7" s="387"/>
      <c r="AF7" s="401"/>
      <c r="AG7" s="400"/>
    </row>
    <row r="8" spans="1:33" s="396" customFormat="1" ht="39">
      <c r="A8" s="667" t="s">
        <v>505</v>
      </c>
      <c r="B8" s="667" t="s">
        <v>485</v>
      </c>
      <c r="C8" s="669" t="s">
        <v>491</v>
      </c>
      <c r="D8" s="669" t="s">
        <v>506</v>
      </c>
      <c r="E8" s="670" t="s">
        <v>507</v>
      </c>
      <c r="F8" s="671" t="s">
        <v>489</v>
      </c>
      <c r="G8" s="670" t="s">
        <v>265</v>
      </c>
      <c r="H8" s="382">
        <v>3</v>
      </c>
      <c r="I8" s="382">
        <v>15</v>
      </c>
      <c r="J8" s="382">
        <f t="shared" si="0"/>
        <v>3</v>
      </c>
      <c r="K8" s="645">
        <f t="shared" si="1"/>
        <v>45</v>
      </c>
      <c r="L8" s="646">
        <f>IFERROR(IF(B8="funkcna poziadavka",VLOOKUP(G8,MODULY_CBA!$B$3:$E$23,4,0)*H8/SUMIFS($H$3:$H$199,$G$3:$G$199,G8,$B$3:$B$199,B8),),)</f>
        <v>6.6</v>
      </c>
      <c r="M8" s="645">
        <f>IFERROR(IF(B8="Funkcna poziadavka",VLOOKUP(G8,MODULY_CBA!$B$3:$E$23,3,0),),)</f>
        <v>1.085</v>
      </c>
      <c r="N8" s="645">
        <f>IFERROR(IF(B8="funkcna poziadavka",VLOOKUP(G8,MODULY_CBA!$B$3:$E$23,2,0),),)</f>
        <v>1.1400000000000001</v>
      </c>
      <c r="O8" s="646">
        <f t="shared" si="2"/>
        <v>80.15112000000002</v>
      </c>
      <c r="P8" s="647">
        <f>IFERROR(O8*VLOOKUP(G8,MODULY_CBA!$B$3:$F$23,5,0),)</f>
        <v>2404.5336000000007</v>
      </c>
      <c r="Q8" s="482" t="str">
        <f>IFERROR(VLOOKUP(G8,MODULY_CBA!$B$3:$I$23,6,0),"")</f>
        <v>Inkrement 3</v>
      </c>
      <c r="R8" s="387"/>
      <c r="S8" s="387"/>
      <c r="T8" s="387"/>
      <c r="U8" s="387"/>
      <c r="V8" s="399"/>
      <c r="W8" s="379"/>
      <c r="X8" s="379"/>
      <c r="Y8" s="387"/>
      <c r="Z8" s="387"/>
      <c r="AA8" s="387"/>
      <c r="AB8" s="387"/>
      <c r="AC8" s="387"/>
      <c r="AD8" s="387"/>
      <c r="AE8" s="387"/>
      <c r="AF8" s="401"/>
      <c r="AG8" s="400"/>
    </row>
    <row r="9" spans="1:33" s="396" customFormat="1" ht="78">
      <c r="A9" s="667" t="s">
        <v>508</v>
      </c>
      <c r="B9" s="667" t="s">
        <v>485</v>
      </c>
      <c r="C9" s="669" t="s">
        <v>509</v>
      </c>
      <c r="D9" s="669" t="s">
        <v>510</v>
      </c>
      <c r="E9" s="670" t="s">
        <v>511</v>
      </c>
      <c r="F9" s="671" t="s">
        <v>489</v>
      </c>
      <c r="G9" s="670" t="s">
        <v>257</v>
      </c>
      <c r="H9" s="382">
        <v>3</v>
      </c>
      <c r="I9" s="382">
        <v>15</v>
      </c>
      <c r="J9" s="382">
        <f t="shared" si="0"/>
        <v>3</v>
      </c>
      <c r="K9" s="645">
        <f t="shared" si="1"/>
        <v>45</v>
      </c>
      <c r="L9" s="646">
        <f>IFERROR(IF(B9="funkcna poziadavka",VLOOKUP(G9,MODULY_CBA!$B$3:$E$23,4,0)*H9/SUMIFS($H$3:$H$199,$G$3:$G$199,G9,$B$3:$B$199,B9),),)</f>
        <v>8.25</v>
      </c>
      <c r="M9" s="645">
        <f>IFERROR(IF(B9="Funkcna poziadavka",VLOOKUP(G9,MODULY_CBA!$B$3:$E$23,3,0),),)</f>
        <v>1.085</v>
      </c>
      <c r="N9" s="645">
        <f>IFERROR(IF(B9="funkcna poziadavka",VLOOKUP(G9,MODULY_CBA!$B$3:$E$23,2,0),),)</f>
        <v>1.1400000000000001</v>
      </c>
      <c r="O9" s="646">
        <f t="shared" si="2"/>
        <v>86.273775000000015</v>
      </c>
      <c r="P9" s="647">
        <f>IFERROR(O9*VLOOKUP(G9,MODULY_CBA!$B$3:$F$23,5,0),)</f>
        <v>2588.2132500000002</v>
      </c>
      <c r="Q9" s="482" t="str">
        <f>IFERROR(VLOOKUP(G9,MODULY_CBA!$B$3:$I$23,6,0),"")</f>
        <v>Inkrement 3</v>
      </c>
      <c r="R9" s="387"/>
      <c r="S9" s="387"/>
      <c r="T9" s="387"/>
      <c r="U9" s="387"/>
      <c r="V9" s="399"/>
      <c r="W9" s="379"/>
      <c r="X9" s="379"/>
      <c r="Y9" s="387"/>
      <c r="Z9" s="387"/>
      <c r="AA9" s="387"/>
      <c r="AB9" s="387"/>
      <c r="AC9" s="387"/>
      <c r="AD9" s="387"/>
      <c r="AE9" s="387"/>
      <c r="AF9" s="401"/>
      <c r="AG9" s="400"/>
    </row>
    <row r="10" spans="1:33" s="396" customFormat="1" ht="91">
      <c r="A10" s="667" t="s">
        <v>512</v>
      </c>
      <c r="B10" s="667" t="s">
        <v>485</v>
      </c>
      <c r="C10" s="669" t="s">
        <v>513</v>
      </c>
      <c r="D10" s="669" t="s">
        <v>514</v>
      </c>
      <c r="E10" s="670" t="s">
        <v>515</v>
      </c>
      <c r="F10" s="671" t="s">
        <v>489</v>
      </c>
      <c r="G10" s="670" t="s">
        <v>259</v>
      </c>
      <c r="H10" s="382">
        <v>3</v>
      </c>
      <c r="I10" s="382">
        <v>15</v>
      </c>
      <c r="J10" s="382">
        <f t="shared" si="0"/>
        <v>3</v>
      </c>
      <c r="K10" s="645">
        <f t="shared" si="1"/>
        <v>45</v>
      </c>
      <c r="L10" s="646">
        <f>IFERROR(IF(B10="funkcna poziadavka",VLOOKUP(G10,MODULY_CBA!$B$3:$E$23,4,0)*H10/SUMIFS($H$3:$H$199,$G$3:$G$199,G10,$B$3:$B$199,B10),),)</f>
        <v>0.44594594594594594</v>
      </c>
      <c r="M10" s="645">
        <f>IFERROR(IF(B10="Funkcna poziadavka",VLOOKUP(G10,MODULY_CBA!$B$3:$E$23,3,0),),)</f>
        <v>1.085</v>
      </c>
      <c r="N10" s="645">
        <f>IFERROR(IF(B10="funkcna poziadavka",VLOOKUP(G10,MODULY_CBA!$B$3:$E$23,2,0),),)</f>
        <v>1.1400000000000001</v>
      </c>
      <c r="O10" s="646">
        <f t="shared" si="2"/>
        <v>57.315271621621619</v>
      </c>
      <c r="P10" s="647">
        <f>IFERROR(O10*VLOOKUP(G10,MODULY_CBA!$B$3:$F$23,5,0),)</f>
        <v>1719.4581486486486</v>
      </c>
      <c r="Q10" s="482" t="str">
        <f>IFERROR(VLOOKUP(G10,MODULY_CBA!$B$3:$I$23,6,0),"")</f>
        <v>Inkrement 2</v>
      </c>
      <c r="R10" s="387"/>
      <c r="S10" s="387"/>
      <c r="T10" s="387"/>
      <c r="U10" s="387"/>
      <c r="V10" s="399"/>
      <c r="W10" s="379"/>
      <c r="X10" s="379"/>
      <c r="Y10" s="387"/>
      <c r="Z10" s="387"/>
      <c r="AA10" s="387"/>
      <c r="AB10" s="387"/>
      <c r="AC10" s="387"/>
      <c r="AD10" s="387"/>
      <c r="AE10" s="387"/>
      <c r="AF10" s="401"/>
      <c r="AG10" s="400"/>
    </row>
    <row r="11" spans="1:33" s="396" customFormat="1" ht="52">
      <c r="A11" s="667" t="s">
        <v>516</v>
      </c>
      <c r="B11" s="667" t="s">
        <v>485</v>
      </c>
      <c r="C11" s="669" t="s">
        <v>513</v>
      </c>
      <c r="D11" s="669" t="s">
        <v>517</v>
      </c>
      <c r="E11" s="670" t="s">
        <v>518</v>
      </c>
      <c r="F11" s="671" t="s">
        <v>489</v>
      </c>
      <c r="G11" s="670" t="s">
        <v>267</v>
      </c>
      <c r="H11" s="382">
        <v>3</v>
      </c>
      <c r="I11" s="382">
        <v>15</v>
      </c>
      <c r="J11" s="382">
        <f t="shared" si="0"/>
        <v>3</v>
      </c>
      <c r="K11" s="645">
        <f t="shared" si="1"/>
        <v>45</v>
      </c>
      <c r="L11" s="646">
        <f>IFERROR(IF(B11="funkcna poziadavka",VLOOKUP(G11,MODULY_CBA!$B$3:$E$23,4,0)*H11/SUMIFS($H$3:$H$199,$G$3:$G$199,G11,$B$3:$B$199,B11),),)</f>
        <v>1.064516129032258</v>
      </c>
      <c r="M11" s="645">
        <f>IFERROR(IF(B11="Funkcna poziadavka",VLOOKUP(G11,MODULY_CBA!$B$3:$E$23,3,0),),)</f>
        <v>1.085</v>
      </c>
      <c r="N11" s="645">
        <f>IFERROR(IF(B11="funkcna poziadavka",VLOOKUP(G11,MODULY_CBA!$B$3:$E$23,2,0),),)</f>
        <v>1.1400000000000001</v>
      </c>
      <c r="O11" s="646">
        <f t="shared" si="2"/>
        <v>59.610599999999991</v>
      </c>
      <c r="P11" s="647">
        <f>IFERROR(O11*VLOOKUP(G11,MODULY_CBA!$B$3:$F$23,5,0),)</f>
        <v>1788.3179999999998</v>
      </c>
      <c r="Q11" s="482" t="str">
        <f>IFERROR(VLOOKUP(G11,MODULY_CBA!$B$3:$I$23,6,0),"")</f>
        <v>Inkrement 2</v>
      </c>
      <c r="R11" s="387"/>
      <c r="S11" s="387"/>
      <c r="T11" s="387"/>
      <c r="U11" s="387"/>
      <c r="V11" s="399"/>
      <c r="W11" s="379"/>
      <c r="X11" s="379"/>
      <c r="Y11" s="387"/>
      <c r="Z11" s="387"/>
      <c r="AA11" s="387"/>
      <c r="AB11" s="387"/>
      <c r="AC11" s="387"/>
      <c r="AD11" s="387"/>
      <c r="AE11" s="387"/>
      <c r="AF11" s="398"/>
      <c r="AG11" s="397"/>
    </row>
    <row r="12" spans="1:33" ht="26">
      <c r="A12" s="667" t="s">
        <v>519</v>
      </c>
      <c r="B12" s="667" t="s">
        <v>485</v>
      </c>
      <c r="C12" s="669" t="s">
        <v>495</v>
      </c>
      <c r="D12" s="669" t="s">
        <v>520</v>
      </c>
      <c r="E12" s="670" t="s">
        <v>521</v>
      </c>
      <c r="F12" s="671" t="s">
        <v>489</v>
      </c>
      <c r="G12" s="670" t="s">
        <v>259</v>
      </c>
      <c r="H12" s="382">
        <v>3</v>
      </c>
      <c r="I12" s="382">
        <v>15</v>
      </c>
      <c r="J12" s="382">
        <f t="shared" si="0"/>
        <v>3</v>
      </c>
      <c r="K12" s="382">
        <f t="shared" si="1"/>
        <v>45</v>
      </c>
      <c r="L12" s="646">
        <f>IFERROR(IF(B12="funkcna poziadavka",VLOOKUP(G12,MODULY_CBA!$B$3:$E$23,4,0)*H12/SUMIFS($H$3:$H$199,$G$3:$G$199,G12,$B$3:$B$199,B12),),)</f>
        <v>0.44594594594594594</v>
      </c>
      <c r="M12" s="382">
        <f>IFERROR(IF(B12="Funkcna poziadavka",VLOOKUP(G12,MODULY_CBA!$B$3:$E$23,3,0),),)</f>
        <v>1.085</v>
      </c>
      <c r="N12" s="382">
        <f>IFERROR(IF(B12="funkcna poziadavka",VLOOKUP(G12,MODULY_CBA!$B$3:$E$23,2,0),),)</f>
        <v>1.1400000000000001</v>
      </c>
      <c r="O12" s="381">
        <f t="shared" ref="O12:O34" si="3">(K12+L12)*M12*N12</f>
        <v>56.212090540540544</v>
      </c>
      <c r="P12" s="380">
        <f>IFERROR(O12*VLOOKUP(G12,MODULY_CBA!$B$3:$F$23,5,0),)</f>
        <v>1686.3627162162163</v>
      </c>
      <c r="Q12" s="482" t="str">
        <f>IFERROR(VLOOKUP(G12,MODULY_CBA!$B$3:$I$23,6,0),"")</f>
        <v>Inkrement 2</v>
      </c>
      <c r="R12" s="388"/>
      <c r="S12" s="388"/>
      <c r="T12" s="388"/>
      <c r="U12" s="388"/>
      <c r="V12" s="388"/>
      <c r="W12" s="388"/>
      <c r="X12" s="388"/>
      <c r="Y12" s="388"/>
      <c r="Z12" s="388"/>
      <c r="AA12" s="388"/>
      <c r="AB12" s="388"/>
      <c r="AC12" s="388"/>
      <c r="AD12" s="388"/>
      <c r="AE12" s="388"/>
      <c r="AF12" s="394"/>
      <c r="AG12" s="388"/>
    </row>
    <row r="13" spans="1:33" ht="52">
      <c r="A13" s="667" t="s">
        <v>522</v>
      </c>
      <c r="B13" s="667" t="s">
        <v>485</v>
      </c>
      <c r="C13" s="669" t="s">
        <v>495</v>
      </c>
      <c r="D13" s="669" t="s">
        <v>523</v>
      </c>
      <c r="E13" s="670" t="s">
        <v>524</v>
      </c>
      <c r="F13" s="671" t="s">
        <v>489</v>
      </c>
      <c r="G13" s="670" t="s">
        <v>263</v>
      </c>
      <c r="H13" s="382">
        <v>3</v>
      </c>
      <c r="I13" s="382">
        <v>15</v>
      </c>
      <c r="J13" s="382">
        <f t="shared" si="0"/>
        <v>3</v>
      </c>
      <c r="K13" s="382">
        <f t="shared" si="1"/>
        <v>45</v>
      </c>
      <c r="L13" s="646">
        <f>IFERROR(IF(B13="funkcna poziadavka",VLOOKUP(G13,MODULY_CBA!$B$3:$E$23,4,0)*H13/SUMIFS($H$3:$H$199,$G$3:$G$199,G13,$B$3:$B$199,B13),),)</f>
        <v>0.86842105263157898</v>
      </c>
      <c r="M13" s="382">
        <f>IFERROR(IF(B13="Funkcna poziadavka",VLOOKUP(G13,MODULY_CBA!$B$3:$E$23,3,0),),)</f>
        <v>1.085</v>
      </c>
      <c r="N13" s="382">
        <f>IFERROR(IF(B13="funkcna poziadavka",VLOOKUP(G13,MODULY_CBA!$B$3:$E$23,2,0),),)</f>
        <v>1.1400000000000001</v>
      </c>
      <c r="O13" s="381">
        <f t="shared" si="3"/>
        <v>56.734650000000002</v>
      </c>
      <c r="P13" s="380">
        <f>IFERROR(O13*VLOOKUP(G13,MODULY_CBA!$B$3:$F$23,5,0),)</f>
        <v>1702.0395000000001</v>
      </c>
      <c r="Q13" s="482" t="str">
        <f>IFERROR(VLOOKUP(G13,MODULY_CBA!$B$3:$I$23,6,0),"")</f>
        <v>Inkrement 1</v>
      </c>
      <c r="R13" s="388"/>
      <c r="S13" s="388"/>
      <c r="T13" s="388"/>
      <c r="U13" s="388"/>
      <c r="V13" s="388"/>
      <c r="W13" s="388"/>
      <c r="X13" s="388"/>
      <c r="Y13" s="388"/>
      <c r="Z13" s="388"/>
      <c r="AA13" s="388"/>
      <c r="AB13" s="388"/>
      <c r="AC13" s="388"/>
      <c r="AD13" s="388"/>
      <c r="AE13" s="388"/>
      <c r="AF13" s="394"/>
      <c r="AG13" s="388"/>
    </row>
    <row r="14" spans="1:33" ht="52">
      <c r="A14" s="667" t="s">
        <v>525</v>
      </c>
      <c r="B14" s="667" t="s">
        <v>485</v>
      </c>
      <c r="C14" s="669" t="s">
        <v>495</v>
      </c>
      <c r="D14" s="669" t="s">
        <v>526</v>
      </c>
      <c r="E14" s="670" t="s">
        <v>527</v>
      </c>
      <c r="F14" s="671" t="s">
        <v>489</v>
      </c>
      <c r="G14" s="670" t="s">
        <v>259</v>
      </c>
      <c r="H14" s="382">
        <v>3</v>
      </c>
      <c r="I14" s="382">
        <v>15</v>
      </c>
      <c r="J14" s="382">
        <f t="shared" si="0"/>
        <v>3</v>
      </c>
      <c r="K14" s="382">
        <f t="shared" si="1"/>
        <v>45</v>
      </c>
      <c r="L14" s="646">
        <f>IFERROR(IF(B14="funkcna poziadavka",VLOOKUP(G14,MODULY_CBA!$B$3:$E$23,4,0)*H14/SUMIFS($H$3:$H$199,$G$3:$G$199,G14,$B$3:$B$199,B14),),)</f>
        <v>0.44594594594594594</v>
      </c>
      <c r="M14" s="382">
        <f>IFERROR(IF(B14="Funkcna poziadavka",VLOOKUP(G14,MODULY_CBA!$B$3:$E$23,3,0),),)</f>
        <v>1.085</v>
      </c>
      <c r="N14" s="382">
        <f>IFERROR(IF(B14="funkcna poziadavka",VLOOKUP(G14,MODULY_CBA!$B$3:$E$23,2,0),),)</f>
        <v>1.1400000000000001</v>
      </c>
      <c r="O14" s="381">
        <f t="shared" si="3"/>
        <v>56.212090540540544</v>
      </c>
      <c r="P14" s="380">
        <f>IFERROR(O14*VLOOKUP(G14,MODULY_CBA!$B$3:$F$23,5,0),)</f>
        <v>1686.3627162162163</v>
      </c>
      <c r="Q14" s="482" t="str">
        <f>IFERROR(VLOOKUP(G14,MODULY_CBA!$B$3:$I$23,6,0),"")</f>
        <v>Inkrement 2</v>
      </c>
      <c r="R14" s="388"/>
      <c r="S14" s="388"/>
      <c r="T14" s="388"/>
      <c r="U14" s="388"/>
      <c r="V14" s="388"/>
      <c r="W14" s="388"/>
      <c r="X14" s="388"/>
      <c r="Y14" s="388"/>
      <c r="Z14" s="388"/>
      <c r="AA14" s="388"/>
      <c r="AB14" s="388"/>
      <c r="AC14" s="388"/>
      <c r="AD14" s="388"/>
      <c r="AE14" s="388"/>
      <c r="AF14" s="394"/>
      <c r="AG14" s="388"/>
    </row>
    <row r="15" spans="1:33" ht="52">
      <c r="A15" s="667" t="s">
        <v>528</v>
      </c>
      <c r="B15" s="667" t="s">
        <v>485</v>
      </c>
      <c r="C15" s="669" t="s">
        <v>499</v>
      </c>
      <c r="D15" s="669" t="s">
        <v>529</v>
      </c>
      <c r="E15" s="670" t="s">
        <v>530</v>
      </c>
      <c r="F15" s="671" t="s">
        <v>489</v>
      </c>
      <c r="G15" s="670" t="s">
        <v>259</v>
      </c>
      <c r="H15" s="382">
        <v>3</v>
      </c>
      <c r="I15" s="382">
        <v>15</v>
      </c>
      <c r="J15" s="382">
        <f t="shared" si="0"/>
        <v>3</v>
      </c>
      <c r="K15" s="382">
        <f t="shared" si="1"/>
        <v>45</v>
      </c>
      <c r="L15" s="646">
        <f>IFERROR(IF(B15="funkcna poziadavka",VLOOKUP(G15,MODULY_CBA!$B$3:$E$23,4,0)*H15/SUMIFS($H$3:$H$199,$G$3:$G$199,G15,$B$3:$B$199,B15),),)</f>
        <v>0.44594594594594594</v>
      </c>
      <c r="M15" s="382">
        <f>IFERROR(IF(B15="Funkcna poziadavka",VLOOKUP(G15,MODULY_CBA!$B$3:$E$23,3,0),),)</f>
        <v>1.085</v>
      </c>
      <c r="N15" s="382">
        <f>IFERROR(IF(B15="funkcna poziadavka",VLOOKUP(G15,MODULY_CBA!$B$3:$E$23,2,0),),)</f>
        <v>1.1400000000000001</v>
      </c>
      <c r="O15" s="381">
        <f t="shared" si="3"/>
        <v>56.212090540540544</v>
      </c>
      <c r="P15" s="380">
        <f>IFERROR(O15*VLOOKUP(G15,MODULY_CBA!$B$3:$F$23,5,0),)</f>
        <v>1686.3627162162163</v>
      </c>
      <c r="Q15" s="482" t="str">
        <f>IFERROR(VLOOKUP(G15,MODULY_CBA!$B$3:$I$23,6,0),"")</f>
        <v>Inkrement 2</v>
      </c>
      <c r="R15" s="388"/>
      <c r="S15" s="388"/>
      <c r="T15" s="388"/>
      <c r="U15" s="388"/>
      <c r="V15" s="388"/>
      <c r="W15" s="388"/>
      <c r="X15" s="388"/>
      <c r="Y15" s="388"/>
      <c r="Z15" s="388"/>
      <c r="AA15" s="388"/>
      <c r="AB15" s="388"/>
      <c r="AC15" s="388"/>
      <c r="AD15" s="388"/>
      <c r="AE15" s="388"/>
      <c r="AF15" s="394"/>
      <c r="AG15" s="388"/>
    </row>
    <row r="16" spans="1:33" ht="39">
      <c r="A16" s="667" t="s">
        <v>531</v>
      </c>
      <c r="B16" s="667" t="s">
        <v>485</v>
      </c>
      <c r="C16" s="669" t="s">
        <v>513</v>
      </c>
      <c r="D16" s="669" t="s">
        <v>532</v>
      </c>
      <c r="E16" s="670" t="s">
        <v>533</v>
      </c>
      <c r="F16" s="671" t="s">
        <v>489</v>
      </c>
      <c r="G16" s="670" t="s">
        <v>259</v>
      </c>
      <c r="H16" s="382">
        <v>3</v>
      </c>
      <c r="I16" s="382">
        <v>15</v>
      </c>
      <c r="J16" s="382">
        <f t="shared" si="0"/>
        <v>3</v>
      </c>
      <c r="K16" s="382">
        <f t="shared" si="1"/>
        <v>45</v>
      </c>
      <c r="L16" s="646">
        <f>IFERROR(IF(B16="funkcna poziadavka",VLOOKUP(G16,MODULY_CBA!$B$3:$E$23,4,0)*H16/SUMIFS($H$3:$H$199,$G$3:$G$199,G16,$B$3:$B$199,B16),),)</f>
        <v>0.44594594594594594</v>
      </c>
      <c r="M16" s="382">
        <f>IFERROR(IF(B16="Funkcna poziadavka",VLOOKUP(G16,MODULY_CBA!$B$3:$E$23,3,0),),)</f>
        <v>1.085</v>
      </c>
      <c r="N16" s="382">
        <f>IFERROR(IF(B16="funkcna poziadavka",VLOOKUP(G16,MODULY_CBA!$B$3:$E$23,2,0),),)</f>
        <v>1.1400000000000001</v>
      </c>
      <c r="O16" s="381">
        <f t="shared" si="3"/>
        <v>56.212090540540544</v>
      </c>
      <c r="P16" s="380">
        <f>IFERROR(O16*VLOOKUP(G16,MODULY_CBA!$B$3:$F$23,5,0),)</f>
        <v>1686.3627162162163</v>
      </c>
      <c r="Q16" s="482" t="str">
        <f>IFERROR(VLOOKUP(G16,MODULY_CBA!$B$3:$I$23,6,0),"")</f>
        <v>Inkrement 2</v>
      </c>
      <c r="R16" s="388"/>
      <c r="S16" s="388"/>
      <c r="T16" s="388"/>
      <c r="U16" s="388"/>
      <c r="V16" s="388"/>
      <c r="W16" s="388"/>
      <c r="X16" s="388"/>
      <c r="Y16" s="388"/>
      <c r="Z16" s="388"/>
      <c r="AA16" s="388"/>
      <c r="AB16" s="388"/>
      <c r="AC16" s="388"/>
      <c r="AD16" s="388"/>
      <c r="AE16" s="388"/>
      <c r="AF16" s="394"/>
      <c r="AG16" s="388"/>
    </row>
    <row r="17" spans="1:33" ht="65">
      <c r="A17" s="667" t="s">
        <v>534</v>
      </c>
      <c r="B17" s="668" t="s">
        <v>485</v>
      </c>
      <c r="C17" s="669" t="s">
        <v>535</v>
      </c>
      <c r="D17" s="669" t="s">
        <v>536</v>
      </c>
      <c r="E17" s="670" t="s">
        <v>537</v>
      </c>
      <c r="F17" s="671" t="s">
        <v>489</v>
      </c>
      <c r="G17" s="670" t="s">
        <v>267</v>
      </c>
      <c r="H17" s="382">
        <v>3</v>
      </c>
      <c r="I17" s="382">
        <v>15</v>
      </c>
      <c r="J17" s="382">
        <f t="shared" si="0"/>
        <v>3</v>
      </c>
      <c r="K17" s="382">
        <f t="shared" si="1"/>
        <v>45</v>
      </c>
      <c r="L17" s="646">
        <f>IFERROR(IF(B17="funkcna poziadavka",VLOOKUP(G17,MODULY_CBA!$B$3:$E$23,4,0)*H17/SUMIFS($H$3:$H$199,$G$3:$G$199,G17,$B$3:$B$199,B17),),)</f>
        <v>1.064516129032258</v>
      </c>
      <c r="M17" s="382">
        <f>IFERROR(IF(B17="Funkcna poziadavka",VLOOKUP(G17,MODULY_CBA!$B$3:$E$23,3,0),),)</f>
        <v>1.085</v>
      </c>
      <c r="N17" s="382">
        <f>IFERROR(IF(B17="funkcna poziadavka",VLOOKUP(G17,MODULY_CBA!$B$3:$E$23,2,0),),)</f>
        <v>1.1400000000000001</v>
      </c>
      <c r="O17" s="381">
        <f t="shared" si="3"/>
        <v>56.977200000000003</v>
      </c>
      <c r="P17" s="380">
        <f>IFERROR(O17*VLOOKUP(G17,MODULY_CBA!$B$3:$F$23,5,0),)</f>
        <v>1709.316</v>
      </c>
      <c r="Q17" s="482" t="str">
        <f>IFERROR(VLOOKUP(G17,MODULY_CBA!$B$3:$I$23,6,0),"")</f>
        <v>Inkrement 2</v>
      </c>
      <c r="R17" s="388"/>
      <c r="S17" s="388"/>
      <c r="T17" s="388"/>
      <c r="U17" s="388"/>
      <c r="V17" s="388"/>
      <c r="W17" s="388"/>
      <c r="X17" s="388"/>
      <c r="Y17" s="388"/>
      <c r="Z17" s="388"/>
      <c r="AA17" s="388"/>
      <c r="AB17" s="388"/>
      <c r="AC17" s="388"/>
      <c r="AD17" s="388"/>
      <c r="AE17" s="388"/>
      <c r="AF17" s="394"/>
      <c r="AG17" s="388"/>
    </row>
    <row r="18" spans="1:33" ht="39">
      <c r="A18" s="667" t="s">
        <v>538</v>
      </c>
      <c r="B18" s="667" t="s">
        <v>485</v>
      </c>
      <c r="C18" s="669" t="s">
        <v>535</v>
      </c>
      <c r="D18" s="669" t="s">
        <v>539</v>
      </c>
      <c r="E18" s="670" t="s">
        <v>540</v>
      </c>
      <c r="F18" s="671" t="s">
        <v>489</v>
      </c>
      <c r="G18" s="670" t="s">
        <v>253</v>
      </c>
      <c r="H18" s="382">
        <v>3</v>
      </c>
      <c r="I18" s="382">
        <v>15</v>
      </c>
      <c r="J18" s="382">
        <f t="shared" si="0"/>
        <v>3</v>
      </c>
      <c r="K18" s="382">
        <f t="shared" si="1"/>
        <v>45</v>
      </c>
      <c r="L18" s="646">
        <f>IFERROR(IF(B18="funkcna poziadavka",VLOOKUP(G18,MODULY_CBA!$B$3:$E$23,4,0)*H18/SUMIFS($H$3:$H$199,$G$3:$G$199,G18,$B$3:$B$199,B18),),)</f>
        <v>6.6</v>
      </c>
      <c r="M18" s="382">
        <f>IFERROR(IF(B18="Funkcna poziadavka",VLOOKUP(G18,MODULY_CBA!$B$3:$E$23,3,0),),)</f>
        <v>1.085</v>
      </c>
      <c r="N18" s="382">
        <f>IFERROR(IF(B18="funkcna poziadavka",VLOOKUP(G18,MODULY_CBA!$B$3:$E$23,2,0),),)</f>
        <v>1.1400000000000001</v>
      </c>
      <c r="O18" s="381">
        <f t="shared" si="3"/>
        <v>63.824040000000004</v>
      </c>
      <c r="P18" s="380">
        <f>IFERROR(O18*VLOOKUP(G18,MODULY_CBA!$B$3:$F$23,5,0),)</f>
        <v>1914.7212000000002</v>
      </c>
      <c r="Q18" s="482" t="str">
        <f>IFERROR(VLOOKUP(G18,MODULY_CBA!$B$3:$I$23,6,0),"")</f>
        <v>Inkrement 2</v>
      </c>
      <c r="R18" s="388"/>
      <c r="S18" s="388"/>
      <c r="T18" s="388"/>
      <c r="U18" s="388"/>
      <c r="V18" s="388"/>
      <c r="W18" s="388"/>
      <c r="X18" s="388"/>
      <c r="Y18" s="388"/>
      <c r="Z18" s="388"/>
      <c r="AA18" s="388"/>
      <c r="AB18" s="388"/>
      <c r="AC18" s="388"/>
      <c r="AD18" s="388"/>
      <c r="AE18" s="388"/>
      <c r="AF18" s="394"/>
      <c r="AG18" s="388"/>
    </row>
    <row r="19" spans="1:33" ht="52">
      <c r="A19" s="667" t="s">
        <v>541</v>
      </c>
      <c r="B19" s="667" t="s">
        <v>485</v>
      </c>
      <c r="C19" s="669" t="s">
        <v>535</v>
      </c>
      <c r="D19" s="669" t="s">
        <v>542</v>
      </c>
      <c r="E19" s="670" t="s">
        <v>543</v>
      </c>
      <c r="F19" s="671" t="s">
        <v>489</v>
      </c>
      <c r="G19" s="670" t="s">
        <v>259</v>
      </c>
      <c r="H19" s="382">
        <v>3</v>
      </c>
      <c r="I19" s="382">
        <v>15</v>
      </c>
      <c r="J19" s="382">
        <f t="shared" si="0"/>
        <v>3</v>
      </c>
      <c r="K19" s="382">
        <f t="shared" si="1"/>
        <v>45</v>
      </c>
      <c r="L19" s="646">
        <f>IFERROR(IF(B19="funkcna poziadavka",VLOOKUP(G19,MODULY_CBA!$B$3:$E$23,4,0)*H19/SUMIFS($H$3:$H$199,$G$3:$G$199,G19,$B$3:$B$199,B19),),)</f>
        <v>0.44594594594594594</v>
      </c>
      <c r="M19" s="382">
        <f>IFERROR(IF(B19="Funkcna poziadavka",VLOOKUP(G19,MODULY_CBA!$B$3:$E$23,3,0),),)</f>
        <v>1.085</v>
      </c>
      <c r="N19" s="382">
        <f>IFERROR(IF(B19="funkcna poziadavka",VLOOKUP(G19,MODULY_CBA!$B$3:$E$23,2,0),),)</f>
        <v>1.1400000000000001</v>
      </c>
      <c r="O19" s="381">
        <f t="shared" si="3"/>
        <v>56.212090540540544</v>
      </c>
      <c r="P19" s="380">
        <f>IFERROR(O19*VLOOKUP(G19,MODULY_CBA!$B$3:$F$23,5,0),)</f>
        <v>1686.3627162162163</v>
      </c>
      <c r="Q19" s="482" t="str">
        <f>IFERROR(VLOOKUP(G19,MODULY_CBA!$B$3:$I$23,6,0),"")</f>
        <v>Inkrement 2</v>
      </c>
      <c r="R19" s="378" t="s">
        <v>121</v>
      </c>
      <c r="S19" s="378" t="s">
        <v>121</v>
      </c>
      <c r="T19" s="378" t="s">
        <v>121</v>
      </c>
      <c r="U19" s="378" t="s">
        <v>121</v>
      </c>
      <c r="V19" s="378" t="s">
        <v>121</v>
      </c>
      <c r="W19" s="378" t="s">
        <v>121</v>
      </c>
      <c r="X19" s="378" t="s">
        <v>121</v>
      </c>
      <c r="Y19" s="378" t="s">
        <v>121</v>
      </c>
      <c r="Z19" s="378" t="s">
        <v>121</v>
      </c>
      <c r="AA19" s="378" t="s">
        <v>121</v>
      </c>
      <c r="AB19" s="378" t="s">
        <v>121</v>
      </c>
      <c r="AC19" s="378" t="s">
        <v>121</v>
      </c>
      <c r="AD19" s="378" t="s">
        <v>121</v>
      </c>
      <c r="AE19" s="378" t="s">
        <v>121</v>
      </c>
      <c r="AF19" s="394"/>
      <c r="AG19" s="388"/>
    </row>
    <row r="20" spans="1:33" ht="78">
      <c r="A20" s="667" t="s">
        <v>544</v>
      </c>
      <c r="B20" s="667" t="s">
        <v>485</v>
      </c>
      <c r="C20" s="669" t="s">
        <v>486</v>
      </c>
      <c r="D20" s="669" t="s">
        <v>545</v>
      </c>
      <c r="E20" s="670" t="s">
        <v>546</v>
      </c>
      <c r="F20" s="671" t="s">
        <v>489</v>
      </c>
      <c r="G20" s="670" t="s">
        <v>261</v>
      </c>
      <c r="H20" s="382">
        <v>3</v>
      </c>
      <c r="I20" s="382">
        <v>15</v>
      </c>
      <c r="J20" s="382">
        <f t="shared" si="0"/>
        <v>3</v>
      </c>
      <c r="K20" s="382">
        <f t="shared" si="1"/>
        <v>45</v>
      </c>
      <c r="L20" s="646">
        <f>IFERROR(IF(B20="funkcna poziadavka",VLOOKUP(G20,MODULY_CBA!$B$3:$E$23,4,0)*H20/SUMIFS($H$3:$H$199,$G$3:$G$199,G20,$B$3:$B$199,B20),),)</f>
        <v>3.6666666666666665</v>
      </c>
      <c r="M20" s="382">
        <f>IFERROR(IF(B20="Funkcna poziadavka",VLOOKUP(G20,MODULY_CBA!$B$3:$E$23,3,0),),)</f>
        <v>1.085</v>
      </c>
      <c r="N20" s="382">
        <f>IFERROR(IF(B20="funkcna poziadavka",VLOOKUP(G20,MODULY_CBA!$B$3:$E$23,2,0),),)</f>
        <v>1.1400000000000001</v>
      </c>
      <c r="O20" s="381">
        <f t="shared" si="3"/>
        <v>60.195799999999998</v>
      </c>
      <c r="P20" s="380">
        <f>IFERROR(O20*VLOOKUP(G20,MODULY_CBA!$B$3:$F$23,5,0),)</f>
        <v>1805.874</v>
      </c>
      <c r="Q20" s="482" t="str">
        <f>IFERROR(VLOOKUP(G20,MODULY_CBA!$B$3:$I$23,6,0),"")</f>
        <v>Inkrement 3</v>
      </c>
      <c r="R20" s="378"/>
      <c r="S20" s="378"/>
      <c r="T20" s="378"/>
      <c r="U20" s="378"/>
      <c r="V20" s="378"/>
      <c r="W20" s="378"/>
      <c r="X20" s="378"/>
      <c r="Y20" s="378"/>
      <c r="Z20" s="378"/>
      <c r="AA20" s="378"/>
      <c r="AB20" s="378"/>
      <c r="AC20" s="378"/>
      <c r="AD20" s="378"/>
      <c r="AE20" s="378"/>
      <c r="AF20" s="394"/>
      <c r="AG20" s="388"/>
    </row>
    <row r="21" spans="1:33" ht="65">
      <c r="A21" s="667" t="s">
        <v>547</v>
      </c>
      <c r="B21" s="667" t="s">
        <v>485</v>
      </c>
      <c r="C21" s="669" t="s">
        <v>499</v>
      </c>
      <c r="D21" s="669" t="s">
        <v>548</v>
      </c>
      <c r="E21" s="670" t="s">
        <v>549</v>
      </c>
      <c r="F21" s="671" t="s">
        <v>489</v>
      </c>
      <c r="G21" s="670" t="s">
        <v>259</v>
      </c>
      <c r="H21" s="382">
        <v>3</v>
      </c>
      <c r="I21" s="382">
        <v>15</v>
      </c>
      <c r="J21" s="382">
        <f t="shared" si="0"/>
        <v>3</v>
      </c>
      <c r="K21" s="382">
        <f t="shared" si="1"/>
        <v>45</v>
      </c>
      <c r="L21" s="646">
        <f>IFERROR(IF(B21="funkcna poziadavka",VLOOKUP(G21,MODULY_CBA!$B$3:$E$23,4,0)*H21/SUMIFS($H$3:$H$199,$G$3:$G$199,G21,$B$3:$B$199,B21),),)</f>
        <v>0.44594594594594594</v>
      </c>
      <c r="M21" s="382">
        <f>IFERROR(IF(B21="Funkcna poziadavka",VLOOKUP(G21,MODULY_CBA!$B$3:$E$23,3,0),),)</f>
        <v>1.085</v>
      </c>
      <c r="N21" s="382">
        <f>IFERROR(IF(B21="funkcna poziadavka",VLOOKUP(G21,MODULY_CBA!$B$3:$E$23,2,0),),)</f>
        <v>1.1400000000000001</v>
      </c>
      <c r="O21" s="381">
        <f t="shared" si="3"/>
        <v>56.212090540540544</v>
      </c>
      <c r="P21" s="380">
        <f>IFERROR(O21*VLOOKUP(G21,MODULY_CBA!$B$3:$F$23,5,0),)</f>
        <v>1686.3627162162163</v>
      </c>
      <c r="Q21" s="482" t="str">
        <f>IFERROR(VLOOKUP(G21,MODULY_CBA!$B$3:$I$23,6,0),"")</f>
        <v>Inkrement 2</v>
      </c>
      <c r="R21" s="378"/>
      <c r="S21" s="378"/>
      <c r="T21" s="378"/>
      <c r="U21" s="378"/>
      <c r="V21" s="378"/>
      <c r="W21" s="378"/>
      <c r="X21" s="378"/>
      <c r="Y21" s="378"/>
      <c r="Z21" s="378"/>
      <c r="AA21" s="378"/>
      <c r="AB21" s="378"/>
      <c r="AC21" s="378"/>
      <c r="AD21" s="378"/>
      <c r="AE21" s="378"/>
      <c r="AF21" s="394"/>
      <c r="AG21" s="388"/>
    </row>
    <row r="22" spans="1:33" ht="78">
      <c r="A22" s="667" t="s">
        <v>550</v>
      </c>
      <c r="B22" s="667" t="s">
        <v>485</v>
      </c>
      <c r="C22" s="669" t="s">
        <v>499</v>
      </c>
      <c r="D22" s="669" t="s">
        <v>551</v>
      </c>
      <c r="E22" s="670" t="s">
        <v>552</v>
      </c>
      <c r="F22" s="671" t="s">
        <v>489</v>
      </c>
      <c r="G22" s="670" t="s">
        <v>259</v>
      </c>
      <c r="H22" s="382">
        <v>3</v>
      </c>
      <c r="I22" s="382">
        <v>15</v>
      </c>
      <c r="J22" s="382">
        <f t="shared" si="0"/>
        <v>3</v>
      </c>
      <c r="K22" s="382">
        <f t="shared" si="1"/>
        <v>45</v>
      </c>
      <c r="L22" s="646">
        <f>IFERROR(IF(B22="funkcna poziadavka",VLOOKUP(G22,MODULY_CBA!$B$3:$E$23,4,0)*H22/SUMIFS($H$3:$H$199,$G$3:$G$199,G22,$B$3:$B$199,B22),),)</f>
        <v>0.44594594594594594</v>
      </c>
      <c r="M22" s="382">
        <f>IFERROR(IF(B22="Funkcna poziadavka",VLOOKUP(G22,MODULY_CBA!$B$3:$E$23,3,0),),)</f>
        <v>1.085</v>
      </c>
      <c r="N22" s="382">
        <f>IFERROR(IF(B22="funkcna poziadavka",VLOOKUP(G22,MODULY_CBA!$B$3:$E$23,2,0),),)</f>
        <v>1.1400000000000001</v>
      </c>
      <c r="O22" s="381">
        <f t="shared" si="3"/>
        <v>56.212090540540544</v>
      </c>
      <c r="P22" s="380">
        <f>IFERROR(O22*VLOOKUP(G22,MODULY_CBA!$B$3:$F$23,5,0),)</f>
        <v>1686.3627162162163</v>
      </c>
      <c r="Q22" s="482" t="str">
        <f>IFERROR(VLOOKUP(G22,MODULY_CBA!$B$3:$I$23,6,0),"")</f>
        <v>Inkrement 2</v>
      </c>
      <c r="R22" s="378"/>
      <c r="S22" s="378"/>
      <c r="T22" s="378"/>
      <c r="U22" s="378"/>
      <c r="V22" s="378"/>
      <c r="W22" s="378"/>
      <c r="X22" s="378"/>
      <c r="Y22" s="378"/>
      <c r="Z22" s="378"/>
      <c r="AA22" s="378"/>
      <c r="AB22" s="378"/>
      <c r="AC22" s="378"/>
      <c r="AD22" s="378"/>
      <c r="AE22" s="378"/>
      <c r="AF22" s="394"/>
      <c r="AG22" s="388"/>
    </row>
    <row r="23" spans="1:33" ht="39">
      <c r="A23" s="667" t="s">
        <v>553</v>
      </c>
      <c r="B23" s="667" t="s">
        <v>485</v>
      </c>
      <c r="C23" s="669" t="s">
        <v>495</v>
      </c>
      <c r="D23" s="669" t="s">
        <v>554</v>
      </c>
      <c r="E23" s="670" t="s">
        <v>555</v>
      </c>
      <c r="F23" s="671" t="s">
        <v>489</v>
      </c>
      <c r="G23" s="670" t="s">
        <v>259</v>
      </c>
      <c r="H23" s="382">
        <v>3</v>
      </c>
      <c r="I23" s="382">
        <v>15</v>
      </c>
      <c r="J23" s="382">
        <f t="shared" si="0"/>
        <v>3</v>
      </c>
      <c r="K23" s="382">
        <f t="shared" si="1"/>
        <v>45</v>
      </c>
      <c r="L23" s="646">
        <f>IFERROR(IF(B23="funkcna poziadavka",VLOOKUP(G23,MODULY_CBA!$B$3:$E$23,4,0)*H23/SUMIFS($H$3:$H$199,$G$3:$G$199,G23,$B$3:$B$199,B23),),)</f>
        <v>0.44594594594594594</v>
      </c>
      <c r="M23" s="382">
        <f>IFERROR(IF(B23="Funkcna poziadavka",VLOOKUP(G23,MODULY_CBA!$B$3:$E$23,3,0),),)</f>
        <v>1.085</v>
      </c>
      <c r="N23" s="382">
        <f>IFERROR(IF(B23="funkcna poziadavka",VLOOKUP(G23,MODULY_CBA!$B$3:$E$23,2,0),),)</f>
        <v>1.1400000000000001</v>
      </c>
      <c r="O23" s="381">
        <f t="shared" si="3"/>
        <v>56.212090540540544</v>
      </c>
      <c r="P23" s="380">
        <f>IFERROR(O23*VLOOKUP(G23,MODULY_CBA!$B$3:$F$23,5,0),)</f>
        <v>1686.3627162162163</v>
      </c>
      <c r="Q23" s="482" t="str">
        <f>IFERROR(VLOOKUP(G23,MODULY_CBA!$B$3:$I$23,6,0),"")</f>
        <v>Inkrement 2</v>
      </c>
      <c r="R23" s="378"/>
      <c r="S23" s="378"/>
      <c r="T23" s="378"/>
      <c r="U23" s="378"/>
      <c r="V23" s="378"/>
      <c r="W23" s="378"/>
      <c r="X23" s="378"/>
      <c r="Y23" s="378"/>
      <c r="Z23" s="378"/>
      <c r="AA23" s="378"/>
      <c r="AB23" s="378"/>
      <c r="AC23" s="378"/>
      <c r="AD23" s="378"/>
      <c r="AE23" s="378"/>
      <c r="AF23" s="394"/>
      <c r="AG23" s="388"/>
    </row>
    <row r="24" spans="1:33" ht="26">
      <c r="A24" s="667" t="s">
        <v>556</v>
      </c>
      <c r="B24" s="667" t="s">
        <v>485</v>
      </c>
      <c r="C24" s="669" t="s">
        <v>513</v>
      </c>
      <c r="D24" s="669" t="s">
        <v>557</v>
      </c>
      <c r="E24" s="670" t="s">
        <v>558</v>
      </c>
      <c r="F24" s="671" t="s">
        <v>489</v>
      </c>
      <c r="G24" s="670" t="s">
        <v>253</v>
      </c>
      <c r="H24" s="382">
        <v>3</v>
      </c>
      <c r="I24" s="382">
        <v>15</v>
      </c>
      <c r="J24" s="382">
        <f t="shared" si="0"/>
        <v>3</v>
      </c>
      <c r="K24" s="382">
        <f t="shared" si="1"/>
        <v>45</v>
      </c>
      <c r="L24" s="646">
        <f>IFERROR(IF(B24="funkcna poziadavka",VLOOKUP(G24,MODULY_CBA!$B$3:$E$23,4,0)*H24/SUMIFS($H$3:$H$199,$G$3:$G$199,G24,$B$3:$B$199,B24),),)</f>
        <v>6.6</v>
      </c>
      <c r="M24" s="382">
        <f>IFERROR(IF(B24="Funkcna poziadavka",VLOOKUP(G24,MODULY_CBA!$B$3:$E$23,3,0),),)</f>
        <v>1.085</v>
      </c>
      <c r="N24" s="382">
        <f>IFERROR(IF(B24="funkcna poziadavka",VLOOKUP(G24,MODULY_CBA!$B$3:$E$23,2,0),),)</f>
        <v>1.1400000000000001</v>
      </c>
      <c r="O24" s="381">
        <f t="shared" si="3"/>
        <v>63.824040000000004</v>
      </c>
      <c r="P24" s="380">
        <f>IFERROR(O24*VLOOKUP(G24,MODULY_CBA!$B$3:$F$23,5,0),)</f>
        <v>1914.7212000000002</v>
      </c>
      <c r="Q24" s="482" t="str">
        <f>IFERROR(VLOOKUP(G24,MODULY_CBA!$B$3:$I$23,6,0),"")</f>
        <v>Inkrement 2</v>
      </c>
      <c r="R24" s="378" t="s">
        <v>121</v>
      </c>
      <c r="S24" s="378" t="s">
        <v>121</v>
      </c>
      <c r="T24" s="378" t="s">
        <v>121</v>
      </c>
      <c r="U24" s="378" t="s">
        <v>121</v>
      </c>
      <c r="V24" s="378" t="s">
        <v>121</v>
      </c>
      <c r="W24" s="378" t="s">
        <v>121</v>
      </c>
      <c r="X24" s="378" t="s">
        <v>121</v>
      </c>
      <c r="Y24" s="378" t="s">
        <v>121</v>
      </c>
      <c r="Z24" s="378" t="s">
        <v>121</v>
      </c>
      <c r="AA24" s="378" t="s">
        <v>121</v>
      </c>
      <c r="AB24" s="378" t="s">
        <v>121</v>
      </c>
      <c r="AC24" s="378" t="s">
        <v>121</v>
      </c>
      <c r="AD24" s="378" t="s">
        <v>121</v>
      </c>
      <c r="AE24" s="378" t="s">
        <v>121</v>
      </c>
      <c r="AF24" s="394"/>
      <c r="AG24" s="388"/>
    </row>
    <row r="25" spans="1:33" ht="39">
      <c r="A25" s="667" t="s">
        <v>559</v>
      </c>
      <c r="B25" s="667" t="s">
        <v>485</v>
      </c>
      <c r="C25" s="669" t="s">
        <v>499</v>
      </c>
      <c r="D25" s="669" t="s">
        <v>560</v>
      </c>
      <c r="E25" s="670" t="s">
        <v>561</v>
      </c>
      <c r="F25" s="671" t="s">
        <v>489</v>
      </c>
      <c r="G25" s="670" t="s">
        <v>259</v>
      </c>
      <c r="H25" s="382">
        <v>3</v>
      </c>
      <c r="I25" s="382">
        <v>15</v>
      </c>
      <c r="J25" s="382">
        <f t="shared" si="0"/>
        <v>3</v>
      </c>
      <c r="K25" s="382">
        <f t="shared" si="1"/>
        <v>45</v>
      </c>
      <c r="L25" s="646">
        <f>IFERROR(IF(B25="funkcna poziadavka",VLOOKUP(G25,MODULY_CBA!$B$3:$E$23,4,0)*H25/SUMIFS($H$3:$H$199,$G$3:$G$199,G25,$B$3:$B$199,B25),),)</f>
        <v>0.44594594594594594</v>
      </c>
      <c r="M25" s="382">
        <f>IFERROR(IF(B25="Funkcna poziadavka",VLOOKUP(G25,MODULY_CBA!$B$3:$E$23,3,0),),)</f>
        <v>1.085</v>
      </c>
      <c r="N25" s="382">
        <f>IFERROR(IF(B25="funkcna poziadavka",VLOOKUP(G25,MODULY_CBA!$B$3:$E$23,2,0),),)</f>
        <v>1.1400000000000001</v>
      </c>
      <c r="O25" s="381">
        <f t="shared" si="3"/>
        <v>56.212090540540544</v>
      </c>
      <c r="P25" s="380">
        <f>IFERROR(O25*VLOOKUP(G25,MODULY_CBA!$B$3:$F$23,5,0),)</f>
        <v>1686.3627162162163</v>
      </c>
      <c r="Q25" s="482" t="str">
        <f>IFERROR(VLOOKUP(G25,MODULY_CBA!$B$3:$I$23,6,0),"")</f>
        <v>Inkrement 2</v>
      </c>
      <c r="R25" s="378" t="s">
        <v>121</v>
      </c>
      <c r="S25" s="378" t="s">
        <v>121</v>
      </c>
      <c r="T25" s="378" t="s">
        <v>121</v>
      </c>
      <c r="U25" s="378" t="s">
        <v>121</v>
      </c>
      <c r="V25" s="378" t="s">
        <v>121</v>
      </c>
      <c r="W25" s="378" t="s">
        <v>121</v>
      </c>
      <c r="X25" s="378" t="s">
        <v>121</v>
      </c>
      <c r="Y25" s="378" t="s">
        <v>121</v>
      </c>
      <c r="Z25" s="378" t="s">
        <v>121</v>
      </c>
      <c r="AA25" s="378" t="s">
        <v>121</v>
      </c>
      <c r="AB25" s="378" t="s">
        <v>121</v>
      </c>
      <c r="AC25" s="378" t="s">
        <v>121</v>
      </c>
      <c r="AD25" s="378" t="s">
        <v>121</v>
      </c>
      <c r="AE25" s="378" t="s">
        <v>121</v>
      </c>
      <c r="AF25" s="395"/>
      <c r="AG25" s="387"/>
    </row>
    <row r="26" spans="1:33" ht="39">
      <c r="A26" s="667" t="s">
        <v>562</v>
      </c>
      <c r="B26" s="667" t="s">
        <v>485</v>
      </c>
      <c r="C26" s="669" t="s">
        <v>499</v>
      </c>
      <c r="D26" s="669" t="s">
        <v>563</v>
      </c>
      <c r="E26" s="670" t="s">
        <v>564</v>
      </c>
      <c r="F26" s="671" t="s">
        <v>489</v>
      </c>
      <c r="G26" s="670" t="s">
        <v>253</v>
      </c>
      <c r="H26" s="382">
        <v>3</v>
      </c>
      <c r="I26" s="382">
        <v>15</v>
      </c>
      <c r="J26" s="382">
        <f t="shared" si="0"/>
        <v>3</v>
      </c>
      <c r="K26" s="382">
        <f t="shared" si="1"/>
        <v>45</v>
      </c>
      <c r="L26" s="646">
        <f>IFERROR(IF(B26="funkcna poziadavka",VLOOKUP(G26,MODULY_CBA!$B$3:$E$23,4,0)*H26/SUMIFS($H$3:$H$199,$G$3:$G$199,G26,$B$3:$B$199,B26),),)</f>
        <v>6.6</v>
      </c>
      <c r="M26" s="382">
        <f>IFERROR(IF(B26="Funkcna poziadavka",VLOOKUP(G26,MODULY_CBA!$B$3:$E$23,3,0),),)</f>
        <v>1.085</v>
      </c>
      <c r="N26" s="382">
        <f>IFERROR(IF(B26="funkcna poziadavka",VLOOKUP(G26,MODULY_CBA!$B$3:$E$23,2,0),),)</f>
        <v>1.1400000000000001</v>
      </c>
      <c r="O26" s="381">
        <f t="shared" si="3"/>
        <v>63.824040000000004</v>
      </c>
      <c r="P26" s="380">
        <f>IFERROR(O26*VLOOKUP(G26,MODULY_CBA!$B$3:$F$23,5,0),)</f>
        <v>1914.7212000000002</v>
      </c>
      <c r="Q26" s="482" t="str">
        <f>IFERROR(VLOOKUP(G26,MODULY_CBA!$B$3:$I$23,6,0),"")</f>
        <v>Inkrement 2</v>
      </c>
      <c r="R26" s="378"/>
      <c r="S26" s="378"/>
      <c r="T26" s="378"/>
      <c r="U26" s="378"/>
      <c r="V26" s="378"/>
      <c r="W26" s="378"/>
      <c r="X26" s="378"/>
      <c r="Y26" s="378"/>
      <c r="Z26" s="378"/>
      <c r="AA26" s="378"/>
      <c r="AB26" s="378"/>
      <c r="AC26" s="378"/>
      <c r="AD26" s="378"/>
      <c r="AE26" s="378"/>
      <c r="AF26" s="394"/>
      <c r="AG26" s="388"/>
    </row>
    <row r="27" spans="1:33" ht="39">
      <c r="A27" s="667" t="s">
        <v>565</v>
      </c>
      <c r="B27" s="667" t="s">
        <v>485</v>
      </c>
      <c r="C27" s="669" t="s">
        <v>499</v>
      </c>
      <c r="D27" s="669" t="s">
        <v>566</v>
      </c>
      <c r="E27" s="670" t="s">
        <v>567</v>
      </c>
      <c r="F27" s="671" t="s">
        <v>489</v>
      </c>
      <c r="G27" s="670" t="s">
        <v>259</v>
      </c>
      <c r="H27" s="382">
        <v>3</v>
      </c>
      <c r="I27" s="382">
        <v>15</v>
      </c>
      <c r="J27" s="382">
        <f t="shared" si="0"/>
        <v>3</v>
      </c>
      <c r="K27" s="382">
        <f t="shared" si="1"/>
        <v>45</v>
      </c>
      <c r="L27" s="646">
        <f>IFERROR(IF(B27="funkcna poziadavka",VLOOKUP(G27,MODULY_CBA!$B$3:$E$23,4,0)*H27/SUMIFS($H$3:$H$199,$G$3:$G$199,G27,$B$3:$B$199,B27),),)</f>
        <v>0.44594594594594594</v>
      </c>
      <c r="M27" s="382">
        <f>IFERROR(IF(B27="Funkcna poziadavka",VLOOKUP(G27,MODULY_CBA!$B$3:$E$23,3,0),),)</f>
        <v>1.085</v>
      </c>
      <c r="N27" s="382">
        <f>IFERROR(IF(B27="funkcna poziadavka",VLOOKUP(G27,MODULY_CBA!$B$3:$E$23,2,0),),)</f>
        <v>1.1400000000000001</v>
      </c>
      <c r="O27" s="381">
        <f t="shared" si="3"/>
        <v>56.212090540540544</v>
      </c>
      <c r="P27" s="380">
        <f>IFERROR(O27*VLOOKUP(G27,MODULY_CBA!$B$3:$F$23,5,0),)</f>
        <v>1686.3627162162163</v>
      </c>
      <c r="Q27" s="482" t="str">
        <f>IFERROR(VLOOKUP(G27,MODULY_CBA!$B$3:$I$23,6,0),"")</f>
        <v>Inkrement 2</v>
      </c>
      <c r="R27" s="378" t="s">
        <v>121</v>
      </c>
      <c r="S27" s="378" t="s">
        <v>121</v>
      </c>
      <c r="T27" s="378" t="s">
        <v>121</v>
      </c>
      <c r="U27" s="378" t="s">
        <v>121</v>
      </c>
      <c r="V27" s="378" t="s">
        <v>121</v>
      </c>
      <c r="W27" s="378" t="s">
        <v>121</v>
      </c>
      <c r="X27" s="378" t="s">
        <v>121</v>
      </c>
      <c r="Y27" s="378" t="s">
        <v>121</v>
      </c>
      <c r="Z27" s="378" t="s">
        <v>121</v>
      </c>
      <c r="AA27" s="378" t="s">
        <v>121</v>
      </c>
      <c r="AB27" s="378" t="s">
        <v>121</v>
      </c>
      <c r="AC27" s="378" t="s">
        <v>121</v>
      </c>
      <c r="AD27" s="378" t="s">
        <v>121</v>
      </c>
      <c r="AE27" s="378" t="s">
        <v>121</v>
      </c>
      <c r="AF27" s="394"/>
      <c r="AG27" s="388"/>
    </row>
    <row r="28" spans="1:33" ht="39">
      <c r="A28" s="667" t="s">
        <v>568</v>
      </c>
      <c r="B28" s="667" t="s">
        <v>485</v>
      </c>
      <c r="C28" s="669" t="s">
        <v>495</v>
      </c>
      <c r="D28" s="669" t="s">
        <v>569</v>
      </c>
      <c r="E28" s="670" t="s">
        <v>570</v>
      </c>
      <c r="F28" s="671" t="s">
        <v>489</v>
      </c>
      <c r="G28" s="670" t="s">
        <v>259</v>
      </c>
      <c r="H28" s="382">
        <v>3</v>
      </c>
      <c r="I28" s="382">
        <v>15</v>
      </c>
      <c r="J28" s="382">
        <f t="shared" si="0"/>
        <v>3</v>
      </c>
      <c r="K28" s="382">
        <f t="shared" si="1"/>
        <v>45</v>
      </c>
      <c r="L28" s="646">
        <f>IFERROR(IF(B28="funkcna poziadavka",VLOOKUP(G28,MODULY_CBA!$B$3:$E$23,4,0)*H28/SUMIFS($H$3:$H$199,$G$3:$G$199,G28,$B$3:$B$199,B28),),)</f>
        <v>0.44594594594594594</v>
      </c>
      <c r="M28" s="382">
        <f>IFERROR(IF(B28="Funkcna poziadavka",VLOOKUP(G28,MODULY_CBA!$B$3:$E$23,3,0),),)</f>
        <v>1.085</v>
      </c>
      <c r="N28" s="382">
        <f>IFERROR(IF(B28="funkcna poziadavka",VLOOKUP(G28,MODULY_CBA!$B$3:$E$23,2,0),),)</f>
        <v>1.1400000000000001</v>
      </c>
      <c r="O28" s="381">
        <f t="shared" si="3"/>
        <v>56.212090540540544</v>
      </c>
      <c r="P28" s="380">
        <f>IFERROR(O28*VLOOKUP(G28,MODULY_CBA!$B$3:$F$23,5,0),)</f>
        <v>1686.3627162162163</v>
      </c>
      <c r="Q28" s="482" t="str">
        <f>IFERROR(VLOOKUP(G28,MODULY_CBA!$B$3:$I$23,6,0),"")</f>
        <v>Inkrement 2</v>
      </c>
      <c r="R28" s="385" t="s">
        <v>121</v>
      </c>
      <c r="S28" s="385" t="s">
        <v>121</v>
      </c>
      <c r="T28" s="385" t="s">
        <v>121</v>
      </c>
      <c r="U28" s="385" t="s">
        <v>121</v>
      </c>
      <c r="V28" s="385" t="s">
        <v>121</v>
      </c>
      <c r="W28" s="385" t="s">
        <v>121</v>
      </c>
      <c r="X28" s="385" t="s">
        <v>121</v>
      </c>
      <c r="Y28" s="385" t="s">
        <v>121</v>
      </c>
      <c r="Z28" s="385" t="s">
        <v>121</v>
      </c>
      <c r="AA28" s="385" t="s">
        <v>121</v>
      </c>
      <c r="AB28" s="385" t="s">
        <v>121</v>
      </c>
      <c r="AC28" s="385" t="s">
        <v>121</v>
      </c>
      <c r="AD28" s="385" t="s">
        <v>121</v>
      </c>
      <c r="AE28" s="385" t="s">
        <v>121</v>
      </c>
      <c r="AF28" s="394"/>
      <c r="AG28" s="388"/>
    </row>
    <row r="29" spans="1:33" ht="52">
      <c r="A29" s="667" t="s">
        <v>571</v>
      </c>
      <c r="B29" s="667" t="s">
        <v>485</v>
      </c>
      <c r="C29" s="669" t="s">
        <v>513</v>
      </c>
      <c r="D29" s="669" t="s">
        <v>572</v>
      </c>
      <c r="E29" s="670" t="s">
        <v>573</v>
      </c>
      <c r="F29" s="671" t="s">
        <v>489</v>
      </c>
      <c r="G29" s="670" t="s">
        <v>259</v>
      </c>
      <c r="H29" s="382">
        <v>3</v>
      </c>
      <c r="I29" s="382">
        <v>15</v>
      </c>
      <c r="J29" s="382">
        <f t="shared" si="0"/>
        <v>3</v>
      </c>
      <c r="K29" s="382">
        <f t="shared" si="1"/>
        <v>45</v>
      </c>
      <c r="L29" s="646">
        <f>IFERROR(IF(B29="funkcna poziadavka",VLOOKUP(G29,MODULY_CBA!$B$3:$E$23,4,0)*H29/SUMIFS($H$3:$H$199,$G$3:$G$199,G29,$B$3:$B$199,B29),),)</f>
        <v>0.44594594594594594</v>
      </c>
      <c r="M29" s="382">
        <f>IFERROR(IF(B29="Funkcna poziadavka",VLOOKUP(G29,MODULY_CBA!$B$3:$E$23,3,0),),)</f>
        <v>1.085</v>
      </c>
      <c r="N29" s="382">
        <f>IFERROR(IF(B29="funkcna poziadavka",VLOOKUP(G29,MODULY_CBA!$B$3:$E$23,2,0),),)</f>
        <v>1.1400000000000001</v>
      </c>
      <c r="O29" s="381">
        <f t="shared" si="3"/>
        <v>56.212090540540544</v>
      </c>
      <c r="P29" s="380">
        <f>IFERROR(O29*VLOOKUP(G29,MODULY_CBA!$B$3:$F$23,5,0),)</f>
        <v>1686.3627162162163</v>
      </c>
      <c r="Q29" s="482" t="str">
        <f>IFERROR(VLOOKUP(G29,MODULY_CBA!$B$3:$I$23,6,0),"")</f>
        <v>Inkrement 2</v>
      </c>
      <c r="R29" s="378"/>
      <c r="S29" s="378"/>
      <c r="T29" s="378"/>
      <c r="U29" s="378"/>
      <c r="V29" s="378"/>
      <c r="W29" s="378"/>
      <c r="X29" s="378"/>
      <c r="Y29" s="378"/>
      <c r="Z29" s="378"/>
      <c r="AA29" s="378"/>
      <c r="AB29" s="378"/>
      <c r="AC29" s="378"/>
      <c r="AD29" s="378"/>
      <c r="AE29" s="378"/>
      <c r="AF29" s="394"/>
      <c r="AG29" s="388"/>
    </row>
    <row r="30" spans="1:33" ht="52">
      <c r="A30" s="667" t="s">
        <v>574</v>
      </c>
      <c r="B30" s="667" t="s">
        <v>485</v>
      </c>
      <c r="C30" s="669" t="s">
        <v>575</v>
      </c>
      <c r="D30" s="669" t="s">
        <v>576</v>
      </c>
      <c r="E30" s="670" t="s">
        <v>577</v>
      </c>
      <c r="F30" s="671" t="s">
        <v>489</v>
      </c>
      <c r="G30" s="670" t="s">
        <v>269</v>
      </c>
      <c r="H30" s="382">
        <v>3</v>
      </c>
      <c r="I30" s="382">
        <v>15</v>
      </c>
      <c r="J30" s="382">
        <f t="shared" si="0"/>
        <v>3</v>
      </c>
      <c r="K30" s="382">
        <f t="shared" si="1"/>
        <v>45</v>
      </c>
      <c r="L30" s="646">
        <f>IFERROR(IF(B30="funkcna poziadavka",VLOOKUP(G30,MODULY_CBA!$B$3:$E$23,4,0)*H30/SUMIFS($H$3:$H$199,$G$3:$G$199,G30,$B$3:$B$199,B30),),)</f>
        <v>3</v>
      </c>
      <c r="M30" s="382">
        <f>IFERROR(IF(B30="Funkcna poziadavka",VLOOKUP(G30,MODULY_CBA!$B$3:$E$23,3,0),),)</f>
        <v>1.085</v>
      </c>
      <c r="N30" s="382">
        <f>IFERROR(IF(B30="funkcna poziadavka",VLOOKUP(G30,MODULY_CBA!$B$3:$E$23,2,0),),)</f>
        <v>1.1400000000000001</v>
      </c>
      <c r="O30" s="381">
        <f t="shared" si="3"/>
        <v>59.371200000000002</v>
      </c>
      <c r="P30" s="380">
        <f>IFERROR(O30*VLOOKUP(G30,MODULY_CBA!$B$3:$F$23,5,0),)</f>
        <v>1781.136</v>
      </c>
      <c r="Q30" s="482" t="str">
        <f>IFERROR(VLOOKUP(G30,MODULY_CBA!$B$3:$I$23,6,0),"")</f>
        <v>Inkrement 1</v>
      </c>
      <c r="R30" s="378"/>
      <c r="S30" s="378"/>
      <c r="T30" s="378"/>
      <c r="U30" s="378"/>
      <c r="V30" s="378"/>
      <c r="W30" s="378"/>
      <c r="X30" s="378"/>
      <c r="Y30" s="378"/>
      <c r="Z30" s="378"/>
      <c r="AA30" s="378"/>
      <c r="AB30" s="378"/>
      <c r="AC30" s="378"/>
      <c r="AD30" s="378"/>
      <c r="AE30" s="378"/>
      <c r="AF30" s="394"/>
      <c r="AG30" s="388"/>
    </row>
    <row r="31" spans="1:33" ht="39">
      <c r="A31" s="667" t="s">
        <v>578</v>
      </c>
      <c r="B31" s="667" t="s">
        <v>485</v>
      </c>
      <c r="C31" s="669" t="s">
        <v>499</v>
      </c>
      <c r="D31" s="669" t="s">
        <v>579</v>
      </c>
      <c r="E31" s="670" t="s">
        <v>580</v>
      </c>
      <c r="F31" s="671" t="s">
        <v>489</v>
      </c>
      <c r="G31" s="670" t="s">
        <v>261</v>
      </c>
      <c r="H31" s="382">
        <v>3</v>
      </c>
      <c r="I31" s="382">
        <v>15</v>
      </c>
      <c r="J31" s="382">
        <f t="shared" si="0"/>
        <v>3</v>
      </c>
      <c r="K31" s="382">
        <f t="shared" si="1"/>
        <v>45</v>
      </c>
      <c r="L31" s="646">
        <f>IFERROR(IF(B31="funkcna poziadavka",VLOOKUP(G31,MODULY_CBA!$B$3:$E$23,4,0)*H31/SUMIFS($H$3:$H$199,$G$3:$G$199,G31,$B$3:$B$199,B31),),)</f>
        <v>3.6666666666666665</v>
      </c>
      <c r="M31" s="382">
        <f>IFERROR(IF(B31="Funkcna poziadavka",VLOOKUP(G31,MODULY_CBA!$B$3:$E$23,3,0),),)</f>
        <v>1.085</v>
      </c>
      <c r="N31" s="382">
        <f>IFERROR(IF(B31="funkcna poziadavka",VLOOKUP(G31,MODULY_CBA!$B$3:$E$23,2,0),),)</f>
        <v>1.1400000000000001</v>
      </c>
      <c r="O31" s="381">
        <f t="shared" si="3"/>
        <v>60.195799999999998</v>
      </c>
      <c r="P31" s="380">
        <f>IFERROR(O31*VLOOKUP(G31,MODULY_CBA!$B$3:$F$23,5,0),)</f>
        <v>1805.874</v>
      </c>
      <c r="Q31" s="482" t="str">
        <f>IFERROR(VLOOKUP(G31,MODULY_CBA!$B$3:$I$23,6,0),"")</f>
        <v>Inkrement 3</v>
      </c>
      <c r="R31" s="378"/>
      <c r="S31" s="378"/>
      <c r="T31" s="378"/>
      <c r="U31" s="378"/>
      <c r="V31" s="378"/>
      <c r="W31" s="378"/>
      <c r="X31" s="378"/>
      <c r="Y31" s="378"/>
      <c r="Z31" s="378"/>
      <c r="AA31" s="378"/>
      <c r="AB31" s="378"/>
      <c r="AC31" s="378"/>
      <c r="AD31" s="378"/>
      <c r="AE31" s="378"/>
      <c r="AF31" s="394"/>
      <c r="AG31" s="388"/>
    </row>
    <row r="32" spans="1:33" ht="39">
      <c r="A32" s="667" t="s">
        <v>581</v>
      </c>
      <c r="B32" s="667" t="s">
        <v>485</v>
      </c>
      <c r="C32" s="669" t="s">
        <v>499</v>
      </c>
      <c r="D32" s="669" t="s">
        <v>582</v>
      </c>
      <c r="E32" s="670" t="s">
        <v>583</v>
      </c>
      <c r="F32" s="671" t="s">
        <v>489</v>
      </c>
      <c r="G32" s="670" t="s">
        <v>251</v>
      </c>
      <c r="H32" s="382">
        <v>3</v>
      </c>
      <c r="I32" s="382">
        <v>15</v>
      </c>
      <c r="J32" s="382">
        <f t="shared" si="0"/>
        <v>3</v>
      </c>
      <c r="K32" s="382">
        <f t="shared" si="1"/>
        <v>45</v>
      </c>
      <c r="L32" s="646">
        <f>IFERROR(IF(B32="funkcna poziadavka",VLOOKUP(G32,MODULY_CBA!$B$3:$E$23,4,0)*H32/SUMIFS($H$3:$H$199,$G$3:$G$199,G32,$B$3:$B$199,B32),),)</f>
        <v>3.3</v>
      </c>
      <c r="M32" s="382">
        <f>IFERROR(IF(B32="Funkcna poziadavka",VLOOKUP(G32,MODULY_CBA!$B$3:$E$23,3,0),),)</f>
        <v>1.085</v>
      </c>
      <c r="N32" s="382">
        <f>IFERROR(IF(B32="funkcna poziadavka",VLOOKUP(G32,MODULY_CBA!$B$3:$E$23,2,0),),)</f>
        <v>1.1400000000000001</v>
      </c>
      <c r="O32" s="381">
        <f t="shared" si="3"/>
        <v>59.742270000000005</v>
      </c>
      <c r="P32" s="380">
        <f>IFERROR(O32*VLOOKUP(G32,MODULY_CBA!$B$3:$F$23,5,0),)</f>
        <v>1792.2681000000002</v>
      </c>
      <c r="Q32" s="482" t="str">
        <f>IFERROR(VLOOKUP(G32,MODULY_CBA!$B$3:$I$23,6,0),"")</f>
        <v>Inkrement 3</v>
      </c>
      <c r="R32" s="378"/>
      <c r="S32" s="378"/>
      <c r="T32" s="378"/>
      <c r="U32" s="378"/>
      <c r="V32" s="378"/>
      <c r="W32" s="378"/>
      <c r="X32" s="378"/>
      <c r="Y32" s="378"/>
      <c r="Z32" s="378"/>
      <c r="AA32" s="378"/>
      <c r="AB32" s="378"/>
      <c r="AC32" s="378"/>
      <c r="AD32" s="378"/>
      <c r="AE32" s="378"/>
      <c r="AF32" s="394"/>
      <c r="AG32" s="388"/>
    </row>
    <row r="33" spans="1:33" ht="26">
      <c r="A33" s="667" t="s">
        <v>584</v>
      </c>
      <c r="B33" s="667" t="s">
        <v>485</v>
      </c>
      <c r="C33" s="669" t="s">
        <v>585</v>
      </c>
      <c r="D33" s="669" t="s">
        <v>586</v>
      </c>
      <c r="E33" s="670" t="s">
        <v>587</v>
      </c>
      <c r="F33" s="671" t="s">
        <v>489</v>
      </c>
      <c r="G33" s="670" t="s">
        <v>261</v>
      </c>
      <c r="H33" s="382">
        <v>3</v>
      </c>
      <c r="I33" s="382">
        <v>15</v>
      </c>
      <c r="J33" s="382">
        <f t="shared" si="0"/>
        <v>3</v>
      </c>
      <c r="K33" s="382">
        <f t="shared" si="1"/>
        <v>45</v>
      </c>
      <c r="L33" s="646">
        <f>IFERROR(IF(B33="funkcna poziadavka",VLOOKUP(G33,MODULY_CBA!$B$3:$E$23,4,0)*H33/SUMIFS($H$3:$H$199,$G$3:$G$199,G33,$B$3:$B$199,B33),),)</f>
        <v>3.6666666666666665</v>
      </c>
      <c r="M33" s="382">
        <f>IFERROR(IF(B33="Funkcna poziadavka",VLOOKUP(G33,MODULY_CBA!$B$3:$E$23,3,0),),)</f>
        <v>1.085</v>
      </c>
      <c r="N33" s="382">
        <f>IFERROR(IF(B33="funkcna poziadavka",VLOOKUP(G33,MODULY_CBA!$B$3:$E$23,2,0),),)</f>
        <v>1.1400000000000001</v>
      </c>
      <c r="O33" s="381">
        <f t="shared" si="3"/>
        <v>60.195799999999998</v>
      </c>
      <c r="P33" s="380">
        <f>IFERROR(O33*VLOOKUP(G33,MODULY_CBA!$B$3:$F$23,5,0),)</f>
        <v>1805.874</v>
      </c>
      <c r="Q33" s="482" t="str">
        <f>IFERROR(VLOOKUP(G33,MODULY_CBA!$B$3:$I$23,6,0),"")</f>
        <v>Inkrement 3</v>
      </c>
      <c r="R33" s="378"/>
      <c r="S33" s="378"/>
      <c r="T33" s="378"/>
      <c r="U33" s="378"/>
      <c r="V33" s="378"/>
      <c r="W33" s="378"/>
      <c r="X33" s="378"/>
      <c r="Y33" s="378"/>
      <c r="Z33" s="378"/>
      <c r="AA33" s="378"/>
      <c r="AB33" s="378"/>
      <c r="AC33" s="378"/>
      <c r="AD33" s="378"/>
      <c r="AE33" s="378"/>
      <c r="AF33" s="394"/>
      <c r="AG33" s="388"/>
    </row>
    <row r="34" spans="1:33" ht="39">
      <c r="A34" s="667" t="s">
        <v>588</v>
      </c>
      <c r="B34" s="667" t="s">
        <v>485</v>
      </c>
      <c r="C34" s="669" t="s">
        <v>499</v>
      </c>
      <c r="D34" s="669" t="s">
        <v>589</v>
      </c>
      <c r="E34" s="670" t="s">
        <v>590</v>
      </c>
      <c r="F34" s="671" t="s">
        <v>489</v>
      </c>
      <c r="G34" s="670" t="s">
        <v>261</v>
      </c>
      <c r="H34" s="382">
        <v>3</v>
      </c>
      <c r="I34" s="382">
        <v>15</v>
      </c>
      <c r="J34" s="382">
        <f t="shared" si="0"/>
        <v>3</v>
      </c>
      <c r="K34" s="382">
        <f t="shared" si="1"/>
        <v>45</v>
      </c>
      <c r="L34" s="646">
        <f>IFERROR(IF(B34="funkcna poziadavka",VLOOKUP(G34,MODULY_CBA!$B$3:$E$23,4,0)*H34/SUMIFS($H$3:$H$199,$G$3:$G$199,G34,$B$3:$B$199,B34),),)</f>
        <v>3.6666666666666665</v>
      </c>
      <c r="M34" s="382">
        <f>IFERROR(IF(B34="Funkcna poziadavka",VLOOKUP(G34,MODULY_CBA!$B$3:$E$23,3,0),),)</f>
        <v>1.085</v>
      </c>
      <c r="N34" s="382">
        <f>IFERROR(IF(B34="funkcna poziadavka",VLOOKUP(G34,MODULY_CBA!$B$3:$E$23,2,0),),)</f>
        <v>1.1400000000000001</v>
      </c>
      <c r="O34" s="381">
        <f t="shared" si="3"/>
        <v>60.195799999999998</v>
      </c>
      <c r="P34" s="380">
        <f>IFERROR(O34*VLOOKUP(G34,MODULY_CBA!$B$3:$F$23,5,0),)</f>
        <v>1805.874</v>
      </c>
      <c r="Q34" s="482" t="str">
        <f>IFERROR(VLOOKUP(G34,MODULY_CBA!$B$3:$I$23,6,0),"")</f>
        <v>Inkrement 3</v>
      </c>
      <c r="R34" s="385"/>
      <c r="S34" s="385"/>
      <c r="T34" s="385"/>
      <c r="U34" s="385"/>
      <c r="V34" s="385"/>
      <c r="W34" s="385"/>
      <c r="X34" s="385"/>
      <c r="Y34" s="385"/>
      <c r="Z34" s="385"/>
      <c r="AA34" s="385"/>
      <c r="AB34" s="385"/>
      <c r="AC34" s="385"/>
      <c r="AD34" s="385"/>
      <c r="AE34" s="385"/>
    </row>
    <row r="35" spans="1:33" ht="65">
      <c r="A35" s="667" t="s">
        <v>591</v>
      </c>
      <c r="B35" s="667" t="s">
        <v>485</v>
      </c>
      <c r="C35" s="669" t="s">
        <v>509</v>
      </c>
      <c r="D35" s="669" t="s">
        <v>592</v>
      </c>
      <c r="E35" s="670" t="s">
        <v>593</v>
      </c>
      <c r="F35" s="671" t="s">
        <v>489</v>
      </c>
      <c r="G35" s="670" t="s">
        <v>261</v>
      </c>
      <c r="H35" s="382">
        <v>3</v>
      </c>
      <c r="I35" s="382">
        <v>15</v>
      </c>
      <c r="J35" s="382">
        <f t="shared" ref="J35:J66" si="4">IF(ISNUMBER(H35),H35,)</f>
        <v>3</v>
      </c>
      <c r="K35" s="382">
        <f t="shared" si="1"/>
        <v>45</v>
      </c>
      <c r="L35" s="646">
        <f>IFERROR(IF(B35="funkcna poziadavka",VLOOKUP(G35,MODULY_CBA!$B$3:$E$23,4,0)*H35/SUMIFS($H$3:$H$199,$G$3:$G$199,G35,$B$3:$B$199,B35),),)</f>
        <v>3.6666666666666665</v>
      </c>
      <c r="M35" s="382">
        <f>IFERROR(IF(B35="Funkcna poziadavka",VLOOKUP(G35,MODULY_CBA!$B$3:$E$23,3,0),),)</f>
        <v>1.085</v>
      </c>
      <c r="N35" s="382">
        <f>IFERROR(IF(B35="funkcna poziadavka",VLOOKUP(G35,MODULY_CBA!$B$3:$E$23,2,0),),)</f>
        <v>1.1400000000000001</v>
      </c>
      <c r="O35" s="381">
        <f t="shared" ref="O35:O66" si="5">(K35+L35)*M35*N35</f>
        <v>60.195799999999998</v>
      </c>
      <c r="P35" s="380">
        <f>IFERROR(O35*VLOOKUP(G35,MODULY_CBA!$B$3:$F$23,5,0),)</f>
        <v>1805.874</v>
      </c>
      <c r="Q35" s="482" t="str">
        <f>IFERROR(VLOOKUP(G35,MODULY_CBA!$B$3:$I$23,6,0),"")</f>
        <v>Inkrement 3</v>
      </c>
      <c r="R35" s="385"/>
      <c r="S35" s="385"/>
      <c r="T35" s="385"/>
      <c r="U35" s="385"/>
      <c r="V35" s="385"/>
      <c r="W35" s="385"/>
      <c r="X35" s="385"/>
      <c r="Y35" s="385"/>
      <c r="Z35" s="385"/>
      <c r="AA35" s="385"/>
      <c r="AB35" s="385"/>
      <c r="AC35" s="385"/>
      <c r="AD35" s="385"/>
      <c r="AE35" s="385"/>
    </row>
    <row r="36" spans="1:33" ht="52">
      <c r="A36" s="667" t="s">
        <v>594</v>
      </c>
      <c r="B36" s="667" t="s">
        <v>485</v>
      </c>
      <c r="C36" s="669" t="s">
        <v>535</v>
      </c>
      <c r="D36" s="669" t="s">
        <v>595</v>
      </c>
      <c r="E36" s="670" t="s">
        <v>596</v>
      </c>
      <c r="F36" s="671" t="s">
        <v>489</v>
      </c>
      <c r="G36" s="670" t="s">
        <v>261</v>
      </c>
      <c r="H36" s="382">
        <v>3</v>
      </c>
      <c r="I36" s="382">
        <v>15</v>
      </c>
      <c r="J36" s="382">
        <f t="shared" si="4"/>
        <v>3</v>
      </c>
      <c r="K36" s="382">
        <f t="shared" si="1"/>
        <v>45</v>
      </c>
      <c r="L36" s="646">
        <f>IFERROR(IF(B36="funkcna poziadavka",VLOOKUP(G36,MODULY_CBA!$B$3:$E$23,4,0)*H36/SUMIFS($H$3:$H$199,$G$3:$G$199,G36,$B$3:$B$199,B36),),)</f>
        <v>3.6666666666666665</v>
      </c>
      <c r="M36" s="382">
        <f>IFERROR(IF(B36="Funkcna poziadavka",VLOOKUP(G36,MODULY_CBA!$B$3:$E$23,3,0),),)</f>
        <v>1.085</v>
      </c>
      <c r="N36" s="382">
        <f>IFERROR(IF(B36="funkcna poziadavka",VLOOKUP(G36,MODULY_CBA!$B$3:$E$23,2,0),),)</f>
        <v>1.1400000000000001</v>
      </c>
      <c r="O36" s="381">
        <f t="shared" si="5"/>
        <v>60.195799999999998</v>
      </c>
      <c r="P36" s="380">
        <f>IFERROR(O36*VLOOKUP(G36,MODULY_CBA!$B$3:$F$23,5,0),)</f>
        <v>1805.874</v>
      </c>
      <c r="Q36" s="482" t="str">
        <f>IFERROR(VLOOKUP(G36,MODULY_CBA!$B$3:$I$23,6,0),"")</f>
        <v>Inkrement 3</v>
      </c>
      <c r="R36" s="385"/>
      <c r="S36" s="385"/>
      <c r="T36" s="385"/>
      <c r="U36" s="385"/>
      <c r="V36" s="385"/>
      <c r="W36" s="385"/>
      <c r="X36" s="385"/>
      <c r="Y36" s="385"/>
      <c r="Z36" s="385"/>
      <c r="AA36" s="385"/>
      <c r="AB36" s="385"/>
      <c r="AC36" s="385"/>
      <c r="AD36" s="385"/>
      <c r="AE36" s="385"/>
    </row>
    <row r="37" spans="1:33" ht="39">
      <c r="A37" s="667" t="s">
        <v>597</v>
      </c>
      <c r="B37" s="667" t="s">
        <v>485</v>
      </c>
      <c r="C37" s="669" t="s">
        <v>598</v>
      </c>
      <c r="D37" s="669" t="s">
        <v>599</v>
      </c>
      <c r="E37" s="670" t="s">
        <v>600</v>
      </c>
      <c r="F37" s="671" t="s">
        <v>489</v>
      </c>
      <c r="G37" s="670" t="s">
        <v>251</v>
      </c>
      <c r="H37" s="382">
        <v>3</v>
      </c>
      <c r="I37" s="382">
        <v>15</v>
      </c>
      <c r="J37" s="382">
        <f t="shared" si="4"/>
        <v>3</v>
      </c>
      <c r="K37" s="382">
        <f t="shared" si="1"/>
        <v>45</v>
      </c>
      <c r="L37" s="646">
        <f>IFERROR(IF(B37="funkcna poziadavka",VLOOKUP(G37,MODULY_CBA!$B$3:$E$23,4,0)*H37/SUMIFS($H$3:$H$199,$G$3:$G$199,G37,$B$3:$B$199,B37),),)</f>
        <v>3.3</v>
      </c>
      <c r="M37" s="382">
        <f>IFERROR(IF(B37="Funkcna poziadavka",VLOOKUP(G37,MODULY_CBA!$B$3:$E$23,3,0),),)</f>
        <v>1.085</v>
      </c>
      <c r="N37" s="382">
        <f>IFERROR(IF(B37="funkcna poziadavka",VLOOKUP(G37,MODULY_CBA!$B$3:$E$23,2,0),),)</f>
        <v>1.1400000000000001</v>
      </c>
      <c r="O37" s="381">
        <f t="shared" si="5"/>
        <v>59.742270000000005</v>
      </c>
      <c r="P37" s="380">
        <f>IFERROR(O37*VLOOKUP(G37,MODULY_CBA!$B$3:$F$23,5,0),)</f>
        <v>1792.2681000000002</v>
      </c>
      <c r="Q37" s="482" t="str">
        <f>IFERROR(VLOOKUP(G37,MODULY_CBA!$B$3:$I$23,6,0),"")</f>
        <v>Inkrement 3</v>
      </c>
      <c r="R37" s="385"/>
      <c r="S37" s="385"/>
      <c r="T37" s="385"/>
      <c r="U37" s="385"/>
      <c r="V37" s="385"/>
      <c r="W37" s="385"/>
      <c r="X37" s="385"/>
      <c r="Y37" s="385"/>
      <c r="Z37" s="385"/>
      <c r="AA37" s="385"/>
      <c r="AB37" s="385"/>
      <c r="AC37" s="385"/>
      <c r="AD37" s="385"/>
      <c r="AE37" s="385"/>
    </row>
    <row r="38" spans="1:33" ht="52">
      <c r="A38" s="667" t="s">
        <v>601</v>
      </c>
      <c r="B38" s="667" t="s">
        <v>485</v>
      </c>
      <c r="C38" s="669" t="s">
        <v>598</v>
      </c>
      <c r="D38" s="669" t="s">
        <v>602</v>
      </c>
      <c r="E38" s="670" t="s">
        <v>603</v>
      </c>
      <c r="F38" s="671" t="s">
        <v>489</v>
      </c>
      <c r="G38" s="670" t="s">
        <v>265</v>
      </c>
      <c r="H38" s="382">
        <v>3</v>
      </c>
      <c r="I38" s="382">
        <v>15</v>
      </c>
      <c r="J38" s="382">
        <f t="shared" si="4"/>
        <v>3</v>
      </c>
      <c r="K38" s="382">
        <f t="shared" si="1"/>
        <v>45</v>
      </c>
      <c r="L38" s="646">
        <f>IFERROR(IF(B38="funkcna poziadavka",VLOOKUP(G38,MODULY_CBA!$B$3:$E$23,4,0)*H38/SUMIFS($H$3:$H$199,$G$3:$G$199,G38,$B$3:$B$199,B38),),)</f>
        <v>6.6</v>
      </c>
      <c r="M38" s="382">
        <f>IFERROR(IF(B38="Funkcna poziadavka",VLOOKUP(G38,MODULY_CBA!$B$3:$E$23,3,0),),)</f>
        <v>1.085</v>
      </c>
      <c r="N38" s="382">
        <f>IFERROR(IF(B38="funkcna poziadavka",VLOOKUP(G38,MODULY_CBA!$B$3:$E$23,2,0),),)</f>
        <v>1.1400000000000001</v>
      </c>
      <c r="O38" s="381">
        <f t="shared" si="5"/>
        <v>63.824040000000004</v>
      </c>
      <c r="P38" s="380">
        <f>IFERROR(O38*VLOOKUP(G38,MODULY_CBA!$B$3:$F$23,5,0),)</f>
        <v>1914.7212000000002</v>
      </c>
      <c r="Q38" s="482" t="str">
        <f>IFERROR(VLOOKUP(G38,MODULY_CBA!$B$3:$I$23,6,0),"")</f>
        <v>Inkrement 3</v>
      </c>
      <c r="R38" s="385"/>
      <c r="S38" s="385"/>
      <c r="T38" s="385"/>
      <c r="U38" s="385"/>
      <c r="V38" s="385"/>
      <c r="W38" s="385"/>
      <c r="X38" s="385"/>
      <c r="Y38" s="385"/>
      <c r="Z38" s="385"/>
      <c r="AA38" s="385"/>
      <c r="AB38" s="385"/>
      <c r="AC38" s="385"/>
      <c r="AD38" s="385"/>
      <c r="AE38" s="385"/>
    </row>
    <row r="39" spans="1:33" ht="91">
      <c r="A39" s="667" t="s">
        <v>604</v>
      </c>
      <c r="B39" s="667" t="s">
        <v>485</v>
      </c>
      <c r="C39" s="669" t="s">
        <v>499</v>
      </c>
      <c r="D39" s="669" t="s">
        <v>605</v>
      </c>
      <c r="E39" s="670" t="s">
        <v>606</v>
      </c>
      <c r="F39" s="671" t="s">
        <v>489</v>
      </c>
      <c r="G39" s="670" t="s">
        <v>261</v>
      </c>
      <c r="H39" s="382">
        <v>3</v>
      </c>
      <c r="I39" s="382">
        <v>15</v>
      </c>
      <c r="J39" s="382">
        <f t="shared" si="4"/>
        <v>3</v>
      </c>
      <c r="K39" s="382">
        <f t="shared" si="1"/>
        <v>45</v>
      </c>
      <c r="L39" s="646">
        <f>IFERROR(IF(B39="funkcna poziadavka",VLOOKUP(G39,MODULY_CBA!$B$3:$E$23,4,0)*H39/SUMIFS($H$3:$H$199,$G$3:$G$199,G39,$B$3:$B$199,B39),),)</f>
        <v>3.6666666666666665</v>
      </c>
      <c r="M39" s="382">
        <f>IFERROR(IF(B39="Funkcna poziadavka",VLOOKUP(G39,MODULY_CBA!$B$3:$E$23,3,0),),)</f>
        <v>1.085</v>
      </c>
      <c r="N39" s="382">
        <f>IFERROR(IF(B39="funkcna poziadavka",VLOOKUP(G39,MODULY_CBA!$B$3:$E$23,2,0),),)</f>
        <v>1.1400000000000001</v>
      </c>
      <c r="O39" s="381">
        <f t="shared" si="5"/>
        <v>60.195799999999998</v>
      </c>
      <c r="P39" s="380">
        <f>IFERROR(O39*VLOOKUP(G39,MODULY_CBA!$B$3:$F$23,5,0),)</f>
        <v>1805.874</v>
      </c>
      <c r="Q39" s="482" t="str">
        <f>IFERROR(VLOOKUP(G39,MODULY_CBA!$B$3:$I$23,6,0),"")</f>
        <v>Inkrement 3</v>
      </c>
      <c r="R39" s="385"/>
      <c r="S39" s="385"/>
      <c r="T39" s="385"/>
      <c r="U39" s="385"/>
      <c r="V39" s="385"/>
      <c r="W39" s="385"/>
      <c r="X39" s="385"/>
      <c r="Y39" s="385"/>
      <c r="Z39" s="385"/>
      <c r="AA39" s="385"/>
      <c r="AB39" s="385"/>
      <c r="AC39" s="385"/>
      <c r="AD39" s="385"/>
      <c r="AE39" s="385"/>
    </row>
    <row r="40" spans="1:33" ht="39">
      <c r="A40" s="667" t="s">
        <v>607</v>
      </c>
      <c r="B40" s="667" t="s">
        <v>485</v>
      </c>
      <c r="C40" s="669" t="s">
        <v>598</v>
      </c>
      <c r="D40" s="669" t="s">
        <v>608</v>
      </c>
      <c r="E40" s="670" t="s">
        <v>609</v>
      </c>
      <c r="F40" s="671" t="s">
        <v>489</v>
      </c>
      <c r="G40" s="670" t="s">
        <v>263</v>
      </c>
      <c r="H40" s="382">
        <v>3</v>
      </c>
      <c r="I40" s="382">
        <v>15</v>
      </c>
      <c r="J40" s="382">
        <f t="shared" si="4"/>
        <v>3</v>
      </c>
      <c r="K40" s="382">
        <f t="shared" si="1"/>
        <v>45</v>
      </c>
      <c r="L40" s="646">
        <f>IFERROR(IF(B40="funkcna poziadavka",VLOOKUP(G40,MODULY_CBA!$B$3:$E$23,4,0)*H40/SUMIFS($H$3:$H$199,$G$3:$G$199,G40,$B$3:$B$199,B40),),)</f>
        <v>0.86842105263157898</v>
      </c>
      <c r="M40" s="382">
        <f>IFERROR(IF(B40="Funkcna poziadavka",VLOOKUP(G40,MODULY_CBA!$B$3:$E$23,3,0),),)</f>
        <v>1.085</v>
      </c>
      <c r="N40" s="382">
        <f>IFERROR(IF(B40="funkcna poziadavka",VLOOKUP(G40,MODULY_CBA!$B$3:$E$23,2,0),),)</f>
        <v>1.1400000000000001</v>
      </c>
      <c r="O40" s="381">
        <f t="shared" si="5"/>
        <v>56.734650000000002</v>
      </c>
      <c r="P40" s="380">
        <f>IFERROR(O40*VLOOKUP(G40,MODULY_CBA!$B$3:$F$23,5,0),)</f>
        <v>1702.0395000000001</v>
      </c>
      <c r="Q40" s="482" t="str">
        <f>IFERROR(VLOOKUP(G40,MODULY_CBA!$B$3:$I$23,6,0),"")</f>
        <v>Inkrement 1</v>
      </c>
      <c r="R40" s="385"/>
      <c r="S40" s="385"/>
      <c r="T40" s="385"/>
      <c r="U40" s="385"/>
      <c r="V40" s="385"/>
      <c r="W40" s="385"/>
      <c r="X40" s="385"/>
      <c r="Y40" s="385"/>
      <c r="Z40" s="385"/>
      <c r="AA40" s="385"/>
      <c r="AB40" s="385"/>
      <c r="AC40" s="385"/>
      <c r="AD40" s="385"/>
      <c r="AE40" s="385"/>
    </row>
    <row r="41" spans="1:33" ht="78">
      <c r="A41" s="667" t="s">
        <v>610</v>
      </c>
      <c r="B41" s="667" t="s">
        <v>485</v>
      </c>
      <c r="C41" s="669" t="s">
        <v>499</v>
      </c>
      <c r="D41" s="669" t="s">
        <v>611</v>
      </c>
      <c r="E41" s="670" t="s">
        <v>612</v>
      </c>
      <c r="F41" s="671" t="s">
        <v>489</v>
      </c>
      <c r="G41" s="670" t="s">
        <v>259</v>
      </c>
      <c r="H41" s="382">
        <v>3</v>
      </c>
      <c r="I41" s="382">
        <v>15</v>
      </c>
      <c r="J41" s="382">
        <f t="shared" si="4"/>
        <v>3</v>
      </c>
      <c r="K41" s="382">
        <f t="shared" si="1"/>
        <v>45</v>
      </c>
      <c r="L41" s="646">
        <f>IFERROR(IF(B41="funkcna poziadavka",VLOOKUP(G41,MODULY_CBA!$B$3:$E$23,4,0)*H41/SUMIFS($H$3:$H$199,$G$3:$G$199,G41,$B$3:$B$199,B41),),)</f>
        <v>0.44594594594594594</v>
      </c>
      <c r="M41" s="382">
        <f>IFERROR(IF(B41="Funkcna poziadavka",VLOOKUP(G41,MODULY_CBA!$B$3:$E$23,3,0),),)</f>
        <v>1.085</v>
      </c>
      <c r="N41" s="382">
        <f>IFERROR(IF(B41="funkcna poziadavka",VLOOKUP(G41,MODULY_CBA!$B$3:$E$23,2,0),),)</f>
        <v>1.1400000000000001</v>
      </c>
      <c r="O41" s="381">
        <f t="shared" si="5"/>
        <v>56.212090540540544</v>
      </c>
      <c r="P41" s="380">
        <f>IFERROR(O41*VLOOKUP(G41,MODULY_CBA!$B$3:$F$23,5,0),)</f>
        <v>1686.3627162162163</v>
      </c>
      <c r="Q41" s="482" t="str">
        <f>IFERROR(VLOOKUP(G41,MODULY_CBA!$B$3:$I$23,6,0),"")</f>
        <v>Inkrement 2</v>
      </c>
      <c r="R41" s="385"/>
      <c r="S41" s="385"/>
      <c r="T41" s="385"/>
      <c r="U41" s="385"/>
      <c r="V41" s="385"/>
      <c r="W41" s="385"/>
      <c r="X41" s="385"/>
      <c r="Y41" s="385"/>
      <c r="Z41" s="385"/>
      <c r="AA41" s="385"/>
      <c r="AB41" s="385"/>
      <c r="AC41" s="385"/>
      <c r="AD41" s="385"/>
      <c r="AE41" s="385"/>
    </row>
    <row r="42" spans="1:33" ht="26">
      <c r="A42" s="667" t="s">
        <v>613</v>
      </c>
      <c r="B42" s="667" t="s">
        <v>485</v>
      </c>
      <c r="C42" s="669" t="s">
        <v>499</v>
      </c>
      <c r="D42" s="669" t="s">
        <v>614</v>
      </c>
      <c r="E42" s="670" t="s">
        <v>615</v>
      </c>
      <c r="F42" s="671" t="s">
        <v>489</v>
      </c>
      <c r="G42" s="670" t="s">
        <v>259</v>
      </c>
      <c r="H42" s="382">
        <v>3</v>
      </c>
      <c r="I42" s="382">
        <v>15</v>
      </c>
      <c r="J42" s="382">
        <f t="shared" si="4"/>
        <v>3</v>
      </c>
      <c r="K42" s="382">
        <f t="shared" si="1"/>
        <v>45</v>
      </c>
      <c r="L42" s="646">
        <f>IFERROR(IF(B42="funkcna poziadavka",VLOOKUP(G42,MODULY_CBA!$B$3:$E$23,4,0)*H42/SUMIFS($H$3:$H$199,$G$3:$G$199,G42,$B$3:$B$199,B42),),)</f>
        <v>0.44594594594594594</v>
      </c>
      <c r="M42" s="382">
        <f>IFERROR(IF(B42="Funkcna poziadavka",VLOOKUP(G42,MODULY_CBA!$B$3:$E$23,3,0),),)</f>
        <v>1.085</v>
      </c>
      <c r="N42" s="382">
        <f>IFERROR(IF(B42="funkcna poziadavka",VLOOKUP(G42,MODULY_CBA!$B$3:$E$23,2,0),),)</f>
        <v>1.1400000000000001</v>
      </c>
      <c r="O42" s="381">
        <f t="shared" si="5"/>
        <v>56.212090540540544</v>
      </c>
      <c r="P42" s="380">
        <f>IFERROR(O42*VLOOKUP(G42,MODULY_CBA!$B$3:$F$23,5,0),)</f>
        <v>1686.3627162162163</v>
      </c>
      <c r="Q42" s="482" t="str">
        <f>IFERROR(VLOOKUP(G42,MODULY_CBA!$B$3:$I$23,6,0),"")</f>
        <v>Inkrement 2</v>
      </c>
      <c r="R42" s="385"/>
      <c r="S42" s="385"/>
      <c r="T42" s="385"/>
      <c r="U42" s="385"/>
      <c r="V42" s="385"/>
      <c r="W42" s="385"/>
      <c r="X42" s="385"/>
      <c r="Y42" s="385"/>
      <c r="Z42" s="385"/>
      <c r="AA42" s="385"/>
      <c r="AB42" s="385"/>
      <c r="AC42" s="385"/>
      <c r="AD42" s="385"/>
      <c r="AE42" s="385"/>
    </row>
    <row r="43" spans="1:33" ht="39">
      <c r="A43" s="667" t="s">
        <v>616</v>
      </c>
      <c r="B43" s="667" t="s">
        <v>485</v>
      </c>
      <c r="C43" s="669" t="s">
        <v>499</v>
      </c>
      <c r="D43" s="669" t="s">
        <v>617</v>
      </c>
      <c r="E43" s="670" t="s">
        <v>618</v>
      </c>
      <c r="F43" s="671" t="s">
        <v>489</v>
      </c>
      <c r="G43" s="670" t="s">
        <v>259</v>
      </c>
      <c r="H43" s="382">
        <v>3</v>
      </c>
      <c r="I43" s="382">
        <v>15</v>
      </c>
      <c r="J43" s="382">
        <f t="shared" si="4"/>
        <v>3</v>
      </c>
      <c r="K43" s="382">
        <f t="shared" si="1"/>
        <v>45</v>
      </c>
      <c r="L43" s="646">
        <f>IFERROR(IF(B43="funkcna poziadavka",VLOOKUP(G43,MODULY_CBA!$B$3:$E$23,4,0)*H43/SUMIFS($H$3:$H$199,$G$3:$G$199,G43,$B$3:$B$199,B43),),)</f>
        <v>0.44594594594594594</v>
      </c>
      <c r="M43" s="382">
        <f>IFERROR(IF(B43="Funkcna poziadavka",VLOOKUP(G43,MODULY_CBA!$B$3:$E$23,3,0),),)</f>
        <v>1.085</v>
      </c>
      <c r="N43" s="382">
        <f>IFERROR(IF(B43="funkcna poziadavka",VLOOKUP(G43,MODULY_CBA!$B$3:$E$23,2,0),),)</f>
        <v>1.1400000000000001</v>
      </c>
      <c r="O43" s="381">
        <f t="shared" si="5"/>
        <v>56.212090540540544</v>
      </c>
      <c r="P43" s="380">
        <f>IFERROR(O43*VLOOKUP(G43,MODULY_CBA!$B$3:$F$23,5,0),)</f>
        <v>1686.3627162162163</v>
      </c>
      <c r="Q43" s="482" t="str">
        <f>IFERROR(VLOOKUP(G43,MODULY_CBA!$B$3:$I$23,6,0),"")</f>
        <v>Inkrement 2</v>
      </c>
      <c r="R43" s="385"/>
      <c r="S43" s="385"/>
      <c r="T43" s="385"/>
      <c r="U43" s="385"/>
      <c r="V43" s="385"/>
      <c r="W43" s="385"/>
      <c r="X43" s="385"/>
      <c r="Y43" s="385"/>
      <c r="Z43" s="385"/>
      <c r="AA43" s="385"/>
      <c r="AB43" s="385"/>
      <c r="AC43" s="385"/>
      <c r="AD43" s="385"/>
      <c r="AE43" s="385"/>
    </row>
    <row r="44" spans="1:33" ht="39">
      <c r="A44" s="667" t="s">
        <v>619</v>
      </c>
      <c r="B44" s="667" t="s">
        <v>485</v>
      </c>
      <c r="C44" s="669" t="s">
        <v>499</v>
      </c>
      <c r="D44" s="669" t="s">
        <v>620</v>
      </c>
      <c r="E44" s="670" t="s">
        <v>621</v>
      </c>
      <c r="F44" s="671" t="s">
        <v>489</v>
      </c>
      <c r="G44" s="670" t="s">
        <v>259</v>
      </c>
      <c r="H44" s="382">
        <v>3</v>
      </c>
      <c r="I44" s="382">
        <v>15</v>
      </c>
      <c r="J44" s="382">
        <f t="shared" si="4"/>
        <v>3</v>
      </c>
      <c r="K44" s="382">
        <f t="shared" si="1"/>
        <v>45</v>
      </c>
      <c r="L44" s="646">
        <f>IFERROR(IF(B44="funkcna poziadavka",VLOOKUP(G44,MODULY_CBA!$B$3:$E$23,4,0)*H44/SUMIFS($H$3:$H$199,$G$3:$G$199,G44,$B$3:$B$199,B44),),)</f>
        <v>0.44594594594594594</v>
      </c>
      <c r="M44" s="382">
        <f>IFERROR(IF(B44="Funkcna poziadavka",VLOOKUP(G44,MODULY_CBA!$B$3:$E$23,3,0),),)</f>
        <v>1.085</v>
      </c>
      <c r="N44" s="382">
        <f>IFERROR(IF(B44="funkcna poziadavka",VLOOKUP(G44,MODULY_CBA!$B$3:$E$23,2,0),),)</f>
        <v>1.1400000000000001</v>
      </c>
      <c r="O44" s="381">
        <f t="shared" si="5"/>
        <v>56.212090540540544</v>
      </c>
      <c r="P44" s="380">
        <f>IFERROR(O44*VLOOKUP(G44,MODULY_CBA!$B$3:$F$23,5,0),)</f>
        <v>1686.3627162162163</v>
      </c>
      <c r="Q44" s="482" t="str">
        <f>IFERROR(VLOOKUP(G44,MODULY_CBA!$B$3:$I$23,6,0),"")</f>
        <v>Inkrement 2</v>
      </c>
      <c r="R44" s="385" t="s">
        <v>121</v>
      </c>
      <c r="S44" s="385" t="s">
        <v>121</v>
      </c>
      <c r="T44" s="385" t="s">
        <v>121</v>
      </c>
      <c r="U44" s="385" t="s">
        <v>121</v>
      </c>
      <c r="V44" s="385" t="s">
        <v>121</v>
      </c>
      <c r="W44" s="385" t="s">
        <v>121</v>
      </c>
      <c r="X44" s="385" t="s">
        <v>121</v>
      </c>
      <c r="Y44" s="385" t="s">
        <v>121</v>
      </c>
      <c r="Z44" s="385" t="s">
        <v>121</v>
      </c>
      <c r="AA44" s="385" t="s">
        <v>121</v>
      </c>
      <c r="AB44" s="385" t="s">
        <v>121</v>
      </c>
      <c r="AC44" s="385" t="s">
        <v>121</v>
      </c>
      <c r="AD44" s="385" t="s">
        <v>121</v>
      </c>
      <c r="AE44" s="385" t="s">
        <v>121</v>
      </c>
    </row>
    <row r="45" spans="1:33" ht="26">
      <c r="A45" s="667" t="s">
        <v>622</v>
      </c>
      <c r="B45" s="667" t="s">
        <v>485</v>
      </c>
      <c r="C45" s="669" t="s">
        <v>499</v>
      </c>
      <c r="D45" s="669" t="s">
        <v>623</v>
      </c>
      <c r="E45" s="670" t="s">
        <v>624</v>
      </c>
      <c r="F45" s="671" t="s">
        <v>489</v>
      </c>
      <c r="G45" s="670" t="s">
        <v>259</v>
      </c>
      <c r="H45" s="382">
        <v>3</v>
      </c>
      <c r="I45" s="382">
        <v>15</v>
      </c>
      <c r="J45" s="382">
        <f t="shared" si="4"/>
        <v>3</v>
      </c>
      <c r="K45" s="382">
        <f t="shared" si="1"/>
        <v>45</v>
      </c>
      <c r="L45" s="646">
        <f>IFERROR(IF(B45="funkcna poziadavka",VLOOKUP(G45,MODULY_CBA!$B$3:$E$23,4,0)*H45/SUMIFS($H$3:$H$199,$G$3:$G$199,G45,$B$3:$B$199,B45),),)</f>
        <v>0.44594594594594594</v>
      </c>
      <c r="M45" s="382">
        <f>IFERROR(IF(B45="Funkcna poziadavka",VLOOKUP(G45,MODULY_CBA!$B$3:$E$23,3,0),),)</f>
        <v>1.085</v>
      </c>
      <c r="N45" s="382">
        <f>IFERROR(IF(B45="funkcna poziadavka",VLOOKUP(G45,MODULY_CBA!$B$3:$E$23,2,0),),)</f>
        <v>1.1400000000000001</v>
      </c>
      <c r="O45" s="381">
        <f t="shared" si="5"/>
        <v>56.212090540540544</v>
      </c>
      <c r="P45" s="380">
        <f>IFERROR(O45*VLOOKUP(G45,MODULY_CBA!$B$3:$F$23,5,0),)</f>
        <v>1686.3627162162163</v>
      </c>
      <c r="Q45" s="482" t="str">
        <f>IFERROR(VLOOKUP(G45,MODULY_CBA!$B$3:$I$23,6,0),"")</f>
        <v>Inkrement 2</v>
      </c>
      <c r="R45" s="385"/>
      <c r="S45" s="385"/>
      <c r="T45" s="385"/>
      <c r="U45" s="385"/>
      <c r="V45" s="385"/>
      <c r="W45" s="385"/>
      <c r="X45" s="385"/>
      <c r="Y45" s="385"/>
      <c r="Z45" s="385"/>
      <c r="AA45" s="385"/>
      <c r="AB45" s="385"/>
      <c r="AC45" s="385"/>
      <c r="AD45" s="385"/>
      <c r="AE45" s="385"/>
    </row>
    <row r="46" spans="1:33" ht="65">
      <c r="A46" s="667" t="s">
        <v>625</v>
      </c>
      <c r="B46" s="667" t="s">
        <v>485</v>
      </c>
      <c r="C46" s="669" t="s">
        <v>499</v>
      </c>
      <c r="D46" s="669" t="s">
        <v>626</v>
      </c>
      <c r="E46" s="670" t="s">
        <v>627</v>
      </c>
      <c r="F46" s="671" t="s">
        <v>489</v>
      </c>
      <c r="G46" s="670" t="s">
        <v>257</v>
      </c>
      <c r="H46" s="382">
        <v>3</v>
      </c>
      <c r="I46" s="382">
        <v>15</v>
      </c>
      <c r="J46" s="382">
        <f t="shared" si="4"/>
        <v>3</v>
      </c>
      <c r="K46" s="382">
        <f t="shared" si="1"/>
        <v>45</v>
      </c>
      <c r="L46" s="646">
        <f>IFERROR(IF(B46="funkcna poziadavka",VLOOKUP(G46,MODULY_CBA!$B$3:$E$23,4,0)*H46/SUMIFS($H$3:$H$199,$G$3:$G$199,G46,$B$3:$B$199,B46),),)</f>
        <v>8.25</v>
      </c>
      <c r="M46" s="382">
        <f>IFERROR(IF(B46="Funkcna poziadavka",VLOOKUP(G46,MODULY_CBA!$B$3:$E$23,3,0),),)</f>
        <v>1.085</v>
      </c>
      <c r="N46" s="382">
        <f>IFERROR(IF(B46="funkcna poziadavka",VLOOKUP(G46,MODULY_CBA!$B$3:$E$23,2,0),),)</f>
        <v>1.1400000000000001</v>
      </c>
      <c r="O46" s="381">
        <f t="shared" si="5"/>
        <v>65.864924999999999</v>
      </c>
      <c r="P46" s="380">
        <f>IFERROR(O46*VLOOKUP(G46,MODULY_CBA!$B$3:$F$23,5,0),)</f>
        <v>1975.94775</v>
      </c>
      <c r="Q46" s="482" t="str">
        <f>IFERROR(VLOOKUP(G46,MODULY_CBA!$B$3:$I$23,6,0),"")</f>
        <v>Inkrement 3</v>
      </c>
      <c r="R46" s="385" t="s">
        <v>121</v>
      </c>
      <c r="S46" s="385" t="s">
        <v>121</v>
      </c>
      <c r="T46" s="385" t="s">
        <v>121</v>
      </c>
      <c r="U46" s="385" t="s">
        <v>121</v>
      </c>
      <c r="V46" s="385" t="s">
        <v>121</v>
      </c>
      <c r="W46" s="385" t="s">
        <v>121</v>
      </c>
      <c r="X46" s="385" t="s">
        <v>121</v>
      </c>
      <c r="Y46" s="385" t="s">
        <v>121</v>
      </c>
      <c r="Z46" s="385" t="s">
        <v>121</v>
      </c>
      <c r="AA46" s="385" t="s">
        <v>121</v>
      </c>
      <c r="AB46" s="385" t="s">
        <v>121</v>
      </c>
      <c r="AC46" s="385" t="s">
        <v>121</v>
      </c>
      <c r="AD46" s="385" t="s">
        <v>121</v>
      </c>
      <c r="AE46" s="385" t="s">
        <v>121</v>
      </c>
    </row>
    <row r="47" spans="1:33" ht="52">
      <c r="A47" s="667" t="s">
        <v>628</v>
      </c>
      <c r="B47" s="667" t="s">
        <v>485</v>
      </c>
      <c r="C47" s="669" t="s">
        <v>535</v>
      </c>
      <c r="D47" s="669" t="s">
        <v>629</v>
      </c>
      <c r="E47" s="670" t="s">
        <v>630</v>
      </c>
      <c r="F47" s="671" t="s">
        <v>489</v>
      </c>
      <c r="G47" s="670" t="s">
        <v>257</v>
      </c>
      <c r="H47" s="382">
        <v>3</v>
      </c>
      <c r="I47" s="382">
        <v>15</v>
      </c>
      <c r="J47" s="382">
        <f t="shared" si="4"/>
        <v>3</v>
      </c>
      <c r="K47" s="382">
        <f t="shared" si="1"/>
        <v>45</v>
      </c>
      <c r="L47" s="646">
        <f>IFERROR(IF(B47="funkcna poziadavka",VLOOKUP(G47,MODULY_CBA!$B$3:$E$23,4,0)*H47/SUMIFS($H$3:$H$199,$G$3:$G$199,G47,$B$3:$B$199,B47),),)</f>
        <v>8.25</v>
      </c>
      <c r="M47" s="382">
        <f>IFERROR(IF(B47="Funkcna poziadavka",VLOOKUP(G47,MODULY_CBA!$B$3:$E$23,3,0),),)</f>
        <v>1.085</v>
      </c>
      <c r="N47" s="382">
        <f>IFERROR(IF(B47="funkcna poziadavka",VLOOKUP(G47,MODULY_CBA!$B$3:$E$23,2,0),),)</f>
        <v>1.1400000000000001</v>
      </c>
      <c r="O47" s="381">
        <f t="shared" si="5"/>
        <v>65.864924999999999</v>
      </c>
      <c r="P47" s="380">
        <f>IFERROR(O47*VLOOKUP(G47,MODULY_CBA!$B$3:$F$23,5,0),)</f>
        <v>1975.94775</v>
      </c>
      <c r="Q47" s="482" t="str">
        <f>IFERROR(VLOOKUP(G47,MODULY_CBA!$B$3:$I$23,6,0),"")</f>
        <v>Inkrement 3</v>
      </c>
      <c r="R47" s="385"/>
      <c r="S47" s="385"/>
      <c r="T47" s="385"/>
      <c r="U47" s="385"/>
      <c r="V47" s="385"/>
      <c r="W47" s="385"/>
      <c r="X47" s="385"/>
      <c r="Y47" s="385"/>
      <c r="Z47" s="385"/>
      <c r="AA47" s="385"/>
      <c r="AB47" s="385"/>
      <c r="AC47" s="385"/>
      <c r="AD47" s="385"/>
      <c r="AE47" s="385"/>
    </row>
    <row r="48" spans="1:33" ht="39">
      <c r="A48" s="667" t="s">
        <v>631</v>
      </c>
      <c r="B48" s="667" t="s">
        <v>485</v>
      </c>
      <c r="C48" s="669" t="s">
        <v>509</v>
      </c>
      <c r="D48" s="669" t="s">
        <v>632</v>
      </c>
      <c r="E48" s="670" t="s">
        <v>633</v>
      </c>
      <c r="F48" s="671" t="s">
        <v>489</v>
      </c>
      <c r="G48" s="670" t="s">
        <v>251</v>
      </c>
      <c r="H48" s="382">
        <v>3</v>
      </c>
      <c r="I48" s="382">
        <v>15</v>
      </c>
      <c r="J48" s="382">
        <f t="shared" si="4"/>
        <v>3</v>
      </c>
      <c r="K48" s="382">
        <f t="shared" si="1"/>
        <v>45</v>
      </c>
      <c r="L48" s="646">
        <f>IFERROR(IF(B48="funkcna poziadavka",VLOOKUP(G48,MODULY_CBA!$B$3:$E$23,4,0)*H48/SUMIFS($H$3:$H$199,$G$3:$G$199,G48,$B$3:$B$199,B48),),)</f>
        <v>3.3</v>
      </c>
      <c r="M48" s="382">
        <f>IFERROR(IF(B48="Funkcna poziadavka",VLOOKUP(G48,MODULY_CBA!$B$3:$E$23,3,0),),)</f>
        <v>1.085</v>
      </c>
      <c r="N48" s="382">
        <f>IFERROR(IF(B48="funkcna poziadavka",VLOOKUP(G48,MODULY_CBA!$B$3:$E$23,2,0),),)</f>
        <v>1.1400000000000001</v>
      </c>
      <c r="O48" s="381">
        <f t="shared" si="5"/>
        <v>59.742270000000005</v>
      </c>
      <c r="P48" s="380">
        <f>IFERROR(O48*VLOOKUP(G48,MODULY_CBA!$B$3:$F$23,5,0),)</f>
        <v>1792.2681000000002</v>
      </c>
      <c r="Q48" s="482" t="str">
        <f>IFERROR(VLOOKUP(G48,MODULY_CBA!$B$3:$I$23,6,0),"")</f>
        <v>Inkrement 3</v>
      </c>
      <c r="R48" s="385"/>
      <c r="S48" s="385"/>
      <c r="T48" s="385"/>
      <c r="U48" s="385"/>
      <c r="V48" s="385"/>
      <c r="W48" s="385"/>
      <c r="X48" s="385"/>
      <c r="Y48" s="385"/>
      <c r="Z48" s="385"/>
      <c r="AA48" s="385"/>
      <c r="AB48" s="385"/>
      <c r="AC48" s="385"/>
      <c r="AD48" s="385"/>
      <c r="AE48" s="385"/>
    </row>
    <row r="49" spans="1:31" ht="39">
      <c r="A49" s="667" t="s">
        <v>634</v>
      </c>
      <c r="B49" s="667" t="s">
        <v>485</v>
      </c>
      <c r="C49" s="669" t="s">
        <v>495</v>
      </c>
      <c r="D49" s="669" t="s">
        <v>635</v>
      </c>
      <c r="E49" s="670" t="s">
        <v>636</v>
      </c>
      <c r="F49" s="671" t="s">
        <v>489</v>
      </c>
      <c r="G49" s="670" t="s">
        <v>259</v>
      </c>
      <c r="H49" s="382">
        <v>3</v>
      </c>
      <c r="I49" s="382">
        <v>15</v>
      </c>
      <c r="J49" s="382">
        <f t="shared" si="4"/>
        <v>3</v>
      </c>
      <c r="K49" s="382">
        <f t="shared" si="1"/>
        <v>45</v>
      </c>
      <c r="L49" s="646">
        <f>IFERROR(IF(B49="funkcna poziadavka",VLOOKUP(G49,MODULY_CBA!$B$3:$E$23,4,0)*H49/SUMIFS($H$3:$H$199,$G$3:$G$199,G49,$B$3:$B$199,B49),),)</f>
        <v>0.44594594594594594</v>
      </c>
      <c r="M49" s="382">
        <f>IFERROR(IF(B49="Funkcna poziadavka",VLOOKUP(G49,MODULY_CBA!$B$3:$E$23,3,0),),)</f>
        <v>1.085</v>
      </c>
      <c r="N49" s="382">
        <f>IFERROR(IF(B49="funkcna poziadavka",VLOOKUP(G49,MODULY_CBA!$B$3:$E$23,2,0),),)</f>
        <v>1.1400000000000001</v>
      </c>
      <c r="O49" s="381">
        <f t="shared" si="5"/>
        <v>56.212090540540544</v>
      </c>
      <c r="P49" s="380">
        <f>IFERROR(O49*VLOOKUP(G49,MODULY_CBA!$B$3:$F$23,5,0),)</f>
        <v>1686.3627162162163</v>
      </c>
      <c r="Q49" s="482" t="str">
        <f>IFERROR(VLOOKUP(G49,MODULY_CBA!$B$3:$I$23,6,0),"")</f>
        <v>Inkrement 2</v>
      </c>
      <c r="R49" s="385"/>
      <c r="S49" s="385"/>
      <c r="T49" s="385"/>
      <c r="U49" s="385"/>
      <c r="V49" s="385"/>
      <c r="W49" s="385"/>
      <c r="X49" s="385"/>
      <c r="Y49" s="385"/>
      <c r="Z49" s="385"/>
      <c r="AA49" s="385"/>
      <c r="AB49" s="385"/>
      <c r="AC49" s="385"/>
      <c r="AD49" s="385"/>
      <c r="AE49" s="385"/>
    </row>
    <row r="50" spans="1:31" ht="52">
      <c r="A50" s="667" t="s">
        <v>637</v>
      </c>
      <c r="B50" s="667" t="s">
        <v>485</v>
      </c>
      <c r="C50" s="669" t="s">
        <v>535</v>
      </c>
      <c r="D50" s="669" t="s">
        <v>638</v>
      </c>
      <c r="E50" s="670" t="s">
        <v>639</v>
      </c>
      <c r="F50" s="671" t="s">
        <v>489</v>
      </c>
      <c r="G50" s="670" t="s">
        <v>259</v>
      </c>
      <c r="H50" s="382">
        <v>3</v>
      </c>
      <c r="I50" s="382">
        <v>15</v>
      </c>
      <c r="J50" s="382">
        <f t="shared" si="4"/>
        <v>3</v>
      </c>
      <c r="K50" s="382">
        <f t="shared" si="1"/>
        <v>45</v>
      </c>
      <c r="L50" s="646">
        <f>IFERROR(IF(B50="funkcna poziadavka",VLOOKUP(G50,MODULY_CBA!$B$3:$E$23,4,0)*H50/SUMIFS($H$3:$H$199,$G$3:$G$199,G50,$B$3:$B$199,B50),),)</f>
        <v>0.44594594594594594</v>
      </c>
      <c r="M50" s="382">
        <f>IFERROR(IF(B50="Funkcna poziadavka",VLOOKUP(G50,MODULY_CBA!$B$3:$E$23,3,0),),)</f>
        <v>1.085</v>
      </c>
      <c r="N50" s="382">
        <f>IFERROR(IF(B50="funkcna poziadavka",VLOOKUP(G50,MODULY_CBA!$B$3:$E$23,2,0),),)</f>
        <v>1.1400000000000001</v>
      </c>
      <c r="O50" s="381">
        <f t="shared" si="5"/>
        <v>56.212090540540544</v>
      </c>
      <c r="P50" s="380">
        <f>IFERROR(O50*VLOOKUP(G50,MODULY_CBA!$B$3:$F$23,5,0),)</f>
        <v>1686.3627162162163</v>
      </c>
      <c r="Q50" s="482" t="str">
        <f>IFERROR(VLOOKUP(G50,MODULY_CBA!$B$3:$I$23,6,0),"")</f>
        <v>Inkrement 2</v>
      </c>
      <c r="R50" s="385"/>
      <c r="S50" s="385"/>
      <c r="T50" s="385"/>
      <c r="U50" s="385"/>
      <c r="V50" s="385"/>
      <c r="W50" s="385"/>
      <c r="X50" s="385"/>
      <c r="Y50" s="385"/>
      <c r="Z50" s="385"/>
      <c r="AA50" s="385"/>
      <c r="AB50" s="385"/>
      <c r="AC50" s="385"/>
      <c r="AD50" s="385"/>
      <c r="AE50" s="385"/>
    </row>
    <row r="51" spans="1:31" ht="52">
      <c r="A51" s="667" t="s">
        <v>640</v>
      </c>
      <c r="B51" s="667" t="s">
        <v>485</v>
      </c>
      <c r="C51" s="669" t="s">
        <v>535</v>
      </c>
      <c r="D51" s="669" t="s">
        <v>641</v>
      </c>
      <c r="E51" s="670" t="s">
        <v>642</v>
      </c>
      <c r="F51" s="671" t="s">
        <v>489</v>
      </c>
      <c r="G51" s="670" t="s">
        <v>259</v>
      </c>
      <c r="H51" s="382">
        <v>3</v>
      </c>
      <c r="I51" s="382">
        <v>15</v>
      </c>
      <c r="J51" s="382">
        <f t="shared" si="4"/>
        <v>3</v>
      </c>
      <c r="K51" s="382">
        <f t="shared" si="1"/>
        <v>45</v>
      </c>
      <c r="L51" s="646">
        <f>IFERROR(IF(B51="funkcna poziadavka",VLOOKUP(G51,MODULY_CBA!$B$3:$E$23,4,0)*H51/SUMIFS($H$3:$H$199,$G$3:$G$199,G51,$B$3:$B$199,B51),),)</f>
        <v>0.44594594594594594</v>
      </c>
      <c r="M51" s="382">
        <f>IFERROR(IF(B51="Funkcna poziadavka",VLOOKUP(G51,MODULY_CBA!$B$3:$E$23,3,0),),)</f>
        <v>1.085</v>
      </c>
      <c r="N51" s="382">
        <f>IFERROR(IF(B51="funkcna poziadavka",VLOOKUP(G51,MODULY_CBA!$B$3:$E$23,2,0),),)</f>
        <v>1.1400000000000001</v>
      </c>
      <c r="O51" s="381">
        <f t="shared" si="5"/>
        <v>56.212090540540544</v>
      </c>
      <c r="P51" s="380">
        <f>IFERROR(O51*VLOOKUP(G51,MODULY_CBA!$B$3:$F$23,5,0),)</f>
        <v>1686.3627162162163</v>
      </c>
      <c r="Q51" s="482" t="str">
        <f>IFERROR(VLOOKUP(G51,MODULY_CBA!$B$3:$I$23,6,0),"")</f>
        <v>Inkrement 2</v>
      </c>
      <c r="R51" s="385"/>
      <c r="S51" s="385"/>
      <c r="T51" s="385"/>
      <c r="U51" s="385"/>
      <c r="V51" s="385"/>
      <c r="W51" s="385"/>
      <c r="X51" s="385"/>
      <c r="Y51" s="385"/>
      <c r="Z51" s="385"/>
      <c r="AA51" s="385"/>
      <c r="AB51" s="385"/>
      <c r="AC51" s="385"/>
      <c r="AD51" s="385"/>
      <c r="AE51" s="385"/>
    </row>
    <row r="52" spans="1:31" ht="91">
      <c r="A52" s="667" t="s">
        <v>643</v>
      </c>
      <c r="B52" s="667" t="s">
        <v>485</v>
      </c>
      <c r="C52" s="669" t="s">
        <v>644</v>
      </c>
      <c r="D52" s="669" t="s">
        <v>645</v>
      </c>
      <c r="E52" s="670" t="s">
        <v>646</v>
      </c>
      <c r="F52" s="671" t="s">
        <v>489</v>
      </c>
      <c r="G52" s="670" t="s">
        <v>253</v>
      </c>
      <c r="H52" s="382">
        <v>3</v>
      </c>
      <c r="I52" s="382">
        <v>15</v>
      </c>
      <c r="J52" s="382">
        <f t="shared" si="4"/>
        <v>3</v>
      </c>
      <c r="K52" s="382">
        <f t="shared" si="1"/>
        <v>45</v>
      </c>
      <c r="L52" s="646">
        <f>IFERROR(IF(B52="funkcna poziadavka",VLOOKUP(G52,MODULY_CBA!$B$3:$E$23,4,0)*H52/SUMIFS($H$3:$H$199,$G$3:$G$199,G52,$B$3:$B$199,B52),),)</f>
        <v>6.6</v>
      </c>
      <c r="M52" s="382">
        <f>IFERROR(IF(B52="Funkcna poziadavka",VLOOKUP(G52,MODULY_CBA!$B$3:$E$23,3,0),),)</f>
        <v>1.085</v>
      </c>
      <c r="N52" s="382">
        <f>IFERROR(IF(B52="funkcna poziadavka",VLOOKUP(G52,MODULY_CBA!$B$3:$E$23,2,0),),)</f>
        <v>1.1400000000000001</v>
      </c>
      <c r="O52" s="381">
        <f t="shared" si="5"/>
        <v>63.824040000000004</v>
      </c>
      <c r="P52" s="380">
        <f>IFERROR(O52*VLOOKUP(G52,MODULY_CBA!$B$3:$F$23,5,0),)</f>
        <v>1914.7212000000002</v>
      </c>
      <c r="Q52" s="482" t="str">
        <f>IFERROR(VLOOKUP(G52,MODULY_CBA!$B$3:$I$23,6,0),"")</f>
        <v>Inkrement 2</v>
      </c>
      <c r="R52" s="385" t="s">
        <v>121</v>
      </c>
      <c r="S52" s="385" t="s">
        <v>121</v>
      </c>
      <c r="T52" s="385" t="s">
        <v>121</v>
      </c>
      <c r="U52" s="385" t="s">
        <v>121</v>
      </c>
      <c r="V52" s="385" t="s">
        <v>121</v>
      </c>
      <c r="W52" s="385" t="s">
        <v>121</v>
      </c>
      <c r="X52" s="385" t="s">
        <v>121</v>
      </c>
      <c r="Y52" s="385" t="s">
        <v>121</v>
      </c>
      <c r="Z52" s="385" t="s">
        <v>121</v>
      </c>
      <c r="AA52" s="385" t="s">
        <v>121</v>
      </c>
      <c r="AB52" s="385" t="s">
        <v>121</v>
      </c>
      <c r="AC52" s="385" t="s">
        <v>121</v>
      </c>
      <c r="AD52" s="385" t="s">
        <v>121</v>
      </c>
      <c r="AE52" s="385" t="s">
        <v>121</v>
      </c>
    </row>
    <row r="53" spans="1:31" ht="65">
      <c r="A53" s="667" t="s">
        <v>647</v>
      </c>
      <c r="B53" s="667" t="s">
        <v>485</v>
      </c>
      <c r="C53" s="669" t="s">
        <v>495</v>
      </c>
      <c r="D53" s="669" t="s">
        <v>648</v>
      </c>
      <c r="E53" s="670" t="s">
        <v>649</v>
      </c>
      <c r="F53" s="671" t="s">
        <v>489</v>
      </c>
      <c r="G53" s="672" t="s">
        <v>259</v>
      </c>
      <c r="H53" s="382">
        <v>3</v>
      </c>
      <c r="I53" s="382">
        <v>15</v>
      </c>
      <c r="J53" s="382">
        <f t="shared" si="4"/>
        <v>3</v>
      </c>
      <c r="K53" s="382">
        <f t="shared" si="1"/>
        <v>45</v>
      </c>
      <c r="L53" s="646">
        <f>IFERROR(IF(B53="funkcna poziadavka",VLOOKUP(G53,MODULY_CBA!$B$3:$E$23,4,0)*H53/SUMIFS($H$3:$H$199,$G$3:$G$199,G53,$B$3:$B$199,B53),),)</f>
        <v>0.44594594594594594</v>
      </c>
      <c r="M53" s="382">
        <f>IFERROR(IF(B53="Funkcna poziadavka",VLOOKUP(G53,MODULY_CBA!$B$3:$E$23,3,0),),)</f>
        <v>1.085</v>
      </c>
      <c r="N53" s="382">
        <f>IFERROR(IF(B53="funkcna poziadavka",VLOOKUP(G53,MODULY_CBA!$B$3:$E$23,2,0),),)</f>
        <v>1.1400000000000001</v>
      </c>
      <c r="O53" s="381">
        <f t="shared" si="5"/>
        <v>56.212090540540544</v>
      </c>
      <c r="P53" s="380">
        <f>IFERROR(O53*VLOOKUP(G53,MODULY_CBA!$B$3:$F$23,5,0),)</f>
        <v>1686.3627162162163</v>
      </c>
      <c r="Q53" s="482" t="str">
        <f>IFERROR(VLOOKUP(G53,MODULY_CBA!$B$3:$I$23,6,0),"")</f>
        <v>Inkrement 2</v>
      </c>
      <c r="R53" s="385" t="s">
        <v>121</v>
      </c>
      <c r="S53" s="385" t="s">
        <v>121</v>
      </c>
      <c r="T53" s="385" t="s">
        <v>121</v>
      </c>
      <c r="U53" s="385" t="s">
        <v>121</v>
      </c>
      <c r="V53" s="385" t="s">
        <v>121</v>
      </c>
      <c r="W53" s="385" t="s">
        <v>121</v>
      </c>
      <c r="X53" s="385" t="s">
        <v>121</v>
      </c>
      <c r="Y53" s="385" t="s">
        <v>121</v>
      </c>
      <c r="Z53" s="385" t="s">
        <v>121</v>
      </c>
      <c r="AA53" s="385" t="s">
        <v>121</v>
      </c>
      <c r="AB53" s="385" t="s">
        <v>121</v>
      </c>
      <c r="AC53" s="385" t="s">
        <v>121</v>
      </c>
      <c r="AD53" s="385" t="s">
        <v>121</v>
      </c>
      <c r="AE53" s="385" t="s">
        <v>121</v>
      </c>
    </row>
    <row r="54" spans="1:31" ht="39">
      <c r="A54" s="667" t="s">
        <v>650</v>
      </c>
      <c r="B54" s="667" t="s">
        <v>485</v>
      </c>
      <c r="C54" s="669" t="s">
        <v>644</v>
      </c>
      <c r="D54" s="669" t="s">
        <v>651</v>
      </c>
      <c r="E54" s="670" t="s">
        <v>652</v>
      </c>
      <c r="F54" s="671" t="s">
        <v>489</v>
      </c>
      <c r="G54" s="670" t="s">
        <v>259</v>
      </c>
      <c r="H54" s="382">
        <v>3</v>
      </c>
      <c r="I54" s="382">
        <v>15</v>
      </c>
      <c r="J54" s="382">
        <f t="shared" si="4"/>
        <v>3</v>
      </c>
      <c r="K54" s="382">
        <f t="shared" si="1"/>
        <v>45</v>
      </c>
      <c r="L54" s="646">
        <f>IFERROR(IF(B54="funkcna poziadavka",VLOOKUP(G54,MODULY_CBA!$B$3:$E$23,4,0)*H54/SUMIFS($H$3:$H$199,$G$3:$G$199,G54,$B$3:$B$199,B54),),)</f>
        <v>0.44594594594594594</v>
      </c>
      <c r="M54" s="382">
        <f>IFERROR(IF(B54="Funkcna poziadavka",VLOOKUP(G54,MODULY_CBA!$B$3:$E$23,3,0),),)</f>
        <v>1.085</v>
      </c>
      <c r="N54" s="382">
        <f>IFERROR(IF(B54="funkcna poziadavka",VLOOKUP(G54,MODULY_CBA!$B$3:$E$23,2,0),),)</f>
        <v>1.1400000000000001</v>
      </c>
      <c r="O54" s="381">
        <f t="shared" si="5"/>
        <v>56.212090540540544</v>
      </c>
      <c r="P54" s="380">
        <f>IFERROR(O54*VLOOKUP(G54,MODULY_CBA!$B$3:$F$23,5,0),)</f>
        <v>1686.3627162162163</v>
      </c>
      <c r="Q54" s="482" t="str">
        <f>IFERROR(VLOOKUP(G54,MODULY_CBA!$B$3:$I$23,6,0),"")</f>
        <v>Inkrement 2</v>
      </c>
      <c r="R54" s="385"/>
      <c r="S54" s="385"/>
      <c r="T54" s="385"/>
      <c r="U54" s="385"/>
      <c r="V54" s="385"/>
      <c r="W54" s="385"/>
      <c r="X54" s="385"/>
      <c r="Y54" s="385"/>
      <c r="Z54" s="385"/>
      <c r="AA54" s="385"/>
      <c r="AB54" s="385"/>
      <c r="AC54" s="385"/>
      <c r="AD54" s="385"/>
      <c r="AE54" s="385"/>
    </row>
    <row r="55" spans="1:31" ht="52">
      <c r="A55" s="667" t="s">
        <v>653</v>
      </c>
      <c r="B55" s="667" t="s">
        <v>485</v>
      </c>
      <c r="C55" s="669" t="s">
        <v>654</v>
      </c>
      <c r="D55" s="669" t="s">
        <v>655</v>
      </c>
      <c r="E55" s="670" t="s">
        <v>656</v>
      </c>
      <c r="F55" s="671" t="s">
        <v>489</v>
      </c>
      <c r="G55" s="672" t="s">
        <v>267</v>
      </c>
      <c r="H55" s="382">
        <v>3</v>
      </c>
      <c r="I55" s="382">
        <v>15</v>
      </c>
      <c r="J55" s="382">
        <f t="shared" si="4"/>
        <v>3</v>
      </c>
      <c r="K55" s="382">
        <f t="shared" si="1"/>
        <v>45</v>
      </c>
      <c r="L55" s="646">
        <f>IFERROR(IF(B55="funkcna poziadavka",VLOOKUP(G55,MODULY_CBA!$B$3:$E$23,4,0)*H55/SUMIFS($H$3:$H$199,$G$3:$G$199,G55,$B$3:$B$199,B55),),)</f>
        <v>1.064516129032258</v>
      </c>
      <c r="M55" s="382">
        <f>IFERROR(IF(B55="Funkcna poziadavka",VLOOKUP(G55,MODULY_CBA!$B$3:$E$23,3,0),),)</f>
        <v>1.085</v>
      </c>
      <c r="N55" s="382">
        <f>IFERROR(IF(B55="funkcna poziadavka",VLOOKUP(G55,MODULY_CBA!$B$3:$E$23,2,0),),)</f>
        <v>1.1400000000000001</v>
      </c>
      <c r="O55" s="381">
        <f t="shared" si="5"/>
        <v>56.977200000000003</v>
      </c>
      <c r="P55" s="380">
        <f>IFERROR(O55*VLOOKUP(G55,MODULY_CBA!$B$3:$F$23,5,0),)</f>
        <v>1709.316</v>
      </c>
      <c r="Q55" s="482" t="str">
        <f>IFERROR(VLOOKUP(G55,MODULY_CBA!$B$3:$I$23,6,0),"")</f>
        <v>Inkrement 2</v>
      </c>
      <c r="R55" s="385"/>
      <c r="S55" s="385"/>
      <c r="T55" s="385"/>
      <c r="U55" s="385"/>
      <c r="V55" s="385"/>
      <c r="W55" s="385"/>
      <c r="X55" s="385"/>
      <c r="Y55" s="385"/>
      <c r="Z55" s="385"/>
      <c r="AA55" s="385"/>
      <c r="AB55" s="385"/>
      <c r="AC55" s="385"/>
      <c r="AD55" s="385"/>
      <c r="AE55" s="385"/>
    </row>
    <row r="56" spans="1:31" ht="26">
      <c r="A56" s="667" t="s">
        <v>657</v>
      </c>
      <c r="B56" s="667" t="s">
        <v>485</v>
      </c>
      <c r="C56" s="669" t="s">
        <v>495</v>
      </c>
      <c r="D56" s="673" t="s">
        <v>658</v>
      </c>
      <c r="E56" s="670" t="s">
        <v>659</v>
      </c>
      <c r="F56" s="671" t="s">
        <v>489</v>
      </c>
      <c r="G56" s="670" t="s">
        <v>259</v>
      </c>
      <c r="H56" s="382">
        <v>3</v>
      </c>
      <c r="I56" s="382">
        <v>15</v>
      </c>
      <c r="J56" s="382">
        <f t="shared" si="4"/>
        <v>3</v>
      </c>
      <c r="K56" s="382">
        <f t="shared" si="1"/>
        <v>45</v>
      </c>
      <c r="L56" s="646">
        <f>IFERROR(IF(B56="funkcna poziadavka",VLOOKUP(G56,MODULY_CBA!$B$3:$E$23,4,0)*H56/SUMIFS($H$3:$H$199,$G$3:$G$199,G56,$B$3:$B$199,B56),),)</f>
        <v>0.44594594594594594</v>
      </c>
      <c r="M56" s="382">
        <f>IFERROR(IF(B56="Funkcna poziadavka",VLOOKUP(G56,MODULY_CBA!$B$3:$E$23,3,0),),)</f>
        <v>1.085</v>
      </c>
      <c r="N56" s="382">
        <f>IFERROR(IF(B56="funkcna poziadavka",VLOOKUP(G56,MODULY_CBA!$B$3:$E$23,2,0),),)</f>
        <v>1.1400000000000001</v>
      </c>
      <c r="O56" s="381">
        <f t="shared" si="5"/>
        <v>56.212090540540544</v>
      </c>
      <c r="P56" s="380">
        <f>IFERROR(O56*VLOOKUP(G56,MODULY_CBA!$B$3:$F$23,5,0),)</f>
        <v>1686.3627162162163</v>
      </c>
      <c r="Q56" s="482" t="str">
        <f>IFERROR(VLOOKUP(G56,MODULY_CBA!$B$3:$I$23,6,0),"")</f>
        <v>Inkrement 2</v>
      </c>
      <c r="R56" s="385" t="s">
        <v>121</v>
      </c>
      <c r="S56" s="385" t="s">
        <v>121</v>
      </c>
      <c r="T56" s="385" t="s">
        <v>121</v>
      </c>
      <c r="U56" s="385" t="s">
        <v>121</v>
      </c>
      <c r="V56" s="385" t="s">
        <v>121</v>
      </c>
      <c r="W56" s="385" t="s">
        <v>121</v>
      </c>
      <c r="X56" s="385" t="s">
        <v>121</v>
      </c>
      <c r="Y56" s="385" t="s">
        <v>121</v>
      </c>
      <c r="Z56" s="385" t="s">
        <v>121</v>
      </c>
      <c r="AA56" s="385" t="s">
        <v>121</v>
      </c>
      <c r="AB56" s="385" t="s">
        <v>121</v>
      </c>
      <c r="AC56" s="385" t="s">
        <v>121</v>
      </c>
      <c r="AD56" s="385" t="s">
        <v>121</v>
      </c>
      <c r="AE56" s="385" t="s">
        <v>121</v>
      </c>
    </row>
    <row r="57" spans="1:31" ht="26">
      <c r="A57" s="667" t="s">
        <v>660</v>
      </c>
      <c r="B57" s="667" t="s">
        <v>485</v>
      </c>
      <c r="C57" s="669" t="s">
        <v>495</v>
      </c>
      <c r="D57" s="669" t="s">
        <v>661</v>
      </c>
      <c r="E57" s="672" t="s">
        <v>662</v>
      </c>
      <c r="F57" s="671" t="s">
        <v>489</v>
      </c>
      <c r="G57" s="670" t="s">
        <v>259</v>
      </c>
      <c r="H57" s="382">
        <v>3</v>
      </c>
      <c r="I57" s="382">
        <v>15</v>
      </c>
      <c r="J57" s="382">
        <f t="shared" si="4"/>
        <v>3</v>
      </c>
      <c r="K57" s="382">
        <f t="shared" si="1"/>
        <v>45</v>
      </c>
      <c r="L57" s="646">
        <f>IFERROR(IF(B57="funkcna poziadavka",VLOOKUP(G57,MODULY_CBA!$B$3:$E$23,4,0)*H57/SUMIFS($H$3:$H$199,$G$3:$G$199,G57,$B$3:$B$199,B57),),)</f>
        <v>0.44594594594594594</v>
      </c>
      <c r="M57" s="382">
        <f>IFERROR(IF(B57="Funkcna poziadavka",VLOOKUP(G57,MODULY_CBA!$B$3:$E$23,3,0),),)</f>
        <v>1.085</v>
      </c>
      <c r="N57" s="382">
        <f>IFERROR(IF(B57="funkcna poziadavka",VLOOKUP(G57,MODULY_CBA!$B$3:$E$23,2,0),),)</f>
        <v>1.1400000000000001</v>
      </c>
      <c r="O57" s="381">
        <f t="shared" si="5"/>
        <v>56.212090540540544</v>
      </c>
      <c r="P57" s="380">
        <f>IFERROR(O57*VLOOKUP(G57,MODULY_CBA!$B$3:$F$23,5,0),)</f>
        <v>1686.3627162162163</v>
      </c>
      <c r="Q57" s="482" t="str">
        <f>IFERROR(VLOOKUP(G57,MODULY_CBA!$B$3:$I$23,6,0),"")</f>
        <v>Inkrement 2</v>
      </c>
      <c r="R57" s="385"/>
      <c r="S57" s="385"/>
      <c r="T57" s="385"/>
      <c r="U57" s="385"/>
      <c r="V57" s="385"/>
      <c r="W57" s="385"/>
      <c r="X57" s="385"/>
      <c r="Y57" s="385"/>
      <c r="Z57" s="385"/>
      <c r="AA57" s="385"/>
      <c r="AB57" s="385"/>
      <c r="AC57" s="385"/>
      <c r="AD57" s="385"/>
      <c r="AE57" s="385"/>
    </row>
    <row r="58" spans="1:31" ht="78">
      <c r="A58" s="667" t="s">
        <v>663</v>
      </c>
      <c r="B58" s="667" t="s">
        <v>485</v>
      </c>
      <c r="C58" s="669" t="s">
        <v>495</v>
      </c>
      <c r="D58" s="669" t="s">
        <v>664</v>
      </c>
      <c r="E58" s="670" t="s">
        <v>665</v>
      </c>
      <c r="F58" s="671" t="s">
        <v>489</v>
      </c>
      <c r="G58" s="670" t="s">
        <v>259</v>
      </c>
      <c r="H58" s="382">
        <v>3</v>
      </c>
      <c r="I58" s="382">
        <v>15</v>
      </c>
      <c r="J58" s="382">
        <f t="shared" si="4"/>
        <v>3</v>
      </c>
      <c r="K58" s="382">
        <f t="shared" si="1"/>
        <v>45</v>
      </c>
      <c r="L58" s="646">
        <f>IFERROR(IF(B58="funkcna poziadavka",VLOOKUP(G58,MODULY_CBA!$B$3:$E$23,4,0)*H58/SUMIFS($H$3:$H$199,$G$3:$G$199,G58,$B$3:$B$199,B58),),)</f>
        <v>0.44594594594594594</v>
      </c>
      <c r="M58" s="382">
        <f>IFERROR(IF(B58="Funkcna poziadavka",VLOOKUP(G58,MODULY_CBA!$B$3:$E$23,3,0),),)</f>
        <v>1.085</v>
      </c>
      <c r="N58" s="382">
        <f>IFERROR(IF(B58="funkcna poziadavka",VLOOKUP(G58,MODULY_CBA!$B$3:$E$23,2,0),),)</f>
        <v>1.1400000000000001</v>
      </c>
      <c r="O58" s="381">
        <f t="shared" si="5"/>
        <v>56.212090540540544</v>
      </c>
      <c r="P58" s="380">
        <f>IFERROR(O58*VLOOKUP(G58,MODULY_CBA!$B$3:$F$23,5,0),)</f>
        <v>1686.3627162162163</v>
      </c>
      <c r="Q58" s="482" t="str">
        <f>IFERROR(VLOOKUP(G58,MODULY_CBA!$B$3:$I$23,6,0),"")</f>
        <v>Inkrement 2</v>
      </c>
      <c r="R58" s="385"/>
      <c r="S58" s="385"/>
      <c r="T58" s="385"/>
      <c r="U58" s="385"/>
      <c r="V58" s="385"/>
      <c r="W58" s="385"/>
      <c r="X58" s="385"/>
      <c r="Y58" s="385"/>
      <c r="Z58" s="385"/>
      <c r="AA58" s="385"/>
      <c r="AB58" s="385"/>
      <c r="AC58" s="385"/>
      <c r="AD58" s="385"/>
      <c r="AE58" s="385"/>
    </row>
    <row r="59" spans="1:31" ht="52">
      <c r="A59" s="667" t="s">
        <v>666</v>
      </c>
      <c r="B59" s="667" t="s">
        <v>485</v>
      </c>
      <c r="C59" s="669" t="s">
        <v>495</v>
      </c>
      <c r="D59" s="669" t="s">
        <v>667</v>
      </c>
      <c r="E59" s="670" t="s">
        <v>668</v>
      </c>
      <c r="F59" s="671" t="s">
        <v>489</v>
      </c>
      <c r="G59" s="670" t="s">
        <v>263</v>
      </c>
      <c r="H59" s="382">
        <v>3</v>
      </c>
      <c r="I59" s="382">
        <v>15</v>
      </c>
      <c r="J59" s="382">
        <f t="shared" si="4"/>
        <v>3</v>
      </c>
      <c r="K59" s="382">
        <f t="shared" si="1"/>
        <v>45</v>
      </c>
      <c r="L59" s="646">
        <f>IFERROR(IF(B59="funkcna poziadavka",VLOOKUP(G59,MODULY_CBA!$B$3:$E$23,4,0)*H59/SUMIFS($H$3:$H$199,$G$3:$G$199,G59,$B$3:$B$199,B59),),)</f>
        <v>0.86842105263157898</v>
      </c>
      <c r="M59" s="382">
        <f>IFERROR(IF(B59="Funkcna poziadavka",VLOOKUP(G59,MODULY_CBA!$B$3:$E$23,3,0),),)</f>
        <v>1.085</v>
      </c>
      <c r="N59" s="382">
        <f>IFERROR(IF(B59="funkcna poziadavka",VLOOKUP(G59,MODULY_CBA!$B$3:$E$23,2,0),),)</f>
        <v>1.1400000000000001</v>
      </c>
      <c r="O59" s="381">
        <f t="shared" si="5"/>
        <v>56.734650000000002</v>
      </c>
      <c r="P59" s="380">
        <f>IFERROR(O59*VLOOKUP(G59,MODULY_CBA!$B$3:$F$23,5,0),)</f>
        <v>1702.0395000000001</v>
      </c>
      <c r="Q59" s="482" t="str">
        <f>IFERROR(VLOOKUP(G59,MODULY_CBA!$B$3:$I$23,6,0),"")</f>
        <v>Inkrement 1</v>
      </c>
      <c r="R59" s="385"/>
      <c r="S59" s="385"/>
      <c r="T59" s="385"/>
      <c r="U59" s="385"/>
      <c r="V59" s="385"/>
      <c r="W59" s="385"/>
      <c r="X59" s="385"/>
      <c r="Y59" s="385"/>
      <c r="Z59" s="385"/>
      <c r="AA59" s="385"/>
      <c r="AB59" s="385"/>
      <c r="AC59" s="385"/>
      <c r="AD59" s="385"/>
      <c r="AE59" s="385"/>
    </row>
    <row r="60" spans="1:31" ht="65">
      <c r="A60" s="667" t="s">
        <v>669</v>
      </c>
      <c r="B60" s="667" t="s">
        <v>485</v>
      </c>
      <c r="C60" s="669" t="s">
        <v>495</v>
      </c>
      <c r="D60" s="669" t="s">
        <v>670</v>
      </c>
      <c r="E60" s="670" t="s">
        <v>671</v>
      </c>
      <c r="F60" s="671" t="s">
        <v>489</v>
      </c>
      <c r="G60" s="670" t="s">
        <v>259</v>
      </c>
      <c r="H60" s="382">
        <v>3</v>
      </c>
      <c r="I60" s="382">
        <v>15</v>
      </c>
      <c r="J60" s="382">
        <f t="shared" si="4"/>
        <v>3</v>
      </c>
      <c r="K60" s="382">
        <f t="shared" si="1"/>
        <v>45</v>
      </c>
      <c r="L60" s="646">
        <f>IFERROR(IF(B60="funkcna poziadavka",VLOOKUP(G60,MODULY_CBA!$B$3:$E$23,4,0)*H60/SUMIFS($H$3:$H$199,$G$3:$G$199,G60,$B$3:$B$199,B60),),)</f>
        <v>0.44594594594594594</v>
      </c>
      <c r="M60" s="382">
        <f>IFERROR(IF(B60="Funkcna poziadavka",VLOOKUP(G60,MODULY_CBA!$B$3:$E$23,3,0),),)</f>
        <v>1.085</v>
      </c>
      <c r="N60" s="382">
        <f>IFERROR(IF(B60="funkcna poziadavka",VLOOKUP(G60,MODULY_CBA!$B$3:$E$23,2,0),),)</f>
        <v>1.1400000000000001</v>
      </c>
      <c r="O60" s="381">
        <f t="shared" si="5"/>
        <v>56.212090540540544</v>
      </c>
      <c r="P60" s="380">
        <f>IFERROR(O60*VLOOKUP(G60,MODULY_CBA!$B$3:$F$23,5,0),)</f>
        <v>1686.3627162162163</v>
      </c>
      <c r="Q60" s="482" t="str">
        <f>IFERROR(VLOOKUP(G60,MODULY_CBA!$B$3:$I$23,6,0),"")</f>
        <v>Inkrement 2</v>
      </c>
      <c r="R60" s="385"/>
      <c r="S60" s="385"/>
      <c r="T60" s="385"/>
      <c r="U60" s="385"/>
      <c r="V60" s="385"/>
      <c r="W60" s="385"/>
      <c r="X60" s="385"/>
      <c r="Y60" s="385"/>
      <c r="Z60" s="385"/>
      <c r="AA60" s="385"/>
      <c r="AB60" s="385"/>
      <c r="AC60" s="385"/>
      <c r="AD60" s="385"/>
      <c r="AE60" s="385"/>
    </row>
    <row r="61" spans="1:31" ht="52">
      <c r="A61" s="667" t="s">
        <v>672</v>
      </c>
      <c r="B61" s="667" t="s">
        <v>485</v>
      </c>
      <c r="C61" s="669" t="s">
        <v>495</v>
      </c>
      <c r="D61" s="669" t="s">
        <v>673</v>
      </c>
      <c r="E61" s="672" t="s">
        <v>674</v>
      </c>
      <c r="F61" s="671" t="s">
        <v>489</v>
      </c>
      <c r="G61" s="670" t="s">
        <v>259</v>
      </c>
      <c r="H61" s="382">
        <v>3</v>
      </c>
      <c r="I61" s="382">
        <v>15</v>
      </c>
      <c r="J61" s="382">
        <f t="shared" si="4"/>
        <v>3</v>
      </c>
      <c r="K61" s="382">
        <f t="shared" si="1"/>
        <v>45</v>
      </c>
      <c r="L61" s="646">
        <f>IFERROR(IF(B61="funkcna poziadavka",VLOOKUP(G61,MODULY_CBA!$B$3:$E$23,4,0)*H61/SUMIFS($H$3:$H$199,$G$3:$G$199,G61,$B$3:$B$199,B61),),)</f>
        <v>0.44594594594594594</v>
      </c>
      <c r="M61" s="382">
        <f>IFERROR(IF(B61="Funkcna poziadavka",VLOOKUP(G61,MODULY_CBA!$B$3:$E$23,3,0),),)</f>
        <v>1.085</v>
      </c>
      <c r="N61" s="382">
        <f>IFERROR(IF(B61="funkcna poziadavka",VLOOKUP(G61,MODULY_CBA!$B$3:$E$23,2,0),),)</f>
        <v>1.1400000000000001</v>
      </c>
      <c r="O61" s="381">
        <f t="shared" si="5"/>
        <v>56.212090540540544</v>
      </c>
      <c r="P61" s="380">
        <f>IFERROR(O61*VLOOKUP(G61,MODULY_CBA!$B$3:$F$23,5,0),)</f>
        <v>1686.3627162162163</v>
      </c>
      <c r="Q61" s="482" t="str">
        <f>IFERROR(VLOOKUP(G61,MODULY_CBA!$B$3:$I$23,6,0),"")</f>
        <v>Inkrement 2</v>
      </c>
      <c r="R61" s="385"/>
      <c r="S61" s="385"/>
      <c r="T61" s="385"/>
      <c r="U61" s="385"/>
      <c r="V61" s="385"/>
      <c r="W61" s="385"/>
      <c r="X61" s="385"/>
      <c r="Y61" s="385"/>
      <c r="Z61" s="385"/>
      <c r="AA61" s="385"/>
      <c r="AB61" s="385"/>
      <c r="AC61" s="385"/>
      <c r="AD61" s="385"/>
      <c r="AE61" s="385"/>
    </row>
    <row r="62" spans="1:31" ht="39">
      <c r="A62" s="667" t="s">
        <v>675</v>
      </c>
      <c r="B62" s="667" t="s">
        <v>485</v>
      </c>
      <c r="C62" s="669" t="s">
        <v>495</v>
      </c>
      <c r="D62" s="669" t="s">
        <v>676</v>
      </c>
      <c r="E62" s="672" t="s">
        <v>677</v>
      </c>
      <c r="F62" s="671" t="s">
        <v>489</v>
      </c>
      <c r="G62" s="670" t="s">
        <v>259</v>
      </c>
      <c r="H62" s="382">
        <v>3</v>
      </c>
      <c r="I62" s="382">
        <v>15</v>
      </c>
      <c r="J62" s="382">
        <f t="shared" si="4"/>
        <v>3</v>
      </c>
      <c r="K62" s="382">
        <f t="shared" si="1"/>
        <v>45</v>
      </c>
      <c r="L62" s="646">
        <f>IFERROR(IF(B62="funkcna poziadavka",VLOOKUP(G62,MODULY_CBA!$B$3:$E$23,4,0)*H62/SUMIFS($H$3:$H$199,$G$3:$G$199,G62,$B$3:$B$199,B62),),)</f>
        <v>0.44594594594594594</v>
      </c>
      <c r="M62" s="382">
        <f>IFERROR(IF(B62="Funkcna poziadavka",VLOOKUP(G62,MODULY_CBA!$B$3:$E$23,3,0),),)</f>
        <v>1.085</v>
      </c>
      <c r="N62" s="382">
        <f>IFERROR(IF(B62="funkcna poziadavka",VLOOKUP(G62,MODULY_CBA!$B$3:$E$23,2,0),),)</f>
        <v>1.1400000000000001</v>
      </c>
      <c r="O62" s="381">
        <f t="shared" si="5"/>
        <v>56.212090540540544</v>
      </c>
      <c r="P62" s="380">
        <f>IFERROR(O62*VLOOKUP(G62,MODULY_CBA!$B$3:$F$23,5,0),)</f>
        <v>1686.3627162162163</v>
      </c>
      <c r="Q62" s="482" t="str">
        <f>IFERROR(VLOOKUP(G62,MODULY_CBA!$B$3:$I$23,6,0),"")</f>
        <v>Inkrement 2</v>
      </c>
      <c r="R62" s="385"/>
      <c r="S62" s="385"/>
      <c r="T62" s="385"/>
      <c r="U62" s="385"/>
      <c r="V62" s="385"/>
      <c r="W62" s="385"/>
      <c r="X62" s="385"/>
      <c r="Y62" s="385"/>
      <c r="Z62" s="385"/>
      <c r="AA62" s="385"/>
      <c r="AB62" s="385"/>
      <c r="AC62" s="385"/>
      <c r="AD62" s="385"/>
      <c r="AE62" s="385"/>
    </row>
    <row r="63" spans="1:31" ht="39">
      <c r="A63" s="667" t="s">
        <v>678</v>
      </c>
      <c r="B63" s="667" t="s">
        <v>485</v>
      </c>
      <c r="C63" s="669" t="s">
        <v>495</v>
      </c>
      <c r="D63" s="673" t="s">
        <v>679</v>
      </c>
      <c r="E63" s="670" t="s">
        <v>680</v>
      </c>
      <c r="F63" s="671" t="s">
        <v>489</v>
      </c>
      <c r="G63" s="670" t="s">
        <v>259</v>
      </c>
      <c r="H63" s="382">
        <v>3</v>
      </c>
      <c r="I63" s="382">
        <v>15</v>
      </c>
      <c r="J63" s="382">
        <f t="shared" si="4"/>
        <v>3</v>
      </c>
      <c r="K63" s="382">
        <f t="shared" si="1"/>
        <v>45</v>
      </c>
      <c r="L63" s="646">
        <f>IFERROR(IF(B63="funkcna poziadavka",VLOOKUP(G63,MODULY_CBA!$B$3:$E$23,4,0)*H63/SUMIFS($H$3:$H$199,$G$3:$G$199,G63,$B$3:$B$199,B63),),)</f>
        <v>0.44594594594594594</v>
      </c>
      <c r="M63" s="382">
        <f>IFERROR(IF(B63="Funkcna poziadavka",VLOOKUP(G63,MODULY_CBA!$B$3:$E$23,3,0),),)</f>
        <v>1.085</v>
      </c>
      <c r="N63" s="382">
        <f>IFERROR(IF(B63="funkcna poziadavka",VLOOKUP(G63,MODULY_CBA!$B$3:$E$23,2,0),),)</f>
        <v>1.1400000000000001</v>
      </c>
      <c r="O63" s="381">
        <f t="shared" si="5"/>
        <v>56.212090540540544</v>
      </c>
      <c r="P63" s="380">
        <f>IFERROR(O63*VLOOKUP(G63,MODULY_CBA!$B$3:$F$23,5,0),)</f>
        <v>1686.3627162162163</v>
      </c>
      <c r="Q63" s="482" t="str">
        <f>IFERROR(VLOOKUP(G63,MODULY_CBA!$B$3:$I$23,6,0),"")</f>
        <v>Inkrement 2</v>
      </c>
      <c r="R63" s="385"/>
      <c r="S63" s="385"/>
      <c r="T63" s="385"/>
      <c r="U63" s="385"/>
      <c r="V63" s="385"/>
      <c r="W63" s="385"/>
      <c r="X63" s="385"/>
      <c r="Y63" s="385"/>
      <c r="Z63" s="385"/>
      <c r="AA63" s="385"/>
      <c r="AB63" s="385"/>
      <c r="AC63" s="385"/>
      <c r="AD63" s="385"/>
      <c r="AE63" s="385"/>
    </row>
    <row r="64" spans="1:31" ht="52">
      <c r="A64" s="667" t="s">
        <v>681</v>
      </c>
      <c r="B64" s="667" t="s">
        <v>485</v>
      </c>
      <c r="C64" s="669" t="s">
        <v>495</v>
      </c>
      <c r="D64" s="669" t="s">
        <v>682</v>
      </c>
      <c r="E64" s="670" t="s">
        <v>683</v>
      </c>
      <c r="F64" s="671" t="s">
        <v>489</v>
      </c>
      <c r="G64" s="670" t="s">
        <v>259</v>
      </c>
      <c r="H64" s="382">
        <v>3</v>
      </c>
      <c r="I64" s="382">
        <v>15</v>
      </c>
      <c r="J64" s="382">
        <f t="shared" si="4"/>
        <v>3</v>
      </c>
      <c r="K64" s="382">
        <f t="shared" si="1"/>
        <v>45</v>
      </c>
      <c r="L64" s="646">
        <f>IFERROR(IF(B64="funkcna poziadavka",VLOOKUP(G64,MODULY_CBA!$B$3:$E$23,4,0)*H64/SUMIFS($H$3:$H$199,$G$3:$G$199,G64,$B$3:$B$199,B64),),)</f>
        <v>0.44594594594594594</v>
      </c>
      <c r="M64" s="382">
        <f>IFERROR(IF(B64="Funkcna poziadavka",VLOOKUP(G64,MODULY_CBA!$B$3:$E$23,3,0),),)</f>
        <v>1.085</v>
      </c>
      <c r="N64" s="382">
        <f>IFERROR(IF(B64="funkcna poziadavka",VLOOKUP(G64,MODULY_CBA!$B$3:$E$23,2,0),),)</f>
        <v>1.1400000000000001</v>
      </c>
      <c r="O64" s="381">
        <f t="shared" si="5"/>
        <v>56.212090540540544</v>
      </c>
      <c r="P64" s="380">
        <f>IFERROR(O64*VLOOKUP(G64,MODULY_CBA!$B$3:$F$23,5,0),)</f>
        <v>1686.3627162162163</v>
      </c>
      <c r="Q64" s="482" t="str">
        <f>IFERROR(VLOOKUP(G64,MODULY_CBA!$B$3:$I$23,6,0),"")</f>
        <v>Inkrement 2</v>
      </c>
      <c r="R64" s="385"/>
      <c r="S64" s="385"/>
      <c r="T64" s="385"/>
      <c r="U64" s="385"/>
      <c r="V64" s="385"/>
      <c r="W64" s="385"/>
      <c r="X64" s="385"/>
      <c r="Y64" s="385"/>
      <c r="Z64" s="385"/>
      <c r="AA64" s="385"/>
      <c r="AB64" s="385"/>
      <c r="AC64" s="385"/>
      <c r="AD64" s="385"/>
      <c r="AE64" s="385"/>
    </row>
    <row r="65" spans="1:31" ht="65">
      <c r="A65" s="667" t="s">
        <v>684</v>
      </c>
      <c r="B65" s="667" t="s">
        <v>485</v>
      </c>
      <c r="C65" s="669" t="s">
        <v>495</v>
      </c>
      <c r="D65" s="669" t="s">
        <v>685</v>
      </c>
      <c r="E65" s="670" t="s">
        <v>686</v>
      </c>
      <c r="F65" s="671" t="s">
        <v>489</v>
      </c>
      <c r="G65" s="672" t="s">
        <v>259</v>
      </c>
      <c r="H65" s="382">
        <v>3</v>
      </c>
      <c r="I65" s="382">
        <v>15</v>
      </c>
      <c r="J65" s="382">
        <f t="shared" si="4"/>
        <v>3</v>
      </c>
      <c r="K65" s="382">
        <f t="shared" si="1"/>
        <v>45</v>
      </c>
      <c r="L65" s="646">
        <f>IFERROR(IF(B65="funkcna poziadavka",VLOOKUP(G65,MODULY_CBA!$B$3:$E$23,4,0)*H65/SUMIFS($H$3:$H$199,$G$3:$G$199,G65,$B$3:$B$199,B65),),)</f>
        <v>0.44594594594594594</v>
      </c>
      <c r="M65" s="382">
        <f>IFERROR(IF(B65="Funkcna poziadavka",VLOOKUP(G65,MODULY_CBA!$B$3:$E$23,3,0),),)</f>
        <v>1.085</v>
      </c>
      <c r="N65" s="382">
        <f>IFERROR(IF(B65="funkcna poziadavka",VLOOKUP(G65,MODULY_CBA!$B$3:$E$23,2,0),),)</f>
        <v>1.1400000000000001</v>
      </c>
      <c r="O65" s="381">
        <f t="shared" si="5"/>
        <v>56.212090540540544</v>
      </c>
      <c r="P65" s="380">
        <f>IFERROR(O65*VLOOKUP(G65,MODULY_CBA!$B$3:$F$23,5,0),)</f>
        <v>1686.3627162162163</v>
      </c>
      <c r="Q65" s="482" t="str">
        <f>IFERROR(VLOOKUP(G65,MODULY_CBA!$B$3:$I$23,6,0),"")</f>
        <v>Inkrement 2</v>
      </c>
      <c r="R65" s="385"/>
      <c r="S65" s="385"/>
      <c r="T65" s="385"/>
      <c r="U65" s="385"/>
      <c r="V65" s="385"/>
      <c r="W65" s="385"/>
      <c r="X65" s="385"/>
      <c r="Y65" s="385"/>
      <c r="Z65" s="385"/>
      <c r="AA65" s="385"/>
      <c r="AB65" s="385"/>
      <c r="AC65" s="385"/>
      <c r="AD65" s="385"/>
      <c r="AE65" s="385"/>
    </row>
    <row r="66" spans="1:31" ht="26">
      <c r="A66" s="667" t="s">
        <v>687</v>
      </c>
      <c r="B66" s="667" t="s">
        <v>485</v>
      </c>
      <c r="C66" s="669" t="s">
        <v>495</v>
      </c>
      <c r="D66" s="669" t="s">
        <v>688</v>
      </c>
      <c r="E66" s="670" t="s">
        <v>689</v>
      </c>
      <c r="F66" s="671" t="s">
        <v>489</v>
      </c>
      <c r="G66" s="672" t="s">
        <v>259</v>
      </c>
      <c r="H66" s="382">
        <v>3</v>
      </c>
      <c r="I66" s="382">
        <v>15</v>
      </c>
      <c r="J66" s="382">
        <f t="shared" si="4"/>
        <v>3</v>
      </c>
      <c r="K66" s="382">
        <f t="shared" si="1"/>
        <v>45</v>
      </c>
      <c r="L66" s="646">
        <f>IFERROR(IF(B66="funkcna poziadavka",VLOOKUP(G66,MODULY_CBA!$B$3:$E$23,4,0)*H66/SUMIFS($H$3:$H$199,$G$3:$G$199,G66,$B$3:$B$199,B66),),)</f>
        <v>0.44594594594594594</v>
      </c>
      <c r="M66" s="382">
        <f>IFERROR(IF(B66="Funkcna poziadavka",VLOOKUP(G66,MODULY_CBA!$B$3:$E$23,3,0),),)</f>
        <v>1.085</v>
      </c>
      <c r="N66" s="382">
        <f>IFERROR(IF(B66="funkcna poziadavka",VLOOKUP(G66,MODULY_CBA!$B$3:$E$23,2,0),),)</f>
        <v>1.1400000000000001</v>
      </c>
      <c r="O66" s="381">
        <f t="shared" si="5"/>
        <v>56.212090540540544</v>
      </c>
      <c r="P66" s="380">
        <f>IFERROR(O66*VLOOKUP(G66,MODULY_CBA!$B$3:$F$23,5,0),)</f>
        <v>1686.3627162162163</v>
      </c>
      <c r="Q66" s="482" t="str">
        <f>IFERROR(VLOOKUP(G66,MODULY_CBA!$B$3:$I$23,6,0),"")</f>
        <v>Inkrement 2</v>
      </c>
      <c r="R66" s="385"/>
      <c r="S66" s="385"/>
      <c r="T66" s="385"/>
      <c r="U66" s="385"/>
      <c r="V66" s="385"/>
      <c r="W66" s="385"/>
      <c r="X66" s="385"/>
      <c r="Y66" s="385"/>
      <c r="Z66" s="385"/>
      <c r="AA66" s="385"/>
      <c r="AB66" s="385"/>
      <c r="AC66" s="385"/>
      <c r="AD66" s="385"/>
      <c r="AE66" s="385"/>
    </row>
    <row r="67" spans="1:31" ht="39">
      <c r="A67" s="667" t="s">
        <v>690</v>
      </c>
      <c r="B67" s="667" t="s">
        <v>485</v>
      </c>
      <c r="C67" s="669" t="s">
        <v>495</v>
      </c>
      <c r="D67" s="669" t="s">
        <v>691</v>
      </c>
      <c r="E67" s="670" t="s">
        <v>692</v>
      </c>
      <c r="F67" s="671" t="s">
        <v>489</v>
      </c>
      <c r="G67" s="670" t="s">
        <v>259</v>
      </c>
      <c r="H67" s="382">
        <v>3</v>
      </c>
      <c r="I67" s="382">
        <v>15</v>
      </c>
      <c r="J67" s="382">
        <f t="shared" ref="J67:J98" si="6">IF(ISNUMBER(H67),H67,)</f>
        <v>3</v>
      </c>
      <c r="K67" s="382">
        <f t="shared" si="1"/>
        <v>45</v>
      </c>
      <c r="L67" s="646">
        <f>IFERROR(IF(B67="funkcna poziadavka",VLOOKUP(G67,MODULY_CBA!$B$3:$E$23,4,0)*H67/SUMIFS($H$3:$H$199,$G$3:$G$199,G67,$B$3:$B$199,B67),),)</f>
        <v>0.44594594594594594</v>
      </c>
      <c r="M67" s="382">
        <f>IFERROR(IF(B67="Funkcna poziadavka",VLOOKUP(G67,MODULY_CBA!$B$3:$E$23,3,0),),)</f>
        <v>1.085</v>
      </c>
      <c r="N67" s="382">
        <f>IFERROR(IF(B67="funkcna poziadavka",VLOOKUP(G67,MODULY_CBA!$B$3:$E$23,2,0),),)</f>
        <v>1.1400000000000001</v>
      </c>
      <c r="O67" s="381">
        <f t="shared" ref="O67:O98" si="7">(K67+L67)*M67*N67</f>
        <v>56.212090540540544</v>
      </c>
      <c r="P67" s="380">
        <f>IFERROR(O67*VLOOKUP(G67,MODULY_CBA!$B$3:$F$23,5,0),)</f>
        <v>1686.3627162162163</v>
      </c>
      <c r="Q67" s="482" t="str">
        <f>IFERROR(VLOOKUP(G67,MODULY_CBA!$B$3:$I$23,6,0),"")</f>
        <v>Inkrement 2</v>
      </c>
      <c r="R67" s="385"/>
      <c r="S67" s="385"/>
      <c r="T67" s="385"/>
      <c r="U67" s="385"/>
      <c r="V67" s="385"/>
      <c r="W67" s="385"/>
      <c r="X67" s="385"/>
      <c r="Y67" s="385"/>
      <c r="Z67" s="385"/>
      <c r="AA67" s="385"/>
      <c r="AB67" s="385"/>
      <c r="AC67" s="385"/>
      <c r="AD67" s="385"/>
      <c r="AE67" s="385"/>
    </row>
    <row r="68" spans="1:31" ht="39">
      <c r="A68" s="667" t="s">
        <v>693</v>
      </c>
      <c r="B68" s="667" t="s">
        <v>485</v>
      </c>
      <c r="C68" s="669" t="s">
        <v>495</v>
      </c>
      <c r="D68" s="669" t="s">
        <v>694</v>
      </c>
      <c r="E68" s="670" t="s">
        <v>695</v>
      </c>
      <c r="F68" s="671" t="s">
        <v>489</v>
      </c>
      <c r="G68" s="670" t="s">
        <v>259</v>
      </c>
      <c r="H68" s="382">
        <v>3</v>
      </c>
      <c r="I68" s="382">
        <v>15</v>
      </c>
      <c r="J68" s="382">
        <f t="shared" si="6"/>
        <v>3</v>
      </c>
      <c r="K68" s="382">
        <f t="shared" ref="K68:K131" si="8">H68*I68</f>
        <v>45</v>
      </c>
      <c r="L68" s="646">
        <f>IFERROR(IF(B68="funkcna poziadavka",VLOOKUP(G68,MODULY_CBA!$B$3:$E$23,4,0)*H68/SUMIFS($H$3:$H$199,$G$3:$G$199,G68,$B$3:$B$199,B68),),)</f>
        <v>0.44594594594594594</v>
      </c>
      <c r="M68" s="382">
        <f>IFERROR(IF(B68="Funkcna poziadavka",VLOOKUP(G68,MODULY_CBA!$B$3:$E$23,3,0),),)</f>
        <v>1.085</v>
      </c>
      <c r="N68" s="382">
        <f>IFERROR(IF(B68="funkcna poziadavka",VLOOKUP(G68,MODULY_CBA!$B$3:$E$23,2,0),),)</f>
        <v>1.1400000000000001</v>
      </c>
      <c r="O68" s="381">
        <f t="shared" si="7"/>
        <v>56.212090540540544</v>
      </c>
      <c r="P68" s="380">
        <f>IFERROR(O68*VLOOKUP(G68,MODULY_CBA!$B$3:$F$23,5,0),)</f>
        <v>1686.3627162162163</v>
      </c>
      <c r="Q68" s="482" t="str">
        <f>IFERROR(VLOOKUP(G68,MODULY_CBA!$B$3:$I$23,6,0),"")</f>
        <v>Inkrement 2</v>
      </c>
      <c r="R68" s="385"/>
      <c r="S68" s="385"/>
      <c r="T68" s="385"/>
      <c r="U68" s="385"/>
      <c r="V68" s="385"/>
      <c r="W68" s="385"/>
      <c r="X68" s="385"/>
      <c r="Y68" s="385"/>
      <c r="Z68" s="385"/>
      <c r="AA68" s="385"/>
      <c r="AB68" s="385"/>
      <c r="AC68" s="385"/>
      <c r="AD68" s="385"/>
      <c r="AE68" s="385"/>
    </row>
    <row r="69" spans="1:31" ht="52">
      <c r="A69" s="667" t="s">
        <v>696</v>
      </c>
      <c r="B69" s="667" t="s">
        <v>485</v>
      </c>
      <c r="C69" s="669" t="s">
        <v>495</v>
      </c>
      <c r="D69" s="669" t="s">
        <v>697</v>
      </c>
      <c r="E69" s="670" t="s">
        <v>698</v>
      </c>
      <c r="F69" s="671" t="s">
        <v>489</v>
      </c>
      <c r="G69" s="670" t="s">
        <v>259</v>
      </c>
      <c r="H69" s="382">
        <v>3</v>
      </c>
      <c r="I69" s="382">
        <v>15</v>
      </c>
      <c r="J69" s="382">
        <f t="shared" si="6"/>
        <v>3</v>
      </c>
      <c r="K69" s="382">
        <f t="shared" si="8"/>
        <v>45</v>
      </c>
      <c r="L69" s="646">
        <f>IFERROR(IF(B69="funkcna poziadavka",VLOOKUP(G69,MODULY_CBA!$B$3:$E$23,4,0)*H69/SUMIFS($H$3:$H$199,$G$3:$G$199,G69,$B$3:$B$199,B69),),)</f>
        <v>0.44594594594594594</v>
      </c>
      <c r="M69" s="382">
        <f>IFERROR(IF(B69="Funkcna poziadavka",VLOOKUP(G69,MODULY_CBA!$B$3:$E$23,3,0),),)</f>
        <v>1.085</v>
      </c>
      <c r="N69" s="382">
        <f>IFERROR(IF(B69="funkcna poziadavka",VLOOKUP(G69,MODULY_CBA!$B$3:$E$23,2,0),),)</f>
        <v>1.1400000000000001</v>
      </c>
      <c r="O69" s="381">
        <f t="shared" si="7"/>
        <v>56.212090540540544</v>
      </c>
      <c r="P69" s="380">
        <f>IFERROR(O69*VLOOKUP(G69,MODULY_CBA!$B$3:$F$23,5,0),)</f>
        <v>1686.3627162162163</v>
      </c>
      <c r="Q69" s="482" t="str">
        <f>IFERROR(VLOOKUP(G69,MODULY_CBA!$B$3:$I$23,6,0),"")</f>
        <v>Inkrement 2</v>
      </c>
      <c r="R69" s="385"/>
      <c r="S69" s="385"/>
      <c r="T69" s="385"/>
      <c r="U69" s="385"/>
      <c r="V69" s="385"/>
      <c r="W69" s="385"/>
      <c r="X69" s="385"/>
      <c r="Y69" s="385"/>
      <c r="Z69" s="385"/>
      <c r="AA69" s="385"/>
      <c r="AB69" s="385"/>
      <c r="AC69" s="385"/>
      <c r="AD69" s="385"/>
      <c r="AE69" s="385"/>
    </row>
    <row r="70" spans="1:31" ht="39">
      <c r="A70" s="667" t="s">
        <v>699</v>
      </c>
      <c r="B70" s="667" t="s">
        <v>485</v>
      </c>
      <c r="C70" s="669" t="s">
        <v>495</v>
      </c>
      <c r="D70" s="669" t="s">
        <v>700</v>
      </c>
      <c r="E70" s="670" t="s">
        <v>701</v>
      </c>
      <c r="F70" s="671" t="s">
        <v>489</v>
      </c>
      <c r="G70" s="670" t="s">
        <v>259</v>
      </c>
      <c r="H70" s="382">
        <v>3</v>
      </c>
      <c r="I70" s="382">
        <v>15</v>
      </c>
      <c r="J70" s="382">
        <f t="shared" si="6"/>
        <v>3</v>
      </c>
      <c r="K70" s="382">
        <f t="shared" si="8"/>
        <v>45</v>
      </c>
      <c r="L70" s="646">
        <f>IFERROR(IF(B70="funkcna poziadavka",VLOOKUP(G70,MODULY_CBA!$B$3:$E$23,4,0)*H70/SUMIFS($H$3:$H$199,$G$3:$G$199,G70,$B$3:$B$199,B70),),)</f>
        <v>0.44594594594594594</v>
      </c>
      <c r="M70" s="382">
        <f>IFERROR(IF(B70="Funkcna poziadavka",VLOOKUP(G70,MODULY_CBA!$B$3:$E$23,3,0),),)</f>
        <v>1.085</v>
      </c>
      <c r="N70" s="382">
        <f>IFERROR(IF(B70="funkcna poziadavka",VLOOKUP(G70,MODULY_CBA!$B$3:$E$23,2,0),),)</f>
        <v>1.1400000000000001</v>
      </c>
      <c r="O70" s="381">
        <f t="shared" si="7"/>
        <v>56.212090540540544</v>
      </c>
      <c r="P70" s="380">
        <f>IFERROR(O70*VLOOKUP(G70,MODULY_CBA!$B$3:$F$23,5,0),)</f>
        <v>1686.3627162162163</v>
      </c>
      <c r="Q70" s="482" t="str">
        <f>IFERROR(VLOOKUP(G70,MODULY_CBA!$B$3:$I$23,6,0),"")</f>
        <v>Inkrement 2</v>
      </c>
      <c r="R70" s="385"/>
      <c r="S70" s="385"/>
      <c r="T70" s="385"/>
      <c r="U70" s="385"/>
      <c r="V70" s="385"/>
      <c r="W70" s="385"/>
      <c r="X70" s="385"/>
      <c r="Y70" s="385"/>
      <c r="Z70" s="385"/>
      <c r="AA70" s="385"/>
      <c r="AB70" s="385"/>
      <c r="AC70" s="385"/>
      <c r="AD70" s="385"/>
      <c r="AE70" s="385"/>
    </row>
    <row r="71" spans="1:31" ht="39">
      <c r="A71" s="667" t="s">
        <v>702</v>
      </c>
      <c r="B71" s="667" t="s">
        <v>485</v>
      </c>
      <c r="C71" s="669" t="s">
        <v>495</v>
      </c>
      <c r="D71" s="669" t="s">
        <v>703</v>
      </c>
      <c r="E71" s="670" t="s">
        <v>704</v>
      </c>
      <c r="F71" s="671" t="s">
        <v>489</v>
      </c>
      <c r="G71" s="670" t="s">
        <v>259</v>
      </c>
      <c r="H71" s="382">
        <v>3</v>
      </c>
      <c r="I71" s="382">
        <v>15</v>
      </c>
      <c r="J71" s="382">
        <f t="shared" si="6"/>
        <v>3</v>
      </c>
      <c r="K71" s="382">
        <f t="shared" si="8"/>
        <v>45</v>
      </c>
      <c r="L71" s="646">
        <f>IFERROR(IF(B71="funkcna poziadavka",VLOOKUP(G71,MODULY_CBA!$B$3:$E$23,4,0)*H71/SUMIFS($H$3:$H$199,$G$3:$G$199,G71,$B$3:$B$199,B71),),)</f>
        <v>0.44594594594594594</v>
      </c>
      <c r="M71" s="382">
        <f>IFERROR(IF(B71="Funkcna poziadavka",VLOOKUP(G71,MODULY_CBA!$B$3:$E$23,3,0),),)</f>
        <v>1.085</v>
      </c>
      <c r="N71" s="382">
        <f>IFERROR(IF(B71="funkcna poziadavka",VLOOKUP(G71,MODULY_CBA!$B$3:$E$23,2,0),),)</f>
        <v>1.1400000000000001</v>
      </c>
      <c r="O71" s="381">
        <f t="shared" si="7"/>
        <v>56.212090540540544</v>
      </c>
      <c r="P71" s="380">
        <f>IFERROR(O71*VLOOKUP(G71,MODULY_CBA!$B$3:$F$23,5,0),)</f>
        <v>1686.3627162162163</v>
      </c>
      <c r="Q71" s="482" t="str">
        <f>IFERROR(VLOOKUP(G71,MODULY_CBA!$B$3:$I$23,6,0),"")</f>
        <v>Inkrement 2</v>
      </c>
      <c r="R71" s="385"/>
      <c r="S71" s="385"/>
      <c r="T71" s="385"/>
      <c r="U71" s="385"/>
      <c r="V71" s="385"/>
      <c r="W71" s="385"/>
      <c r="X71" s="385"/>
      <c r="Y71" s="385"/>
      <c r="Z71" s="385"/>
      <c r="AA71" s="385"/>
      <c r="AB71" s="385"/>
      <c r="AC71" s="385"/>
      <c r="AD71" s="385"/>
      <c r="AE71" s="385"/>
    </row>
    <row r="72" spans="1:31" ht="39">
      <c r="A72" s="667" t="s">
        <v>705</v>
      </c>
      <c r="B72" s="667" t="s">
        <v>485</v>
      </c>
      <c r="C72" s="669" t="s">
        <v>706</v>
      </c>
      <c r="D72" s="669" t="s">
        <v>707</v>
      </c>
      <c r="E72" s="670" t="s">
        <v>708</v>
      </c>
      <c r="F72" s="671" t="s">
        <v>489</v>
      </c>
      <c r="G72" s="670" t="s">
        <v>263</v>
      </c>
      <c r="H72" s="382">
        <v>3</v>
      </c>
      <c r="I72" s="382">
        <v>15</v>
      </c>
      <c r="J72" s="382">
        <f t="shared" si="6"/>
        <v>3</v>
      </c>
      <c r="K72" s="382">
        <f t="shared" si="8"/>
        <v>45</v>
      </c>
      <c r="L72" s="646">
        <f>IFERROR(IF(B72="funkcna poziadavka",VLOOKUP(G72,MODULY_CBA!$B$3:$E$23,4,0)*H72/SUMIFS($H$3:$H$199,$G$3:$G$199,G72,$B$3:$B$199,B72),),)</f>
        <v>0.86842105263157898</v>
      </c>
      <c r="M72" s="382">
        <f>IFERROR(IF(B72="Funkcna poziadavka",VLOOKUP(G72,MODULY_CBA!$B$3:$E$23,3,0),),)</f>
        <v>1.085</v>
      </c>
      <c r="N72" s="382">
        <f>IFERROR(IF(B72="funkcna poziadavka",VLOOKUP(G72,MODULY_CBA!$B$3:$E$23,2,0),),)</f>
        <v>1.1400000000000001</v>
      </c>
      <c r="O72" s="381">
        <f t="shared" si="7"/>
        <v>56.734650000000002</v>
      </c>
      <c r="P72" s="380">
        <f>IFERROR(O72*VLOOKUP(G72,MODULY_CBA!$B$3:$F$23,5,0),)</f>
        <v>1702.0395000000001</v>
      </c>
      <c r="Q72" s="482" t="str">
        <f>IFERROR(VLOOKUP(G72,MODULY_CBA!$B$3:$I$23,6,0),"")</f>
        <v>Inkrement 1</v>
      </c>
      <c r="R72" s="385"/>
      <c r="S72" s="385"/>
      <c r="T72" s="385"/>
      <c r="U72" s="385"/>
      <c r="V72" s="385"/>
      <c r="W72" s="385"/>
      <c r="X72" s="385"/>
      <c r="Y72" s="385"/>
      <c r="Z72" s="385"/>
      <c r="AA72" s="385"/>
      <c r="AB72" s="385"/>
      <c r="AC72" s="385"/>
      <c r="AD72" s="385"/>
      <c r="AE72" s="385"/>
    </row>
    <row r="73" spans="1:31" ht="39">
      <c r="A73" s="667" t="s">
        <v>709</v>
      </c>
      <c r="B73" s="667" t="s">
        <v>485</v>
      </c>
      <c r="C73" s="669" t="s">
        <v>706</v>
      </c>
      <c r="D73" s="669" t="s">
        <v>710</v>
      </c>
      <c r="E73" s="670" t="s">
        <v>711</v>
      </c>
      <c r="F73" s="671" t="s">
        <v>489</v>
      </c>
      <c r="G73" s="670" t="s">
        <v>263</v>
      </c>
      <c r="H73" s="382">
        <v>3</v>
      </c>
      <c r="I73" s="382">
        <v>15</v>
      </c>
      <c r="J73" s="382">
        <f t="shared" si="6"/>
        <v>3</v>
      </c>
      <c r="K73" s="382">
        <f t="shared" si="8"/>
        <v>45</v>
      </c>
      <c r="L73" s="646">
        <f>IFERROR(IF(B73="funkcna poziadavka",VLOOKUP(G73,MODULY_CBA!$B$3:$E$23,4,0)*H73/SUMIFS($H$3:$H$199,$G$3:$G$199,G73,$B$3:$B$199,B73),),)</f>
        <v>0.86842105263157898</v>
      </c>
      <c r="M73" s="382">
        <f>IFERROR(IF(B73="Funkcna poziadavka",VLOOKUP(G73,MODULY_CBA!$B$3:$E$23,3,0),),)</f>
        <v>1.085</v>
      </c>
      <c r="N73" s="382">
        <f>IFERROR(IF(B73="funkcna poziadavka",VLOOKUP(G73,MODULY_CBA!$B$3:$E$23,2,0),),)</f>
        <v>1.1400000000000001</v>
      </c>
      <c r="O73" s="381">
        <f t="shared" si="7"/>
        <v>56.734650000000002</v>
      </c>
      <c r="P73" s="380">
        <f>IFERROR(O73*VLOOKUP(G73,MODULY_CBA!$B$3:$F$23,5,0),)</f>
        <v>1702.0395000000001</v>
      </c>
      <c r="Q73" s="482" t="str">
        <f>IFERROR(VLOOKUP(G73,MODULY_CBA!$B$3:$I$23,6,0),"")</f>
        <v>Inkrement 1</v>
      </c>
      <c r="R73" s="385"/>
      <c r="S73" s="385"/>
      <c r="T73" s="385"/>
      <c r="U73" s="385"/>
      <c r="V73" s="385"/>
      <c r="W73" s="385"/>
      <c r="X73" s="385"/>
      <c r="Y73" s="385"/>
      <c r="Z73" s="385"/>
      <c r="AA73" s="385"/>
      <c r="AB73" s="385"/>
      <c r="AC73" s="385"/>
      <c r="AD73" s="385"/>
      <c r="AE73" s="385"/>
    </row>
    <row r="74" spans="1:31" ht="39">
      <c r="A74" s="667" t="s">
        <v>712</v>
      </c>
      <c r="B74" s="667" t="s">
        <v>485</v>
      </c>
      <c r="C74" s="669" t="s">
        <v>706</v>
      </c>
      <c r="D74" s="669" t="s">
        <v>713</v>
      </c>
      <c r="E74" s="670" t="s">
        <v>714</v>
      </c>
      <c r="F74" s="671" t="s">
        <v>489</v>
      </c>
      <c r="G74" s="672" t="s">
        <v>269</v>
      </c>
      <c r="H74" s="382">
        <v>3</v>
      </c>
      <c r="I74" s="382">
        <v>15</v>
      </c>
      <c r="J74" s="382">
        <f t="shared" si="6"/>
        <v>3</v>
      </c>
      <c r="K74" s="382">
        <f t="shared" si="8"/>
        <v>45</v>
      </c>
      <c r="L74" s="646">
        <f>IFERROR(IF(B74="funkcna poziadavka",VLOOKUP(G74,MODULY_CBA!$B$3:$E$23,4,0)*H74/SUMIFS($H$3:$H$199,$G$3:$G$199,G74,$B$3:$B$199,B74),),)</f>
        <v>3</v>
      </c>
      <c r="M74" s="382">
        <f>IFERROR(IF(B74="Funkcna poziadavka",VLOOKUP(G74,MODULY_CBA!$B$3:$E$23,3,0),),)</f>
        <v>1.085</v>
      </c>
      <c r="N74" s="382">
        <f>IFERROR(IF(B74="funkcna poziadavka",VLOOKUP(G74,MODULY_CBA!$B$3:$E$23,2,0),),)</f>
        <v>1.1400000000000001</v>
      </c>
      <c r="O74" s="381">
        <f t="shared" si="7"/>
        <v>59.371200000000002</v>
      </c>
      <c r="P74" s="380">
        <f>IFERROR(O74*VLOOKUP(G74,MODULY_CBA!$B$3:$F$23,5,0),)</f>
        <v>1781.136</v>
      </c>
      <c r="Q74" s="482" t="str">
        <f>IFERROR(VLOOKUP(G74,MODULY_CBA!$B$3:$I$23,6,0),"")</f>
        <v>Inkrement 1</v>
      </c>
      <c r="R74" s="385"/>
      <c r="S74" s="385"/>
      <c r="T74" s="385"/>
      <c r="U74" s="385"/>
      <c r="V74" s="385"/>
      <c r="W74" s="385"/>
      <c r="X74" s="385"/>
      <c r="Y74" s="385"/>
      <c r="Z74" s="385"/>
      <c r="AA74" s="385"/>
      <c r="AB74" s="385"/>
      <c r="AC74" s="385"/>
      <c r="AD74" s="385"/>
      <c r="AE74" s="385"/>
    </row>
    <row r="75" spans="1:31" ht="65">
      <c r="A75" s="667" t="s">
        <v>715</v>
      </c>
      <c r="B75" s="667" t="s">
        <v>485</v>
      </c>
      <c r="C75" s="669" t="s">
        <v>706</v>
      </c>
      <c r="D75" s="669" t="s">
        <v>716</v>
      </c>
      <c r="E75" s="670" t="s">
        <v>717</v>
      </c>
      <c r="F75" s="671" t="s">
        <v>489</v>
      </c>
      <c r="G75" s="672" t="s">
        <v>269</v>
      </c>
      <c r="H75" s="382">
        <v>3</v>
      </c>
      <c r="I75" s="382">
        <v>15</v>
      </c>
      <c r="J75" s="382">
        <f t="shared" si="6"/>
        <v>3</v>
      </c>
      <c r="K75" s="382">
        <f t="shared" si="8"/>
        <v>45</v>
      </c>
      <c r="L75" s="646">
        <f>IFERROR(IF(B75="funkcna poziadavka",VLOOKUP(G75,MODULY_CBA!$B$3:$E$23,4,0)*H75/SUMIFS($H$3:$H$199,$G$3:$G$199,G75,$B$3:$B$199,B75),),)</f>
        <v>3</v>
      </c>
      <c r="M75" s="382">
        <f>IFERROR(IF(B75="Funkcna poziadavka",VLOOKUP(G75,MODULY_CBA!$B$3:$E$23,3,0),),)</f>
        <v>1.085</v>
      </c>
      <c r="N75" s="382">
        <f>IFERROR(IF(B75="funkcna poziadavka",VLOOKUP(G75,MODULY_CBA!$B$3:$E$23,2,0),),)</f>
        <v>1.1400000000000001</v>
      </c>
      <c r="O75" s="381">
        <f t="shared" si="7"/>
        <v>59.371200000000002</v>
      </c>
      <c r="P75" s="380">
        <f>IFERROR(O75*VLOOKUP(G75,MODULY_CBA!$B$3:$F$23,5,0),)</f>
        <v>1781.136</v>
      </c>
      <c r="Q75" s="482" t="str">
        <f>IFERROR(VLOOKUP(G75,MODULY_CBA!$B$3:$I$23,6,0),"")</f>
        <v>Inkrement 1</v>
      </c>
      <c r="R75" s="385"/>
      <c r="S75" s="385"/>
      <c r="T75" s="385"/>
      <c r="U75" s="385"/>
      <c r="V75" s="385"/>
      <c r="W75" s="385"/>
      <c r="X75" s="385"/>
      <c r="Y75" s="385"/>
      <c r="Z75" s="385"/>
      <c r="AA75" s="385"/>
      <c r="AB75" s="385"/>
      <c r="AC75" s="385"/>
      <c r="AD75" s="385"/>
      <c r="AE75" s="385"/>
    </row>
    <row r="76" spans="1:31" ht="52">
      <c r="A76" s="667" t="s">
        <v>718</v>
      </c>
      <c r="B76" s="667" t="s">
        <v>485</v>
      </c>
      <c r="C76" s="669" t="s">
        <v>706</v>
      </c>
      <c r="D76" s="669" t="s">
        <v>719</v>
      </c>
      <c r="E76" s="670" t="s">
        <v>720</v>
      </c>
      <c r="F76" s="671" t="s">
        <v>489</v>
      </c>
      <c r="G76" s="670" t="s">
        <v>263</v>
      </c>
      <c r="H76" s="382">
        <v>3</v>
      </c>
      <c r="I76" s="382">
        <v>15</v>
      </c>
      <c r="J76" s="382">
        <f t="shared" si="6"/>
        <v>3</v>
      </c>
      <c r="K76" s="382">
        <f t="shared" si="8"/>
        <v>45</v>
      </c>
      <c r="L76" s="646">
        <f>IFERROR(IF(B76="funkcna poziadavka",VLOOKUP(G76,MODULY_CBA!$B$3:$E$23,4,0)*H76/SUMIFS($H$3:$H$199,$G$3:$G$199,G76,$B$3:$B$199,B76),),)</f>
        <v>0.86842105263157898</v>
      </c>
      <c r="M76" s="382">
        <f>IFERROR(IF(B76="Funkcna poziadavka",VLOOKUP(G76,MODULY_CBA!$B$3:$E$23,3,0),),)</f>
        <v>1.085</v>
      </c>
      <c r="N76" s="382">
        <f>IFERROR(IF(B76="funkcna poziadavka",VLOOKUP(G76,MODULY_CBA!$B$3:$E$23,2,0),),)</f>
        <v>1.1400000000000001</v>
      </c>
      <c r="O76" s="381">
        <f t="shared" si="7"/>
        <v>56.734650000000002</v>
      </c>
      <c r="P76" s="380">
        <f>IFERROR(O76*VLOOKUP(G76,MODULY_CBA!$B$3:$F$23,5,0),)</f>
        <v>1702.0395000000001</v>
      </c>
      <c r="Q76" s="482" t="str">
        <f>IFERROR(VLOOKUP(G76,MODULY_CBA!$B$3:$I$23,6,0),"")</f>
        <v>Inkrement 1</v>
      </c>
      <c r="R76" s="385"/>
      <c r="S76" s="385"/>
      <c r="T76" s="385"/>
      <c r="U76" s="385"/>
      <c r="V76" s="385"/>
      <c r="W76" s="385"/>
      <c r="X76" s="385"/>
      <c r="Y76" s="385"/>
      <c r="Z76" s="385"/>
      <c r="AA76" s="385"/>
      <c r="AB76" s="385"/>
      <c r="AC76" s="385"/>
      <c r="AD76" s="385"/>
      <c r="AE76" s="385"/>
    </row>
    <row r="77" spans="1:31" ht="78">
      <c r="A77" s="667" t="s">
        <v>721</v>
      </c>
      <c r="B77" s="667" t="s">
        <v>485</v>
      </c>
      <c r="C77" s="669" t="s">
        <v>706</v>
      </c>
      <c r="D77" s="669" t="s">
        <v>722</v>
      </c>
      <c r="E77" s="670" t="s">
        <v>723</v>
      </c>
      <c r="F77" s="671" t="s">
        <v>489</v>
      </c>
      <c r="G77" s="670" t="s">
        <v>263</v>
      </c>
      <c r="H77" s="382">
        <v>3</v>
      </c>
      <c r="I77" s="382">
        <v>15</v>
      </c>
      <c r="J77" s="382">
        <f t="shared" si="6"/>
        <v>3</v>
      </c>
      <c r="K77" s="382">
        <f t="shared" si="8"/>
        <v>45</v>
      </c>
      <c r="L77" s="646">
        <f>IFERROR(IF(B77="funkcna poziadavka",VLOOKUP(G77,MODULY_CBA!$B$3:$E$23,4,0)*H77/SUMIFS($H$3:$H$199,$G$3:$G$199,G77,$B$3:$B$199,B77),),)</f>
        <v>0.86842105263157898</v>
      </c>
      <c r="M77" s="382">
        <f>IFERROR(IF(B77="Funkcna poziadavka",VLOOKUP(G77,MODULY_CBA!$B$3:$E$23,3,0),),)</f>
        <v>1.085</v>
      </c>
      <c r="N77" s="382">
        <f>IFERROR(IF(B77="funkcna poziadavka",VLOOKUP(G77,MODULY_CBA!$B$3:$E$23,2,0),),)</f>
        <v>1.1400000000000001</v>
      </c>
      <c r="O77" s="381">
        <f t="shared" si="7"/>
        <v>56.734650000000002</v>
      </c>
      <c r="P77" s="380">
        <f>IFERROR(O77*VLOOKUP(G77,MODULY_CBA!$B$3:$F$23,5,0),)</f>
        <v>1702.0395000000001</v>
      </c>
      <c r="Q77" s="482" t="str">
        <f>IFERROR(VLOOKUP(G77,MODULY_CBA!$B$3:$I$23,6,0),"")</f>
        <v>Inkrement 1</v>
      </c>
      <c r="R77" s="385"/>
      <c r="S77" s="385"/>
      <c r="T77" s="385"/>
      <c r="U77" s="385"/>
      <c r="V77" s="385"/>
      <c r="W77" s="385"/>
      <c r="X77" s="385"/>
      <c r="Y77" s="385"/>
      <c r="Z77" s="385"/>
      <c r="AA77" s="385"/>
      <c r="AB77" s="385"/>
      <c r="AC77" s="385"/>
      <c r="AD77" s="385"/>
      <c r="AE77" s="385"/>
    </row>
    <row r="78" spans="1:31" ht="39">
      <c r="A78" s="667" t="s">
        <v>724</v>
      </c>
      <c r="B78" s="667" t="s">
        <v>485</v>
      </c>
      <c r="C78" s="669" t="s">
        <v>706</v>
      </c>
      <c r="D78" s="669" t="s">
        <v>725</v>
      </c>
      <c r="E78" s="670" t="s">
        <v>726</v>
      </c>
      <c r="F78" s="671" t="s">
        <v>489</v>
      </c>
      <c r="G78" s="670" t="s">
        <v>269</v>
      </c>
      <c r="H78" s="382">
        <v>3</v>
      </c>
      <c r="I78" s="382">
        <v>15</v>
      </c>
      <c r="J78" s="382">
        <f t="shared" si="6"/>
        <v>3</v>
      </c>
      <c r="K78" s="382">
        <f t="shared" si="8"/>
        <v>45</v>
      </c>
      <c r="L78" s="646">
        <f>IFERROR(IF(B78="funkcna poziadavka",VLOOKUP(G78,MODULY_CBA!$B$3:$E$23,4,0)*H78/SUMIFS($H$3:$H$199,$G$3:$G$199,G78,$B$3:$B$199,B78),),)</f>
        <v>3</v>
      </c>
      <c r="M78" s="382">
        <f>IFERROR(IF(B78="Funkcna poziadavka",VLOOKUP(G78,MODULY_CBA!$B$3:$E$23,3,0),),)</f>
        <v>1.085</v>
      </c>
      <c r="N78" s="382">
        <f>IFERROR(IF(B78="funkcna poziadavka",VLOOKUP(G78,MODULY_CBA!$B$3:$E$23,2,0),),)</f>
        <v>1.1400000000000001</v>
      </c>
      <c r="O78" s="381">
        <f t="shared" si="7"/>
        <v>59.371200000000002</v>
      </c>
      <c r="P78" s="380">
        <f>IFERROR(O78*VLOOKUP(G78,MODULY_CBA!$B$3:$F$23,5,0),)</f>
        <v>1781.136</v>
      </c>
      <c r="Q78" s="482" t="str">
        <f>IFERROR(VLOOKUP(G78,MODULY_CBA!$B$3:$I$23,6,0),"")</f>
        <v>Inkrement 1</v>
      </c>
      <c r="R78" s="385"/>
      <c r="S78" s="385"/>
      <c r="T78" s="385"/>
      <c r="U78" s="385"/>
      <c r="V78" s="385"/>
      <c r="W78" s="385"/>
      <c r="X78" s="385"/>
      <c r="Y78" s="385"/>
      <c r="Z78" s="385"/>
      <c r="AA78" s="385"/>
      <c r="AB78" s="385"/>
      <c r="AC78" s="385"/>
      <c r="AD78" s="385"/>
      <c r="AE78" s="385"/>
    </row>
    <row r="79" spans="1:31" ht="39">
      <c r="A79" s="667" t="s">
        <v>727</v>
      </c>
      <c r="B79" s="667" t="s">
        <v>485</v>
      </c>
      <c r="C79" s="669" t="s">
        <v>706</v>
      </c>
      <c r="D79" s="669" t="s">
        <v>728</v>
      </c>
      <c r="E79" s="670" t="s">
        <v>729</v>
      </c>
      <c r="F79" s="671" t="s">
        <v>489</v>
      </c>
      <c r="G79" s="670" t="s">
        <v>263</v>
      </c>
      <c r="H79" s="382">
        <v>3</v>
      </c>
      <c r="I79" s="382">
        <v>15</v>
      </c>
      <c r="J79" s="382">
        <f t="shared" si="6"/>
        <v>3</v>
      </c>
      <c r="K79" s="382">
        <f t="shared" si="8"/>
        <v>45</v>
      </c>
      <c r="L79" s="646">
        <f>IFERROR(IF(B79="funkcna poziadavka",VLOOKUP(G79,MODULY_CBA!$B$3:$E$23,4,0)*H79/SUMIFS($H$3:$H$199,$G$3:$G$199,G79,$B$3:$B$199,B79),),)</f>
        <v>0.86842105263157898</v>
      </c>
      <c r="M79" s="382">
        <f>IFERROR(IF(B79="Funkcna poziadavka",VLOOKUP(G79,MODULY_CBA!$B$3:$E$23,3,0),),)</f>
        <v>1.085</v>
      </c>
      <c r="N79" s="382">
        <f>IFERROR(IF(B79="funkcna poziadavka",VLOOKUP(G79,MODULY_CBA!$B$3:$E$23,2,0),),)</f>
        <v>1.1400000000000001</v>
      </c>
      <c r="O79" s="381">
        <f t="shared" si="7"/>
        <v>56.734650000000002</v>
      </c>
      <c r="P79" s="380">
        <f>IFERROR(O79*VLOOKUP(G79,MODULY_CBA!$B$3:$F$23,5,0),)</f>
        <v>1702.0395000000001</v>
      </c>
      <c r="Q79" s="482" t="str">
        <f>IFERROR(VLOOKUP(G79,MODULY_CBA!$B$3:$I$23,6,0),"")</f>
        <v>Inkrement 1</v>
      </c>
      <c r="R79" s="385"/>
      <c r="S79" s="385"/>
      <c r="T79" s="385"/>
      <c r="U79" s="385"/>
      <c r="V79" s="385"/>
      <c r="W79" s="385"/>
      <c r="X79" s="385"/>
      <c r="Y79" s="385"/>
      <c r="Z79" s="385"/>
      <c r="AA79" s="385"/>
      <c r="AB79" s="385"/>
      <c r="AC79" s="385"/>
      <c r="AD79" s="385"/>
      <c r="AE79" s="385"/>
    </row>
    <row r="80" spans="1:31" ht="39">
      <c r="A80" s="667" t="s">
        <v>730</v>
      </c>
      <c r="B80" s="667" t="s">
        <v>485</v>
      </c>
      <c r="C80" s="669" t="s">
        <v>706</v>
      </c>
      <c r="D80" s="669" t="s">
        <v>731</v>
      </c>
      <c r="E80" s="670" t="s">
        <v>732</v>
      </c>
      <c r="F80" s="671" t="s">
        <v>489</v>
      </c>
      <c r="G80" s="670" t="s">
        <v>263</v>
      </c>
      <c r="H80" s="382">
        <v>3</v>
      </c>
      <c r="I80" s="382">
        <v>15</v>
      </c>
      <c r="J80" s="382">
        <f t="shared" si="6"/>
        <v>3</v>
      </c>
      <c r="K80" s="382">
        <f t="shared" si="8"/>
        <v>45</v>
      </c>
      <c r="L80" s="646">
        <f>IFERROR(IF(B80="funkcna poziadavka",VLOOKUP(G80,MODULY_CBA!$B$3:$E$23,4,0)*H80/SUMIFS($H$3:$H$199,$G$3:$G$199,G80,$B$3:$B$199,B80),),)</f>
        <v>0.86842105263157898</v>
      </c>
      <c r="M80" s="382">
        <f>IFERROR(IF(B80="Funkcna poziadavka",VLOOKUP(G80,MODULY_CBA!$B$3:$E$23,3,0),),)</f>
        <v>1.085</v>
      </c>
      <c r="N80" s="382">
        <f>IFERROR(IF(B80="funkcna poziadavka",VLOOKUP(G80,MODULY_CBA!$B$3:$E$23,2,0),),)</f>
        <v>1.1400000000000001</v>
      </c>
      <c r="O80" s="381">
        <f t="shared" si="7"/>
        <v>56.734650000000002</v>
      </c>
      <c r="P80" s="380">
        <f>IFERROR(O80*VLOOKUP(G80,MODULY_CBA!$B$3:$F$23,5,0),)</f>
        <v>1702.0395000000001</v>
      </c>
      <c r="Q80" s="482" t="str">
        <f>IFERROR(VLOOKUP(G80,MODULY_CBA!$B$3:$I$23,6,0),"")</f>
        <v>Inkrement 1</v>
      </c>
      <c r="R80" s="385"/>
      <c r="S80" s="385"/>
      <c r="T80" s="385"/>
      <c r="U80" s="385"/>
      <c r="V80" s="385"/>
      <c r="W80" s="385"/>
      <c r="X80" s="385"/>
      <c r="Y80" s="385"/>
      <c r="Z80" s="385"/>
      <c r="AA80" s="385"/>
      <c r="AB80" s="385"/>
      <c r="AC80" s="385"/>
      <c r="AD80" s="385"/>
      <c r="AE80" s="385"/>
    </row>
    <row r="81" spans="1:31" ht="65">
      <c r="A81" s="667" t="s">
        <v>733</v>
      </c>
      <c r="B81" s="667" t="s">
        <v>485</v>
      </c>
      <c r="C81" s="669" t="s">
        <v>706</v>
      </c>
      <c r="D81" s="670" t="s">
        <v>734</v>
      </c>
      <c r="E81" s="670" t="s">
        <v>735</v>
      </c>
      <c r="F81" s="671" t="s">
        <v>489</v>
      </c>
      <c r="G81" s="672" t="s">
        <v>263</v>
      </c>
      <c r="H81" s="382">
        <v>3</v>
      </c>
      <c r="I81" s="382">
        <v>15</v>
      </c>
      <c r="J81" s="382">
        <f t="shared" si="6"/>
        <v>3</v>
      </c>
      <c r="K81" s="382">
        <f t="shared" si="8"/>
        <v>45</v>
      </c>
      <c r="L81" s="646">
        <f>IFERROR(IF(B81="funkcna poziadavka",VLOOKUP(G81,MODULY_CBA!$B$3:$E$23,4,0)*H81/SUMIFS($H$3:$H$199,$G$3:$G$199,G81,$B$3:$B$199,B81),),)</f>
        <v>0.86842105263157898</v>
      </c>
      <c r="M81" s="382">
        <f>IFERROR(IF(B81="Funkcna poziadavka",VLOOKUP(G81,MODULY_CBA!$B$3:$E$23,3,0),),)</f>
        <v>1.085</v>
      </c>
      <c r="N81" s="382">
        <f>IFERROR(IF(B81="funkcna poziadavka",VLOOKUP(G81,MODULY_CBA!$B$3:$E$23,2,0),),)</f>
        <v>1.1400000000000001</v>
      </c>
      <c r="O81" s="381">
        <f t="shared" si="7"/>
        <v>56.734650000000002</v>
      </c>
      <c r="P81" s="380">
        <f>IFERROR(O81*VLOOKUP(G81,MODULY_CBA!$B$3:$F$23,5,0),)</f>
        <v>1702.0395000000001</v>
      </c>
      <c r="Q81" s="482" t="str">
        <f>IFERROR(VLOOKUP(G81,MODULY_CBA!$B$3:$I$23,6,0),"")</f>
        <v>Inkrement 1</v>
      </c>
      <c r="R81" s="385"/>
      <c r="S81" s="385"/>
      <c r="T81" s="385"/>
      <c r="U81" s="385"/>
      <c r="V81" s="385"/>
      <c r="W81" s="385"/>
      <c r="X81" s="385"/>
      <c r="Y81" s="385"/>
      <c r="Z81" s="385"/>
      <c r="AA81" s="385"/>
      <c r="AB81" s="385"/>
      <c r="AC81" s="385"/>
      <c r="AD81" s="385"/>
      <c r="AE81" s="385"/>
    </row>
    <row r="82" spans="1:31" ht="39">
      <c r="A82" s="667" t="s">
        <v>736</v>
      </c>
      <c r="B82" s="667" t="s">
        <v>485</v>
      </c>
      <c r="C82" s="669" t="s">
        <v>706</v>
      </c>
      <c r="D82" s="670" t="s">
        <v>737</v>
      </c>
      <c r="E82" s="670" t="s">
        <v>738</v>
      </c>
      <c r="F82" s="671" t="s">
        <v>489</v>
      </c>
      <c r="G82" s="670" t="s">
        <v>263</v>
      </c>
      <c r="H82" s="382">
        <v>3</v>
      </c>
      <c r="I82" s="382">
        <v>15</v>
      </c>
      <c r="J82" s="382">
        <f t="shared" si="6"/>
        <v>3</v>
      </c>
      <c r="K82" s="382">
        <f t="shared" si="8"/>
        <v>45</v>
      </c>
      <c r="L82" s="646">
        <f>IFERROR(IF(B82="funkcna poziadavka",VLOOKUP(G82,MODULY_CBA!$B$3:$E$23,4,0)*H82/SUMIFS($H$3:$H$199,$G$3:$G$199,G82,$B$3:$B$199,B82),),)</f>
        <v>0.86842105263157898</v>
      </c>
      <c r="M82" s="382">
        <f>IFERROR(IF(B82="Funkcna poziadavka",VLOOKUP(G82,MODULY_CBA!$B$3:$E$23,3,0),),)</f>
        <v>1.085</v>
      </c>
      <c r="N82" s="382">
        <f>IFERROR(IF(B82="funkcna poziadavka",VLOOKUP(G82,MODULY_CBA!$B$3:$E$23,2,0),),)</f>
        <v>1.1400000000000001</v>
      </c>
      <c r="O82" s="381">
        <f t="shared" si="7"/>
        <v>56.734650000000002</v>
      </c>
      <c r="P82" s="380">
        <f>IFERROR(O82*VLOOKUP(G82,MODULY_CBA!$B$3:$F$23,5,0),)</f>
        <v>1702.0395000000001</v>
      </c>
      <c r="Q82" s="482" t="str">
        <f>IFERROR(VLOOKUP(G82,MODULY_CBA!$B$3:$I$23,6,0),"")</f>
        <v>Inkrement 1</v>
      </c>
      <c r="R82" s="385"/>
      <c r="S82" s="385"/>
      <c r="T82" s="385"/>
      <c r="U82" s="385"/>
      <c r="V82" s="385"/>
      <c r="W82" s="385"/>
      <c r="X82" s="385"/>
      <c r="Y82" s="385"/>
      <c r="Z82" s="385"/>
      <c r="AA82" s="385"/>
      <c r="AB82" s="385"/>
      <c r="AC82" s="385"/>
      <c r="AD82" s="385"/>
      <c r="AE82" s="385"/>
    </row>
    <row r="83" spans="1:31" ht="65">
      <c r="A83" s="667" t="s">
        <v>739</v>
      </c>
      <c r="B83" s="667" t="s">
        <v>485</v>
      </c>
      <c r="C83" s="669" t="s">
        <v>706</v>
      </c>
      <c r="D83" s="670" t="s">
        <v>740</v>
      </c>
      <c r="E83" s="670" t="s">
        <v>741</v>
      </c>
      <c r="F83" s="671" t="s">
        <v>489</v>
      </c>
      <c r="G83" s="670" t="s">
        <v>263</v>
      </c>
      <c r="H83" s="382">
        <v>3</v>
      </c>
      <c r="I83" s="382">
        <v>15</v>
      </c>
      <c r="J83" s="382">
        <f t="shared" si="6"/>
        <v>3</v>
      </c>
      <c r="K83" s="382">
        <f t="shared" si="8"/>
        <v>45</v>
      </c>
      <c r="L83" s="646">
        <f>IFERROR(IF(B83="funkcna poziadavka",VLOOKUP(G83,MODULY_CBA!$B$3:$E$23,4,0)*H83/SUMIFS($H$3:$H$199,$G$3:$G$199,G83,$B$3:$B$199,B83),),)</f>
        <v>0.86842105263157898</v>
      </c>
      <c r="M83" s="382">
        <f>IFERROR(IF(B83="Funkcna poziadavka",VLOOKUP(G83,MODULY_CBA!$B$3:$E$23,3,0),),)</f>
        <v>1.085</v>
      </c>
      <c r="N83" s="382">
        <f>IFERROR(IF(B83="funkcna poziadavka",VLOOKUP(G83,MODULY_CBA!$B$3:$E$23,2,0),),)</f>
        <v>1.1400000000000001</v>
      </c>
      <c r="O83" s="381">
        <f t="shared" si="7"/>
        <v>56.734650000000002</v>
      </c>
      <c r="P83" s="380">
        <f>IFERROR(O83*VLOOKUP(G83,MODULY_CBA!$B$3:$F$23,5,0),)</f>
        <v>1702.0395000000001</v>
      </c>
      <c r="Q83" s="482" t="str">
        <f>IFERROR(VLOOKUP(G83,MODULY_CBA!$B$3:$I$23,6,0),"")</f>
        <v>Inkrement 1</v>
      </c>
      <c r="R83" s="389"/>
      <c r="S83" s="389"/>
      <c r="T83" s="393"/>
      <c r="U83" s="393"/>
      <c r="V83" s="393"/>
      <c r="W83" s="393"/>
      <c r="X83" s="393"/>
      <c r="Y83" s="393"/>
      <c r="Z83" s="393"/>
      <c r="AA83" s="393"/>
      <c r="AB83" s="393"/>
      <c r="AC83" s="393"/>
      <c r="AD83" s="393"/>
      <c r="AE83" s="393"/>
    </row>
    <row r="84" spans="1:31" ht="52">
      <c r="A84" s="667" t="s">
        <v>742</v>
      </c>
      <c r="B84" s="667" t="s">
        <v>485</v>
      </c>
      <c r="C84" s="669" t="s">
        <v>706</v>
      </c>
      <c r="D84" s="670" t="s">
        <v>743</v>
      </c>
      <c r="E84" s="670" t="s">
        <v>744</v>
      </c>
      <c r="F84" s="671" t="s">
        <v>489</v>
      </c>
      <c r="G84" s="670" t="s">
        <v>263</v>
      </c>
      <c r="H84" s="382">
        <v>3</v>
      </c>
      <c r="I84" s="382">
        <v>15</v>
      </c>
      <c r="J84" s="382">
        <f t="shared" si="6"/>
        <v>3</v>
      </c>
      <c r="K84" s="382">
        <f t="shared" si="8"/>
        <v>45</v>
      </c>
      <c r="L84" s="646">
        <f>IFERROR(IF(B84="funkcna poziadavka",VLOOKUP(G84,MODULY_CBA!$B$3:$E$23,4,0)*H84/SUMIFS($H$3:$H$199,$G$3:$G$199,G84,$B$3:$B$199,B84),),)</f>
        <v>0.86842105263157898</v>
      </c>
      <c r="M84" s="382">
        <f>IFERROR(IF(B84="Funkcna poziadavka",VLOOKUP(G84,MODULY_CBA!$B$3:$E$23,3,0),),)</f>
        <v>1.085</v>
      </c>
      <c r="N84" s="382">
        <f>IFERROR(IF(B84="funkcna poziadavka",VLOOKUP(G84,MODULY_CBA!$B$3:$E$23,2,0),),)</f>
        <v>1.1400000000000001</v>
      </c>
      <c r="O84" s="381">
        <f t="shared" si="7"/>
        <v>56.734650000000002</v>
      </c>
      <c r="P84" s="380">
        <f>IFERROR(O84*VLOOKUP(G84,MODULY_CBA!$B$3:$F$23,5,0),)</f>
        <v>1702.0395000000001</v>
      </c>
      <c r="Q84" s="482" t="str">
        <f>IFERROR(VLOOKUP(G84,MODULY_CBA!$B$3:$I$23,6,0),"")</f>
        <v>Inkrement 1</v>
      </c>
      <c r="R84" s="389"/>
      <c r="S84" s="389"/>
      <c r="T84" s="393"/>
      <c r="U84" s="393"/>
      <c r="V84" s="393"/>
      <c r="W84" s="393"/>
      <c r="X84" s="393"/>
      <c r="Y84" s="393"/>
      <c r="Z84" s="393"/>
      <c r="AA84" s="393"/>
      <c r="AB84" s="393"/>
      <c r="AC84" s="393"/>
      <c r="AD84" s="393"/>
      <c r="AE84" s="393"/>
    </row>
    <row r="85" spans="1:31" ht="26">
      <c r="A85" s="667" t="s">
        <v>745</v>
      </c>
      <c r="B85" s="667" t="s">
        <v>485</v>
      </c>
      <c r="C85" s="669" t="s">
        <v>706</v>
      </c>
      <c r="D85" s="670" t="s">
        <v>746</v>
      </c>
      <c r="E85" s="670" t="s">
        <v>747</v>
      </c>
      <c r="F85" s="671" t="s">
        <v>489</v>
      </c>
      <c r="G85" s="670" t="s">
        <v>263</v>
      </c>
      <c r="H85" s="382">
        <v>3</v>
      </c>
      <c r="I85" s="382">
        <v>15</v>
      </c>
      <c r="J85" s="382">
        <f t="shared" si="6"/>
        <v>3</v>
      </c>
      <c r="K85" s="382">
        <f t="shared" si="8"/>
        <v>45</v>
      </c>
      <c r="L85" s="646">
        <f>IFERROR(IF(B85="funkcna poziadavka",VLOOKUP(G85,MODULY_CBA!$B$3:$E$23,4,0)*H85/SUMIFS($H$3:$H$199,$G$3:$G$199,G85,$B$3:$B$199,B85),),)</f>
        <v>0.86842105263157898</v>
      </c>
      <c r="M85" s="382">
        <f>IFERROR(IF(B85="Funkcna poziadavka",VLOOKUP(G85,MODULY_CBA!$B$3:$E$23,3,0),),)</f>
        <v>1.085</v>
      </c>
      <c r="N85" s="382">
        <f>IFERROR(IF(B85="funkcna poziadavka",VLOOKUP(G85,MODULY_CBA!$B$3:$E$23,2,0),),)</f>
        <v>1.1400000000000001</v>
      </c>
      <c r="O85" s="381">
        <f t="shared" si="7"/>
        <v>56.734650000000002</v>
      </c>
      <c r="P85" s="380">
        <f>IFERROR(O85*VLOOKUP(G85,MODULY_CBA!$B$3:$F$23,5,0),)</f>
        <v>1702.0395000000001</v>
      </c>
      <c r="Q85" s="482" t="str">
        <f>IFERROR(VLOOKUP(G85,MODULY_CBA!$B$3:$I$23,6,0),"")</f>
        <v>Inkrement 1</v>
      </c>
      <c r="R85" s="389"/>
      <c r="S85" s="389"/>
      <c r="T85" s="393"/>
      <c r="U85" s="393"/>
      <c r="V85" s="393"/>
      <c r="W85" s="393"/>
      <c r="X85" s="393"/>
      <c r="Y85" s="393"/>
      <c r="Z85" s="393"/>
      <c r="AA85" s="393"/>
      <c r="AB85" s="393"/>
      <c r="AC85" s="393"/>
      <c r="AD85" s="393"/>
      <c r="AE85" s="393"/>
    </row>
    <row r="86" spans="1:31" ht="65">
      <c r="A86" s="667" t="s">
        <v>748</v>
      </c>
      <c r="B86" s="667" t="s">
        <v>485</v>
      </c>
      <c r="C86" s="669" t="s">
        <v>706</v>
      </c>
      <c r="D86" s="670" t="s">
        <v>749</v>
      </c>
      <c r="E86" s="670" t="s">
        <v>750</v>
      </c>
      <c r="F86" s="671" t="s">
        <v>489</v>
      </c>
      <c r="G86" s="672" t="s">
        <v>263</v>
      </c>
      <c r="H86" s="382">
        <v>3</v>
      </c>
      <c r="I86" s="382">
        <v>15</v>
      </c>
      <c r="J86" s="382">
        <f t="shared" si="6"/>
        <v>3</v>
      </c>
      <c r="K86" s="382">
        <f t="shared" si="8"/>
        <v>45</v>
      </c>
      <c r="L86" s="646">
        <f>IFERROR(IF(B86="funkcna poziadavka",VLOOKUP(G86,MODULY_CBA!$B$3:$E$23,4,0)*H86/SUMIFS($H$3:$H$199,$G$3:$G$199,G86,$B$3:$B$199,B86),),)</f>
        <v>0.86842105263157898</v>
      </c>
      <c r="M86" s="382">
        <f>IFERROR(IF(B86="Funkcna poziadavka",VLOOKUP(G86,MODULY_CBA!$B$3:$E$23,3,0),),)</f>
        <v>1.085</v>
      </c>
      <c r="N86" s="382">
        <f>IFERROR(IF(B86="funkcna poziadavka",VLOOKUP(G86,MODULY_CBA!$B$3:$E$23,2,0),),)</f>
        <v>1.1400000000000001</v>
      </c>
      <c r="O86" s="381">
        <f t="shared" si="7"/>
        <v>56.734650000000002</v>
      </c>
      <c r="P86" s="380">
        <f>IFERROR(O86*VLOOKUP(G86,MODULY_CBA!$B$3:$F$23,5,0),)</f>
        <v>1702.0395000000001</v>
      </c>
      <c r="Q86" s="482" t="str">
        <f>IFERROR(VLOOKUP(G86,MODULY_CBA!$B$3:$I$23,6,0),"")</f>
        <v>Inkrement 1</v>
      </c>
      <c r="R86" s="389"/>
      <c r="S86" s="389"/>
      <c r="T86" s="393"/>
      <c r="U86" s="393"/>
      <c r="V86" s="393"/>
      <c r="W86" s="393"/>
      <c r="X86" s="393"/>
      <c r="Y86" s="393"/>
      <c r="Z86" s="393"/>
      <c r="AA86" s="393"/>
      <c r="AB86" s="393"/>
      <c r="AC86" s="393"/>
      <c r="AD86" s="393"/>
      <c r="AE86" s="393"/>
    </row>
    <row r="87" spans="1:31" ht="78">
      <c r="A87" s="667" t="s">
        <v>751</v>
      </c>
      <c r="B87" s="667" t="s">
        <v>485</v>
      </c>
      <c r="C87" s="669" t="s">
        <v>706</v>
      </c>
      <c r="D87" s="670" t="s">
        <v>752</v>
      </c>
      <c r="E87" s="670" t="s">
        <v>753</v>
      </c>
      <c r="F87" s="671" t="s">
        <v>489</v>
      </c>
      <c r="G87" s="670" t="s">
        <v>263</v>
      </c>
      <c r="H87" s="382">
        <v>3</v>
      </c>
      <c r="I87" s="382">
        <v>15</v>
      </c>
      <c r="J87" s="382">
        <f t="shared" si="6"/>
        <v>3</v>
      </c>
      <c r="K87" s="382">
        <f t="shared" si="8"/>
        <v>45</v>
      </c>
      <c r="L87" s="646">
        <f>IFERROR(IF(B87="funkcna poziadavka",VLOOKUP(G87,MODULY_CBA!$B$3:$E$23,4,0)*H87/SUMIFS($H$3:$H$199,$G$3:$G$199,G87,$B$3:$B$199,B87),),)</f>
        <v>0.86842105263157898</v>
      </c>
      <c r="M87" s="382">
        <f>IFERROR(IF(B87="Funkcna poziadavka",VLOOKUP(G87,MODULY_CBA!$B$3:$E$23,3,0),),)</f>
        <v>1.085</v>
      </c>
      <c r="N87" s="382">
        <f>IFERROR(IF(B87="funkcna poziadavka",VLOOKUP(G87,MODULY_CBA!$B$3:$E$23,2,0),),)</f>
        <v>1.1400000000000001</v>
      </c>
      <c r="O87" s="381">
        <f t="shared" si="7"/>
        <v>56.734650000000002</v>
      </c>
      <c r="P87" s="380">
        <f>IFERROR(O87*VLOOKUP(G87,MODULY_CBA!$B$3:$F$23,5,0),)</f>
        <v>1702.0395000000001</v>
      </c>
      <c r="Q87" s="482" t="str">
        <f>IFERROR(VLOOKUP(G87,MODULY_CBA!$B$3:$I$23,6,0),"")</f>
        <v>Inkrement 1</v>
      </c>
      <c r="R87" s="389"/>
      <c r="S87" s="389"/>
      <c r="T87" s="393"/>
      <c r="U87" s="393"/>
      <c r="V87" s="393"/>
      <c r="W87" s="393"/>
      <c r="X87" s="393"/>
      <c r="Y87" s="393"/>
      <c r="Z87" s="393"/>
      <c r="AA87" s="393"/>
      <c r="AB87" s="393"/>
      <c r="AC87" s="393"/>
      <c r="AD87" s="393"/>
      <c r="AE87" s="393"/>
    </row>
    <row r="88" spans="1:31" ht="52">
      <c r="A88" s="667" t="s">
        <v>754</v>
      </c>
      <c r="B88" s="667" t="s">
        <v>485</v>
      </c>
      <c r="C88" s="669" t="s">
        <v>706</v>
      </c>
      <c r="D88" s="670" t="s">
        <v>755</v>
      </c>
      <c r="E88" s="670" t="s">
        <v>756</v>
      </c>
      <c r="F88" s="671" t="s">
        <v>489</v>
      </c>
      <c r="G88" s="670" t="s">
        <v>267</v>
      </c>
      <c r="H88" s="382">
        <v>3</v>
      </c>
      <c r="I88" s="382">
        <v>15</v>
      </c>
      <c r="J88" s="382">
        <f t="shared" si="6"/>
        <v>3</v>
      </c>
      <c r="K88" s="382">
        <f t="shared" si="8"/>
        <v>45</v>
      </c>
      <c r="L88" s="646">
        <f>IFERROR(IF(B88="funkcna poziadavka",VLOOKUP(G88,MODULY_CBA!$B$3:$E$23,4,0)*H88/SUMIFS($H$3:$H$199,$G$3:$G$199,G88,$B$3:$B$199,B88),),)</f>
        <v>1.064516129032258</v>
      </c>
      <c r="M88" s="382">
        <f>IFERROR(IF(B88="Funkcna poziadavka",VLOOKUP(G88,MODULY_CBA!$B$3:$E$23,3,0),),)</f>
        <v>1.085</v>
      </c>
      <c r="N88" s="382">
        <f>IFERROR(IF(B88="funkcna poziadavka",VLOOKUP(G88,MODULY_CBA!$B$3:$E$23,2,0),),)</f>
        <v>1.1400000000000001</v>
      </c>
      <c r="O88" s="381">
        <f t="shared" si="7"/>
        <v>56.977200000000003</v>
      </c>
      <c r="P88" s="380">
        <f>IFERROR(O88*VLOOKUP(G88,MODULY_CBA!$B$3:$F$23,5,0),)</f>
        <v>1709.316</v>
      </c>
      <c r="Q88" s="482" t="str">
        <f>IFERROR(VLOOKUP(G88,MODULY_CBA!$B$3:$I$23,6,0),"")</f>
        <v>Inkrement 2</v>
      </c>
      <c r="R88" s="389"/>
      <c r="S88" s="389"/>
      <c r="T88" s="393"/>
      <c r="U88" s="393"/>
      <c r="V88" s="393"/>
      <c r="W88" s="393"/>
      <c r="X88" s="393"/>
      <c r="Y88" s="393"/>
      <c r="Z88" s="393"/>
      <c r="AA88" s="393"/>
      <c r="AB88" s="393"/>
      <c r="AC88" s="393"/>
      <c r="AD88" s="393"/>
      <c r="AE88" s="393"/>
    </row>
    <row r="89" spans="1:31" ht="52">
      <c r="A89" s="667" t="s">
        <v>757</v>
      </c>
      <c r="B89" s="667" t="s">
        <v>485</v>
      </c>
      <c r="C89" s="669" t="s">
        <v>706</v>
      </c>
      <c r="D89" s="670" t="s">
        <v>758</v>
      </c>
      <c r="E89" s="670" t="s">
        <v>759</v>
      </c>
      <c r="F89" s="671" t="s">
        <v>489</v>
      </c>
      <c r="G89" s="670" t="s">
        <v>267</v>
      </c>
      <c r="H89" s="382">
        <v>3</v>
      </c>
      <c r="I89" s="382">
        <v>15</v>
      </c>
      <c r="J89" s="382">
        <f t="shared" si="6"/>
        <v>3</v>
      </c>
      <c r="K89" s="382">
        <f t="shared" si="8"/>
        <v>45</v>
      </c>
      <c r="L89" s="646">
        <f>IFERROR(IF(B89="funkcna poziadavka",VLOOKUP(G89,MODULY_CBA!$B$3:$E$23,4,0)*H89/SUMIFS($H$3:$H$199,$G$3:$G$199,G89,$B$3:$B$199,B89),),)</f>
        <v>1.064516129032258</v>
      </c>
      <c r="M89" s="382">
        <f>IFERROR(IF(B89="Funkcna poziadavka",VLOOKUP(G89,MODULY_CBA!$B$3:$E$23,3,0),),)</f>
        <v>1.085</v>
      </c>
      <c r="N89" s="382">
        <f>IFERROR(IF(B89="funkcna poziadavka",VLOOKUP(G89,MODULY_CBA!$B$3:$E$23,2,0),),)</f>
        <v>1.1400000000000001</v>
      </c>
      <c r="O89" s="381">
        <f t="shared" si="7"/>
        <v>56.977200000000003</v>
      </c>
      <c r="P89" s="380">
        <f>IFERROR(O89*VLOOKUP(G89,MODULY_CBA!$B$3:$F$23,5,0),)</f>
        <v>1709.316</v>
      </c>
      <c r="Q89" s="482" t="str">
        <f>IFERROR(VLOOKUP(G89,MODULY_CBA!$B$3:$I$23,6,0),"")</f>
        <v>Inkrement 2</v>
      </c>
      <c r="R89" s="388"/>
      <c r="S89" s="388"/>
      <c r="T89" s="388"/>
      <c r="U89" s="388"/>
      <c r="V89" s="388"/>
      <c r="W89" s="388"/>
      <c r="X89" s="388"/>
      <c r="Y89" s="388"/>
      <c r="Z89" s="388"/>
      <c r="AA89" s="388"/>
      <c r="AB89" s="388"/>
      <c r="AC89" s="388"/>
      <c r="AD89" s="388"/>
      <c r="AE89" s="388"/>
    </row>
    <row r="90" spans="1:31" ht="52">
      <c r="A90" s="667" t="s">
        <v>760</v>
      </c>
      <c r="B90" s="667" t="s">
        <v>485</v>
      </c>
      <c r="C90" s="669" t="s">
        <v>706</v>
      </c>
      <c r="D90" s="670" t="s">
        <v>761</v>
      </c>
      <c r="E90" s="670" t="s">
        <v>762</v>
      </c>
      <c r="F90" s="671" t="s">
        <v>489</v>
      </c>
      <c r="G90" s="670" t="s">
        <v>259</v>
      </c>
      <c r="H90" s="382">
        <v>3</v>
      </c>
      <c r="I90" s="382">
        <v>15</v>
      </c>
      <c r="J90" s="382">
        <f t="shared" si="6"/>
        <v>3</v>
      </c>
      <c r="K90" s="382">
        <f t="shared" si="8"/>
        <v>45</v>
      </c>
      <c r="L90" s="646">
        <f>IFERROR(IF(B90="funkcna poziadavka",VLOOKUP(G90,MODULY_CBA!$B$3:$E$23,4,0)*H90/SUMIFS($H$3:$H$199,$G$3:$G$199,G90,$B$3:$B$199,B90),),)</f>
        <v>0.44594594594594594</v>
      </c>
      <c r="M90" s="382">
        <f>IFERROR(IF(B90="Funkcna poziadavka",VLOOKUP(G90,MODULY_CBA!$B$3:$E$23,3,0),),)</f>
        <v>1.085</v>
      </c>
      <c r="N90" s="382">
        <f>IFERROR(IF(B90="funkcna poziadavka",VLOOKUP(G90,MODULY_CBA!$B$3:$E$23,2,0),),)</f>
        <v>1.1400000000000001</v>
      </c>
      <c r="O90" s="381">
        <f t="shared" si="7"/>
        <v>56.212090540540544</v>
      </c>
      <c r="P90" s="380">
        <f>IFERROR(O90*VLOOKUP(G90,MODULY_CBA!$B$3:$F$23,5,0),)</f>
        <v>1686.3627162162163</v>
      </c>
      <c r="Q90" s="482" t="str">
        <f>IFERROR(VLOOKUP(G90,MODULY_CBA!$B$3:$I$23,6,0),"")</f>
        <v>Inkrement 2</v>
      </c>
      <c r="R90" s="388"/>
      <c r="S90" s="388"/>
      <c r="T90" s="388"/>
      <c r="U90" s="388"/>
      <c r="V90" s="388"/>
      <c r="W90" s="388"/>
      <c r="X90" s="388"/>
      <c r="Y90" s="388"/>
      <c r="Z90" s="388"/>
      <c r="AA90" s="388"/>
      <c r="AB90" s="388"/>
      <c r="AC90" s="388"/>
      <c r="AD90" s="388"/>
      <c r="AE90" s="388"/>
    </row>
    <row r="91" spans="1:31" ht="52">
      <c r="A91" s="667" t="s">
        <v>763</v>
      </c>
      <c r="B91" s="667" t="s">
        <v>485</v>
      </c>
      <c r="C91" s="669" t="s">
        <v>706</v>
      </c>
      <c r="D91" s="670" t="s">
        <v>764</v>
      </c>
      <c r="E91" s="670" t="s">
        <v>765</v>
      </c>
      <c r="F91" s="671" t="s">
        <v>489</v>
      </c>
      <c r="G91" s="670" t="s">
        <v>267</v>
      </c>
      <c r="H91" s="382">
        <v>3</v>
      </c>
      <c r="I91" s="382">
        <v>15</v>
      </c>
      <c r="J91" s="382">
        <f t="shared" si="6"/>
        <v>3</v>
      </c>
      <c r="K91" s="382">
        <f t="shared" si="8"/>
        <v>45</v>
      </c>
      <c r="L91" s="646">
        <f>IFERROR(IF(B91="funkcna poziadavka",VLOOKUP(G91,MODULY_CBA!$B$3:$E$23,4,0)*H91/SUMIFS($H$3:$H$199,$G$3:$G$199,G91,$B$3:$B$199,B91),),)</f>
        <v>1.064516129032258</v>
      </c>
      <c r="M91" s="382">
        <f>IFERROR(IF(B91="Funkcna poziadavka",VLOOKUP(G91,MODULY_CBA!$B$3:$E$23,3,0),),)</f>
        <v>1.085</v>
      </c>
      <c r="N91" s="382">
        <f>IFERROR(IF(B91="funkcna poziadavka",VLOOKUP(G91,MODULY_CBA!$B$3:$E$23,2,0),),)</f>
        <v>1.1400000000000001</v>
      </c>
      <c r="O91" s="381">
        <f t="shared" si="7"/>
        <v>56.977200000000003</v>
      </c>
      <c r="P91" s="380">
        <f>IFERROR(O91*VLOOKUP(G91,MODULY_CBA!$B$3:$F$23,5,0),)</f>
        <v>1709.316</v>
      </c>
      <c r="Q91" s="482" t="str">
        <f>IFERROR(VLOOKUP(G91,MODULY_CBA!$B$3:$I$23,6,0),"")</f>
        <v>Inkrement 2</v>
      </c>
      <c r="R91" s="388"/>
      <c r="S91" s="388"/>
      <c r="T91" s="388"/>
      <c r="U91" s="388"/>
      <c r="V91" s="388"/>
      <c r="W91" s="388"/>
      <c r="X91" s="388"/>
      <c r="Y91" s="388"/>
      <c r="Z91" s="388"/>
      <c r="AA91" s="388"/>
      <c r="AB91" s="388"/>
      <c r="AC91" s="388"/>
      <c r="AD91" s="388"/>
      <c r="AE91" s="388"/>
    </row>
    <row r="92" spans="1:31" ht="52">
      <c r="A92" s="667" t="s">
        <v>766</v>
      </c>
      <c r="B92" s="667" t="s">
        <v>485</v>
      </c>
      <c r="C92" s="669" t="s">
        <v>706</v>
      </c>
      <c r="D92" s="670" t="s">
        <v>767</v>
      </c>
      <c r="E92" s="670" t="s">
        <v>768</v>
      </c>
      <c r="F92" s="671" t="s">
        <v>489</v>
      </c>
      <c r="G92" s="670" t="s">
        <v>267</v>
      </c>
      <c r="H92" s="382">
        <v>3</v>
      </c>
      <c r="I92" s="382">
        <v>15</v>
      </c>
      <c r="J92" s="382">
        <f t="shared" si="6"/>
        <v>3</v>
      </c>
      <c r="K92" s="382">
        <f t="shared" si="8"/>
        <v>45</v>
      </c>
      <c r="L92" s="646">
        <f>IFERROR(IF(B92="funkcna poziadavka",VLOOKUP(G92,MODULY_CBA!$B$3:$E$23,4,0)*H92/SUMIFS($H$3:$H$199,$G$3:$G$199,G92,$B$3:$B$199,B92),),)</f>
        <v>1.064516129032258</v>
      </c>
      <c r="M92" s="382">
        <f>IFERROR(IF(B92="Funkcna poziadavka",VLOOKUP(G92,MODULY_CBA!$B$3:$E$23,3,0),),)</f>
        <v>1.085</v>
      </c>
      <c r="N92" s="382">
        <f>IFERROR(IF(B92="funkcna poziadavka",VLOOKUP(G92,MODULY_CBA!$B$3:$E$23,2,0),),)</f>
        <v>1.1400000000000001</v>
      </c>
      <c r="O92" s="381">
        <f t="shared" si="7"/>
        <v>56.977200000000003</v>
      </c>
      <c r="P92" s="380">
        <f>IFERROR(O92*VLOOKUP(G92,MODULY_CBA!$B$3:$F$23,5,0),)</f>
        <v>1709.316</v>
      </c>
      <c r="Q92" s="482" t="str">
        <f>IFERROR(VLOOKUP(G92,MODULY_CBA!$B$3:$I$23,6,0),"")</f>
        <v>Inkrement 2</v>
      </c>
      <c r="R92" s="388"/>
      <c r="S92" s="388"/>
      <c r="T92" s="388"/>
      <c r="U92" s="388"/>
      <c r="V92" s="388"/>
      <c r="W92" s="388"/>
      <c r="X92" s="388"/>
      <c r="Y92" s="388"/>
      <c r="Z92" s="388"/>
      <c r="AA92" s="388"/>
      <c r="AB92" s="388"/>
      <c r="AC92" s="388"/>
      <c r="AD92" s="388"/>
      <c r="AE92" s="388"/>
    </row>
    <row r="93" spans="1:31" ht="65">
      <c r="A93" s="667" t="s">
        <v>769</v>
      </c>
      <c r="B93" s="667" t="s">
        <v>485</v>
      </c>
      <c r="C93" s="669" t="s">
        <v>706</v>
      </c>
      <c r="D93" s="670" t="s">
        <v>770</v>
      </c>
      <c r="E93" s="670" t="s">
        <v>771</v>
      </c>
      <c r="F93" s="671" t="s">
        <v>489</v>
      </c>
      <c r="G93" s="670" t="s">
        <v>267</v>
      </c>
      <c r="H93" s="382">
        <v>3</v>
      </c>
      <c r="I93" s="382">
        <v>15</v>
      </c>
      <c r="J93" s="382">
        <f t="shared" si="6"/>
        <v>3</v>
      </c>
      <c r="K93" s="382">
        <f t="shared" si="8"/>
        <v>45</v>
      </c>
      <c r="L93" s="646">
        <f>IFERROR(IF(B93="funkcna poziadavka",VLOOKUP(G93,MODULY_CBA!$B$3:$E$23,4,0)*H93/SUMIFS($H$3:$H$199,$G$3:$G$199,G93,$B$3:$B$199,B93),),)</f>
        <v>1.064516129032258</v>
      </c>
      <c r="M93" s="382">
        <f>IFERROR(IF(B93="Funkcna poziadavka",VLOOKUP(G93,MODULY_CBA!$B$3:$E$23,3,0),),)</f>
        <v>1.085</v>
      </c>
      <c r="N93" s="382">
        <f>IFERROR(IF(B93="funkcna poziadavka",VLOOKUP(G93,MODULY_CBA!$B$3:$E$23,2,0),),)</f>
        <v>1.1400000000000001</v>
      </c>
      <c r="O93" s="381">
        <f t="shared" si="7"/>
        <v>56.977200000000003</v>
      </c>
      <c r="P93" s="380">
        <f>IFERROR(O93*VLOOKUP(G93,MODULY_CBA!$B$3:$F$23,5,0),)</f>
        <v>1709.316</v>
      </c>
      <c r="Q93" s="482" t="str">
        <f>IFERROR(VLOOKUP(G93,MODULY_CBA!$B$3:$I$23,6,0),"")</f>
        <v>Inkrement 2</v>
      </c>
      <c r="R93" s="388"/>
      <c r="S93" s="388"/>
      <c r="T93" s="388"/>
      <c r="U93" s="388"/>
      <c r="V93" s="388"/>
      <c r="W93" s="388"/>
      <c r="X93" s="388"/>
      <c r="Y93" s="388"/>
      <c r="Z93" s="388"/>
      <c r="AA93" s="388"/>
      <c r="AB93" s="388"/>
      <c r="AC93" s="388"/>
      <c r="AD93" s="388"/>
      <c r="AE93" s="388"/>
    </row>
    <row r="94" spans="1:31" ht="52">
      <c r="A94" s="667" t="s">
        <v>772</v>
      </c>
      <c r="B94" s="667" t="s">
        <v>485</v>
      </c>
      <c r="C94" s="669" t="s">
        <v>706</v>
      </c>
      <c r="D94" s="670" t="s">
        <v>773</v>
      </c>
      <c r="E94" s="670" t="s">
        <v>774</v>
      </c>
      <c r="F94" s="671" t="s">
        <v>489</v>
      </c>
      <c r="G94" s="670" t="s">
        <v>263</v>
      </c>
      <c r="H94" s="382">
        <v>3</v>
      </c>
      <c r="I94" s="382">
        <v>15</v>
      </c>
      <c r="J94" s="382">
        <f t="shared" si="6"/>
        <v>3</v>
      </c>
      <c r="K94" s="382">
        <f t="shared" si="8"/>
        <v>45</v>
      </c>
      <c r="L94" s="646">
        <f>IFERROR(IF(B94="funkcna poziadavka",VLOOKUP(G94,MODULY_CBA!$B$3:$E$23,4,0)*H94/SUMIFS($H$3:$H$199,$G$3:$G$199,G94,$B$3:$B$199,B94),),)</f>
        <v>0.86842105263157898</v>
      </c>
      <c r="M94" s="382">
        <f>IFERROR(IF(B94="Funkcna poziadavka",VLOOKUP(G94,MODULY_CBA!$B$3:$E$23,3,0),),)</f>
        <v>1.085</v>
      </c>
      <c r="N94" s="382">
        <f>IFERROR(IF(B94="funkcna poziadavka",VLOOKUP(G94,MODULY_CBA!$B$3:$E$23,2,0),),)</f>
        <v>1.1400000000000001</v>
      </c>
      <c r="O94" s="381">
        <f t="shared" si="7"/>
        <v>56.734650000000002</v>
      </c>
      <c r="P94" s="380">
        <f>IFERROR(O94*VLOOKUP(G94,MODULY_CBA!$B$3:$F$23,5,0),)</f>
        <v>1702.0395000000001</v>
      </c>
      <c r="Q94" s="482" t="str">
        <f>IFERROR(VLOOKUP(G94,MODULY_CBA!$B$3:$I$23,6,0),"")</f>
        <v>Inkrement 1</v>
      </c>
      <c r="R94" s="388"/>
      <c r="S94" s="388"/>
      <c r="T94" s="388"/>
      <c r="U94" s="388"/>
      <c r="V94" s="388"/>
      <c r="W94" s="388"/>
      <c r="X94" s="388"/>
      <c r="Y94" s="388"/>
      <c r="Z94" s="388"/>
      <c r="AA94" s="388"/>
      <c r="AB94" s="388"/>
      <c r="AC94" s="388"/>
      <c r="AD94" s="388"/>
      <c r="AE94" s="388"/>
    </row>
    <row r="95" spans="1:31" ht="78">
      <c r="A95" s="667" t="s">
        <v>775</v>
      </c>
      <c r="B95" s="667" t="s">
        <v>485</v>
      </c>
      <c r="C95" s="669" t="s">
        <v>706</v>
      </c>
      <c r="D95" s="670" t="s">
        <v>776</v>
      </c>
      <c r="E95" s="670" t="s">
        <v>777</v>
      </c>
      <c r="F95" s="671" t="s">
        <v>489</v>
      </c>
      <c r="G95" s="670" t="s">
        <v>263</v>
      </c>
      <c r="H95" s="382">
        <v>3</v>
      </c>
      <c r="I95" s="382">
        <v>15</v>
      </c>
      <c r="J95" s="382">
        <f t="shared" si="6"/>
        <v>3</v>
      </c>
      <c r="K95" s="382">
        <f t="shared" si="8"/>
        <v>45</v>
      </c>
      <c r="L95" s="646">
        <f>IFERROR(IF(B95="funkcna poziadavka",VLOOKUP(G95,MODULY_CBA!$B$3:$E$23,4,0)*H95/SUMIFS($H$3:$H$199,$G$3:$G$199,G95,$B$3:$B$199,B95),),)</f>
        <v>0.86842105263157898</v>
      </c>
      <c r="M95" s="382">
        <f>IFERROR(IF(B95="Funkcna poziadavka",VLOOKUP(G95,MODULY_CBA!$B$3:$E$23,3,0),),)</f>
        <v>1.085</v>
      </c>
      <c r="N95" s="382">
        <f>IFERROR(IF(B95="funkcna poziadavka",VLOOKUP(G95,MODULY_CBA!$B$3:$E$23,2,0),),)</f>
        <v>1.1400000000000001</v>
      </c>
      <c r="O95" s="381">
        <f t="shared" si="7"/>
        <v>56.734650000000002</v>
      </c>
      <c r="P95" s="380">
        <f>IFERROR(O95*VLOOKUP(G95,MODULY_CBA!$B$3:$F$23,5,0),)</f>
        <v>1702.0395000000001</v>
      </c>
      <c r="Q95" s="482" t="str">
        <f>IFERROR(VLOOKUP(G95,MODULY_CBA!$B$3:$I$23,6,0),"")</f>
        <v>Inkrement 1</v>
      </c>
      <c r="R95" s="388"/>
      <c r="S95" s="388"/>
      <c r="T95" s="388"/>
      <c r="U95" s="388"/>
      <c r="V95" s="388"/>
      <c r="W95" s="388"/>
      <c r="X95" s="388"/>
      <c r="Y95" s="388"/>
      <c r="Z95" s="388"/>
      <c r="AA95" s="388"/>
      <c r="AB95" s="388"/>
      <c r="AC95" s="388"/>
      <c r="AD95" s="388"/>
      <c r="AE95" s="388"/>
    </row>
    <row r="96" spans="1:31" ht="78">
      <c r="A96" s="667" t="s">
        <v>778</v>
      </c>
      <c r="B96" s="667" t="s">
        <v>485</v>
      </c>
      <c r="C96" s="669" t="s">
        <v>706</v>
      </c>
      <c r="D96" s="670" t="s">
        <v>779</v>
      </c>
      <c r="E96" s="670" t="s">
        <v>780</v>
      </c>
      <c r="F96" s="671" t="s">
        <v>489</v>
      </c>
      <c r="G96" s="670" t="s">
        <v>248</v>
      </c>
      <c r="H96" s="382">
        <v>3</v>
      </c>
      <c r="I96" s="382">
        <v>15</v>
      </c>
      <c r="J96" s="382">
        <f t="shared" si="6"/>
        <v>3</v>
      </c>
      <c r="K96" s="382">
        <f t="shared" si="8"/>
        <v>45</v>
      </c>
      <c r="L96" s="646">
        <f>IFERROR(IF(B96="funkcna poziadavka",VLOOKUP(G96,MODULY_CBA!$B$3:$E$23,4,0)*H96/SUMIFS($H$3:$H$199,$G$3:$G$199,G96,$B$3:$B$199,B96),),)</f>
        <v>16.5</v>
      </c>
      <c r="M96" s="382">
        <f>IFERROR(IF(B96="Funkcna poziadavka",VLOOKUP(G96,MODULY_CBA!$B$3:$E$23,3,0),),)</f>
        <v>1.085</v>
      </c>
      <c r="N96" s="382">
        <f>IFERROR(IF(B96="funkcna poziadavka",VLOOKUP(G96,MODULY_CBA!$B$3:$E$23,2,0),),)</f>
        <v>1.1400000000000001</v>
      </c>
      <c r="O96" s="381">
        <f t="shared" si="7"/>
        <v>76.06935</v>
      </c>
      <c r="P96" s="380">
        <f>IFERROR(O96*VLOOKUP(G96,MODULY_CBA!$B$3:$F$23,5,0),)</f>
        <v>2282.0805</v>
      </c>
      <c r="Q96" s="482" t="str">
        <f>IFERROR(VLOOKUP(G96,MODULY_CBA!$B$3:$I$23,6,0),"")</f>
        <v>Inkrement 1</v>
      </c>
      <c r="R96" s="388"/>
      <c r="S96" s="388"/>
      <c r="T96" s="388"/>
      <c r="U96" s="388"/>
      <c r="V96" s="388"/>
      <c r="W96" s="388"/>
      <c r="X96" s="388"/>
      <c r="Y96" s="388"/>
      <c r="Z96" s="388"/>
      <c r="AA96" s="388"/>
      <c r="AB96" s="388"/>
      <c r="AC96" s="388"/>
      <c r="AD96" s="388"/>
      <c r="AE96" s="388"/>
    </row>
    <row r="97" spans="1:31" ht="52">
      <c r="A97" s="667" t="s">
        <v>781</v>
      </c>
      <c r="B97" s="667" t="s">
        <v>485</v>
      </c>
      <c r="C97" s="669" t="s">
        <v>706</v>
      </c>
      <c r="D97" s="670" t="s">
        <v>782</v>
      </c>
      <c r="E97" s="670" t="s">
        <v>783</v>
      </c>
      <c r="F97" s="671" t="s">
        <v>489</v>
      </c>
      <c r="G97" s="670" t="s">
        <v>263</v>
      </c>
      <c r="H97" s="382">
        <v>3</v>
      </c>
      <c r="I97" s="382">
        <v>15</v>
      </c>
      <c r="J97" s="382">
        <f t="shared" si="6"/>
        <v>3</v>
      </c>
      <c r="K97" s="382">
        <f t="shared" si="8"/>
        <v>45</v>
      </c>
      <c r="L97" s="646">
        <f>IFERROR(IF(B97="funkcna poziadavka",VLOOKUP(G97,MODULY_CBA!$B$3:$E$23,4,0)*H97/SUMIFS($H$3:$H$199,$G$3:$G$199,G97,$B$3:$B$199,B97),),)</f>
        <v>0.86842105263157898</v>
      </c>
      <c r="M97" s="382">
        <f>IFERROR(IF(B97="Funkcna poziadavka",VLOOKUP(G97,MODULY_CBA!$B$3:$E$23,3,0),),)</f>
        <v>1.085</v>
      </c>
      <c r="N97" s="382">
        <f>IFERROR(IF(B97="funkcna poziadavka",VLOOKUP(G97,MODULY_CBA!$B$3:$E$23,2,0),),)</f>
        <v>1.1400000000000001</v>
      </c>
      <c r="O97" s="381">
        <f t="shared" si="7"/>
        <v>56.734650000000002</v>
      </c>
      <c r="P97" s="380">
        <f>IFERROR(O97*VLOOKUP(G97,MODULY_CBA!$B$3:$F$23,5,0),)</f>
        <v>1702.0395000000001</v>
      </c>
      <c r="Q97" s="482" t="str">
        <f>IFERROR(VLOOKUP(G97,MODULY_CBA!$B$3:$I$23,6,0),"")</f>
        <v>Inkrement 1</v>
      </c>
      <c r="R97" s="387"/>
      <c r="S97" s="387"/>
      <c r="T97" s="387"/>
      <c r="U97" s="387"/>
      <c r="V97" s="391"/>
      <c r="W97" s="390"/>
      <c r="X97" s="390"/>
      <c r="Y97" s="387"/>
      <c r="Z97" s="387"/>
      <c r="AA97" s="387"/>
      <c r="AB97" s="387"/>
      <c r="AC97" s="387"/>
      <c r="AD97" s="387"/>
      <c r="AE97" s="387"/>
    </row>
    <row r="98" spans="1:31" ht="130">
      <c r="A98" s="667" t="s">
        <v>784</v>
      </c>
      <c r="B98" s="667" t="s">
        <v>485</v>
      </c>
      <c r="C98" s="669" t="s">
        <v>598</v>
      </c>
      <c r="D98" s="673" t="s">
        <v>785</v>
      </c>
      <c r="E98" s="537" t="s">
        <v>786</v>
      </c>
      <c r="F98" s="671" t="s">
        <v>489</v>
      </c>
      <c r="G98" s="670" t="s">
        <v>263</v>
      </c>
      <c r="H98" s="382">
        <v>3</v>
      </c>
      <c r="I98" s="382">
        <v>15</v>
      </c>
      <c r="J98" s="382">
        <f t="shared" si="6"/>
        <v>3</v>
      </c>
      <c r="K98" s="382">
        <f t="shared" si="8"/>
        <v>45</v>
      </c>
      <c r="L98" s="646">
        <f>IFERROR(IF(B98="funkcna poziadavka",VLOOKUP(G98,MODULY_CBA!$B$3:$E$23,4,0)*H98/SUMIFS($H$3:$H$199,$G$3:$G$199,G98,$B$3:$B$199,B98),),)</f>
        <v>0.86842105263157898</v>
      </c>
      <c r="M98" s="382">
        <f>IFERROR(IF(B98="Funkcna poziadavka",VLOOKUP(G98,MODULY_CBA!$B$3:$E$23,3,0),),)</f>
        <v>1.085</v>
      </c>
      <c r="N98" s="382">
        <f>IFERROR(IF(B98="funkcna poziadavka",VLOOKUP(G98,MODULY_CBA!$B$3:$E$23,2,0),),)</f>
        <v>1.1400000000000001</v>
      </c>
      <c r="O98" s="381">
        <f t="shared" si="7"/>
        <v>56.734650000000002</v>
      </c>
      <c r="P98" s="380">
        <f>IFERROR(O98*VLOOKUP(G98,MODULY_CBA!$B$3:$F$23,5,0),)</f>
        <v>1702.0395000000001</v>
      </c>
      <c r="Q98" s="482" t="str">
        <f>IFERROR(VLOOKUP(G98,MODULY_CBA!$B$3:$I$23,6,0),"")</f>
        <v>Inkrement 1</v>
      </c>
      <c r="R98" s="388"/>
      <c r="S98" s="388"/>
      <c r="T98" s="388"/>
      <c r="U98" s="388"/>
      <c r="V98" s="388"/>
      <c r="W98" s="388"/>
      <c r="X98" s="388"/>
      <c r="Y98" s="388"/>
      <c r="Z98" s="388"/>
      <c r="AA98" s="388"/>
      <c r="AB98" s="388"/>
      <c r="AC98" s="388"/>
      <c r="AD98" s="388"/>
      <c r="AE98" s="388"/>
    </row>
    <row r="99" spans="1:31" ht="39">
      <c r="A99" s="667" t="s">
        <v>787</v>
      </c>
      <c r="B99" s="667" t="s">
        <v>485</v>
      </c>
      <c r="C99" s="669" t="s">
        <v>598</v>
      </c>
      <c r="D99" s="669" t="s">
        <v>788</v>
      </c>
      <c r="E99" s="670" t="s">
        <v>789</v>
      </c>
      <c r="F99" s="671" t="s">
        <v>489</v>
      </c>
      <c r="G99" s="670" t="s">
        <v>267</v>
      </c>
      <c r="H99" s="382">
        <v>3</v>
      </c>
      <c r="I99" s="382">
        <v>15</v>
      </c>
      <c r="J99" s="382">
        <f t="shared" ref="J99:J130" si="9">IF(ISNUMBER(H99),H99,)</f>
        <v>3</v>
      </c>
      <c r="K99" s="382">
        <f t="shared" si="8"/>
        <v>45</v>
      </c>
      <c r="L99" s="646">
        <f>IFERROR(IF(B99="funkcna poziadavka",VLOOKUP(G99,MODULY_CBA!$B$3:$E$23,4,0)*H99/SUMIFS($H$3:$H$199,$G$3:$G$199,G99,$B$3:$B$199,B99),),)</f>
        <v>1.064516129032258</v>
      </c>
      <c r="M99" s="382">
        <f>IFERROR(IF(B99="Funkcna poziadavka",VLOOKUP(G99,MODULY_CBA!$B$3:$E$23,3,0),),)</f>
        <v>1.085</v>
      </c>
      <c r="N99" s="382">
        <f>IFERROR(IF(B99="funkcna poziadavka",VLOOKUP(G99,MODULY_CBA!$B$3:$E$23,2,0),),)</f>
        <v>1.1400000000000001</v>
      </c>
      <c r="O99" s="381">
        <f t="shared" ref="O99:O130" si="10">(K99+L99)*M99*N99</f>
        <v>56.977200000000003</v>
      </c>
      <c r="P99" s="380">
        <f>IFERROR(O99*VLOOKUP(G99,MODULY_CBA!$B$3:$F$23,5,0),)</f>
        <v>1709.316</v>
      </c>
      <c r="Q99" s="482" t="str">
        <f>IFERROR(VLOOKUP(G99,MODULY_CBA!$B$3:$I$23,6,0),"")</f>
        <v>Inkrement 2</v>
      </c>
      <c r="R99" s="388"/>
      <c r="S99" s="388"/>
      <c r="T99" s="388"/>
      <c r="U99" s="388"/>
      <c r="V99" s="388"/>
      <c r="W99" s="388"/>
      <c r="X99" s="388"/>
      <c r="Y99" s="388"/>
      <c r="Z99" s="388"/>
      <c r="AA99" s="388"/>
      <c r="AB99" s="388"/>
      <c r="AC99" s="388"/>
      <c r="AD99" s="388"/>
      <c r="AE99" s="388"/>
    </row>
    <row r="100" spans="1:31" ht="118.5" customHeight="1">
      <c r="A100" s="667" t="s">
        <v>790</v>
      </c>
      <c r="B100" s="667" t="s">
        <v>485</v>
      </c>
      <c r="C100" s="669" t="s">
        <v>598</v>
      </c>
      <c r="D100" s="669" t="s">
        <v>791</v>
      </c>
      <c r="E100" s="536" t="s">
        <v>792</v>
      </c>
      <c r="F100" s="671" t="s">
        <v>489</v>
      </c>
      <c r="G100" s="670" t="s">
        <v>267</v>
      </c>
      <c r="H100" s="382">
        <v>3</v>
      </c>
      <c r="I100" s="382">
        <v>15</v>
      </c>
      <c r="J100" s="382">
        <f t="shared" si="9"/>
        <v>3</v>
      </c>
      <c r="K100" s="382">
        <f t="shared" si="8"/>
        <v>45</v>
      </c>
      <c r="L100" s="646">
        <f>IFERROR(IF(B100="funkcna poziadavka",VLOOKUP(G100,MODULY_CBA!$B$3:$E$23,4,0)*H100/SUMIFS($H$3:$H$199,$G$3:$G$199,G100,$B$3:$B$199,B100),),)</f>
        <v>1.064516129032258</v>
      </c>
      <c r="M100" s="382">
        <f>IFERROR(IF(B100="Funkcna poziadavka",VLOOKUP(G100,MODULY_CBA!$B$3:$E$23,3,0),),)</f>
        <v>1.085</v>
      </c>
      <c r="N100" s="382">
        <f>IFERROR(IF(B100="funkcna poziadavka",VLOOKUP(G100,MODULY_CBA!$B$3:$E$23,2,0),),)</f>
        <v>1.1400000000000001</v>
      </c>
      <c r="O100" s="381">
        <f t="shared" si="10"/>
        <v>56.977200000000003</v>
      </c>
      <c r="P100" s="380">
        <f>IFERROR(O100*VLOOKUP(G100,MODULY_CBA!$B$3:$F$23,5,0),)</f>
        <v>1709.316</v>
      </c>
      <c r="Q100" s="482" t="str">
        <f>IFERROR(VLOOKUP(G100,MODULY_CBA!$B$3:$I$23,6,0),"")</f>
        <v>Inkrement 2</v>
      </c>
      <c r="R100" s="388"/>
      <c r="S100" s="388"/>
      <c r="T100" s="388"/>
      <c r="U100" s="388"/>
      <c r="V100" s="388"/>
      <c r="W100" s="388"/>
      <c r="X100" s="388"/>
      <c r="Y100" s="388"/>
      <c r="Z100" s="388"/>
      <c r="AA100" s="388"/>
      <c r="AB100" s="388"/>
      <c r="AC100" s="388"/>
      <c r="AD100" s="388"/>
      <c r="AE100" s="388"/>
    </row>
    <row r="101" spans="1:31" ht="52">
      <c r="A101" s="667" t="s">
        <v>793</v>
      </c>
      <c r="B101" s="667" t="s">
        <v>485</v>
      </c>
      <c r="C101" s="669" t="s">
        <v>598</v>
      </c>
      <c r="D101" s="669" t="s">
        <v>794</v>
      </c>
      <c r="E101" s="670" t="s">
        <v>795</v>
      </c>
      <c r="F101" s="671" t="s">
        <v>489</v>
      </c>
      <c r="G101" s="670" t="s">
        <v>251</v>
      </c>
      <c r="H101" s="382">
        <v>3</v>
      </c>
      <c r="I101" s="382">
        <v>15</v>
      </c>
      <c r="J101" s="382">
        <f t="shared" si="9"/>
        <v>3</v>
      </c>
      <c r="K101" s="382">
        <f t="shared" si="8"/>
        <v>45</v>
      </c>
      <c r="L101" s="646">
        <f>IFERROR(IF(B101="funkcna poziadavka",VLOOKUP(G101,MODULY_CBA!$B$3:$E$23,4,0)*H101/SUMIFS($H$3:$H$199,$G$3:$G$199,G101,$B$3:$B$199,B101),),)</f>
        <v>3.3</v>
      </c>
      <c r="M101" s="382">
        <f>IFERROR(IF(B101="Funkcna poziadavka",VLOOKUP(G101,MODULY_CBA!$B$3:$E$23,3,0),),)</f>
        <v>1.085</v>
      </c>
      <c r="N101" s="382">
        <f>IFERROR(IF(B101="funkcna poziadavka",VLOOKUP(G101,MODULY_CBA!$B$3:$E$23,2,0),),)</f>
        <v>1.1400000000000001</v>
      </c>
      <c r="O101" s="381">
        <f t="shared" si="10"/>
        <v>59.742270000000005</v>
      </c>
      <c r="P101" s="380">
        <f>IFERROR(O101*VLOOKUP(G101,MODULY_CBA!$B$3:$F$23,5,0),)</f>
        <v>1792.2681000000002</v>
      </c>
      <c r="Q101" s="482" t="str">
        <f>IFERROR(VLOOKUP(G101,MODULY_CBA!$B$3:$I$23,6,0),"")</f>
        <v>Inkrement 3</v>
      </c>
      <c r="R101" s="388"/>
      <c r="S101" s="388"/>
      <c r="T101" s="388"/>
      <c r="U101" s="388"/>
      <c r="V101" s="388"/>
      <c r="W101" s="388"/>
      <c r="X101" s="388"/>
      <c r="Y101" s="388"/>
      <c r="Z101" s="388"/>
      <c r="AA101" s="388"/>
      <c r="AB101" s="388"/>
      <c r="AC101" s="388"/>
      <c r="AD101" s="388"/>
      <c r="AE101" s="388"/>
    </row>
    <row r="102" spans="1:31" ht="39">
      <c r="A102" s="667" t="s">
        <v>796</v>
      </c>
      <c r="B102" s="667" t="s">
        <v>485</v>
      </c>
      <c r="C102" s="669" t="s">
        <v>598</v>
      </c>
      <c r="D102" s="669" t="s">
        <v>797</v>
      </c>
      <c r="E102" s="670" t="s">
        <v>798</v>
      </c>
      <c r="F102" s="671" t="s">
        <v>489</v>
      </c>
      <c r="G102" s="670" t="s">
        <v>267</v>
      </c>
      <c r="H102" s="382">
        <v>3</v>
      </c>
      <c r="I102" s="382">
        <v>15</v>
      </c>
      <c r="J102" s="382">
        <f t="shared" si="9"/>
        <v>3</v>
      </c>
      <c r="K102" s="382">
        <f t="shared" si="8"/>
        <v>45</v>
      </c>
      <c r="L102" s="646">
        <f>IFERROR(IF(B102="funkcna poziadavka",VLOOKUP(G102,MODULY_CBA!$B$3:$E$23,4,0)*H102/SUMIFS($H$3:$H$199,$G$3:$G$199,G102,$B$3:$B$199,B102),),)</f>
        <v>1.064516129032258</v>
      </c>
      <c r="M102" s="382">
        <f>IFERROR(IF(B102="Funkcna poziadavka",VLOOKUP(G102,MODULY_CBA!$B$3:$E$23,3,0),),)</f>
        <v>1.085</v>
      </c>
      <c r="N102" s="382">
        <f>IFERROR(IF(B102="funkcna poziadavka",VLOOKUP(G102,MODULY_CBA!$B$3:$E$23,2,0),),)</f>
        <v>1.1400000000000001</v>
      </c>
      <c r="O102" s="381">
        <f t="shared" si="10"/>
        <v>56.977200000000003</v>
      </c>
      <c r="P102" s="380">
        <f>IFERROR(O102*VLOOKUP(G102,MODULY_CBA!$B$3:$F$23,5,0),)</f>
        <v>1709.316</v>
      </c>
      <c r="Q102" s="482" t="str">
        <f>IFERROR(VLOOKUP(G102,MODULY_CBA!$B$3:$I$23,6,0),"")</f>
        <v>Inkrement 2</v>
      </c>
      <c r="R102" s="388"/>
      <c r="S102" s="388"/>
      <c r="T102" s="388"/>
      <c r="U102" s="388"/>
      <c r="V102" s="388"/>
      <c r="W102" s="388"/>
      <c r="X102" s="388"/>
      <c r="Y102" s="388"/>
      <c r="Z102" s="388"/>
      <c r="AA102" s="388"/>
      <c r="AB102" s="388"/>
      <c r="AC102" s="388"/>
      <c r="AD102" s="388"/>
      <c r="AE102" s="388"/>
    </row>
    <row r="103" spans="1:31" ht="39">
      <c r="A103" s="668" t="s">
        <v>799</v>
      </c>
      <c r="B103" s="668" t="s">
        <v>485</v>
      </c>
      <c r="C103" s="673" t="s">
        <v>598</v>
      </c>
      <c r="D103" s="673" t="s">
        <v>800</v>
      </c>
      <c r="E103" s="672" t="s">
        <v>801</v>
      </c>
      <c r="F103" s="671" t="s">
        <v>489</v>
      </c>
      <c r="G103" s="672" t="s">
        <v>263</v>
      </c>
      <c r="H103" s="382">
        <v>3</v>
      </c>
      <c r="I103" s="382">
        <v>15</v>
      </c>
      <c r="J103" s="382">
        <f t="shared" si="9"/>
        <v>3</v>
      </c>
      <c r="K103" s="382">
        <f t="shared" si="8"/>
        <v>45</v>
      </c>
      <c r="L103" s="646">
        <f>IFERROR(IF(B103="funkcna poziadavka",VLOOKUP(G103,MODULY_CBA!$B$3:$E$23,4,0)*H103/SUMIFS($H$3:$H$199,$G$3:$G$199,G103,$B$3:$B$199,B103),),)</f>
        <v>0.86842105263157898</v>
      </c>
      <c r="M103" s="382">
        <f>IFERROR(IF(B103="Funkcna poziadavka",VLOOKUP(G103,MODULY_CBA!$B$3:$E$23,3,0),),)</f>
        <v>1.085</v>
      </c>
      <c r="N103" s="382">
        <f>IFERROR(IF(B103="funkcna poziadavka",VLOOKUP(G103,MODULY_CBA!$B$3:$E$23,2,0),),)</f>
        <v>1.1400000000000001</v>
      </c>
      <c r="O103" s="381">
        <f t="shared" si="10"/>
        <v>56.734650000000002</v>
      </c>
      <c r="P103" s="380">
        <f>IFERROR(O103*VLOOKUP(G103,MODULY_CBA!$B$3:$F$23,5,0),)</f>
        <v>1702.0395000000001</v>
      </c>
      <c r="Q103" s="482" t="str">
        <f>IFERROR(VLOOKUP(G103,MODULY_CBA!$B$3:$I$23,6,0),"")</f>
        <v>Inkrement 1</v>
      </c>
      <c r="R103" s="388"/>
      <c r="S103" s="388"/>
      <c r="T103" s="388"/>
      <c r="U103" s="388"/>
      <c r="V103" s="388"/>
      <c r="W103" s="388"/>
      <c r="X103" s="388"/>
      <c r="Y103" s="388"/>
      <c r="Z103" s="388"/>
      <c r="AA103" s="388"/>
      <c r="AB103" s="388"/>
      <c r="AC103" s="388"/>
      <c r="AD103" s="388"/>
      <c r="AE103" s="388"/>
    </row>
    <row r="104" spans="1:31" ht="52">
      <c r="A104" s="668" t="s">
        <v>802</v>
      </c>
      <c r="B104" s="668" t="s">
        <v>485</v>
      </c>
      <c r="C104" s="673" t="s">
        <v>598</v>
      </c>
      <c r="D104" s="673" t="s">
        <v>803</v>
      </c>
      <c r="E104" s="672" t="s">
        <v>804</v>
      </c>
      <c r="F104" s="671" t="s">
        <v>489</v>
      </c>
      <c r="G104" s="672" t="s">
        <v>263</v>
      </c>
      <c r="H104" s="382">
        <v>3</v>
      </c>
      <c r="I104" s="382">
        <v>15</v>
      </c>
      <c r="J104" s="382">
        <f t="shared" si="9"/>
        <v>3</v>
      </c>
      <c r="K104" s="382">
        <f t="shared" si="8"/>
        <v>45</v>
      </c>
      <c r="L104" s="646">
        <f>IFERROR(IF(B104="funkcna poziadavka",VLOOKUP(G104,MODULY_CBA!$B$3:$E$23,4,0)*H104/SUMIFS($H$3:$H$199,$G$3:$G$199,G104,$B$3:$B$199,B104),),)</f>
        <v>0.86842105263157898</v>
      </c>
      <c r="M104" s="382">
        <f>IFERROR(IF(B104="Funkcna poziadavka",VLOOKUP(G104,MODULY_CBA!$B$3:$E$23,3,0),),)</f>
        <v>1.085</v>
      </c>
      <c r="N104" s="382">
        <f>IFERROR(IF(B104="funkcna poziadavka",VLOOKUP(G104,MODULY_CBA!$B$3:$E$23,2,0),),)</f>
        <v>1.1400000000000001</v>
      </c>
      <c r="O104" s="381">
        <f t="shared" si="10"/>
        <v>56.734650000000002</v>
      </c>
      <c r="P104" s="380">
        <f>IFERROR(O104*VLOOKUP(G104,MODULY_CBA!$B$3:$F$23,5,0),)</f>
        <v>1702.0395000000001</v>
      </c>
      <c r="Q104" s="482" t="str">
        <f>IFERROR(VLOOKUP(G104,MODULY_CBA!$B$3:$I$23,6,0),"")</f>
        <v>Inkrement 1</v>
      </c>
      <c r="R104" s="378"/>
      <c r="S104" s="378"/>
      <c r="T104" s="378"/>
      <c r="U104" s="378"/>
      <c r="V104" s="378"/>
      <c r="W104" s="378"/>
      <c r="X104" s="378"/>
      <c r="Y104" s="378"/>
      <c r="Z104" s="378"/>
      <c r="AA104" s="378"/>
      <c r="AB104" s="378"/>
      <c r="AC104" s="378"/>
      <c r="AD104" s="378"/>
      <c r="AE104" s="378"/>
    </row>
    <row r="105" spans="1:31" ht="104">
      <c r="A105" s="668" t="s">
        <v>805</v>
      </c>
      <c r="B105" s="668" t="s">
        <v>485</v>
      </c>
      <c r="C105" s="673" t="s">
        <v>598</v>
      </c>
      <c r="D105" s="673" t="s">
        <v>806</v>
      </c>
      <c r="E105" s="535" t="s">
        <v>807</v>
      </c>
      <c r="F105" s="671" t="s">
        <v>489</v>
      </c>
      <c r="G105" s="672" t="s">
        <v>265</v>
      </c>
      <c r="H105" s="382">
        <v>3</v>
      </c>
      <c r="I105" s="382">
        <v>15</v>
      </c>
      <c r="J105" s="382">
        <f t="shared" si="9"/>
        <v>3</v>
      </c>
      <c r="K105" s="382">
        <f t="shared" si="8"/>
        <v>45</v>
      </c>
      <c r="L105" s="646">
        <f>IFERROR(IF(B105="funkcna poziadavka",VLOOKUP(G105,MODULY_CBA!$B$3:$E$23,4,0)*H105/SUMIFS($H$3:$H$199,$G$3:$G$199,G105,$B$3:$B$199,B105),),)</f>
        <v>6.6</v>
      </c>
      <c r="M105" s="382">
        <f>IFERROR(IF(B105="Funkcna poziadavka",VLOOKUP(G105,MODULY_CBA!$B$3:$E$23,3,0),),)</f>
        <v>1.085</v>
      </c>
      <c r="N105" s="382">
        <f>IFERROR(IF(B105="funkcna poziadavka",VLOOKUP(G105,MODULY_CBA!$B$3:$E$23,2,0),),)</f>
        <v>1.1400000000000001</v>
      </c>
      <c r="O105" s="381">
        <f t="shared" si="10"/>
        <v>63.824040000000004</v>
      </c>
      <c r="P105" s="380">
        <f>IFERROR(O105*VLOOKUP(G105,MODULY_CBA!$B$3:$F$23,5,0),)</f>
        <v>1914.7212000000002</v>
      </c>
      <c r="Q105" s="482" t="str">
        <f>IFERROR(VLOOKUP(G105,MODULY_CBA!$B$3:$I$23,6,0),"")</f>
        <v>Inkrement 3</v>
      </c>
      <c r="R105" s="378" t="s">
        <v>121</v>
      </c>
      <c r="S105" s="378" t="s">
        <v>121</v>
      </c>
      <c r="T105" s="378" t="s">
        <v>121</v>
      </c>
      <c r="U105" s="378" t="s">
        <v>121</v>
      </c>
      <c r="V105" s="378" t="s">
        <v>121</v>
      </c>
      <c r="W105" s="378" t="s">
        <v>121</v>
      </c>
      <c r="X105" s="378" t="s">
        <v>121</v>
      </c>
      <c r="Y105" s="378" t="s">
        <v>121</v>
      </c>
      <c r="Z105" s="378" t="s">
        <v>121</v>
      </c>
      <c r="AA105" s="378" t="s">
        <v>121</v>
      </c>
      <c r="AB105" s="378" t="s">
        <v>121</v>
      </c>
      <c r="AC105" s="378" t="s">
        <v>121</v>
      </c>
      <c r="AD105" s="378" t="s">
        <v>121</v>
      </c>
      <c r="AE105" s="378" t="s">
        <v>121</v>
      </c>
    </row>
    <row r="106" spans="1:31" ht="65">
      <c r="A106" s="668" t="s">
        <v>808</v>
      </c>
      <c r="B106" s="668" t="s">
        <v>485</v>
      </c>
      <c r="C106" s="673" t="s">
        <v>598</v>
      </c>
      <c r="D106" s="673" t="s">
        <v>809</v>
      </c>
      <c r="E106" s="672" t="s">
        <v>810</v>
      </c>
      <c r="F106" s="671" t="s">
        <v>489</v>
      </c>
      <c r="G106" s="672" t="s">
        <v>263</v>
      </c>
      <c r="H106" s="382">
        <v>3</v>
      </c>
      <c r="I106" s="382">
        <v>15</v>
      </c>
      <c r="J106" s="382">
        <f t="shared" si="9"/>
        <v>3</v>
      </c>
      <c r="K106" s="382">
        <f t="shared" si="8"/>
        <v>45</v>
      </c>
      <c r="L106" s="646">
        <f>IFERROR(IF(B106="funkcna poziadavka",VLOOKUP(G106,MODULY_CBA!$B$3:$E$23,4,0)*H106/SUMIFS($H$3:$H$199,$G$3:$G$199,G106,$B$3:$B$199,B106),),)</f>
        <v>0.86842105263157898</v>
      </c>
      <c r="M106" s="382">
        <f>IFERROR(IF(B106="Funkcna poziadavka",VLOOKUP(G106,MODULY_CBA!$B$3:$E$23,3,0),),)</f>
        <v>1.085</v>
      </c>
      <c r="N106" s="382">
        <f>IFERROR(IF(B106="funkcna poziadavka",VLOOKUP(G106,MODULY_CBA!$B$3:$E$23,2,0),),)</f>
        <v>1.1400000000000001</v>
      </c>
      <c r="O106" s="381">
        <f t="shared" si="10"/>
        <v>56.734650000000002</v>
      </c>
      <c r="P106" s="380">
        <f>IFERROR(O106*VLOOKUP(G106,MODULY_CBA!$B$3:$F$23,5,0),)</f>
        <v>1702.0395000000001</v>
      </c>
      <c r="Q106" s="482" t="str">
        <f>IFERROR(VLOOKUP(G106,MODULY_CBA!$B$3:$I$23,6,0),"")</f>
        <v>Inkrement 1</v>
      </c>
      <c r="R106" s="378" t="s">
        <v>121</v>
      </c>
      <c r="S106" s="378" t="s">
        <v>121</v>
      </c>
      <c r="T106" s="378" t="s">
        <v>121</v>
      </c>
      <c r="U106" s="378" t="s">
        <v>121</v>
      </c>
      <c r="V106" s="378" t="s">
        <v>121</v>
      </c>
      <c r="W106" s="378" t="s">
        <v>121</v>
      </c>
      <c r="X106" s="378" t="s">
        <v>121</v>
      </c>
      <c r="Y106" s="378" t="s">
        <v>121</v>
      </c>
      <c r="Z106" s="378" t="s">
        <v>121</v>
      </c>
      <c r="AA106" s="378" t="s">
        <v>121</v>
      </c>
      <c r="AB106" s="378" t="s">
        <v>121</v>
      </c>
      <c r="AC106" s="378" t="s">
        <v>121</v>
      </c>
      <c r="AD106" s="378" t="s">
        <v>121</v>
      </c>
      <c r="AE106" s="378" t="s">
        <v>121</v>
      </c>
    </row>
    <row r="107" spans="1:31" ht="65">
      <c r="A107" s="667" t="s">
        <v>811</v>
      </c>
      <c r="B107" s="667" t="s">
        <v>485</v>
      </c>
      <c r="C107" s="669" t="s">
        <v>598</v>
      </c>
      <c r="D107" s="669" t="s">
        <v>812</v>
      </c>
      <c r="E107" s="670" t="s">
        <v>813</v>
      </c>
      <c r="F107" s="671" t="s">
        <v>489</v>
      </c>
      <c r="G107" s="670" t="s">
        <v>261</v>
      </c>
      <c r="H107" s="382">
        <v>3</v>
      </c>
      <c r="I107" s="382">
        <v>15</v>
      </c>
      <c r="J107" s="382">
        <f t="shared" si="9"/>
        <v>3</v>
      </c>
      <c r="K107" s="382">
        <f t="shared" si="8"/>
        <v>45</v>
      </c>
      <c r="L107" s="646">
        <f>IFERROR(IF(B107="funkcna poziadavka",VLOOKUP(G107,MODULY_CBA!$B$3:$E$23,4,0)*H107/SUMIFS($H$3:$H$199,$G$3:$G$199,G107,$B$3:$B$199,B107),),)</f>
        <v>3.6666666666666665</v>
      </c>
      <c r="M107" s="382">
        <f>IFERROR(IF(B107="Funkcna poziadavka",VLOOKUP(G107,MODULY_CBA!$B$3:$E$23,3,0),),)</f>
        <v>1.085</v>
      </c>
      <c r="N107" s="382">
        <f>IFERROR(IF(B107="funkcna poziadavka",VLOOKUP(G107,MODULY_CBA!$B$3:$E$23,2,0),),)</f>
        <v>1.1400000000000001</v>
      </c>
      <c r="O107" s="381">
        <f t="shared" si="10"/>
        <v>60.195799999999998</v>
      </c>
      <c r="P107" s="380">
        <f>IFERROR(O107*VLOOKUP(G107,MODULY_CBA!$B$3:$F$23,5,0),)</f>
        <v>1805.874</v>
      </c>
      <c r="Q107" s="482" t="str">
        <f>IFERROR(VLOOKUP(G107,MODULY_CBA!$B$3:$I$23,6,0),"")</f>
        <v>Inkrement 3</v>
      </c>
      <c r="R107" s="385" t="s">
        <v>121</v>
      </c>
      <c r="S107" s="385" t="s">
        <v>121</v>
      </c>
      <c r="T107" s="385" t="s">
        <v>121</v>
      </c>
      <c r="U107" s="385" t="s">
        <v>121</v>
      </c>
      <c r="V107" s="385" t="s">
        <v>121</v>
      </c>
      <c r="W107" s="385" t="s">
        <v>121</v>
      </c>
      <c r="X107" s="385" t="s">
        <v>121</v>
      </c>
      <c r="Y107" s="385" t="s">
        <v>121</v>
      </c>
      <c r="Z107" s="385" t="s">
        <v>121</v>
      </c>
      <c r="AA107" s="385" t="s">
        <v>121</v>
      </c>
      <c r="AB107" s="385" t="s">
        <v>121</v>
      </c>
      <c r="AC107" s="385" t="s">
        <v>121</v>
      </c>
      <c r="AD107" s="385" t="s">
        <v>121</v>
      </c>
      <c r="AE107" s="385" t="s">
        <v>121</v>
      </c>
    </row>
    <row r="108" spans="1:31" ht="91">
      <c r="A108" s="667" t="s">
        <v>814</v>
      </c>
      <c r="B108" s="667" t="s">
        <v>485</v>
      </c>
      <c r="C108" s="669" t="s">
        <v>598</v>
      </c>
      <c r="D108" s="669" t="s">
        <v>815</v>
      </c>
      <c r="E108" s="670" t="s">
        <v>816</v>
      </c>
      <c r="F108" s="671" t="s">
        <v>489</v>
      </c>
      <c r="G108" s="670" t="s">
        <v>261</v>
      </c>
      <c r="H108" s="382">
        <v>3</v>
      </c>
      <c r="I108" s="382">
        <v>15</v>
      </c>
      <c r="J108" s="382">
        <f t="shared" si="9"/>
        <v>3</v>
      </c>
      <c r="K108" s="382">
        <f t="shared" si="8"/>
        <v>45</v>
      </c>
      <c r="L108" s="646">
        <f>IFERROR(IF(B108="funkcna poziadavka",VLOOKUP(G108,MODULY_CBA!$B$3:$E$23,4,0)*H108/SUMIFS($H$3:$H$199,$G$3:$G$199,G108,$B$3:$B$199,B108),),)</f>
        <v>3.6666666666666665</v>
      </c>
      <c r="M108" s="382">
        <f>IFERROR(IF(B108="Funkcna poziadavka",VLOOKUP(G108,MODULY_CBA!$B$3:$E$23,3,0),),)</f>
        <v>1.085</v>
      </c>
      <c r="N108" s="382">
        <f>IFERROR(IF(B108="funkcna poziadavka",VLOOKUP(G108,MODULY_CBA!$B$3:$E$23,2,0),),)</f>
        <v>1.1400000000000001</v>
      </c>
      <c r="O108" s="381">
        <f t="shared" si="10"/>
        <v>60.195799999999998</v>
      </c>
      <c r="P108" s="380">
        <f>IFERROR(O108*VLOOKUP(G108,MODULY_CBA!$B$3:$F$23,5,0),)</f>
        <v>1805.874</v>
      </c>
      <c r="Q108" s="482" t="str">
        <f>IFERROR(VLOOKUP(G108,MODULY_CBA!$B$3:$I$23,6,0),"")</f>
        <v>Inkrement 3</v>
      </c>
      <c r="R108" s="385"/>
      <c r="S108" s="385"/>
      <c r="T108" s="385"/>
      <c r="U108" s="385"/>
      <c r="V108" s="385"/>
      <c r="W108" s="385"/>
      <c r="X108" s="385"/>
      <c r="Y108" s="385"/>
      <c r="Z108" s="385"/>
      <c r="AA108" s="385"/>
      <c r="AB108" s="385"/>
      <c r="AC108" s="385"/>
      <c r="AD108" s="385"/>
      <c r="AE108" s="385"/>
    </row>
    <row r="109" spans="1:31" ht="78">
      <c r="A109" s="667" t="s">
        <v>817</v>
      </c>
      <c r="B109" s="667" t="s">
        <v>485</v>
      </c>
      <c r="C109" s="669" t="s">
        <v>598</v>
      </c>
      <c r="D109" s="669" t="s">
        <v>818</v>
      </c>
      <c r="E109" s="670" t="s">
        <v>819</v>
      </c>
      <c r="F109" s="671" t="s">
        <v>489</v>
      </c>
      <c r="G109" s="670" t="s">
        <v>251</v>
      </c>
      <c r="H109" s="382">
        <v>3</v>
      </c>
      <c r="I109" s="382">
        <v>15</v>
      </c>
      <c r="J109" s="382">
        <f t="shared" si="9"/>
        <v>3</v>
      </c>
      <c r="K109" s="382">
        <f t="shared" si="8"/>
        <v>45</v>
      </c>
      <c r="L109" s="646">
        <f>IFERROR(IF(B109="funkcna poziadavka",VLOOKUP(G109,MODULY_CBA!$B$3:$E$23,4,0)*H109/SUMIFS($H$3:$H$199,$G$3:$G$199,G109,$B$3:$B$199,B109),),)</f>
        <v>3.3</v>
      </c>
      <c r="M109" s="382">
        <f>IFERROR(IF(B109="Funkcna poziadavka",VLOOKUP(G109,MODULY_CBA!$B$3:$E$23,3,0),),)</f>
        <v>1.085</v>
      </c>
      <c r="N109" s="382">
        <f>IFERROR(IF(B109="funkcna poziadavka",VLOOKUP(G109,MODULY_CBA!$B$3:$E$23,2,0),),)</f>
        <v>1.1400000000000001</v>
      </c>
      <c r="O109" s="381">
        <f t="shared" si="10"/>
        <v>59.742270000000005</v>
      </c>
      <c r="P109" s="380">
        <f>IFERROR(O109*VLOOKUP(G109,MODULY_CBA!$B$3:$F$23,5,0),)</f>
        <v>1792.2681000000002</v>
      </c>
      <c r="Q109" s="482" t="str">
        <f>IFERROR(VLOOKUP(G109,MODULY_CBA!$B$3:$I$23,6,0),"")</f>
        <v>Inkrement 3</v>
      </c>
      <c r="R109" s="385"/>
      <c r="S109" s="385"/>
      <c r="T109" s="385"/>
      <c r="U109" s="385"/>
      <c r="V109" s="385"/>
      <c r="W109" s="385"/>
      <c r="X109" s="385"/>
      <c r="Y109" s="385"/>
      <c r="Z109" s="385"/>
      <c r="AA109" s="385"/>
      <c r="AB109" s="385"/>
      <c r="AC109" s="385"/>
      <c r="AD109" s="385"/>
      <c r="AE109" s="385"/>
    </row>
    <row r="110" spans="1:31" ht="78">
      <c r="A110" s="667" t="s">
        <v>820</v>
      </c>
      <c r="B110" s="404" t="s">
        <v>485</v>
      </c>
      <c r="C110" s="535" t="s">
        <v>598</v>
      </c>
      <c r="D110" s="535" t="s">
        <v>821</v>
      </c>
      <c r="E110" s="535" t="s">
        <v>822</v>
      </c>
      <c r="F110" s="686" t="s">
        <v>489</v>
      </c>
      <c r="G110" s="392" t="s">
        <v>251</v>
      </c>
      <c r="H110" s="382">
        <v>3</v>
      </c>
      <c r="I110" s="382">
        <v>15</v>
      </c>
      <c r="J110" s="382">
        <f t="shared" si="9"/>
        <v>3</v>
      </c>
      <c r="K110" s="382">
        <f t="shared" si="8"/>
        <v>45</v>
      </c>
      <c r="L110" s="646">
        <f>IFERROR(IF(B110="funkcna poziadavka",VLOOKUP(G110,MODULY_CBA!$B$3:$E$23,4,0)*H110/SUMIFS($H$3:$H$199,$G$3:$G$199,G110,$B$3:$B$199,B110),),)</f>
        <v>3.3</v>
      </c>
      <c r="M110" s="382">
        <f>IFERROR(IF(B110="Funkcna poziadavka",VLOOKUP(G110,MODULY_CBA!$B$3:$E$23,3,0),),)</f>
        <v>1.085</v>
      </c>
      <c r="N110" s="382">
        <f>IFERROR(IF(B110="funkcna poziadavka",VLOOKUP(G110,MODULY_CBA!$B$3:$E$23,2,0),),)</f>
        <v>1.1400000000000001</v>
      </c>
      <c r="O110" s="381">
        <f t="shared" si="10"/>
        <v>59.742270000000005</v>
      </c>
      <c r="P110" s="380">
        <f>IFERROR(O110*VLOOKUP(G110,MODULY_CBA!$B$3:$F$23,5,0),)</f>
        <v>1792.2681000000002</v>
      </c>
      <c r="Q110" s="482" t="str">
        <f>IFERROR(VLOOKUP(G110,MODULY_CBA!$B$3:$I$23,6,0),"")</f>
        <v>Inkrement 3</v>
      </c>
      <c r="R110" s="385"/>
      <c r="S110" s="385"/>
      <c r="T110" s="385"/>
      <c r="U110" s="385"/>
      <c r="V110" s="385"/>
      <c r="W110" s="385"/>
      <c r="X110" s="385"/>
      <c r="Y110" s="385"/>
      <c r="Z110" s="385"/>
      <c r="AA110" s="385"/>
      <c r="AB110" s="385"/>
      <c r="AC110" s="385"/>
      <c r="AD110" s="385"/>
      <c r="AE110" s="385"/>
    </row>
    <row r="111" spans="1:31" ht="78">
      <c r="A111" s="667" t="s">
        <v>823</v>
      </c>
      <c r="B111" s="667" t="s">
        <v>485</v>
      </c>
      <c r="C111" s="669" t="s">
        <v>491</v>
      </c>
      <c r="D111" s="669" t="s">
        <v>824</v>
      </c>
      <c r="E111" s="670" t="s">
        <v>825</v>
      </c>
      <c r="F111" s="671" t="s">
        <v>489</v>
      </c>
      <c r="G111" s="670" t="s">
        <v>265</v>
      </c>
      <c r="H111" s="382">
        <v>3</v>
      </c>
      <c r="I111" s="382">
        <v>15</v>
      </c>
      <c r="J111" s="382">
        <f t="shared" si="9"/>
        <v>3</v>
      </c>
      <c r="K111" s="382">
        <f t="shared" si="8"/>
        <v>45</v>
      </c>
      <c r="L111" s="646">
        <f>IFERROR(IF(B111="funkcna poziadavka",VLOOKUP(G111,MODULY_CBA!$B$3:$E$23,4,0)*H111/SUMIFS($H$3:$H$199,$G$3:$G$199,G111,$B$3:$B$199,B111),),)</f>
        <v>6.6</v>
      </c>
      <c r="M111" s="382">
        <f>IFERROR(IF(B111="Funkcna poziadavka",VLOOKUP(G111,MODULY_CBA!$B$3:$E$23,3,0),),)</f>
        <v>1.085</v>
      </c>
      <c r="N111" s="382">
        <f>IFERROR(IF(B111="funkcna poziadavka",VLOOKUP(G111,MODULY_CBA!$B$3:$E$23,2,0),),)</f>
        <v>1.1400000000000001</v>
      </c>
      <c r="O111" s="381">
        <f t="shared" si="10"/>
        <v>63.824040000000004</v>
      </c>
      <c r="P111" s="380">
        <f>IFERROR(O111*VLOOKUP(G111,MODULY_CBA!$B$3:$F$23,5,0),)</f>
        <v>1914.7212000000002</v>
      </c>
      <c r="Q111" s="482" t="str">
        <f>IFERROR(VLOOKUP(G111,MODULY_CBA!$B$3:$I$23,6,0),"")</f>
        <v>Inkrement 3</v>
      </c>
      <c r="R111" s="385"/>
      <c r="S111" s="385"/>
      <c r="T111" s="385"/>
      <c r="U111" s="385"/>
      <c r="V111" s="385"/>
      <c r="W111" s="385"/>
      <c r="X111" s="385"/>
      <c r="Y111" s="385"/>
      <c r="Z111" s="385"/>
      <c r="AA111" s="385"/>
      <c r="AB111" s="385"/>
      <c r="AC111" s="385"/>
      <c r="AD111" s="385"/>
      <c r="AE111" s="385"/>
    </row>
    <row r="112" spans="1:31" ht="52">
      <c r="A112" s="667" t="s">
        <v>826</v>
      </c>
      <c r="B112" s="667" t="s">
        <v>485</v>
      </c>
      <c r="C112" s="669" t="s">
        <v>598</v>
      </c>
      <c r="D112" s="669" t="s">
        <v>827</v>
      </c>
      <c r="E112" s="670" t="s">
        <v>828</v>
      </c>
      <c r="F112" s="671" t="s">
        <v>489</v>
      </c>
      <c r="G112" s="670" t="s">
        <v>251</v>
      </c>
      <c r="H112" s="382">
        <v>3</v>
      </c>
      <c r="I112" s="382">
        <v>15</v>
      </c>
      <c r="J112" s="382">
        <f t="shared" si="9"/>
        <v>3</v>
      </c>
      <c r="K112" s="382">
        <f t="shared" si="8"/>
        <v>45</v>
      </c>
      <c r="L112" s="646">
        <f>IFERROR(IF(B112="funkcna poziadavka",VLOOKUP(G112,MODULY_CBA!$B$3:$E$23,4,0)*H112/SUMIFS($H$3:$H$199,$G$3:$G$199,G112,$B$3:$B$199,B112),),)</f>
        <v>3.3</v>
      </c>
      <c r="M112" s="382">
        <f>IFERROR(IF(B112="Funkcna poziadavka",VLOOKUP(G112,MODULY_CBA!$B$3:$E$23,3,0),),)</f>
        <v>1.085</v>
      </c>
      <c r="N112" s="382">
        <f>IFERROR(IF(B112="funkcna poziadavka",VLOOKUP(G112,MODULY_CBA!$B$3:$E$23,2,0),),)</f>
        <v>1.1400000000000001</v>
      </c>
      <c r="O112" s="381">
        <f t="shared" si="10"/>
        <v>59.742270000000005</v>
      </c>
      <c r="P112" s="380">
        <f>IFERROR(O112*VLOOKUP(G112,MODULY_CBA!$B$3:$F$23,5,0),)</f>
        <v>1792.2681000000002</v>
      </c>
      <c r="Q112" s="482" t="str">
        <f>IFERROR(VLOOKUP(G112,MODULY_CBA!$B$3:$I$23,6,0),"")</f>
        <v>Inkrement 3</v>
      </c>
      <c r="R112" s="385"/>
      <c r="S112" s="385"/>
      <c r="T112" s="385"/>
      <c r="U112" s="385"/>
      <c r="V112" s="385"/>
      <c r="W112" s="385"/>
      <c r="X112" s="385"/>
      <c r="Y112" s="385"/>
      <c r="Z112" s="385"/>
      <c r="AA112" s="385"/>
      <c r="AB112" s="385"/>
      <c r="AC112" s="385"/>
      <c r="AD112" s="385"/>
      <c r="AE112" s="385"/>
    </row>
    <row r="113" spans="1:31" ht="65">
      <c r="A113" s="667" t="s">
        <v>829</v>
      </c>
      <c r="B113" s="404" t="s">
        <v>485</v>
      </c>
      <c r="C113" s="535" t="s">
        <v>486</v>
      </c>
      <c r="D113" s="535" t="s">
        <v>830</v>
      </c>
      <c r="E113" s="535" t="s">
        <v>831</v>
      </c>
      <c r="F113" s="686" t="s">
        <v>489</v>
      </c>
      <c r="G113" s="392" t="s">
        <v>281</v>
      </c>
      <c r="H113" s="382">
        <v>3</v>
      </c>
      <c r="I113" s="382">
        <v>15</v>
      </c>
      <c r="J113" s="382">
        <f t="shared" si="9"/>
        <v>3</v>
      </c>
      <c r="K113" s="382">
        <f t="shared" si="8"/>
        <v>45</v>
      </c>
      <c r="L113" s="646">
        <f>IFERROR(IF(B113="funkcna poziadavka",VLOOKUP(G113,MODULY_CBA!$B$3:$E$23,4,0)*H113/SUMIFS($H$3:$H$199,$G$3:$G$199,G113,$B$3:$B$199,B113),),)</f>
        <v>0</v>
      </c>
      <c r="M113" s="382">
        <f>IFERROR(IF(B113="Funkcna poziadavka",VLOOKUP(G113,MODULY_CBA!$B$3:$E$23,3,0),),)</f>
        <v>1.085</v>
      </c>
      <c r="N113" s="382">
        <f>IFERROR(IF(B113="funkcna poziadavka",VLOOKUP(G113,MODULY_CBA!$B$3:$E$23,2,0),),)</f>
        <v>1.1400000000000001</v>
      </c>
      <c r="O113" s="381">
        <f t="shared" si="10"/>
        <v>55.660499999999999</v>
      </c>
      <c r="P113" s="380">
        <f>IFERROR(O113*VLOOKUP(G113,MODULY_CBA!$B$3:$F$23,5,0),)</f>
        <v>0</v>
      </c>
      <c r="Q113" s="482">
        <f>IFERROR(VLOOKUP(G113,MODULY_CBA!$B$3:$I$23,6,0),"")</f>
        <v>0</v>
      </c>
      <c r="R113" s="385"/>
      <c r="S113" s="385"/>
      <c r="T113" s="385"/>
      <c r="U113" s="385"/>
      <c r="V113" s="385"/>
      <c r="W113" s="385"/>
      <c r="X113" s="385"/>
      <c r="Y113" s="385"/>
      <c r="Z113" s="385"/>
      <c r="AA113" s="385"/>
      <c r="AB113" s="385"/>
      <c r="AC113" s="385"/>
      <c r="AD113" s="385"/>
      <c r="AE113" s="385"/>
    </row>
    <row r="114" spans="1:31" ht="65">
      <c r="A114" s="667" t="s">
        <v>832</v>
      </c>
      <c r="B114" s="667" t="s">
        <v>485</v>
      </c>
      <c r="C114" s="669" t="s">
        <v>535</v>
      </c>
      <c r="D114" s="669" t="s">
        <v>833</v>
      </c>
      <c r="E114" s="670" t="s">
        <v>834</v>
      </c>
      <c r="F114" s="671" t="s">
        <v>489</v>
      </c>
      <c r="G114" s="670" t="s">
        <v>259</v>
      </c>
      <c r="H114" s="382">
        <v>3</v>
      </c>
      <c r="I114" s="382">
        <v>15</v>
      </c>
      <c r="J114" s="382">
        <f t="shared" si="9"/>
        <v>3</v>
      </c>
      <c r="K114" s="382">
        <f t="shared" si="8"/>
        <v>45</v>
      </c>
      <c r="L114" s="646">
        <f>IFERROR(IF(B114="funkcna poziadavka",VLOOKUP(G114,MODULY_CBA!$B$3:$E$23,4,0)*H114/SUMIFS($H$3:$H$199,$G$3:$G$199,G114,$B$3:$B$199,B114),),)</f>
        <v>0.44594594594594594</v>
      </c>
      <c r="M114" s="382">
        <f>IFERROR(IF(B114="Funkcna poziadavka",VLOOKUP(G114,MODULY_CBA!$B$3:$E$23,3,0),),)</f>
        <v>1.085</v>
      </c>
      <c r="N114" s="382">
        <f>IFERROR(IF(B114="funkcna poziadavka",VLOOKUP(G114,MODULY_CBA!$B$3:$E$23,2,0),),)</f>
        <v>1.1400000000000001</v>
      </c>
      <c r="O114" s="381">
        <f t="shared" si="10"/>
        <v>56.212090540540544</v>
      </c>
      <c r="P114" s="380">
        <f>IFERROR(O114*VLOOKUP(G114,MODULY_CBA!$B$3:$F$23,5,0),)</f>
        <v>1686.3627162162163</v>
      </c>
      <c r="Q114" s="482" t="str">
        <f>IFERROR(VLOOKUP(G114,MODULY_CBA!$B$3:$I$23,6,0),"")</f>
        <v>Inkrement 2</v>
      </c>
      <c r="R114" s="385" t="s">
        <v>121</v>
      </c>
      <c r="S114" s="385" t="s">
        <v>121</v>
      </c>
      <c r="T114" s="385" t="s">
        <v>121</v>
      </c>
      <c r="U114" s="385" t="s">
        <v>121</v>
      </c>
      <c r="V114" s="385" t="s">
        <v>121</v>
      </c>
      <c r="W114" s="385" t="s">
        <v>121</v>
      </c>
      <c r="X114" s="385" t="s">
        <v>121</v>
      </c>
      <c r="Y114" s="385" t="s">
        <v>121</v>
      </c>
      <c r="Z114" s="385" t="s">
        <v>121</v>
      </c>
      <c r="AA114" s="385" t="s">
        <v>121</v>
      </c>
      <c r="AB114" s="385" t="s">
        <v>121</v>
      </c>
      <c r="AC114" s="385" t="s">
        <v>121</v>
      </c>
      <c r="AD114" s="385" t="s">
        <v>121</v>
      </c>
      <c r="AE114" s="385" t="s">
        <v>121</v>
      </c>
    </row>
    <row r="115" spans="1:31" ht="143">
      <c r="A115" s="667" t="s">
        <v>835</v>
      </c>
      <c r="B115" s="667" t="s">
        <v>485</v>
      </c>
      <c r="C115" s="669" t="s">
        <v>575</v>
      </c>
      <c r="D115" s="669" t="s">
        <v>836</v>
      </c>
      <c r="E115" s="670" t="s">
        <v>837</v>
      </c>
      <c r="F115" s="671" t="s">
        <v>489</v>
      </c>
      <c r="G115" s="670" t="s">
        <v>269</v>
      </c>
      <c r="H115" s="382">
        <v>3</v>
      </c>
      <c r="I115" s="382">
        <v>15</v>
      </c>
      <c r="J115" s="382">
        <f t="shared" si="9"/>
        <v>3</v>
      </c>
      <c r="K115" s="382">
        <f t="shared" si="8"/>
        <v>45</v>
      </c>
      <c r="L115" s="646">
        <f>IFERROR(IF(B115="funkcna poziadavka",VLOOKUP(G115,MODULY_CBA!$B$3:$E$23,4,0)*H115/SUMIFS($H$3:$H$199,$G$3:$G$199,G115,$B$3:$B$199,B115),),)</f>
        <v>3</v>
      </c>
      <c r="M115" s="382">
        <f>IFERROR(IF(B115="Funkcna poziadavka",VLOOKUP(G115,MODULY_CBA!$B$3:$E$23,3,0),),)</f>
        <v>1.085</v>
      </c>
      <c r="N115" s="382">
        <f>IFERROR(IF(B115="funkcna poziadavka",VLOOKUP(G115,MODULY_CBA!$B$3:$E$23,2,0),),)</f>
        <v>1.1400000000000001</v>
      </c>
      <c r="O115" s="381">
        <f t="shared" si="10"/>
        <v>59.371200000000002</v>
      </c>
      <c r="P115" s="380">
        <f>IFERROR(O115*VLOOKUP(G115,MODULY_CBA!$B$3:$F$23,5,0),)</f>
        <v>1781.136</v>
      </c>
      <c r="Q115" s="482" t="str">
        <f>IFERROR(VLOOKUP(G115,MODULY_CBA!$B$3:$I$23,6,0),"")</f>
        <v>Inkrement 1</v>
      </c>
      <c r="R115" s="385"/>
      <c r="S115" s="385"/>
      <c r="T115" s="385"/>
      <c r="U115" s="385"/>
      <c r="V115" s="385"/>
      <c r="W115" s="385"/>
      <c r="X115" s="385"/>
      <c r="Y115" s="385"/>
      <c r="Z115" s="385"/>
      <c r="AA115" s="385"/>
      <c r="AB115" s="385"/>
      <c r="AC115" s="385"/>
      <c r="AD115" s="385"/>
      <c r="AE115" s="385"/>
    </row>
    <row r="116" spans="1:31" ht="104">
      <c r="A116" s="667" t="s">
        <v>838</v>
      </c>
      <c r="B116" s="667" t="s">
        <v>485</v>
      </c>
      <c r="C116" s="669" t="s">
        <v>535</v>
      </c>
      <c r="D116" s="669" t="s">
        <v>839</v>
      </c>
      <c r="E116" s="670" t="s">
        <v>840</v>
      </c>
      <c r="F116" s="671" t="s">
        <v>489</v>
      </c>
      <c r="G116" s="670" t="s">
        <v>267</v>
      </c>
      <c r="H116" s="382">
        <v>3</v>
      </c>
      <c r="I116" s="382">
        <v>15</v>
      </c>
      <c r="J116" s="382">
        <f t="shared" si="9"/>
        <v>3</v>
      </c>
      <c r="K116" s="382">
        <f t="shared" si="8"/>
        <v>45</v>
      </c>
      <c r="L116" s="646">
        <f>IFERROR(IF(B116="funkcna poziadavka",VLOOKUP(G116,MODULY_CBA!$B$3:$E$23,4,0)*H116/SUMIFS($H$3:$H$199,$G$3:$G$199,G116,$B$3:$B$199,B116),),)</f>
        <v>1.064516129032258</v>
      </c>
      <c r="M116" s="382">
        <f>IFERROR(IF(B116="Funkcna poziadavka",VLOOKUP(G116,MODULY_CBA!$B$3:$E$23,3,0),),)</f>
        <v>1.085</v>
      </c>
      <c r="N116" s="382">
        <f>IFERROR(IF(B116="funkcna poziadavka",VLOOKUP(G116,MODULY_CBA!$B$3:$E$23,2,0),),)</f>
        <v>1.1400000000000001</v>
      </c>
      <c r="O116" s="381">
        <f t="shared" si="10"/>
        <v>56.977200000000003</v>
      </c>
      <c r="P116" s="380">
        <f>IFERROR(O116*VLOOKUP(G116,MODULY_CBA!$B$3:$F$23,5,0),)</f>
        <v>1709.316</v>
      </c>
      <c r="Q116" s="482" t="str">
        <f>IFERROR(VLOOKUP(G116,MODULY_CBA!$B$3:$I$23,6,0),"")</f>
        <v>Inkrement 2</v>
      </c>
      <c r="R116" s="385"/>
      <c r="S116" s="385"/>
      <c r="T116" s="385"/>
      <c r="U116" s="385"/>
      <c r="V116" s="385"/>
      <c r="W116" s="385"/>
      <c r="X116" s="385"/>
      <c r="Y116" s="385"/>
      <c r="Z116" s="385"/>
      <c r="AA116" s="385"/>
      <c r="AB116" s="385"/>
      <c r="AC116" s="385"/>
      <c r="AD116" s="385"/>
      <c r="AE116" s="385"/>
    </row>
    <row r="117" spans="1:31" ht="39">
      <c r="A117" s="667" t="s">
        <v>841</v>
      </c>
      <c r="B117" s="404" t="s">
        <v>485</v>
      </c>
      <c r="C117" s="535" t="s">
        <v>842</v>
      </c>
      <c r="D117" s="535" t="s">
        <v>843</v>
      </c>
      <c r="E117" s="535" t="s">
        <v>844</v>
      </c>
      <c r="F117" s="686" t="s">
        <v>489</v>
      </c>
      <c r="G117" s="392" t="s">
        <v>277</v>
      </c>
      <c r="H117" s="382">
        <v>3</v>
      </c>
      <c r="I117" s="382">
        <v>15</v>
      </c>
      <c r="J117" s="382">
        <f t="shared" si="9"/>
        <v>3</v>
      </c>
      <c r="K117" s="382">
        <f t="shared" si="8"/>
        <v>45</v>
      </c>
      <c r="L117" s="646">
        <f>IFERROR(IF(B117="funkcna poziadavka",VLOOKUP(G117,MODULY_CBA!$B$3:$E$23,4,0)*H117/SUMIFS($H$3:$H$199,$G$3:$G$199,G117,$B$3:$B$199,B117),),)</f>
        <v>0</v>
      </c>
      <c r="M117" s="382">
        <f>IFERROR(IF(B117="Funkcna poziadavka",VLOOKUP(G117,MODULY_CBA!$B$3:$E$23,3,0),),)</f>
        <v>1.085</v>
      </c>
      <c r="N117" s="382">
        <f>IFERROR(IF(B117="funkcna poziadavka",VLOOKUP(G117,MODULY_CBA!$B$3:$E$23,2,0),),)</f>
        <v>1.1400000000000001</v>
      </c>
      <c r="O117" s="381">
        <f t="shared" si="10"/>
        <v>55.660499999999999</v>
      </c>
      <c r="P117" s="380">
        <f>IFERROR(O117*VLOOKUP(G117,MODULY_CBA!$B$3:$F$23,5,0),)</f>
        <v>0</v>
      </c>
      <c r="Q117" s="482">
        <f>IFERROR(VLOOKUP(G117,MODULY_CBA!$B$3:$I$23,6,0),"")</f>
        <v>0</v>
      </c>
      <c r="R117" s="385"/>
      <c r="S117" s="385"/>
      <c r="T117" s="385"/>
      <c r="U117" s="385"/>
      <c r="V117" s="385"/>
      <c r="W117" s="385"/>
      <c r="X117" s="385"/>
      <c r="Y117" s="385"/>
      <c r="Z117" s="385"/>
      <c r="AA117" s="385"/>
      <c r="AB117" s="385"/>
      <c r="AC117" s="385"/>
      <c r="AD117" s="385"/>
      <c r="AE117" s="385"/>
    </row>
    <row r="118" spans="1:31" ht="52">
      <c r="A118" s="667" t="s">
        <v>845</v>
      </c>
      <c r="B118" s="404" t="s">
        <v>485</v>
      </c>
      <c r="C118" s="535" t="s">
        <v>495</v>
      </c>
      <c r="D118" s="535" t="s">
        <v>846</v>
      </c>
      <c r="E118" s="535" t="s">
        <v>847</v>
      </c>
      <c r="F118" s="686" t="s">
        <v>489</v>
      </c>
      <c r="G118" s="392" t="s">
        <v>277</v>
      </c>
      <c r="H118" s="382">
        <v>3</v>
      </c>
      <c r="I118" s="382">
        <v>15</v>
      </c>
      <c r="J118" s="382">
        <f t="shared" si="9"/>
        <v>3</v>
      </c>
      <c r="K118" s="382">
        <f t="shared" si="8"/>
        <v>45</v>
      </c>
      <c r="L118" s="646">
        <f>IFERROR(IF(B118="funkcna poziadavka",VLOOKUP(G118,MODULY_CBA!$B$3:$E$23,4,0)*H118/SUMIFS($H$3:$H$199,$G$3:$G$199,G118,$B$3:$B$199,B118),),)</f>
        <v>0</v>
      </c>
      <c r="M118" s="382">
        <f>IFERROR(IF(B118="Funkcna poziadavka",VLOOKUP(G118,MODULY_CBA!$B$3:$E$23,3,0),),)</f>
        <v>1.085</v>
      </c>
      <c r="N118" s="382">
        <f>IFERROR(IF(B118="funkcna poziadavka",VLOOKUP(G118,MODULY_CBA!$B$3:$E$23,2,0),),)</f>
        <v>1.1400000000000001</v>
      </c>
      <c r="O118" s="381">
        <f t="shared" si="10"/>
        <v>55.660499999999999</v>
      </c>
      <c r="P118" s="380">
        <f>IFERROR(O118*VLOOKUP(G118,MODULY_CBA!$B$3:$F$23,5,0),)</f>
        <v>0</v>
      </c>
      <c r="Q118" s="482">
        <f>IFERROR(VLOOKUP(G118,MODULY_CBA!$B$3:$I$23,6,0),"")</f>
        <v>0</v>
      </c>
      <c r="R118" s="385"/>
      <c r="S118" s="385"/>
      <c r="T118" s="385"/>
      <c r="U118" s="385"/>
      <c r="V118" s="385"/>
      <c r="W118" s="385"/>
      <c r="X118" s="385"/>
      <c r="Y118" s="385"/>
      <c r="Z118" s="385"/>
      <c r="AA118" s="385"/>
      <c r="AB118" s="385"/>
      <c r="AC118" s="385"/>
      <c r="AD118" s="385"/>
      <c r="AE118" s="385"/>
    </row>
    <row r="119" spans="1:31" ht="12.75" customHeight="1">
      <c r="A119" s="667" t="s">
        <v>848</v>
      </c>
      <c r="B119" s="667" t="s">
        <v>485</v>
      </c>
      <c r="C119" s="669" t="s">
        <v>513</v>
      </c>
      <c r="D119" s="669" t="s">
        <v>849</v>
      </c>
      <c r="E119" s="392" t="s">
        <v>850</v>
      </c>
      <c r="F119" s="671" t="s">
        <v>489</v>
      </c>
      <c r="G119" s="670" t="s">
        <v>259</v>
      </c>
      <c r="H119" s="382">
        <v>3</v>
      </c>
      <c r="I119" s="382">
        <v>15</v>
      </c>
      <c r="J119" s="382">
        <f t="shared" si="9"/>
        <v>3</v>
      </c>
      <c r="K119" s="382">
        <f t="shared" si="8"/>
        <v>45</v>
      </c>
      <c r="L119" s="646">
        <f>IFERROR(IF(B119="funkcna poziadavka",VLOOKUP(G119,MODULY_CBA!$B$3:$E$23,4,0)*H119/SUMIFS($H$3:$H$199,$G$3:$G$199,G119,$B$3:$B$199,B119),),)</f>
        <v>0.44594594594594594</v>
      </c>
      <c r="M119" s="382">
        <f>IFERROR(IF(B119="Funkcna poziadavka",VLOOKUP(G119,MODULY_CBA!$B$3:$E$23,3,0),),)</f>
        <v>1.085</v>
      </c>
      <c r="N119" s="382">
        <f>IFERROR(IF(B119="funkcna poziadavka",VLOOKUP(G119,MODULY_CBA!$B$3:$E$23,2,0),),)</f>
        <v>1.1400000000000001</v>
      </c>
      <c r="O119" s="381">
        <f t="shared" si="10"/>
        <v>56.212090540540544</v>
      </c>
      <c r="P119" s="380">
        <f>IFERROR(O119*VLOOKUP(G119,MODULY_CBA!$B$3:$F$23,5,0),)</f>
        <v>1686.3627162162163</v>
      </c>
      <c r="Q119" s="482" t="str">
        <f>IFERROR(VLOOKUP(G119,MODULY_CBA!$B$3:$I$23,6,0),"")</f>
        <v>Inkrement 2</v>
      </c>
      <c r="R119" s="385"/>
      <c r="S119" s="385"/>
      <c r="T119" s="385"/>
      <c r="U119" s="385"/>
      <c r="V119" s="385"/>
      <c r="W119" s="385"/>
      <c r="X119" s="385"/>
      <c r="Y119" s="385"/>
      <c r="Z119" s="385"/>
      <c r="AA119" s="385"/>
      <c r="AB119" s="385"/>
      <c r="AC119" s="385"/>
      <c r="AD119" s="385"/>
      <c r="AE119" s="385"/>
    </row>
    <row r="120" spans="1:31" ht="39">
      <c r="A120" s="667" t="s">
        <v>851</v>
      </c>
      <c r="B120" s="667" t="s">
        <v>485</v>
      </c>
      <c r="C120" s="669" t="s">
        <v>491</v>
      </c>
      <c r="D120" s="669" t="s">
        <v>852</v>
      </c>
      <c r="E120" s="670" t="s">
        <v>853</v>
      </c>
      <c r="F120" s="671" t="s">
        <v>489</v>
      </c>
      <c r="G120" s="670" t="s">
        <v>255</v>
      </c>
      <c r="H120" s="382">
        <v>3</v>
      </c>
      <c r="I120" s="382">
        <v>15</v>
      </c>
      <c r="J120" s="382">
        <f t="shared" si="9"/>
        <v>3</v>
      </c>
      <c r="K120" s="382">
        <f t="shared" si="8"/>
        <v>45</v>
      </c>
      <c r="L120" s="646">
        <f>IFERROR(IF(B120="funkcna poziadavka",VLOOKUP(G120,MODULY_CBA!$B$3:$E$23,4,0)*H120/SUMIFS($H$3:$H$199,$G$3:$G$199,G120,$B$3:$B$199,B120),),)</f>
        <v>16.5</v>
      </c>
      <c r="M120" s="382">
        <f>IFERROR(IF(B120="Funkcna poziadavka",VLOOKUP(G120,MODULY_CBA!$B$3:$E$23,3,0),),)</f>
        <v>1.085</v>
      </c>
      <c r="N120" s="382">
        <f>IFERROR(IF(B120="funkcna poziadavka",VLOOKUP(G120,MODULY_CBA!$B$3:$E$23,2,0),),)</f>
        <v>1.1400000000000001</v>
      </c>
      <c r="O120" s="381">
        <f t="shared" si="10"/>
        <v>76.06935</v>
      </c>
      <c r="P120" s="380">
        <f>IFERROR(O120*VLOOKUP(G120,MODULY_CBA!$B$3:$F$23,5,0),)</f>
        <v>2282.0805</v>
      </c>
      <c r="Q120" s="482" t="str">
        <f>IFERROR(VLOOKUP(G120,MODULY_CBA!$B$3:$I$23,6,0),"")</f>
        <v>Inkrement 1</v>
      </c>
      <c r="R120" s="385"/>
      <c r="S120" s="385"/>
      <c r="T120" s="385"/>
      <c r="U120" s="385"/>
      <c r="V120" s="385"/>
      <c r="W120" s="385"/>
      <c r="X120" s="385"/>
      <c r="Y120" s="385"/>
      <c r="Z120" s="385"/>
      <c r="AA120" s="385"/>
      <c r="AB120" s="385"/>
      <c r="AC120" s="385"/>
      <c r="AD120" s="385"/>
      <c r="AE120" s="385"/>
    </row>
    <row r="121" spans="1:31" ht="39">
      <c r="A121" s="667" t="s">
        <v>854</v>
      </c>
      <c r="B121" s="667" t="s">
        <v>485</v>
      </c>
      <c r="C121" s="669" t="s">
        <v>491</v>
      </c>
      <c r="D121" s="669" t="s">
        <v>855</v>
      </c>
      <c r="E121" s="670" t="s">
        <v>856</v>
      </c>
      <c r="F121" s="671" t="s">
        <v>489</v>
      </c>
      <c r="G121" s="670" t="s">
        <v>253</v>
      </c>
      <c r="H121" s="382">
        <v>3</v>
      </c>
      <c r="I121" s="382">
        <v>15</v>
      </c>
      <c r="J121" s="382">
        <f t="shared" si="9"/>
        <v>3</v>
      </c>
      <c r="K121" s="382">
        <f t="shared" si="8"/>
        <v>45</v>
      </c>
      <c r="L121" s="646">
        <f>IFERROR(IF(B121="funkcna poziadavka",VLOOKUP(G121,MODULY_CBA!$B$3:$E$23,4,0)*H121/SUMIFS($H$3:$H$199,$G$3:$G$199,G121,$B$3:$B$199,B121),),)</f>
        <v>6.6</v>
      </c>
      <c r="M121" s="382">
        <f>IFERROR(IF(B121="Funkcna poziadavka",VLOOKUP(G121,MODULY_CBA!$B$3:$E$23,3,0),),)</f>
        <v>1.085</v>
      </c>
      <c r="N121" s="382">
        <f>IFERROR(IF(B121="funkcna poziadavka",VLOOKUP(G121,MODULY_CBA!$B$3:$E$23,2,0),),)</f>
        <v>1.1400000000000001</v>
      </c>
      <c r="O121" s="381">
        <f t="shared" si="10"/>
        <v>63.824040000000004</v>
      </c>
      <c r="P121" s="380">
        <f>IFERROR(O121*VLOOKUP(G121,MODULY_CBA!$B$3:$F$23,5,0),)</f>
        <v>1914.7212000000002</v>
      </c>
      <c r="Q121" s="482" t="str">
        <f>IFERROR(VLOOKUP(G121,MODULY_CBA!$B$3:$I$23,6,0),"")</f>
        <v>Inkrement 2</v>
      </c>
      <c r="R121" s="385"/>
      <c r="S121" s="385"/>
      <c r="T121" s="385"/>
      <c r="U121" s="385"/>
      <c r="V121" s="385"/>
      <c r="W121" s="385"/>
      <c r="X121" s="385"/>
      <c r="Y121" s="385"/>
      <c r="Z121" s="385"/>
      <c r="AA121" s="385"/>
      <c r="AB121" s="385"/>
      <c r="AC121" s="385"/>
      <c r="AD121" s="385"/>
      <c r="AE121" s="385"/>
    </row>
    <row r="122" spans="1:31" ht="39">
      <c r="A122" s="667" t="s">
        <v>857</v>
      </c>
      <c r="B122" s="667" t="s">
        <v>485</v>
      </c>
      <c r="C122" s="669" t="s">
        <v>499</v>
      </c>
      <c r="D122" s="674" t="s">
        <v>858</v>
      </c>
      <c r="E122" s="670" t="s">
        <v>859</v>
      </c>
      <c r="F122" s="671" t="s">
        <v>489</v>
      </c>
      <c r="G122" s="670" t="s">
        <v>259</v>
      </c>
      <c r="H122" s="382">
        <v>3</v>
      </c>
      <c r="I122" s="382">
        <v>15</v>
      </c>
      <c r="J122" s="382">
        <f t="shared" si="9"/>
        <v>3</v>
      </c>
      <c r="K122" s="382">
        <f t="shared" si="8"/>
        <v>45</v>
      </c>
      <c r="L122" s="646">
        <f>IFERROR(IF(B122="funkcna poziadavka",VLOOKUP(G122,MODULY_CBA!$B$3:$E$23,4,0)*H122/SUMIFS($H$3:$H$199,$G$3:$G$199,G122,$B$3:$B$199,B122),),)</f>
        <v>0.44594594594594594</v>
      </c>
      <c r="M122" s="382">
        <f>IFERROR(IF(B122="Funkcna poziadavka",VLOOKUP(G122,MODULY_CBA!$B$3:$E$23,3,0),),)</f>
        <v>1.085</v>
      </c>
      <c r="N122" s="382">
        <f>IFERROR(IF(B122="funkcna poziadavka",VLOOKUP(G122,MODULY_CBA!$B$3:$E$23,2,0),),)</f>
        <v>1.1400000000000001</v>
      </c>
      <c r="O122" s="381">
        <f t="shared" si="10"/>
        <v>56.212090540540544</v>
      </c>
      <c r="P122" s="380">
        <f>IFERROR(O122*VLOOKUP(G122,MODULY_CBA!$B$3:$F$23,5,0),)</f>
        <v>1686.3627162162163</v>
      </c>
      <c r="Q122" s="482" t="str">
        <f>IFERROR(VLOOKUP(G122,MODULY_CBA!$B$3:$I$23,6,0),"")</f>
        <v>Inkrement 2</v>
      </c>
      <c r="R122" s="385"/>
      <c r="S122" s="385"/>
      <c r="T122" s="385"/>
      <c r="U122" s="385"/>
      <c r="V122" s="385"/>
      <c r="W122" s="385"/>
      <c r="X122" s="385"/>
      <c r="Y122" s="385"/>
      <c r="Z122" s="385"/>
      <c r="AA122" s="385"/>
      <c r="AB122" s="385"/>
      <c r="AC122" s="385"/>
      <c r="AD122" s="385"/>
      <c r="AE122" s="385"/>
    </row>
    <row r="123" spans="1:31" ht="52">
      <c r="A123" s="667" t="s">
        <v>860</v>
      </c>
      <c r="B123" s="667" t="s">
        <v>485</v>
      </c>
      <c r="C123" s="669" t="s">
        <v>513</v>
      </c>
      <c r="D123" s="669" t="s">
        <v>861</v>
      </c>
      <c r="E123" s="670" t="s">
        <v>862</v>
      </c>
      <c r="F123" s="671" t="s">
        <v>489</v>
      </c>
      <c r="G123" s="670" t="s">
        <v>259</v>
      </c>
      <c r="H123" s="382">
        <v>3</v>
      </c>
      <c r="I123" s="382">
        <v>15</v>
      </c>
      <c r="J123" s="382">
        <f t="shared" si="9"/>
        <v>3</v>
      </c>
      <c r="K123" s="382">
        <f t="shared" si="8"/>
        <v>45</v>
      </c>
      <c r="L123" s="646">
        <f>IFERROR(IF(B123="funkcna poziadavka",VLOOKUP(G123,MODULY_CBA!$B$3:$E$23,4,0)*H123/SUMIFS($H$3:$H$199,$G$3:$G$199,G123,$B$3:$B$199,B123),),)</f>
        <v>0.44594594594594594</v>
      </c>
      <c r="M123" s="382">
        <f>IFERROR(IF(B123="Funkcna poziadavka",VLOOKUP(G123,MODULY_CBA!$B$3:$E$23,3,0),),)</f>
        <v>1.085</v>
      </c>
      <c r="N123" s="382">
        <f>IFERROR(IF(B123="funkcna poziadavka",VLOOKUP(G123,MODULY_CBA!$B$3:$E$23,2,0),),)</f>
        <v>1.1400000000000001</v>
      </c>
      <c r="O123" s="381">
        <f t="shared" si="10"/>
        <v>56.212090540540544</v>
      </c>
      <c r="P123" s="380">
        <f>IFERROR(O123*VLOOKUP(G123,MODULY_CBA!$B$3:$F$23,5,0),)</f>
        <v>1686.3627162162163</v>
      </c>
      <c r="Q123" s="482" t="str">
        <f>IFERROR(VLOOKUP(G123,MODULY_CBA!$B$3:$I$23,6,0),"")</f>
        <v>Inkrement 2</v>
      </c>
      <c r="R123" s="385"/>
      <c r="S123" s="385"/>
      <c r="T123" s="385"/>
      <c r="U123" s="385"/>
      <c r="V123" s="385"/>
      <c r="W123" s="385"/>
      <c r="X123" s="385"/>
      <c r="Y123" s="385"/>
      <c r="Z123" s="385"/>
      <c r="AA123" s="385"/>
      <c r="AB123" s="385"/>
      <c r="AC123" s="385"/>
      <c r="AD123" s="385"/>
      <c r="AE123" s="385"/>
    </row>
    <row r="124" spans="1:31" ht="39">
      <c r="A124" s="667" t="s">
        <v>863</v>
      </c>
      <c r="B124" s="667" t="s">
        <v>485</v>
      </c>
      <c r="C124" s="669" t="s">
        <v>499</v>
      </c>
      <c r="D124" s="669" t="s">
        <v>864</v>
      </c>
      <c r="E124" s="670" t="s">
        <v>865</v>
      </c>
      <c r="F124" s="671" t="s">
        <v>489</v>
      </c>
      <c r="G124" s="670" t="s">
        <v>259</v>
      </c>
      <c r="H124" s="382">
        <v>3</v>
      </c>
      <c r="I124" s="382">
        <v>15</v>
      </c>
      <c r="J124" s="382">
        <f t="shared" si="9"/>
        <v>3</v>
      </c>
      <c r="K124" s="382">
        <f t="shared" si="8"/>
        <v>45</v>
      </c>
      <c r="L124" s="646">
        <f>IFERROR(IF(B124="funkcna poziadavka",VLOOKUP(G124,MODULY_CBA!$B$3:$E$23,4,0)*H124/SUMIFS($H$3:$H$199,$G$3:$G$199,G124,$B$3:$B$199,B124),),)</f>
        <v>0.44594594594594594</v>
      </c>
      <c r="M124" s="382">
        <f>IFERROR(IF(B124="Funkcna poziadavka",VLOOKUP(G124,MODULY_CBA!$B$3:$E$23,3,0),),)</f>
        <v>1.085</v>
      </c>
      <c r="N124" s="382">
        <f>IFERROR(IF(B124="funkcna poziadavka",VLOOKUP(G124,MODULY_CBA!$B$3:$E$23,2,0),),)</f>
        <v>1.1400000000000001</v>
      </c>
      <c r="O124" s="381">
        <f t="shared" si="10"/>
        <v>56.212090540540544</v>
      </c>
      <c r="P124" s="380">
        <f>IFERROR(O124*VLOOKUP(G124,MODULY_CBA!$B$3:$F$23,5,0),)</f>
        <v>1686.3627162162163</v>
      </c>
      <c r="Q124" s="482" t="str">
        <f>IFERROR(VLOOKUP(G124,MODULY_CBA!$B$3:$I$23,6,0),"")</f>
        <v>Inkrement 2</v>
      </c>
      <c r="R124" s="385"/>
      <c r="S124" s="385"/>
      <c r="T124" s="385"/>
      <c r="U124" s="385"/>
      <c r="V124" s="385"/>
      <c r="W124" s="385"/>
      <c r="X124" s="385"/>
      <c r="Y124" s="385"/>
      <c r="Z124" s="385"/>
      <c r="AA124" s="385"/>
      <c r="AB124" s="385"/>
      <c r="AC124" s="385"/>
      <c r="AD124" s="385"/>
      <c r="AE124" s="385"/>
    </row>
    <row r="125" spans="1:31" ht="39">
      <c r="A125" s="667" t="s">
        <v>866</v>
      </c>
      <c r="B125" s="667" t="s">
        <v>485</v>
      </c>
      <c r="C125" s="669" t="s">
        <v>499</v>
      </c>
      <c r="D125" s="669" t="s">
        <v>867</v>
      </c>
      <c r="E125" s="670" t="s">
        <v>868</v>
      </c>
      <c r="F125" s="671" t="s">
        <v>489</v>
      </c>
      <c r="G125" s="670" t="s">
        <v>259</v>
      </c>
      <c r="H125" s="382">
        <v>3</v>
      </c>
      <c r="I125" s="382">
        <v>15</v>
      </c>
      <c r="J125" s="382">
        <f t="shared" si="9"/>
        <v>3</v>
      </c>
      <c r="K125" s="382">
        <f t="shared" si="8"/>
        <v>45</v>
      </c>
      <c r="L125" s="646">
        <f>IFERROR(IF(B125="funkcna poziadavka",VLOOKUP(G125,MODULY_CBA!$B$3:$E$23,4,0)*H125/SUMIFS($H$3:$H$199,$G$3:$G$199,G125,$B$3:$B$199,B125),),)</f>
        <v>0.44594594594594594</v>
      </c>
      <c r="M125" s="382">
        <f>IFERROR(IF(B125="Funkcna poziadavka",VLOOKUP(G125,MODULY_CBA!$B$3:$E$23,3,0),),)</f>
        <v>1.085</v>
      </c>
      <c r="N125" s="382">
        <f>IFERROR(IF(B125="funkcna poziadavka",VLOOKUP(G125,MODULY_CBA!$B$3:$E$23,2,0),),)</f>
        <v>1.1400000000000001</v>
      </c>
      <c r="O125" s="381">
        <f t="shared" si="10"/>
        <v>56.212090540540544</v>
      </c>
      <c r="P125" s="380">
        <f>IFERROR(O125*VLOOKUP(G125,MODULY_CBA!$B$3:$F$23,5,0),)</f>
        <v>1686.3627162162163</v>
      </c>
      <c r="Q125" s="482" t="str">
        <f>IFERROR(VLOOKUP(G125,MODULY_CBA!$B$3:$I$23,6,0),"")</f>
        <v>Inkrement 2</v>
      </c>
      <c r="R125" s="385"/>
      <c r="S125" s="385"/>
      <c r="T125" s="385"/>
      <c r="U125" s="385"/>
      <c r="V125" s="385"/>
      <c r="W125" s="385"/>
      <c r="X125" s="385"/>
      <c r="Y125" s="385"/>
      <c r="Z125" s="385"/>
      <c r="AA125" s="385"/>
      <c r="AB125" s="385"/>
      <c r="AC125" s="385"/>
      <c r="AD125" s="385"/>
      <c r="AE125" s="385"/>
    </row>
    <row r="126" spans="1:31" ht="39">
      <c r="A126" s="667" t="s">
        <v>869</v>
      </c>
      <c r="B126" s="667" t="s">
        <v>485</v>
      </c>
      <c r="C126" s="669" t="s">
        <v>491</v>
      </c>
      <c r="D126" s="669" t="s">
        <v>870</v>
      </c>
      <c r="E126" s="670" t="s">
        <v>871</v>
      </c>
      <c r="F126" s="671" t="s">
        <v>489</v>
      </c>
      <c r="G126" s="670" t="s">
        <v>259</v>
      </c>
      <c r="H126" s="382">
        <v>3</v>
      </c>
      <c r="I126" s="382">
        <v>15</v>
      </c>
      <c r="J126" s="382">
        <f t="shared" si="9"/>
        <v>3</v>
      </c>
      <c r="K126" s="382">
        <f t="shared" si="8"/>
        <v>45</v>
      </c>
      <c r="L126" s="646">
        <f>IFERROR(IF(B126="funkcna poziadavka",VLOOKUP(G126,MODULY_CBA!$B$3:$E$23,4,0)*H126/SUMIFS($H$3:$H$199,$G$3:$G$199,G126,$B$3:$B$199,B126),),)</f>
        <v>0.44594594594594594</v>
      </c>
      <c r="M126" s="382">
        <f>IFERROR(IF(B126="Funkcna poziadavka",VLOOKUP(G126,MODULY_CBA!$B$3:$E$23,3,0),),)</f>
        <v>1.085</v>
      </c>
      <c r="N126" s="382">
        <f>IFERROR(IF(B126="funkcna poziadavka",VLOOKUP(G126,MODULY_CBA!$B$3:$E$23,2,0),),)</f>
        <v>1.1400000000000001</v>
      </c>
      <c r="O126" s="381">
        <f t="shared" si="10"/>
        <v>56.212090540540544</v>
      </c>
      <c r="P126" s="380">
        <f>IFERROR(O126*VLOOKUP(G126,MODULY_CBA!$B$3:$F$23,5,0),)</f>
        <v>1686.3627162162163</v>
      </c>
      <c r="Q126" s="482" t="str">
        <f>IFERROR(VLOOKUP(G126,MODULY_CBA!$B$3:$I$23,6,0),"")</f>
        <v>Inkrement 2</v>
      </c>
      <c r="R126" s="385"/>
      <c r="S126" s="385"/>
      <c r="T126" s="385"/>
      <c r="U126" s="385"/>
      <c r="V126" s="385"/>
      <c r="W126" s="385"/>
      <c r="X126" s="385"/>
      <c r="Y126" s="385"/>
      <c r="Z126" s="385"/>
      <c r="AA126" s="385"/>
      <c r="AB126" s="385"/>
      <c r="AC126" s="385"/>
      <c r="AD126" s="385"/>
      <c r="AE126" s="385"/>
    </row>
    <row r="127" spans="1:31" ht="52">
      <c r="A127" s="667" t="s">
        <v>872</v>
      </c>
      <c r="B127" s="667" t="s">
        <v>485</v>
      </c>
      <c r="C127" s="669" t="s">
        <v>873</v>
      </c>
      <c r="D127" s="669" t="s">
        <v>874</v>
      </c>
      <c r="E127" s="670" t="s">
        <v>875</v>
      </c>
      <c r="F127" s="671" t="s">
        <v>489</v>
      </c>
      <c r="G127" s="670" t="s">
        <v>259</v>
      </c>
      <c r="H127" s="382">
        <v>3</v>
      </c>
      <c r="I127" s="382">
        <v>15</v>
      </c>
      <c r="J127" s="382">
        <f t="shared" si="9"/>
        <v>3</v>
      </c>
      <c r="K127" s="382">
        <f t="shared" si="8"/>
        <v>45</v>
      </c>
      <c r="L127" s="646">
        <f>IFERROR(IF(B127="funkcna poziadavka",VLOOKUP(G127,MODULY_CBA!$B$3:$E$23,4,0)*H127/SUMIFS($H$3:$H$199,$G$3:$G$199,G127,$B$3:$B$199,B127),),)</f>
        <v>0.44594594594594594</v>
      </c>
      <c r="M127" s="382">
        <f>IFERROR(IF(B127="Funkcna poziadavka",VLOOKUP(G127,MODULY_CBA!$B$3:$E$23,3,0),),)</f>
        <v>1.085</v>
      </c>
      <c r="N127" s="382">
        <f>IFERROR(IF(B127="funkcna poziadavka",VLOOKUP(G127,MODULY_CBA!$B$3:$E$23,2,0),),)</f>
        <v>1.1400000000000001</v>
      </c>
      <c r="O127" s="381">
        <f t="shared" si="10"/>
        <v>56.212090540540544</v>
      </c>
      <c r="P127" s="380">
        <f>IFERROR(O127*VLOOKUP(G127,MODULY_CBA!$B$3:$F$23,5,0),)</f>
        <v>1686.3627162162163</v>
      </c>
      <c r="Q127" s="482" t="str">
        <f>IFERROR(VLOOKUP(G127,MODULY_CBA!$B$3:$I$23,6,0),"")</f>
        <v>Inkrement 2</v>
      </c>
      <c r="R127" s="385"/>
      <c r="S127" s="385"/>
      <c r="T127" s="385"/>
      <c r="U127" s="385"/>
      <c r="V127" s="385"/>
      <c r="W127" s="385"/>
      <c r="X127" s="385"/>
      <c r="Y127" s="385"/>
      <c r="Z127" s="385"/>
      <c r="AA127" s="385"/>
      <c r="AB127" s="385"/>
      <c r="AC127" s="385"/>
      <c r="AD127" s="385"/>
      <c r="AE127" s="385"/>
    </row>
    <row r="128" spans="1:31" ht="26">
      <c r="A128" s="667" t="s">
        <v>876</v>
      </c>
      <c r="B128" s="667" t="s">
        <v>485</v>
      </c>
      <c r="C128" s="675" t="s">
        <v>509</v>
      </c>
      <c r="D128" s="669" t="s">
        <v>877</v>
      </c>
      <c r="E128" s="670" t="s">
        <v>878</v>
      </c>
      <c r="F128" s="671" t="s">
        <v>489</v>
      </c>
      <c r="G128" s="670" t="s">
        <v>257</v>
      </c>
      <c r="H128" s="382">
        <v>3</v>
      </c>
      <c r="I128" s="382">
        <v>15</v>
      </c>
      <c r="J128" s="382">
        <f t="shared" si="9"/>
        <v>3</v>
      </c>
      <c r="K128" s="382">
        <f t="shared" si="8"/>
        <v>45</v>
      </c>
      <c r="L128" s="646">
        <f>IFERROR(IF(B128="funkcna poziadavka",VLOOKUP(G128,MODULY_CBA!$B$3:$E$23,4,0)*H128/SUMIFS($H$3:$H$199,$G$3:$G$199,G128,$B$3:$B$199,B128),),)</f>
        <v>8.25</v>
      </c>
      <c r="M128" s="382">
        <f>IFERROR(IF(B128="Funkcna poziadavka",VLOOKUP(G128,MODULY_CBA!$B$3:$E$23,3,0),),)</f>
        <v>1.085</v>
      </c>
      <c r="N128" s="382">
        <f>IFERROR(IF(B128="funkcna poziadavka",VLOOKUP(G128,MODULY_CBA!$B$3:$E$23,2,0),),)</f>
        <v>1.1400000000000001</v>
      </c>
      <c r="O128" s="381">
        <f t="shared" si="10"/>
        <v>65.864924999999999</v>
      </c>
      <c r="P128" s="380">
        <f>IFERROR(O128*VLOOKUP(G128,MODULY_CBA!$B$3:$F$23,5,0),)</f>
        <v>1975.94775</v>
      </c>
      <c r="Q128" s="482" t="str">
        <f>IFERROR(VLOOKUP(G128,MODULY_CBA!$B$3:$I$23,6,0),"")</f>
        <v>Inkrement 3</v>
      </c>
      <c r="R128" s="385" t="s">
        <v>121</v>
      </c>
      <c r="S128" s="385" t="s">
        <v>121</v>
      </c>
      <c r="T128" s="385" t="s">
        <v>121</v>
      </c>
      <c r="U128" s="385" t="s">
        <v>121</v>
      </c>
      <c r="V128" s="385" t="s">
        <v>121</v>
      </c>
      <c r="W128" s="385" t="s">
        <v>121</v>
      </c>
      <c r="X128" s="385" t="s">
        <v>121</v>
      </c>
      <c r="Y128" s="385" t="s">
        <v>121</v>
      </c>
      <c r="Z128" s="385" t="s">
        <v>121</v>
      </c>
      <c r="AA128" s="385" t="s">
        <v>121</v>
      </c>
      <c r="AB128" s="385" t="s">
        <v>121</v>
      </c>
      <c r="AC128" s="385" t="s">
        <v>121</v>
      </c>
      <c r="AD128" s="385" t="s">
        <v>121</v>
      </c>
      <c r="AE128" s="385" t="s">
        <v>121</v>
      </c>
    </row>
    <row r="129" spans="1:31" ht="39">
      <c r="A129" s="667" t="s">
        <v>879</v>
      </c>
      <c r="B129" s="667" t="s">
        <v>485</v>
      </c>
      <c r="C129" s="669" t="s">
        <v>509</v>
      </c>
      <c r="D129" s="669" t="s">
        <v>880</v>
      </c>
      <c r="E129" s="669" t="s">
        <v>881</v>
      </c>
      <c r="F129" s="671" t="s">
        <v>489</v>
      </c>
      <c r="G129" s="670" t="s">
        <v>259</v>
      </c>
      <c r="H129" s="382">
        <v>3</v>
      </c>
      <c r="I129" s="382">
        <v>15</v>
      </c>
      <c r="J129" s="382">
        <f t="shared" si="9"/>
        <v>3</v>
      </c>
      <c r="K129" s="382">
        <f t="shared" si="8"/>
        <v>45</v>
      </c>
      <c r="L129" s="646">
        <f>IFERROR(IF(B129="funkcna poziadavka",VLOOKUP(G129,MODULY_CBA!$B$3:$E$23,4,0)*H129/SUMIFS($H$3:$H$199,$G$3:$G$199,G129,$B$3:$B$199,B129),),)</f>
        <v>0.44594594594594594</v>
      </c>
      <c r="M129" s="382">
        <f>IFERROR(IF(B129="Funkcna poziadavka",VLOOKUP(G129,MODULY_CBA!$B$3:$E$23,3,0),),)</f>
        <v>1.085</v>
      </c>
      <c r="N129" s="382">
        <f>IFERROR(IF(B129="funkcna poziadavka",VLOOKUP(G129,MODULY_CBA!$B$3:$E$23,2,0),),)</f>
        <v>1.1400000000000001</v>
      </c>
      <c r="O129" s="381">
        <f t="shared" si="10"/>
        <v>56.212090540540544</v>
      </c>
      <c r="P129" s="380">
        <f>IFERROR(O129*VLOOKUP(G129,MODULY_CBA!$B$3:$F$23,5,0),)</f>
        <v>1686.3627162162163</v>
      </c>
      <c r="Q129" s="482" t="str">
        <f>IFERROR(VLOOKUP(G129,MODULY_CBA!$B$3:$I$23,6,0),"")</f>
        <v>Inkrement 2</v>
      </c>
      <c r="R129" s="385"/>
      <c r="S129" s="385"/>
      <c r="T129" s="385"/>
      <c r="U129" s="385"/>
      <c r="V129" s="385"/>
      <c r="W129" s="385"/>
      <c r="X129" s="385"/>
      <c r="Y129" s="385"/>
      <c r="Z129" s="385"/>
      <c r="AA129" s="385"/>
      <c r="AB129" s="385"/>
      <c r="AC129" s="385"/>
      <c r="AD129" s="385"/>
      <c r="AE129" s="385"/>
    </row>
    <row r="130" spans="1:31" ht="39">
      <c r="A130" s="667" t="s">
        <v>882</v>
      </c>
      <c r="B130" s="667" t="s">
        <v>485</v>
      </c>
      <c r="C130" s="669" t="s">
        <v>535</v>
      </c>
      <c r="D130" s="669" t="s">
        <v>883</v>
      </c>
      <c r="E130" s="669" t="s">
        <v>884</v>
      </c>
      <c r="F130" s="671" t="s">
        <v>489</v>
      </c>
      <c r="G130" s="670" t="s">
        <v>259</v>
      </c>
      <c r="H130" s="382">
        <v>3</v>
      </c>
      <c r="I130" s="382">
        <v>15</v>
      </c>
      <c r="J130" s="382">
        <f t="shared" si="9"/>
        <v>3</v>
      </c>
      <c r="K130" s="382">
        <f t="shared" si="8"/>
        <v>45</v>
      </c>
      <c r="L130" s="646">
        <f>IFERROR(IF(B130="funkcna poziadavka",VLOOKUP(G130,MODULY_CBA!$B$3:$E$23,4,0)*H130/SUMIFS($H$3:$H$199,$G$3:$G$199,G130,$B$3:$B$199,B130),),)</f>
        <v>0.44594594594594594</v>
      </c>
      <c r="M130" s="382">
        <f>IFERROR(IF(B130="Funkcna poziadavka",VLOOKUP(G130,MODULY_CBA!$B$3:$E$23,3,0),),)</f>
        <v>1.085</v>
      </c>
      <c r="N130" s="382">
        <f>IFERROR(IF(B130="funkcna poziadavka",VLOOKUP(G130,MODULY_CBA!$B$3:$E$23,2,0),),)</f>
        <v>1.1400000000000001</v>
      </c>
      <c r="O130" s="381">
        <f t="shared" si="10"/>
        <v>56.212090540540544</v>
      </c>
      <c r="P130" s="380">
        <f>IFERROR(O130*VLOOKUP(G130,MODULY_CBA!$B$3:$F$23,5,0),)</f>
        <v>1686.3627162162163</v>
      </c>
      <c r="Q130" s="482" t="str">
        <f>IFERROR(VLOOKUP(G130,MODULY_CBA!$B$3:$I$23,6,0),"")</f>
        <v>Inkrement 2</v>
      </c>
      <c r="R130" s="385"/>
      <c r="S130" s="385"/>
      <c r="T130" s="385"/>
      <c r="U130" s="385"/>
      <c r="V130" s="385"/>
      <c r="W130" s="385"/>
      <c r="X130" s="385"/>
      <c r="Y130" s="385"/>
      <c r="Z130" s="385"/>
      <c r="AA130" s="385"/>
      <c r="AB130" s="385"/>
      <c r="AC130" s="385"/>
      <c r="AD130" s="385"/>
      <c r="AE130" s="385"/>
    </row>
    <row r="131" spans="1:31" ht="39">
      <c r="A131" s="667" t="s">
        <v>885</v>
      </c>
      <c r="B131" s="667" t="s">
        <v>485</v>
      </c>
      <c r="C131" s="669" t="s">
        <v>513</v>
      </c>
      <c r="D131" s="669" t="s">
        <v>886</v>
      </c>
      <c r="E131" s="669" t="s">
        <v>887</v>
      </c>
      <c r="F131" s="671" t="s">
        <v>489</v>
      </c>
      <c r="G131" s="670" t="s">
        <v>259</v>
      </c>
      <c r="H131" s="382">
        <v>3</v>
      </c>
      <c r="I131" s="382">
        <v>15</v>
      </c>
      <c r="J131" s="382">
        <f t="shared" ref="J131:J162" si="11">IF(ISNUMBER(H131),H131,)</f>
        <v>3</v>
      </c>
      <c r="K131" s="382">
        <f t="shared" si="8"/>
        <v>45</v>
      </c>
      <c r="L131" s="646">
        <f>IFERROR(IF(B131="funkcna poziadavka",VLOOKUP(G131,MODULY_CBA!$B$3:$E$23,4,0)*H131/SUMIFS($H$3:$H$199,$G$3:$G$199,G131,$B$3:$B$199,B131),),)</f>
        <v>0.44594594594594594</v>
      </c>
      <c r="M131" s="382">
        <f>IFERROR(IF(B131="Funkcna poziadavka",VLOOKUP(G131,MODULY_CBA!$B$3:$E$23,3,0),),)</f>
        <v>1.085</v>
      </c>
      <c r="N131" s="382">
        <f>IFERROR(IF(B131="funkcna poziadavka",VLOOKUP(G131,MODULY_CBA!$B$3:$E$23,2,0),),)</f>
        <v>1.1400000000000001</v>
      </c>
      <c r="O131" s="381">
        <f t="shared" ref="O131:O162" si="12">(K131+L131)*M131*N131</f>
        <v>56.212090540540544</v>
      </c>
      <c r="P131" s="380">
        <f>IFERROR(O131*VLOOKUP(G131,MODULY_CBA!$B$3:$F$23,5,0),)</f>
        <v>1686.3627162162163</v>
      </c>
      <c r="Q131" s="482" t="str">
        <f>IFERROR(VLOOKUP(G131,MODULY_CBA!$B$3:$I$23,6,0),"")</f>
        <v>Inkrement 2</v>
      </c>
      <c r="R131" s="385"/>
      <c r="S131" s="385"/>
      <c r="T131" s="385"/>
      <c r="U131" s="385"/>
      <c r="V131" s="385"/>
      <c r="W131" s="385"/>
      <c r="X131" s="385"/>
      <c r="Y131" s="385"/>
      <c r="Z131" s="385"/>
      <c r="AA131" s="385"/>
      <c r="AB131" s="385"/>
      <c r="AC131" s="385"/>
      <c r="AD131" s="385"/>
      <c r="AE131" s="385"/>
    </row>
    <row r="132" spans="1:31" ht="39">
      <c r="A132" s="667" t="s">
        <v>888</v>
      </c>
      <c r="B132" s="667" t="s">
        <v>485</v>
      </c>
      <c r="C132" s="669" t="s">
        <v>495</v>
      </c>
      <c r="D132" s="669" t="s">
        <v>889</v>
      </c>
      <c r="E132" s="669" t="s">
        <v>890</v>
      </c>
      <c r="F132" s="671" t="s">
        <v>489</v>
      </c>
      <c r="G132" s="670" t="s">
        <v>259</v>
      </c>
      <c r="H132" s="382">
        <v>3</v>
      </c>
      <c r="I132" s="382">
        <v>15</v>
      </c>
      <c r="J132" s="382">
        <f t="shared" si="11"/>
        <v>3</v>
      </c>
      <c r="K132" s="382">
        <f t="shared" ref="K132:K169" si="13">H132*I132</f>
        <v>45</v>
      </c>
      <c r="L132" s="646">
        <f>IFERROR(IF(B132="funkcna poziadavka",VLOOKUP(G132,MODULY_CBA!$B$3:$E$23,4,0)*H132/SUMIFS($H$3:$H$199,$G$3:$G$199,G132,$B$3:$B$199,B132),),)</f>
        <v>0.44594594594594594</v>
      </c>
      <c r="M132" s="382">
        <f>IFERROR(IF(B132="Funkcna poziadavka",VLOOKUP(G132,MODULY_CBA!$B$3:$E$23,3,0),),)</f>
        <v>1.085</v>
      </c>
      <c r="N132" s="382">
        <f>IFERROR(IF(B132="funkcna poziadavka",VLOOKUP(G132,MODULY_CBA!$B$3:$E$23,2,0),),)</f>
        <v>1.1400000000000001</v>
      </c>
      <c r="O132" s="381">
        <f t="shared" si="12"/>
        <v>56.212090540540544</v>
      </c>
      <c r="P132" s="380">
        <f>IFERROR(O132*VLOOKUP(G132,MODULY_CBA!$B$3:$F$23,5,0),)</f>
        <v>1686.3627162162163</v>
      </c>
      <c r="Q132" s="482" t="str">
        <f>IFERROR(VLOOKUP(G132,MODULY_CBA!$B$3:$I$23,6,0),"")</f>
        <v>Inkrement 2</v>
      </c>
      <c r="R132" s="385"/>
      <c r="S132" s="385"/>
      <c r="T132" s="385"/>
      <c r="U132" s="385"/>
      <c r="V132" s="385"/>
      <c r="W132" s="385"/>
      <c r="X132" s="385"/>
      <c r="Y132" s="385"/>
      <c r="Z132" s="385"/>
      <c r="AA132" s="385"/>
      <c r="AB132" s="385"/>
      <c r="AC132" s="385"/>
      <c r="AD132" s="385"/>
      <c r="AE132" s="385"/>
    </row>
    <row r="133" spans="1:31" ht="39">
      <c r="A133" s="667" t="s">
        <v>891</v>
      </c>
      <c r="B133" s="667" t="s">
        <v>485</v>
      </c>
      <c r="C133" s="669" t="s">
        <v>495</v>
      </c>
      <c r="D133" s="669" t="s">
        <v>892</v>
      </c>
      <c r="E133" s="669" t="s">
        <v>893</v>
      </c>
      <c r="F133" s="671" t="s">
        <v>489</v>
      </c>
      <c r="G133" s="670" t="s">
        <v>259</v>
      </c>
      <c r="H133" s="382">
        <v>3</v>
      </c>
      <c r="I133" s="382">
        <v>15</v>
      </c>
      <c r="J133" s="382">
        <f t="shared" si="11"/>
        <v>3</v>
      </c>
      <c r="K133" s="382">
        <f t="shared" si="13"/>
        <v>45</v>
      </c>
      <c r="L133" s="646">
        <f>IFERROR(IF(B133="funkcna poziadavka",VLOOKUP(G133,MODULY_CBA!$B$3:$E$23,4,0)*H133/SUMIFS($H$3:$H$199,$G$3:$G$199,G133,$B$3:$B$199,B133),),)</f>
        <v>0.44594594594594594</v>
      </c>
      <c r="M133" s="382">
        <f>IFERROR(IF(B133="Funkcna poziadavka",VLOOKUP(G133,MODULY_CBA!$B$3:$E$23,3,0),),)</f>
        <v>1.085</v>
      </c>
      <c r="N133" s="382">
        <f>IFERROR(IF(B133="funkcna poziadavka",VLOOKUP(G133,MODULY_CBA!$B$3:$E$23,2,0),),)</f>
        <v>1.1400000000000001</v>
      </c>
      <c r="O133" s="381">
        <f t="shared" si="12"/>
        <v>56.212090540540544</v>
      </c>
      <c r="P133" s="380">
        <f>IFERROR(O133*VLOOKUP(G133,MODULY_CBA!$B$3:$F$23,5,0),)</f>
        <v>1686.3627162162163</v>
      </c>
      <c r="Q133" s="482" t="str">
        <f>IFERROR(VLOOKUP(G133,MODULY_CBA!$B$3:$I$23,6,0),"")</f>
        <v>Inkrement 2</v>
      </c>
      <c r="R133" s="385"/>
      <c r="S133" s="385"/>
      <c r="T133" s="385"/>
      <c r="U133" s="385"/>
      <c r="V133" s="385"/>
      <c r="W133" s="385"/>
      <c r="X133" s="385"/>
      <c r="Y133" s="385"/>
      <c r="Z133" s="385"/>
      <c r="AA133" s="385"/>
      <c r="AB133" s="385"/>
      <c r="AC133" s="385"/>
      <c r="AD133" s="385"/>
      <c r="AE133" s="385"/>
    </row>
    <row r="134" spans="1:31" ht="39">
      <c r="A134" s="667" t="s">
        <v>894</v>
      </c>
      <c r="B134" s="667" t="s">
        <v>485</v>
      </c>
      <c r="C134" s="669" t="s">
        <v>513</v>
      </c>
      <c r="D134" s="669" t="s">
        <v>895</v>
      </c>
      <c r="E134" s="669" t="s">
        <v>896</v>
      </c>
      <c r="F134" s="671" t="s">
        <v>489</v>
      </c>
      <c r="G134" s="670" t="s">
        <v>259</v>
      </c>
      <c r="H134" s="382">
        <v>3</v>
      </c>
      <c r="I134" s="382">
        <v>15</v>
      </c>
      <c r="J134" s="382">
        <f t="shared" si="11"/>
        <v>3</v>
      </c>
      <c r="K134" s="382">
        <f t="shared" si="13"/>
        <v>45</v>
      </c>
      <c r="L134" s="646">
        <f>IFERROR(IF(B134="funkcna poziadavka",VLOOKUP(G134,MODULY_CBA!$B$3:$E$23,4,0)*H134/SUMIFS($H$3:$H$199,$G$3:$G$199,G134,$B$3:$B$199,B134),),)</f>
        <v>0.44594594594594594</v>
      </c>
      <c r="M134" s="382">
        <f>IFERROR(IF(B134="Funkcna poziadavka",VLOOKUP(G134,MODULY_CBA!$B$3:$E$23,3,0),),)</f>
        <v>1.085</v>
      </c>
      <c r="N134" s="382">
        <f>IFERROR(IF(B134="funkcna poziadavka",VLOOKUP(G134,MODULY_CBA!$B$3:$E$23,2,0),),)</f>
        <v>1.1400000000000001</v>
      </c>
      <c r="O134" s="381">
        <f t="shared" si="12"/>
        <v>56.212090540540544</v>
      </c>
      <c r="P134" s="380">
        <f>IFERROR(O134*VLOOKUP(G134,MODULY_CBA!$B$3:$F$23,5,0),)</f>
        <v>1686.3627162162163</v>
      </c>
      <c r="Q134" s="482" t="str">
        <f>IFERROR(VLOOKUP(G134,MODULY_CBA!$B$3:$I$23,6,0),"")</f>
        <v>Inkrement 2</v>
      </c>
      <c r="R134" s="385" t="s">
        <v>121</v>
      </c>
      <c r="S134" s="385" t="s">
        <v>121</v>
      </c>
      <c r="T134" s="385" t="s">
        <v>121</v>
      </c>
      <c r="U134" s="385" t="s">
        <v>121</v>
      </c>
      <c r="V134" s="385" t="s">
        <v>121</v>
      </c>
      <c r="W134" s="385" t="s">
        <v>121</v>
      </c>
      <c r="X134" s="385" t="s">
        <v>121</v>
      </c>
      <c r="Y134" s="385" t="s">
        <v>121</v>
      </c>
      <c r="Z134" s="385" t="s">
        <v>121</v>
      </c>
      <c r="AA134" s="385" t="s">
        <v>121</v>
      </c>
      <c r="AB134" s="385" t="s">
        <v>121</v>
      </c>
      <c r="AC134" s="385" t="s">
        <v>121</v>
      </c>
      <c r="AD134" s="385" t="s">
        <v>121</v>
      </c>
      <c r="AE134" s="385" t="s">
        <v>121</v>
      </c>
    </row>
    <row r="135" spans="1:31" ht="39">
      <c r="A135" s="667" t="s">
        <v>897</v>
      </c>
      <c r="B135" s="667" t="s">
        <v>485</v>
      </c>
      <c r="C135" s="669" t="s">
        <v>535</v>
      </c>
      <c r="D135" s="669" t="s">
        <v>898</v>
      </c>
      <c r="E135" s="669" t="s">
        <v>899</v>
      </c>
      <c r="F135" s="671" t="s">
        <v>489</v>
      </c>
      <c r="G135" s="670" t="s">
        <v>259</v>
      </c>
      <c r="H135" s="382">
        <v>3</v>
      </c>
      <c r="I135" s="382">
        <v>15</v>
      </c>
      <c r="J135" s="382">
        <f t="shared" si="11"/>
        <v>3</v>
      </c>
      <c r="K135" s="382">
        <f t="shared" si="13"/>
        <v>45</v>
      </c>
      <c r="L135" s="646">
        <f>IFERROR(IF(B135="funkcna poziadavka",VLOOKUP(G135,MODULY_CBA!$B$3:$E$23,4,0)*H135/SUMIFS($H$3:$H$199,$G$3:$G$199,G135,$B$3:$B$199,B135),),)</f>
        <v>0.44594594594594594</v>
      </c>
      <c r="M135" s="382">
        <f>IFERROR(IF(B135="Funkcna poziadavka",VLOOKUP(G135,MODULY_CBA!$B$3:$E$23,3,0),),)</f>
        <v>1.085</v>
      </c>
      <c r="N135" s="382">
        <f>IFERROR(IF(B135="funkcna poziadavka",VLOOKUP(G135,MODULY_CBA!$B$3:$E$23,2,0),),)</f>
        <v>1.1400000000000001</v>
      </c>
      <c r="O135" s="381">
        <f t="shared" si="12"/>
        <v>56.212090540540544</v>
      </c>
      <c r="P135" s="380">
        <f>IFERROR(O135*VLOOKUP(G135,MODULY_CBA!$B$3:$F$23,5,0),)</f>
        <v>1686.3627162162163</v>
      </c>
      <c r="Q135" s="482" t="str">
        <f>IFERROR(VLOOKUP(G135,MODULY_CBA!$B$3:$I$23,6,0),"")</f>
        <v>Inkrement 2</v>
      </c>
      <c r="R135" s="385" t="s">
        <v>121</v>
      </c>
      <c r="S135" s="385" t="s">
        <v>121</v>
      </c>
      <c r="T135" s="385" t="s">
        <v>121</v>
      </c>
      <c r="U135" s="385" t="s">
        <v>121</v>
      </c>
      <c r="V135" s="385" t="s">
        <v>121</v>
      </c>
      <c r="W135" s="385" t="s">
        <v>121</v>
      </c>
      <c r="X135" s="385" t="s">
        <v>121</v>
      </c>
      <c r="Y135" s="385" t="s">
        <v>121</v>
      </c>
      <c r="Z135" s="385" t="s">
        <v>121</v>
      </c>
      <c r="AA135" s="385" t="s">
        <v>121</v>
      </c>
      <c r="AB135" s="385" t="s">
        <v>121</v>
      </c>
      <c r="AC135" s="385" t="s">
        <v>121</v>
      </c>
      <c r="AD135" s="385" t="s">
        <v>121</v>
      </c>
      <c r="AE135" s="385" t="s">
        <v>121</v>
      </c>
    </row>
    <row r="136" spans="1:31" ht="39">
      <c r="A136" s="667" t="s">
        <v>900</v>
      </c>
      <c r="B136" s="667" t="s">
        <v>485</v>
      </c>
      <c r="C136" s="669" t="s">
        <v>706</v>
      </c>
      <c r="D136" s="669" t="s">
        <v>901</v>
      </c>
      <c r="E136" s="669" t="s">
        <v>902</v>
      </c>
      <c r="F136" s="671" t="s">
        <v>489</v>
      </c>
      <c r="G136" s="670" t="s">
        <v>263</v>
      </c>
      <c r="H136" s="382">
        <v>3</v>
      </c>
      <c r="I136" s="382">
        <v>15</v>
      </c>
      <c r="J136" s="382">
        <f t="shared" si="11"/>
        <v>3</v>
      </c>
      <c r="K136" s="382">
        <f t="shared" si="13"/>
        <v>45</v>
      </c>
      <c r="L136" s="646">
        <f>IFERROR(IF(B136="funkcna poziadavka",VLOOKUP(G136,MODULY_CBA!$B$3:$E$23,4,0)*H136/SUMIFS($H$3:$H$199,$G$3:$G$199,G136,$B$3:$B$199,B136),),)</f>
        <v>0.86842105263157898</v>
      </c>
      <c r="M136" s="382">
        <f>IFERROR(IF(B136="Funkcna poziadavka",VLOOKUP(G136,MODULY_CBA!$B$3:$E$23,3,0),),)</f>
        <v>1.085</v>
      </c>
      <c r="N136" s="382">
        <f>IFERROR(IF(B136="funkcna poziadavka",VLOOKUP(G136,MODULY_CBA!$B$3:$E$23,2,0),),)</f>
        <v>1.1400000000000001</v>
      </c>
      <c r="O136" s="381">
        <f t="shared" si="12"/>
        <v>56.734650000000002</v>
      </c>
      <c r="P136" s="380">
        <f>IFERROR(O136*VLOOKUP(G136,MODULY_CBA!$B$3:$F$23,5,0),)</f>
        <v>1702.0395000000001</v>
      </c>
      <c r="Q136" s="482" t="str">
        <f>IFERROR(VLOOKUP(G136,MODULY_CBA!$B$3:$I$23,6,0),"")</f>
        <v>Inkrement 1</v>
      </c>
      <c r="R136" s="385"/>
      <c r="S136" s="385"/>
      <c r="T136" s="385"/>
      <c r="U136" s="385"/>
      <c r="V136" s="385"/>
      <c r="W136" s="385"/>
      <c r="X136" s="385"/>
      <c r="Y136" s="385"/>
      <c r="Z136" s="385"/>
      <c r="AA136" s="385"/>
      <c r="AB136" s="385"/>
      <c r="AC136" s="385"/>
      <c r="AD136" s="385"/>
      <c r="AE136" s="385"/>
    </row>
    <row r="137" spans="1:31" ht="39">
      <c r="A137" s="667" t="s">
        <v>903</v>
      </c>
      <c r="B137" s="667" t="s">
        <v>485</v>
      </c>
      <c r="C137" s="669" t="s">
        <v>598</v>
      </c>
      <c r="D137" s="669" t="s">
        <v>904</v>
      </c>
      <c r="E137" s="669" t="s">
        <v>905</v>
      </c>
      <c r="F137" s="671" t="s">
        <v>489</v>
      </c>
      <c r="G137" s="670" t="s">
        <v>263</v>
      </c>
      <c r="H137" s="382">
        <v>3</v>
      </c>
      <c r="I137" s="382">
        <v>15</v>
      </c>
      <c r="J137" s="382">
        <f t="shared" si="11"/>
        <v>3</v>
      </c>
      <c r="K137" s="382">
        <f t="shared" si="13"/>
        <v>45</v>
      </c>
      <c r="L137" s="646">
        <f>IFERROR(IF(B137="funkcna poziadavka",VLOOKUP(G137,MODULY_CBA!$B$3:$E$23,4,0)*H137/SUMIFS($H$3:$H$199,$G$3:$G$199,G137,$B$3:$B$199,B137),),)</f>
        <v>0.86842105263157898</v>
      </c>
      <c r="M137" s="382">
        <f>IFERROR(IF(B137="Funkcna poziadavka",VLOOKUP(G137,MODULY_CBA!$B$3:$E$23,3,0),),)</f>
        <v>1.085</v>
      </c>
      <c r="N137" s="382">
        <f>IFERROR(IF(B137="funkcna poziadavka",VLOOKUP(G137,MODULY_CBA!$B$3:$E$23,2,0),),)</f>
        <v>1.1400000000000001</v>
      </c>
      <c r="O137" s="381">
        <f t="shared" si="12"/>
        <v>56.734650000000002</v>
      </c>
      <c r="P137" s="380">
        <f>IFERROR(O137*VLOOKUP(G137,MODULY_CBA!$B$3:$F$23,5,0),)</f>
        <v>1702.0395000000001</v>
      </c>
      <c r="Q137" s="482" t="str">
        <f>IFERROR(VLOOKUP(G137,MODULY_CBA!$B$3:$I$23,6,0),"")</f>
        <v>Inkrement 1</v>
      </c>
      <c r="R137" s="385"/>
      <c r="S137" s="385"/>
      <c r="T137" s="385"/>
      <c r="U137" s="385"/>
      <c r="V137" s="385"/>
      <c r="W137" s="385"/>
      <c r="X137" s="385"/>
      <c r="Y137" s="385"/>
      <c r="Z137" s="385"/>
      <c r="AA137" s="385"/>
      <c r="AB137" s="385"/>
      <c r="AC137" s="385"/>
      <c r="AD137" s="385"/>
      <c r="AE137" s="385"/>
    </row>
    <row r="138" spans="1:31" ht="39">
      <c r="A138" s="667" t="s">
        <v>906</v>
      </c>
      <c r="B138" s="667" t="s">
        <v>485</v>
      </c>
      <c r="C138" s="669" t="s">
        <v>706</v>
      </c>
      <c r="D138" s="669" t="s">
        <v>907</v>
      </c>
      <c r="E138" s="669" t="s">
        <v>908</v>
      </c>
      <c r="F138" s="671" t="s">
        <v>489</v>
      </c>
      <c r="G138" s="670" t="s">
        <v>263</v>
      </c>
      <c r="H138" s="382">
        <v>3</v>
      </c>
      <c r="I138" s="382">
        <v>15</v>
      </c>
      <c r="J138" s="382">
        <f t="shared" si="11"/>
        <v>3</v>
      </c>
      <c r="K138" s="382">
        <f t="shared" si="13"/>
        <v>45</v>
      </c>
      <c r="L138" s="646">
        <f>IFERROR(IF(B138="funkcna poziadavka",VLOOKUP(G138,MODULY_CBA!$B$3:$E$23,4,0)*H138/SUMIFS($H$3:$H$199,$G$3:$G$199,G138,$B$3:$B$199,B138),),)</f>
        <v>0.86842105263157898</v>
      </c>
      <c r="M138" s="382">
        <f>IFERROR(IF(B138="Funkcna poziadavka",VLOOKUP(G138,MODULY_CBA!$B$3:$E$23,3,0),),)</f>
        <v>1.085</v>
      </c>
      <c r="N138" s="382">
        <f>IFERROR(IF(B138="funkcna poziadavka",VLOOKUP(G138,MODULY_CBA!$B$3:$E$23,2,0),),)</f>
        <v>1.1400000000000001</v>
      </c>
      <c r="O138" s="381">
        <f t="shared" si="12"/>
        <v>56.734650000000002</v>
      </c>
      <c r="P138" s="380">
        <f>IFERROR(O138*VLOOKUP(G138,MODULY_CBA!$B$3:$F$23,5,0),)</f>
        <v>1702.0395000000001</v>
      </c>
      <c r="Q138" s="482" t="str">
        <f>IFERROR(VLOOKUP(G138,MODULY_CBA!$B$3:$I$23,6,0),"")</f>
        <v>Inkrement 1</v>
      </c>
      <c r="R138" s="385" t="s">
        <v>121</v>
      </c>
      <c r="S138" s="385" t="s">
        <v>121</v>
      </c>
      <c r="T138" s="385" t="s">
        <v>121</v>
      </c>
      <c r="U138" s="385" t="s">
        <v>121</v>
      </c>
      <c r="V138" s="385" t="s">
        <v>121</v>
      </c>
      <c r="W138" s="385" t="s">
        <v>121</v>
      </c>
      <c r="X138" s="385" t="s">
        <v>121</v>
      </c>
      <c r="Y138" s="385" t="s">
        <v>121</v>
      </c>
      <c r="Z138" s="385" t="s">
        <v>121</v>
      </c>
      <c r="AA138" s="385" t="s">
        <v>121</v>
      </c>
      <c r="AB138" s="385" t="s">
        <v>121</v>
      </c>
      <c r="AC138" s="385" t="s">
        <v>121</v>
      </c>
      <c r="AD138" s="385" t="s">
        <v>121</v>
      </c>
      <c r="AE138" s="385" t="s">
        <v>121</v>
      </c>
    </row>
    <row r="139" spans="1:31" ht="52">
      <c r="A139" s="667" t="s">
        <v>909</v>
      </c>
      <c r="B139" s="667" t="s">
        <v>485</v>
      </c>
      <c r="C139" s="669" t="s">
        <v>706</v>
      </c>
      <c r="D139" s="669" t="s">
        <v>910</v>
      </c>
      <c r="E139" s="669" t="s">
        <v>911</v>
      </c>
      <c r="F139" s="671" t="s">
        <v>489</v>
      </c>
      <c r="G139" s="670" t="s">
        <v>263</v>
      </c>
      <c r="H139" s="382">
        <v>3</v>
      </c>
      <c r="I139" s="382">
        <v>15</v>
      </c>
      <c r="J139" s="382">
        <f t="shared" si="11"/>
        <v>3</v>
      </c>
      <c r="K139" s="382">
        <f t="shared" si="13"/>
        <v>45</v>
      </c>
      <c r="L139" s="646">
        <f>IFERROR(IF(B139="funkcna poziadavka",VLOOKUP(G139,MODULY_CBA!$B$3:$E$23,4,0)*H139/SUMIFS($H$3:$H$199,$G$3:$G$199,G139,$B$3:$B$199,B139),),)</f>
        <v>0.86842105263157898</v>
      </c>
      <c r="M139" s="382">
        <f>IFERROR(IF(B139="Funkcna poziadavka",VLOOKUP(G139,MODULY_CBA!$B$3:$E$23,3,0),),)</f>
        <v>1.085</v>
      </c>
      <c r="N139" s="382">
        <f>IFERROR(IF(B139="funkcna poziadavka",VLOOKUP(G139,MODULY_CBA!$B$3:$E$23,2,0),),)</f>
        <v>1.1400000000000001</v>
      </c>
      <c r="O139" s="381">
        <f t="shared" si="12"/>
        <v>56.734650000000002</v>
      </c>
      <c r="P139" s="380">
        <f>IFERROR(O139*VLOOKUP(G139,MODULY_CBA!$B$3:$F$23,5,0),)</f>
        <v>1702.0395000000001</v>
      </c>
      <c r="Q139" s="482" t="str">
        <f>IFERROR(VLOOKUP(G139,MODULY_CBA!$B$3:$I$23,6,0),"")</f>
        <v>Inkrement 1</v>
      </c>
      <c r="R139" s="385"/>
      <c r="S139" s="385"/>
      <c r="T139" s="385"/>
      <c r="U139" s="385"/>
      <c r="V139" s="385"/>
      <c r="W139" s="385"/>
      <c r="X139" s="385"/>
      <c r="Y139" s="385"/>
      <c r="Z139" s="385"/>
      <c r="AA139" s="385"/>
      <c r="AB139" s="385"/>
      <c r="AC139" s="385"/>
      <c r="AD139" s="385"/>
      <c r="AE139" s="385"/>
    </row>
    <row r="140" spans="1:31" ht="52">
      <c r="A140" s="667" t="s">
        <v>912</v>
      </c>
      <c r="B140" s="667" t="s">
        <v>485</v>
      </c>
      <c r="C140" s="673" t="s">
        <v>706</v>
      </c>
      <c r="D140" s="676" t="s">
        <v>913</v>
      </c>
      <c r="E140" s="676" t="s">
        <v>914</v>
      </c>
      <c r="F140" s="671" t="s">
        <v>489</v>
      </c>
      <c r="G140" s="670" t="s">
        <v>263</v>
      </c>
      <c r="H140" s="382">
        <v>3</v>
      </c>
      <c r="I140" s="382">
        <v>15</v>
      </c>
      <c r="J140" s="382">
        <f t="shared" si="11"/>
        <v>3</v>
      </c>
      <c r="K140" s="382">
        <f t="shared" si="13"/>
        <v>45</v>
      </c>
      <c r="L140" s="646">
        <f>IFERROR(IF(B140="funkcna poziadavka",VLOOKUP(G140,MODULY_CBA!$B$3:$E$23,4,0)*H140/SUMIFS($H$3:$H$199,$G$3:$G$199,G140,$B$3:$B$199,B140),),)</f>
        <v>0.86842105263157898</v>
      </c>
      <c r="M140" s="382">
        <f>IFERROR(IF(B140="Funkcna poziadavka",VLOOKUP(G140,MODULY_CBA!$B$3:$E$23,3,0),),)</f>
        <v>1.085</v>
      </c>
      <c r="N140" s="382">
        <f>IFERROR(IF(B140="funkcna poziadavka",VLOOKUP(G140,MODULY_CBA!$B$3:$E$23,2,0),),)</f>
        <v>1.1400000000000001</v>
      </c>
      <c r="O140" s="381">
        <f t="shared" si="12"/>
        <v>56.734650000000002</v>
      </c>
      <c r="P140" s="380">
        <f>IFERROR(O140*VLOOKUP(G140,MODULY_CBA!$B$3:$F$23,5,0),)</f>
        <v>1702.0395000000001</v>
      </c>
      <c r="Q140" s="482" t="str">
        <f>IFERROR(VLOOKUP(G140,MODULY_CBA!$B$3:$I$23,6,0),"")</f>
        <v>Inkrement 1</v>
      </c>
      <c r="R140" s="385"/>
      <c r="S140" s="385"/>
      <c r="T140" s="385"/>
      <c r="U140" s="385"/>
      <c r="V140" s="385"/>
      <c r="W140" s="385"/>
      <c r="X140" s="385"/>
      <c r="Y140" s="385"/>
      <c r="Z140" s="385"/>
      <c r="AA140" s="385"/>
      <c r="AB140" s="385"/>
      <c r="AC140" s="385"/>
      <c r="AD140" s="385"/>
      <c r="AE140" s="385"/>
    </row>
    <row r="141" spans="1:31" ht="39">
      <c r="A141" s="667" t="s">
        <v>915</v>
      </c>
      <c r="B141" s="667" t="s">
        <v>485</v>
      </c>
      <c r="C141" s="677" t="s">
        <v>486</v>
      </c>
      <c r="D141" s="676" t="s">
        <v>916</v>
      </c>
      <c r="E141" s="676" t="s">
        <v>917</v>
      </c>
      <c r="F141" s="671" t="s">
        <v>489</v>
      </c>
      <c r="G141" s="670" t="s">
        <v>263</v>
      </c>
      <c r="H141" s="382">
        <v>3</v>
      </c>
      <c r="I141" s="382">
        <v>15</v>
      </c>
      <c r="J141" s="382">
        <f t="shared" si="11"/>
        <v>3</v>
      </c>
      <c r="K141" s="382">
        <f t="shared" si="13"/>
        <v>45</v>
      </c>
      <c r="L141" s="646">
        <f>IFERROR(IF(B141="funkcna poziadavka",VLOOKUP(G141,MODULY_CBA!$B$3:$E$23,4,0)*H141/SUMIFS($H$3:$H$199,$G$3:$G$199,G141,$B$3:$B$199,B141),),)</f>
        <v>0.86842105263157898</v>
      </c>
      <c r="M141" s="382">
        <f>IFERROR(IF(B141="Funkcna poziadavka",VLOOKUP(G141,MODULY_CBA!$B$3:$E$23,3,0),),)</f>
        <v>1.085</v>
      </c>
      <c r="N141" s="382">
        <f>IFERROR(IF(B141="funkcna poziadavka",VLOOKUP(G141,MODULY_CBA!$B$3:$E$23,2,0),),)</f>
        <v>1.1400000000000001</v>
      </c>
      <c r="O141" s="381">
        <f t="shared" si="12"/>
        <v>56.734650000000002</v>
      </c>
      <c r="P141" s="380">
        <f>IFERROR(O141*VLOOKUP(G141,MODULY_CBA!$B$3:$F$23,5,0),)</f>
        <v>1702.0395000000001</v>
      </c>
      <c r="Q141" s="482" t="str">
        <f>IFERROR(VLOOKUP(G141,MODULY_CBA!$B$3:$I$23,6,0),"")</f>
        <v>Inkrement 1</v>
      </c>
      <c r="R141" s="385" t="s">
        <v>121</v>
      </c>
      <c r="S141" s="385" t="s">
        <v>121</v>
      </c>
      <c r="T141" s="385" t="s">
        <v>121</v>
      </c>
      <c r="U141" s="385" t="s">
        <v>121</v>
      </c>
      <c r="V141" s="385" t="s">
        <v>121</v>
      </c>
      <c r="W141" s="385" t="s">
        <v>121</v>
      </c>
      <c r="X141" s="385" t="s">
        <v>121</v>
      </c>
      <c r="Y141" s="385" t="s">
        <v>121</v>
      </c>
      <c r="Z141" s="385" t="s">
        <v>121</v>
      </c>
      <c r="AA141" s="385" t="s">
        <v>121</v>
      </c>
      <c r="AB141" s="385" t="s">
        <v>121</v>
      </c>
      <c r="AC141" s="385" t="s">
        <v>121</v>
      </c>
      <c r="AD141" s="385" t="s">
        <v>121</v>
      </c>
      <c r="AE141" s="385" t="s">
        <v>121</v>
      </c>
    </row>
    <row r="142" spans="1:31" ht="52">
      <c r="A142" s="667" t="s">
        <v>918</v>
      </c>
      <c r="B142" s="667" t="s">
        <v>485</v>
      </c>
      <c r="C142" s="673" t="s">
        <v>706</v>
      </c>
      <c r="D142" s="676" t="s">
        <v>919</v>
      </c>
      <c r="E142" s="676" t="s">
        <v>920</v>
      </c>
      <c r="F142" s="671" t="s">
        <v>489</v>
      </c>
      <c r="G142" s="670" t="s">
        <v>263</v>
      </c>
      <c r="H142" s="382">
        <v>3</v>
      </c>
      <c r="I142" s="382">
        <v>15</v>
      </c>
      <c r="J142" s="382">
        <f t="shared" si="11"/>
        <v>3</v>
      </c>
      <c r="K142" s="382">
        <f t="shared" si="13"/>
        <v>45</v>
      </c>
      <c r="L142" s="646">
        <f>IFERROR(IF(B142="funkcna poziadavka",VLOOKUP(G142,MODULY_CBA!$B$3:$E$23,4,0)*H142/SUMIFS($H$3:$H$199,$G$3:$G$199,G142,$B$3:$B$199,B142),),)</f>
        <v>0.86842105263157898</v>
      </c>
      <c r="M142" s="382">
        <f>IFERROR(IF(B142="Funkcna poziadavka",VLOOKUP(G142,MODULY_CBA!$B$3:$E$23,3,0),),)</f>
        <v>1.085</v>
      </c>
      <c r="N142" s="382">
        <f>IFERROR(IF(B142="funkcna poziadavka",VLOOKUP(G142,MODULY_CBA!$B$3:$E$23,2,0),),)</f>
        <v>1.1400000000000001</v>
      </c>
      <c r="O142" s="381">
        <f t="shared" si="12"/>
        <v>56.734650000000002</v>
      </c>
      <c r="P142" s="380">
        <f>IFERROR(O142*VLOOKUP(G142,MODULY_CBA!$B$3:$F$23,5,0),)</f>
        <v>1702.0395000000001</v>
      </c>
      <c r="Q142" s="482" t="str">
        <f>IFERROR(VLOOKUP(G142,MODULY_CBA!$B$3:$I$23,6,0),"")</f>
        <v>Inkrement 1</v>
      </c>
      <c r="R142" s="385" t="s">
        <v>121</v>
      </c>
      <c r="S142" s="385" t="s">
        <v>121</v>
      </c>
      <c r="T142" s="385" t="s">
        <v>121</v>
      </c>
      <c r="U142" s="385" t="s">
        <v>121</v>
      </c>
      <c r="V142" s="385" t="s">
        <v>121</v>
      </c>
      <c r="W142" s="385" t="s">
        <v>121</v>
      </c>
      <c r="X142" s="385" t="s">
        <v>121</v>
      </c>
      <c r="Y142" s="385" t="s">
        <v>121</v>
      </c>
      <c r="Z142" s="385" t="s">
        <v>121</v>
      </c>
      <c r="AA142" s="385" t="s">
        <v>121</v>
      </c>
      <c r="AB142" s="385" t="s">
        <v>121</v>
      </c>
      <c r="AC142" s="385" t="s">
        <v>121</v>
      </c>
      <c r="AD142" s="385" t="s">
        <v>121</v>
      </c>
      <c r="AE142" s="385" t="s">
        <v>121</v>
      </c>
    </row>
    <row r="143" spans="1:31" ht="39">
      <c r="A143" s="667" t="s">
        <v>921</v>
      </c>
      <c r="B143" s="667" t="s">
        <v>485</v>
      </c>
      <c r="C143" s="673" t="s">
        <v>706</v>
      </c>
      <c r="D143" s="676" t="s">
        <v>922</v>
      </c>
      <c r="E143" s="676" t="s">
        <v>923</v>
      </c>
      <c r="F143" s="671" t="s">
        <v>489</v>
      </c>
      <c r="G143" s="670" t="s">
        <v>263</v>
      </c>
      <c r="H143" s="382">
        <v>3</v>
      </c>
      <c r="I143" s="382">
        <v>15</v>
      </c>
      <c r="J143" s="382">
        <f t="shared" si="11"/>
        <v>3</v>
      </c>
      <c r="K143" s="382">
        <f t="shared" si="13"/>
        <v>45</v>
      </c>
      <c r="L143" s="646">
        <f>IFERROR(IF(B143="funkcna poziadavka",VLOOKUP(G143,MODULY_CBA!$B$3:$E$23,4,0)*H143/SUMIFS($H$3:$H$199,$G$3:$G$199,G143,$B$3:$B$199,B143),),)</f>
        <v>0.86842105263157898</v>
      </c>
      <c r="M143" s="382">
        <f>IFERROR(IF(B143="Funkcna poziadavka",VLOOKUP(G143,MODULY_CBA!$B$3:$E$23,3,0),),)</f>
        <v>1.085</v>
      </c>
      <c r="N143" s="382">
        <f>IFERROR(IF(B143="funkcna poziadavka",VLOOKUP(G143,MODULY_CBA!$B$3:$E$23,2,0),),)</f>
        <v>1.1400000000000001</v>
      </c>
      <c r="O143" s="381">
        <f t="shared" si="12"/>
        <v>56.734650000000002</v>
      </c>
      <c r="P143" s="380">
        <f>IFERROR(O143*VLOOKUP(G143,MODULY_CBA!$B$3:$F$23,5,0),)</f>
        <v>1702.0395000000001</v>
      </c>
      <c r="Q143" s="482" t="str">
        <f>IFERROR(VLOOKUP(G143,MODULY_CBA!$B$3:$I$23,6,0),"")</f>
        <v>Inkrement 1</v>
      </c>
      <c r="R143" s="385"/>
      <c r="S143" s="385"/>
      <c r="T143" s="385"/>
      <c r="U143" s="385"/>
      <c r="V143" s="385"/>
      <c r="W143" s="385"/>
      <c r="X143" s="385"/>
      <c r="Y143" s="385"/>
      <c r="Z143" s="385"/>
      <c r="AA143" s="385"/>
      <c r="AB143" s="385"/>
      <c r="AC143" s="385"/>
      <c r="AD143" s="385"/>
      <c r="AE143" s="385"/>
    </row>
    <row r="144" spans="1:31" ht="39">
      <c r="A144" s="667" t="s">
        <v>924</v>
      </c>
      <c r="B144" s="667" t="s">
        <v>485</v>
      </c>
      <c r="C144" s="676" t="s">
        <v>644</v>
      </c>
      <c r="D144" s="676" t="s">
        <v>925</v>
      </c>
      <c r="E144" s="676" t="s">
        <v>926</v>
      </c>
      <c r="F144" s="671" t="s">
        <v>489</v>
      </c>
      <c r="G144" s="670" t="s">
        <v>248</v>
      </c>
      <c r="H144" s="382">
        <v>3</v>
      </c>
      <c r="I144" s="382">
        <v>15</v>
      </c>
      <c r="J144" s="382">
        <f t="shared" si="11"/>
        <v>3</v>
      </c>
      <c r="K144" s="382">
        <f t="shared" si="13"/>
        <v>45</v>
      </c>
      <c r="L144" s="646">
        <f>IFERROR(IF(B144="funkcna poziadavka",VLOOKUP(G144,MODULY_CBA!$B$3:$E$23,4,0)*H144/SUMIFS($H$3:$H$199,$G$3:$G$199,G144,$B$3:$B$199,B144),),)</f>
        <v>16.5</v>
      </c>
      <c r="M144" s="382">
        <f>IFERROR(IF(B144="Funkcna poziadavka",VLOOKUP(G144,MODULY_CBA!$B$3:$E$23,3,0),),)</f>
        <v>1.085</v>
      </c>
      <c r="N144" s="382">
        <f>IFERROR(IF(B144="funkcna poziadavka",VLOOKUP(G144,MODULY_CBA!$B$3:$E$23,2,0),),)</f>
        <v>1.1400000000000001</v>
      </c>
      <c r="O144" s="381">
        <f t="shared" si="12"/>
        <v>76.06935</v>
      </c>
      <c r="P144" s="380">
        <f>IFERROR(O144*VLOOKUP(G144,MODULY_CBA!$B$3:$F$23,5,0),)</f>
        <v>2282.0805</v>
      </c>
      <c r="Q144" s="482" t="str">
        <f>IFERROR(VLOOKUP(G144,MODULY_CBA!$B$3:$I$23,6,0),"")</f>
        <v>Inkrement 1</v>
      </c>
      <c r="R144" s="385" t="s">
        <v>121</v>
      </c>
      <c r="S144" s="385" t="s">
        <v>121</v>
      </c>
      <c r="T144" s="385" t="s">
        <v>121</v>
      </c>
      <c r="U144" s="385" t="s">
        <v>121</v>
      </c>
      <c r="V144" s="385" t="s">
        <v>121</v>
      </c>
      <c r="W144" s="385" t="s">
        <v>121</v>
      </c>
      <c r="X144" s="385" t="s">
        <v>121</v>
      </c>
      <c r="Y144" s="385" t="s">
        <v>121</v>
      </c>
      <c r="Z144" s="385" t="s">
        <v>121</v>
      </c>
      <c r="AA144" s="385" t="s">
        <v>121</v>
      </c>
      <c r="AB144" s="385" t="s">
        <v>121</v>
      </c>
      <c r="AC144" s="385" t="s">
        <v>121</v>
      </c>
      <c r="AD144" s="385" t="s">
        <v>121</v>
      </c>
      <c r="AE144" s="385" t="s">
        <v>121</v>
      </c>
    </row>
    <row r="145" spans="1:31" ht="39">
      <c r="A145" s="667" t="s">
        <v>927</v>
      </c>
      <c r="B145" s="667" t="s">
        <v>485</v>
      </c>
      <c r="C145" s="677" t="s">
        <v>706</v>
      </c>
      <c r="D145" s="676" t="s">
        <v>928</v>
      </c>
      <c r="E145" s="676" t="s">
        <v>929</v>
      </c>
      <c r="F145" s="671" t="s">
        <v>489</v>
      </c>
      <c r="G145" s="670" t="s">
        <v>263</v>
      </c>
      <c r="H145" s="382">
        <v>3</v>
      </c>
      <c r="I145" s="382">
        <v>15</v>
      </c>
      <c r="J145" s="382">
        <f t="shared" si="11"/>
        <v>3</v>
      </c>
      <c r="K145" s="382">
        <f t="shared" si="13"/>
        <v>45</v>
      </c>
      <c r="L145" s="646">
        <f>IFERROR(IF(B145="funkcna poziadavka",VLOOKUP(G145,MODULY_CBA!$B$3:$E$23,4,0)*H145/SUMIFS($H$3:$H$199,$G$3:$G$199,G145,$B$3:$B$199,B145),),)</f>
        <v>0.86842105263157898</v>
      </c>
      <c r="M145" s="382">
        <f>IFERROR(IF(B145="Funkcna poziadavka",VLOOKUP(G145,MODULY_CBA!$B$3:$E$23,3,0),),)</f>
        <v>1.085</v>
      </c>
      <c r="N145" s="382">
        <f>IFERROR(IF(B145="funkcna poziadavka",VLOOKUP(G145,MODULY_CBA!$B$3:$E$23,2,0),),)</f>
        <v>1.1400000000000001</v>
      </c>
      <c r="O145" s="381">
        <f t="shared" si="12"/>
        <v>56.734650000000002</v>
      </c>
      <c r="P145" s="380">
        <f>IFERROR(O145*VLOOKUP(G145,MODULY_CBA!$B$3:$F$23,5,0),)</f>
        <v>1702.0395000000001</v>
      </c>
      <c r="Q145" s="482" t="str">
        <f>IFERROR(VLOOKUP(G145,MODULY_CBA!$B$3:$I$23,6,0),"")</f>
        <v>Inkrement 1</v>
      </c>
      <c r="R145" s="385"/>
      <c r="S145" s="385"/>
      <c r="T145" s="385"/>
      <c r="U145" s="385"/>
      <c r="V145" s="385"/>
      <c r="W145" s="385"/>
      <c r="X145" s="385"/>
      <c r="Y145" s="385"/>
      <c r="Z145" s="385"/>
      <c r="AA145" s="385"/>
      <c r="AB145" s="385"/>
      <c r="AC145" s="385"/>
      <c r="AD145" s="385"/>
      <c r="AE145" s="385"/>
    </row>
    <row r="146" spans="1:31" ht="26">
      <c r="A146" s="667" t="s">
        <v>930</v>
      </c>
      <c r="B146" s="667" t="s">
        <v>485</v>
      </c>
      <c r="C146" s="670" t="s">
        <v>486</v>
      </c>
      <c r="D146" s="678" t="s">
        <v>931</v>
      </c>
      <c r="E146" s="678" t="s">
        <v>932</v>
      </c>
      <c r="F146" s="679" t="s">
        <v>489</v>
      </c>
      <c r="G146" s="679" t="s">
        <v>263</v>
      </c>
      <c r="H146" s="382">
        <v>3</v>
      </c>
      <c r="I146" s="382">
        <v>15</v>
      </c>
      <c r="J146" s="382">
        <f t="shared" si="11"/>
        <v>3</v>
      </c>
      <c r="K146" s="382">
        <f t="shared" si="13"/>
        <v>45</v>
      </c>
      <c r="L146" s="646">
        <f>IFERROR(IF(B146="funkcna poziadavka",VLOOKUP(G146,MODULY_CBA!$B$3:$E$23,4,0)*H146/SUMIFS($H$3:$H$199,$G$3:$G$199,G146,$B$3:$B$199,B146),),)</f>
        <v>0.86842105263157898</v>
      </c>
      <c r="M146" s="382">
        <f>IFERROR(IF(B146="Funkcna poziadavka",VLOOKUP(G146,MODULY_CBA!$B$3:$E$23,3,0),),)</f>
        <v>1.085</v>
      </c>
      <c r="N146" s="382">
        <f>IFERROR(IF(B146="funkcna poziadavka",VLOOKUP(G146,MODULY_CBA!$B$3:$E$23,2,0),),)</f>
        <v>1.1400000000000001</v>
      </c>
      <c r="O146" s="381">
        <f t="shared" si="12"/>
        <v>56.734650000000002</v>
      </c>
      <c r="P146" s="380">
        <f>IFERROR(O146*VLOOKUP(G146,MODULY_CBA!$B$3:$F$23,5,0),)</f>
        <v>1702.0395000000001</v>
      </c>
      <c r="Q146" s="482" t="str">
        <f>IFERROR(VLOOKUP(G146,MODULY_CBA!$B$3:$I$23,6,0),"")</f>
        <v>Inkrement 1</v>
      </c>
      <c r="R146" s="385"/>
      <c r="S146" s="385"/>
      <c r="T146" s="385"/>
      <c r="U146" s="385"/>
      <c r="V146" s="385"/>
      <c r="W146" s="385"/>
      <c r="X146" s="385"/>
      <c r="Y146" s="385"/>
      <c r="Z146" s="385"/>
      <c r="AA146" s="385"/>
      <c r="AB146" s="385"/>
      <c r="AC146" s="385"/>
      <c r="AD146" s="385"/>
      <c r="AE146" s="385"/>
    </row>
    <row r="147" spans="1:31" ht="26">
      <c r="A147" s="667" t="s">
        <v>933</v>
      </c>
      <c r="B147" s="667" t="s">
        <v>485</v>
      </c>
      <c r="C147" s="670" t="s">
        <v>491</v>
      </c>
      <c r="D147" s="676" t="s">
        <v>934</v>
      </c>
      <c r="E147" s="676" t="s">
        <v>935</v>
      </c>
      <c r="F147" s="679" t="s">
        <v>489</v>
      </c>
      <c r="G147" s="679" t="s">
        <v>251</v>
      </c>
      <c r="H147" s="382">
        <v>3</v>
      </c>
      <c r="I147" s="382">
        <v>15</v>
      </c>
      <c r="J147" s="382">
        <f t="shared" si="11"/>
        <v>3</v>
      </c>
      <c r="K147" s="382">
        <f t="shared" si="13"/>
        <v>45</v>
      </c>
      <c r="L147" s="646">
        <f>IFERROR(IF(B147="funkcna poziadavka",VLOOKUP(G147,MODULY_CBA!$B$3:$E$23,4,0)*H147/SUMIFS($H$3:$H$199,$G$3:$G$199,G147,$B$3:$B$199,B147),),)</f>
        <v>3.3</v>
      </c>
      <c r="M147" s="382">
        <f>IFERROR(IF(B147="Funkcna poziadavka",VLOOKUP(G147,MODULY_CBA!$B$3:$E$23,3,0),),)</f>
        <v>1.085</v>
      </c>
      <c r="N147" s="382">
        <f>IFERROR(IF(B147="funkcna poziadavka",VLOOKUP(G147,MODULY_CBA!$B$3:$E$23,2,0),),)</f>
        <v>1.1400000000000001</v>
      </c>
      <c r="O147" s="381">
        <f t="shared" si="12"/>
        <v>59.742270000000005</v>
      </c>
      <c r="P147" s="380">
        <f>IFERROR(O147*VLOOKUP(G147,MODULY_CBA!$B$3:$F$23,5,0),)</f>
        <v>1792.2681000000002</v>
      </c>
      <c r="Q147" s="482" t="str">
        <f>IFERROR(VLOOKUP(G147,MODULY_CBA!$B$3:$I$23,6,0),"")</f>
        <v>Inkrement 3</v>
      </c>
      <c r="R147" s="385" t="s">
        <v>121</v>
      </c>
      <c r="S147" s="385" t="s">
        <v>121</v>
      </c>
      <c r="T147" s="385" t="s">
        <v>121</v>
      </c>
      <c r="U147" s="385" t="s">
        <v>121</v>
      </c>
      <c r="V147" s="385" t="s">
        <v>121</v>
      </c>
      <c r="W147" s="385" t="s">
        <v>121</v>
      </c>
      <c r="X147" s="385" t="s">
        <v>121</v>
      </c>
      <c r="Y147" s="385" t="s">
        <v>121</v>
      </c>
      <c r="Z147" s="385" t="s">
        <v>121</v>
      </c>
      <c r="AA147" s="385" t="s">
        <v>121</v>
      </c>
      <c r="AB147" s="385" t="s">
        <v>121</v>
      </c>
      <c r="AC147" s="385" t="s">
        <v>121</v>
      </c>
      <c r="AD147" s="385" t="s">
        <v>121</v>
      </c>
      <c r="AE147" s="385" t="s">
        <v>121</v>
      </c>
    </row>
    <row r="148" spans="1:31" ht="39">
      <c r="A148" s="667" t="s">
        <v>936</v>
      </c>
      <c r="B148" s="404" t="s">
        <v>485</v>
      </c>
      <c r="C148" s="392" t="s">
        <v>644</v>
      </c>
      <c r="D148" s="535" t="s">
        <v>937</v>
      </c>
      <c r="E148" s="535" t="s">
        <v>938</v>
      </c>
      <c r="F148" s="685" t="s">
        <v>489</v>
      </c>
      <c r="G148" s="685" t="s">
        <v>277</v>
      </c>
      <c r="H148" s="382">
        <v>3</v>
      </c>
      <c r="I148" s="382">
        <v>15</v>
      </c>
      <c r="J148" s="382">
        <f t="shared" si="11"/>
        <v>3</v>
      </c>
      <c r="K148" s="382">
        <f t="shared" si="13"/>
        <v>45</v>
      </c>
      <c r="L148" s="646">
        <f>IFERROR(IF(B148="funkcna poziadavka",VLOOKUP(G148,MODULY_CBA!$B$3:$E$23,4,0)*H148/SUMIFS($H$3:$H$199,$G$3:$G$199,G148,$B$3:$B$199,B148),),)</f>
        <v>0</v>
      </c>
      <c r="M148" s="382">
        <f>IFERROR(IF(B148="Funkcna poziadavka",VLOOKUP(G148,MODULY_CBA!$B$3:$E$23,3,0),),)</f>
        <v>1.085</v>
      </c>
      <c r="N148" s="382">
        <f>IFERROR(IF(B148="funkcna poziadavka",VLOOKUP(G148,MODULY_CBA!$B$3:$E$23,2,0),),)</f>
        <v>1.1400000000000001</v>
      </c>
      <c r="O148" s="381">
        <f t="shared" si="12"/>
        <v>55.660499999999999</v>
      </c>
      <c r="P148" s="380">
        <f>IFERROR(O148*VLOOKUP(G148,MODULY_CBA!$B$3:$F$23,5,0),)</f>
        <v>0</v>
      </c>
      <c r="Q148" s="482">
        <f>IFERROR(VLOOKUP(G148,MODULY_CBA!$B$3:$I$23,6,0),"")</f>
        <v>0</v>
      </c>
      <c r="R148" s="385"/>
      <c r="S148" s="385"/>
      <c r="T148" s="385"/>
      <c r="U148" s="385"/>
      <c r="V148" s="385"/>
      <c r="W148" s="385"/>
      <c r="X148" s="385"/>
      <c r="Y148" s="385"/>
      <c r="Z148" s="385"/>
      <c r="AA148" s="385"/>
      <c r="AB148" s="385"/>
      <c r="AC148" s="385"/>
      <c r="AD148" s="385"/>
      <c r="AE148" s="385"/>
    </row>
    <row r="149" spans="1:31" ht="39">
      <c r="A149" s="667" t="s">
        <v>939</v>
      </c>
      <c r="B149" s="667" t="s">
        <v>485</v>
      </c>
      <c r="C149" s="670" t="s">
        <v>491</v>
      </c>
      <c r="D149" s="676" t="s">
        <v>940</v>
      </c>
      <c r="E149" s="676" t="s">
        <v>941</v>
      </c>
      <c r="F149" s="679" t="s">
        <v>489</v>
      </c>
      <c r="G149" s="679" t="s">
        <v>251</v>
      </c>
      <c r="H149" s="382">
        <v>3</v>
      </c>
      <c r="I149" s="382">
        <v>15</v>
      </c>
      <c r="J149" s="382">
        <f t="shared" si="11"/>
        <v>3</v>
      </c>
      <c r="K149" s="382">
        <f t="shared" si="13"/>
        <v>45</v>
      </c>
      <c r="L149" s="646">
        <f>IFERROR(IF(B149="funkcna poziadavka",VLOOKUP(G149,MODULY_CBA!$B$3:$E$23,4,0)*H149/SUMIFS($H$3:$H$199,$G$3:$G$199,G149,$B$3:$B$199,B149),),)</f>
        <v>3.3</v>
      </c>
      <c r="M149" s="382">
        <f>IFERROR(IF(B149="Funkcna poziadavka",VLOOKUP(G149,MODULY_CBA!$B$3:$E$23,3,0),),)</f>
        <v>1.085</v>
      </c>
      <c r="N149" s="382">
        <f>IFERROR(IF(B149="funkcna poziadavka",VLOOKUP(G149,MODULY_CBA!$B$3:$E$23,2,0),),)</f>
        <v>1.1400000000000001</v>
      </c>
      <c r="O149" s="381">
        <f t="shared" si="12"/>
        <v>59.742270000000005</v>
      </c>
      <c r="P149" s="380">
        <f>IFERROR(O149*VLOOKUP(G149,MODULY_CBA!$B$3:$F$23,5,0),)</f>
        <v>1792.2681000000002</v>
      </c>
      <c r="Q149" s="482" t="str">
        <f>IFERROR(VLOOKUP(G149,MODULY_CBA!$B$3:$I$23,6,0),"")</f>
        <v>Inkrement 3</v>
      </c>
      <c r="R149" s="385"/>
      <c r="S149" s="385"/>
      <c r="T149" s="385"/>
      <c r="U149" s="385"/>
      <c r="V149" s="385"/>
      <c r="W149" s="385"/>
      <c r="X149" s="385"/>
      <c r="Y149" s="385"/>
      <c r="Z149" s="385"/>
      <c r="AA149" s="385"/>
      <c r="AB149" s="385"/>
      <c r="AC149" s="385"/>
      <c r="AD149" s="385"/>
      <c r="AE149" s="385"/>
    </row>
    <row r="150" spans="1:31" ht="39">
      <c r="A150" s="667" t="s">
        <v>942</v>
      </c>
      <c r="B150" s="667" t="s">
        <v>485</v>
      </c>
      <c r="C150" s="670" t="s">
        <v>486</v>
      </c>
      <c r="D150" s="670" t="s">
        <v>943</v>
      </c>
      <c r="E150" s="676" t="s">
        <v>944</v>
      </c>
      <c r="F150" s="671" t="s">
        <v>489</v>
      </c>
      <c r="G150" s="679" t="s">
        <v>263</v>
      </c>
      <c r="H150" s="382">
        <v>3</v>
      </c>
      <c r="I150" s="382">
        <v>15</v>
      </c>
      <c r="J150" s="382">
        <f t="shared" si="11"/>
        <v>3</v>
      </c>
      <c r="K150" s="382">
        <f t="shared" si="13"/>
        <v>45</v>
      </c>
      <c r="L150" s="646">
        <f>IFERROR(IF(B150="funkcna poziadavka",VLOOKUP(G150,MODULY_CBA!$B$3:$E$23,4,0)*H150/SUMIFS($H$3:$H$199,$G$3:$G$199,G150,$B$3:$B$199,B150),),)</f>
        <v>0.86842105263157898</v>
      </c>
      <c r="M150" s="382">
        <f>IFERROR(IF(B150="Funkcna poziadavka",VLOOKUP(G150,MODULY_CBA!$B$3:$E$23,3,0),),)</f>
        <v>1.085</v>
      </c>
      <c r="N150" s="382">
        <f>IFERROR(IF(B150="funkcna poziadavka",VLOOKUP(G150,MODULY_CBA!$B$3:$E$23,2,0),),)</f>
        <v>1.1400000000000001</v>
      </c>
      <c r="O150" s="381">
        <f t="shared" si="12"/>
        <v>56.734650000000002</v>
      </c>
      <c r="P150" s="380">
        <f>IFERROR(O150*VLOOKUP(G150,MODULY_CBA!$B$3:$F$23,5,0),)</f>
        <v>1702.0395000000001</v>
      </c>
      <c r="Q150" s="482" t="str">
        <f>IFERROR(VLOOKUP(G150,MODULY_CBA!$B$3:$I$23,6,0),"")</f>
        <v>Inkrement 1</v>
      </c>
      <c r="R150" s="385" t="s">
        <v>121</v>
      </c>
      <c r="S150" s="385" t="s">
        <v>121</v>
      </c>
      <c r="T150" s="385" t="s">
        <v>121</v>
      </c>
      <c r="U150" s="385" t="s">
        <v>121</v>
      </c>
      <c r="V150" s="385" t="s">
        <v>121</v>
      </c>
      <c r="W150" s="385" t="s">
        <v>121</v>
      </c>
      <c r="X150" s="385" t="s">
        <v>121</v>
      </c>
      <c r="Y150" s="385" t="s">
        <v>121</v>
      </c>
      <c r="Z150" s="385" t="s">
        <v>121</v>
      </c>
      <c r="AA150" s="385" t="s">
        <v>121</v>
      </c>
      <c r="AB150" s="385" t="s">
        <v>121</v>
      </c>
      <c r="AC150" s="385" t="s">
        <v>121</v>
      </c>
      <c r="AD150" s="385" t="s">
        <v>121</v>
      </c>
      <c r="AE150" s="385" t="s">
        <v>121</v>
      </c>
    </row>
    <row r="151" spans="1:31" ht="39">
      <c r="A151" s="667" t="s">
        <v>945</v>
      </c>
      <c r="B151" s="667" t="s">
        <v>485</v>
      </c>
      <c r="C151" s="670" t="s">
        <v>706</v>
      </c>
      <c r="D151" s="676" t="s">
        <v>946</v>
      </c>
      <c r="E151" s="676" t="s">
        <v>947</v>
      </c>
      <c r="F151" s="679" t="s">
        <v>489</v>
      </c>
      <c r="G151" s="679" t="s">
        <v>263</v>
      </c>
      <c r="H151" s="382">
        <v>3</v>
      </c>
      <c r="I151" s="382">
        <v>15</v>
      </c>
      <c r="J151" s="382">
        <f t="shared" si="11"/>
        <v>3</v>
      </c>
      <c r="K151" s="382">
        <f t="shared" si="13"/>
        <v>45</v>
      </c>
      <c r="L151" s="646">
        <f>IFERROR(IF(B151="funkcna poziadavka",VLOOKUP(G151,MODULY_CBA!$B$3:$E$23,4,0)*H151/SUMIFS($H$3:$H$199,$G$3:$G$199,G151,$B$3:$B$199,B151),),)</f>
        <v>0.86842105263157898</v>
      </c>
      <c r="M151" s="382">
        <f>IFERROR(IF(B151="Funkcna poziadavka",VLOOKUP(G151,MODULY_CBA!$B$3:$E$23,3,0),),)</f>
        <v>1.085</v>
      </c>
      <c r="N151" s="382">
        <f>IFERROR(IF(B151="funkcna poziadavka",VLOOKUP(G151,MODULY_CBA!$B$3:$E$23,2,0),),)</f>
        <v>1.1400000000000001</v>
      </c>
      <c r="O151" s="381">
        <f t="shared" si="12"/>
        <v>56.734650000000002</v>
      </c>
      <c r="P151" s="380">
        <f>IFERROR(O151*VLOOKUP(G151,MODULY_CBA!$B$3:$F$23,5,0),)</f>
        <v>1702.0395000000001</v>
      </c>
      <c r="Q151" s="482" t="str">
        <f>IFERROR(VLOOKUP(G151,MODULY_CBA!$B$3:$I$23,6,0),"")</f>
        <v>Inkrement 1</v>
      </c>
      <c r="R151" s="385"/>
      <c r="S151" s="385"/>
      <c r="T151" s="385"/>
      <c r="U151" s="385"/>
      <c r="V151" s="385"/>
      <c r="W151" s="385"/>
      <c r="X151" s="385"/>
      <c r="Y151" s="385"/>
      <c r="Z151" s="385"/>
      <c r="AA151" s="385"/>
      <c r="AB151" s="385"/>
      <c r="AC151" s="385"/>
      <c r="AD151" s="385"/>
      <c r="AE151" s="385"/>
    </row>
    <row r="152" spans="1:31" ht="39">
      <c r="A152" s="667" t="s">
        <v>948</v>
      </c>
      <c r="B152" s="667" t="s">
        <v>485</v>
      </c>
      <c r="C152" s="679" t="s">
        <v>513</v>
      </c>
      <c r="D152" s="676" t="s">
        <v>949</v>
      </c>
      <c r="E152" s="676" t="s">
        <v>950</v>
      </c>
      <c r="F152" s="679" t="s">
        <v>489</v>
      </c>
      <c r="G152" s="672" t="s">
        <v>259</v>
      </c>
      <c r="H152" s="382">
        <v>3</v>
      </c>
      <c r="I152" s="382">
        <v>15</v>
      </c>
      <c r="J152" s="382">
        <f t="shared" si="11"/>
        <v>3</v>
      </c>
      <c r="K152" s="382">
        <f t="shared" si="13"/>
        <v>45</v>
      </c>
      <c r="L152" s="646">
        <f>IFERROR(IF(B152="funkcna poziadavka",VLOOKUP(G152,MODULY_CBA!$B$3:$E$23,4,0)*H152/SUMIFS($H$3:$H$199,$G$3:$G$199,G152,$B$3:$B$199,B152),),)</f>
        <v>0.44594594594594594</v>
      </c>
      <c r="M152" s="382">
        <f>IFERROR(IF(B152="Funkcna poziadavka",VLOOKUP(G152,MODULY_CBA!$B$3:$E$23,3,0),),)</f>
        <v>1.085</v>
      </c>
      <c r="N152" s="382">
        <f>IFERROR(IF(B152="funkcna poziadavka",VLOOKUP(G152,MODULY_CBA!$B$3:$E$23,2,0),),)</f>
        <v>1.1400000000000001</v>
      </c>
      <c r="O152" s="381">
        <f t="shared" si="12"/>
        <v>56.212090540540544</v>
      </c>
      <c r="P152" s="380">
        <f>IFERROR(O152*VLOOKUP(G152,MODULY_CBA!$B$3:$F$23,5,0),)</f>
        <v>1686.3627162162163</v>
      </c>
      <c r="Q152" s="482" t="str">
        <f>IFERROR(VLOOKUP(G152,MODULY_CBA!$B$3:$I$23,6,0),"")</f>
        <v>Inkrement 2</v>
      </c>
      <c r="R152" s="385"/>
      <c r="S152" s="385"/>
      <c r="T152" s="385"/>
      <c r="U152" s="385"/>
      <c r="V152" s="385"/>
      <c r="W152" s="385"/>
      <c r="X152" s="385"/>
      <c r="Y152" s="385"/>
      <c r="Z152" s="385"/>
      <c r="AA152" s="385"/>
      <c r="AB152" s="385"/>
      <c r="AC152" s="385"/>
      <c r="AD152" s="385"/>
      <c r="AE152" s="385"/>
    </row>
    <row r="153" spans="1:31" ht="52">
      <c r="A153" s="667" t="s">
        <v>951</v>
      </c>
      <c r="B153" s="667" t="s">
        <v>485</v>
      </c>
      <c r="C153" s="670" t="s">
        <v>513</v>
      </c>
      <c r="D153" s="676" t="s">
        <v>952</v>
      </c>
      <c r="E153" s="670" t="s">
        <v>953</v>
      </c>
      <c r="F153" s="679" t="s">
        <v>489</v>
      </c>
      <c r="G153" s="672" t="s">
        <v>259</v>
      </c>
      <c r="H153" s="382">
        <v>3</v>
      </c>
      <c r="I153" s="382">
        <v>15</v>
      </c>
      <c r="J153" s="382">
        <f t="shared" si="11"/>
        <v>3</v>
      </c>
      <c r="K153" s="382">
        <f t="shared" si="13"/>
        <v>45</v>
      </c>
      <c r="L153" s="646">
        <f>IFERROR(IF(B153="funkcna poziadavka",VLOOKUP(G153,MODULY_CBA!$B$3:$E$23,4,0)*H153/SUMIFS($H$3:$H$199,$G$3:$G$199,G153,$B$3:$B$199,B153),),)</f>
        <v>0.44594594594594594</v>
      </c>
      <c r="M153" s="382">
        <f>IFERROR(IF(B153="Funkcna poziadavka",VLOOKUP(G153,MODULY_CBA!$B$3:$E$23,3,0),),)</f>
        <v>1.085</v>
      </c>
      <c r="N153" s="382">
        <f>IFERROR(IF(B153="funkcna poziadavka",VLOOKUP(G153,MODULY_CBA!$B$3:$E$23,2,0),),)</f>
        <v>1.1400000000000001</v>
      </c>
      <c r="O153" s="381">
        <f t="shared" si="12"/>
        <v>56.212090540540544</v>
      </c>
      <c r="P153" s="380">
        <f>IFERROR(O153*VLOOKUP(G153,MODULY_CBA!$B$3:$F$23,5,0),)</f>
        <v>1686.3627162162163</v>
      </c>
      <c r="Q153" s="482" t="str">
        <f>IFERROR(VLOOKUP(G153,MODULY_CBA!$B$3:$I$23,6,0),"")</f>
        <v>Inkrement 2</v>
      </c>
      <c r="R153" s="385"/>
      <c r="S153" s="385"/>
      <c r="T153" s="385"/>
      <c r="U153" s="385"/>
      <c r="V153" s="385"/>
      <c r="W153" s="385"/>
      <c r="X153" s="385"/>
      <c r="Y153" s="385"/>
      <c r="Z153" s="385"/>
      <c r="AA153" s="385"/>
      <c r="AB153" s="385"/>
      <c r="AC153" s="385"/>
      <c r="AD153" s="385"/>
      <c r="AE153" s="385"/>
    </row>
    <row r="154" spans="1:31" ht="39">
      <c r="A154" s="667" t="s">
        <v>954</v>
      </c>
      <c r="B154" s="667" t="s">
        <v>485</v>
      </c>
      <c r="C154" s="679" t="s">
        <v>535</v>
      </c>
      <c r="D154" s="676" t="s">
        <v>955</v>
      </c>
      <c r="E154" s="676" t="s">
        <v>956</v>
      </c>
      <c r="F154" s="679" t="s">
        <v>489</v>
      </c>
      <c r="G154" s="672" t="s">
        <v>259</v>
      </c>
      <c r="H154" s="382">
        <v>3</v>
      </c>
      <c r="I154" s="382">
        <v>15</v>
      </c>
      <c r="J154" s="382">
        <f t="shared" si="11"/>
        <v>3</v>
      </c>
      <c r="K154" s="382">
        <f t="shared" si="13"/>
        <v>45</v>
      </c>
      <c r="L154" s="646">
        <f>IFERROR(IF(B154="funkcna poziadavka",VLOOKUP(G154,MODULY_CBA!$B$3:$E$23,4,0)*H154/SUMIFS($H$3:$H$199,$G$3:$G$199,G154,$B$3:$B$199,B154),),)</f>
        <v>0.44594594594594594</v>
      </c>
      <c r="M154" s="382">
        <f>IFERROR(IF(B154="Funkcna poziadavka",VLOOKUP(G154,MODULY_CBA!$B$3:$E$23,3,0),),)</f>
        <v>1.085</v>
      </c>
      <c r="N154" s="382">
        <f>IFERROR(IF(B154="funkcna poziadavka",VLOOKUP(G154,MODULY_CBA!$B$3:$E$23,2,0),),)</f>
        <v>1.1400000000000001</v>
      </c>
      <c r="O154" s="381">
        <f t="shared" si="12"/>
        <v>56.212090540540544</v>
      </c>
      <c r="P154" s="380">
        <f>IFERROR(O154*VLOOKUP(G154,MODULY_CBA!$B$3:$F$23,5,0),)</f>
        <v>1686.3627162162163</v>
      </c>
      <c r="Q154" s="482" t="str">
        <f>IFERROR(VLOOKUP(G154,MODULY_CBA!$B$3:$I$23,6,0),"")</f>
        <v>Inkrement 2</v>
      </c>
      <c r="R154" s="385"/>
      <c r="S154" s="385"/>
      <c r="T154" s="385"/>
      <c r="U154" s="385"/>
      <c r="V154" s="385"/>
      <c r="W154" s="385"/>
      <c r="X154" s="385"/>
      <c r="Y154" s="385"/>
      <c r="Z154" s="385"/>
      <c r="AA154" s="385"/>
      <c r="AB154" s="385"/>
      <c r="AC154" s="385"/>
      <c r="AD154" s="385"/>
      <c r="AE154" s="385"/>
    </row>
    <row r="155" spans="1:31" ht="65">
      <c r="A155" s="667" t="s">
        <v>957</v>
      </c>
      <c r="B155" s="667" t="s">
        <v>485</v>
      </c>
      <c r="C155" s="670" t="s">
        <v>486</v>
      </c>
      <c r="D155" s="676" t="s">
        <v>958</v>
      </c>
      <c r="E155" s="676" t="s">
        <v>959</v>
      </c>
      <c r="F155" s="679" t="s">
        <v>489</v>
      </c>
      <c r="G155" s="672" t="s">
        <v>259</v>
      </c>
      <c r="H155" s="382">
        <v>3</v>
      </c>
      <c r="I155" s="382">
        <v>15</v>
      </c>
      <c r="J155" s="382">
        <f t="shared" si="11"/>
        <v>3</v>
      </c>
      <c r="K155" s="382">
        <f t="shared" si="13"/>
        <v>45</v>
      </c>
      <c r="L155" s="646">
        <f>IFERROR(IF(B155="funkcna poziadavka",VLOOKUP(G155,MODULY_CBA!$B$3:$E$23,4,0)*H155/SUMIFS($H$3:$H$199,$G$3:$G$199,G155,$B$3:$B$199,B155),),)</f>
        <v>0.44594594594594594</v>
      </c>
      <c r="M155" s="382">
        <f>IFERROR(IF(B155="Funkcna poziadavka",VLOOKUP(G155,MODULY_CBA!$B$3:$E$23,3,0),),)</f>
        <v>1.085</v>
      </c>
      <c r="N155" s="382">
        <f>IFERROR(IF(B155="funkcna poziadavka",VLOOKUP(G155,MODULY_CBA!$B$3:$E$23,2,0),),)</f>
        <v>1.1400000000000001</v>
      </c>
      <c r="O155" s="381">
        <f t="shared" si="12"/>
        <v>56.212090540540544</v>
      </c>
      <c r="P155" s="380">
        <f>IFERROR(O155*VLOOKUP(G155,MODULY_CBA!$B$3:$F$23,5,0),)</f>
        <v>1686.3627162162163</v>
      </c>
      <c r="Q155" s="482" t="str">
        <f>IFERROR(VLOOKUP(G155,MODULY_CBA!$B$3:$I$23,6,0),"")</f>
        <v>Inkrement 2</v>
      </c>
      <c r="R155" s="385"/>
      <c r="S155" s="385"/>
      <c r="T155" s="385"/>
      <c r="U155" s="385"/>
      <c r="V155" s="385"/>
      <c r="W155" s="385"/>
      <c r="X155" s="385"/>
      <c r="Y155" s="385"/>
      <c r="Z155" s="385"/>
      <c r="AA155" s="385"/>
      <c r="AB155" s="385"/>
      <c r="AC155" s="385"/>
      <c r="AD155" s="385"/>
      <c r="AE155" s="385"/>
    </row>
    <row r="156" spans="1:31" ht="52">
      <c r="A156" s="667" t="s">
        <v>960</v>
      </c>
      <c r="B156" s="667" t="s">
        <v>485</v>
      </c>
      <c r="C156" s="669" t="s">
        <v>644</v>
      </c>
      <c r="D156" s="669" t="s">
        <v>961</v>
      </c>
      <c r="E156" s="669" t="s">
        <v>962</v>
      </c>
      <c r="F156" s="671" t="s">
        <v>489</v>
      </c>
      <c r="G156" s="672" t="s">
        <v>259</v>
      </c>
      <c r="H156" s="382">
        <v>3</v>
      </c>
      <c r="I156" s="382">
        <v>15</v>
      </c>
      <c r="J156" s="382">
        <f t="shared" si="11"/>
        <v>3</v>
      </c>
      <c r="K156" s="382">
        <f t="shared" si="13"/>
        <v>45</v>
      </c>
      <c r="L156" s="646">
        <f>IFERROR(IF(B156="funkcna poziadavka",VLOOKUP(G156,MODULY_CBA!$B$3:$E$23,4,0)*H156/SUMIFS($H$3:$H$199,$G$3:$G$199,G156,$B$3:$B$199,B156),),)</f>
        <v>0.44594594594594594</v>
      </c>
      <c r="M156" s="382">
        <f>IFERROR(IF(B156="Funkcna poziadavka",VLOOKUP(G156,MODULY_CBA!$B$3:$E$23,3,0),),)</f>
        <v>1.085</v>
      </c>
      <c r="N156" s="382">
        <f>IFERROR(IF(B156="funkcna poziadavka",VLOOKUP(G156,MODULY_CBA!$B$3:$E$23,2,0),),)</f>
        <v>1.1400000000000001</v>
      </c>
      <c r="O156" s="381">
        <f t="shared" si="12"/>
        <v>56.212090540540544</v>
      </c>
      <c r="P156" s="380">
        <f>IFERROR(O156*VLOOKUP(G156,MODULY_CBA!$B$3:$F$23,5,0),)</f>
        <v>1686.3627162162163</v>
      </c>
      <c r="Q156" s="482" t="str">
        <f>IFERROR(VLOOKUP(G156,MODULY_CBA!$B$3:$I$23,6,0),"")</f>
        <v>Inkrement 2</v>
      </c>
      <c r="R156" s="385" t="s">
        <v>121</v>
      </c>
      <c r="S156" s="385" t="s">
        <v>121</v>
      </c>
      <c r="T156" s="385" t="s">
        <v>121</v>
      </c>
      <c r="U156" s="385" t="s">
        <v>121</v>
      </c>
      <c r="V156" s="385" t="s">
        <v>121</v>
      </c>
      <c r="W156" s="385" t="s">
        <v>121</v>
      </c>
      <c r="X156" s="385" t="s">
        <v>121</v>
      </c>
      <c r="Y156" s="385" t="s">
        <v>121</v>
      </c>
      <c r="Z156" s="385" t="s">
        <v>121</v>
      </c>
      <c r="AA156" s="385" t="s">
        <v>121</v>
      </c>
      <c r="AB156" s="385" t="s">
        <v>121</v>
      </c>
      <c r="AC156" s="385" t="s">
        <v>121</v>
      </c>
      <c r="AD156" s="385" t="s">
        <v>121</v>
      </c>
      <c r="AE156" s="385" t="s">
        <v>121</v>
      </c>
    </row>
    <row r="157" spans="1:31" ht="39">
      <c r="A157" s="667" t="s">
        <v>963</v>
      </c>
      <c r="B157" s="667" t="s">
        <v>485</v>
      </c>
      <c r="C157" s="669" t="s">
        <v>513</v>
      </c>
      <c r="D157" s="669" t="s">
        <v>964</v>
      </c>
      <c r="E157" s="669" t="s">
        <v>965</v>
      </c>
      <c r="F157" s="671" t="s">
        <v>489</v>
      </c>
      <c r="G157" s="672" t="s">
        <v>259</v>
      </c>
      <c r="H157" s="382">
        <v>3</v>
      </c>
      <c r="I157" s="382">
        <v>15</v>
      </c>
      <c r="J157" s="382">
        <f t="shared" si="11"/>
        <v>3</v>
      </c>
      <c r="K157" s="382">
        <f t="shared" si="13"/>
        <v>45</v>
      </c>
      <c r="L157" s="646">
        <f>IFERROR(IF(B157="funkcna poziadavka",VLOOKUP(G157,MODULY_CBA!$B$3:$E$23,4,0)*H157/SUMIFS($H$3:$H$199,$G$3:$G$199,G157,$B$3:$B$199,B157),),)</f>
        <v>0.44594594594594594</v>
      </c>
      <c r="M157" s="382">
        <f>IFERROR(IF(B157="Funkcna poziadavka",VLOOKUP(G157,MODULY_CBA!$B$3:$E$23,3,0),),)</f>
        <v>1.085</v>
      </c>
      <c r="N157" s="382">
        <f>IFERROR(IF(B157="funkcna poziadavka",VLOOKUP(G157,MODULY_CBA!$B$3:$E$23,2,0),),)</f>
        <v>1.1400000000000001</v>
      </c>
      <c r="O157" s="381">
        <f t="shared" si="12"/>
        <v>56.212090540540544</v>
      </c>
      <c r="P157" s="380">
        <f>IFERROR(O157*VLOOKUP(G157,MODULY_CBA!$B$3:$F$23,5,0),)</f>
        <v>1686.3627162162163</v>
      </c>
      <c r="Q157" s="482" t="str">
        <f>IFERROR(VLOOKUP(G157,MODULY_CBA!$B$3:$I$23,6,0),"")</f>
        <v>Inkrement 2</v>
      </c>
      <c r="R157" s="385"/>
      <c r="S157" s="385"/>
      <c r="T157" s="385"/>
      <c r="U157" s="385"/>
      <c r="V157" s="385"/>
      <c r="W157" s="385"/>
      <c r="X157" s="385"/>
      <c r="Y157" s="385"/>
      <c r="Z157" s="385"/>
      <c r="AA157" s="385"/>
      <c r="AB157" s="385"/>
      <c r="AC157" s="385"/>
      <c r="AD157" s="385"/>
      <c r="AE157" s="385"/>
    </row>
    <row r="158" spans="1:31" ht="39">
      <c r="A158" s="667" t="s">
        <v>966</v>
      </c>
      <c r="B158" s="667" t="s">
        <v>485</v>
      </c>
      <c r="C158" s="669" t="s">
        <v>513</v>
      </c>
      <c r="D158" s="669" t="s">
        <v>967</v>
      </c>
      <c r="E158" s="669" t="s">
        <v>968</v>
      </c>
      <c r="F158" s="671" t="s">
        <v>489</v>
      </c>
      <c r="G158" s="672" t="s">
        <v>259</v>
      </c>
      <c r="H158" s="382">
        <v>3</v>
      </c>
      <c r="I158" s="382">
        <v>15</v>
      </c>
      <c r="J158" s="382">
        <f t="shared" si="11"/>
        <v>3</v>
      </c>
      <c r="K158" s="382">
        <f t="shared" si="13"/>
        <v>45</v>
      </c>
      <c r="L158" s="646">
        <f>IFERROR(IF(B158="funkcna poziadavka",VLOOKUP(G158,MODULY_CBA!$B$3:$E$23,4,0)*H158/SUMIFS($H$3:$H$199,$G$3:$G$199,G158,$B$3:$B$199,B158),),)</f>
        <v>0.44594594594594594</v>
      </c>
      <c r="M158" s="382">
        <f>IFERROR(IF(B158="Funkcna poziadavka",VLOOKUP(G158,MODULY_CBA!$B$3:$E$23,3,0),),)</f>
        <v>1.085</v>
      </c>
      <c r="N158" s="382">
        <f>IFERROR(IF(B158="funkcna poziadavka",VLOOKUP(G158,MODULY_CBA!$B$3:$E$23,2,0),),)</f>
        <v>1.1400000000000001</v>
      </c>
      <c r="O158" s="381">
        <f t="shared" si="12"/>
        <v>56.212090540540544</v>
      </c>
      <c r="P158" s="380">
        <f>IFERROR(O158*VLOOKUP(G158,MODULY_CBA!$B$3:$F$23,5,0),)</f>
        <v>1686.3627162162163</v>
      </c>
      <c r="Q158" s="482" t="str">
        <f>IFERROR(VLOOKUP(G158,MODULY_CBA!$B$3:$I$23,6,0),"")</f>
        <v>Inkrement 2</v>
      </c>
      <c r="R158" s="385"/>
      <c r="S158" s="385"/>
      <c r="T158" s="385"/>
      <c r="U158" s="385"/>
      <c r="V158" s="385"/>
      <c r="W158" s="385"/>
      <c r="X158" s="385"/>
      <c r="Y158" s="385"/>
      <c r="Z158" s="385"/>
      <c r="AA158" s="385"/>
      <c r="AB158" s="385"/>
      <c r="AC158" s="385"/>
      <c r="AD158" s="385"/>
      <c r="AE158" s="385"/>
    </row>
    <row r="159" spans="1:31" ht="39">
      <c r="A159" s="667" t="s">
        <v>969</v>
      </c>
      <c r="B159" s="667" t="s">
        <v>485</v>
      </c>
      <c r="C159" s="669" t="s">
        <v>873</v>
      </c>
      <c r="D159" s="669" t="s">
        <v>970</v>
      </c>
      <c r="E159" s="669" t="s">
        <v>971</v>
      </c>
      <c r="F159" s="671" t="s">
        <v>489</v>
      </c>
      <c r="G159" s="672" t="s">
        <v>259</v>
      </c>
      <c r="H159" s="382">
        <v>3</v>
      </c>
      <c r="I159" s="382">
        <v>15</v>
      </c>
      <c r="J159" s="382">
        <f t="shared" si="11"/>
        <v>3</v>
      </c>
      <c r="K159" s="382">
        <f t="shared" si="13"/>
        <v>45</v>
      </c>
      <c r="L159" s="646">
        <f>IFERROR(IF(B159="funkcna poziadavka",VLOOKUP(G159,MODULY_CBA!$B$3:$E$23,4,0)*H159/SUMIFS($H$3:$H$199,$G$3:$G$199,G159,$B$3:$B$199,B159),),)</f>
        <v>0.44594594594594594</v>
      </c>
      <c r="M159" s="382">
        <f>IFERROR(IF(B159="Funkcna poziadavka",VLOOKUP(G159,MODULY_CBA!$B$3:$E$23,3,0),),)</f>
        <v>1.085</v>
      </c>
      <c r="N159" s="382">
        <f>IFERROR(IF(B159="funkcna poziadavka",VLOOKUP(G159,MODULY_CBA!$B$3:$E$23,2,0),),)</f>
        <v>1.1400000000000001</v>
      </c>
      <c r="O159" s="381">
        <f t="shared" si="12"/>
        <v>56.212090540540544</v>
      </c>
      <c r="P159" s="380">
        <f>IFERROR(O159*VLOOKUP(G159,MODULY_CBA!$B$3:$F$23,5,0),)</f>
        <v>1686.3627162162163</v>
      </c>
      <c r="Q159" s="482" t="str">
        <f>IFERROR(VLOOKUP(G159,MODULY_CBA!$B$3:$I$23,6,0),"")</f>
        <v>Inkrement 2</v>
      </c>
      <c r="R159" s="385"/>
      <c r="S159" s="385"/>
      <c r="T159" s="385"/>
      <c r="U159" s="385"/>
      <c r="V159" s="385"/>
      <c r="W159" s="385"/>
      <c r="X159" s="385"/>
      <c r="Y159" s="385"/>
      <c r="Z159" s="385"/>
      <c r="AA159" s="385"/>
      <c r="AB159" s="385"/>
      <c r="AC159" s="385"/>
      <c r="AD159" s="385"/>
      <c r="AE159" s="385"/>
    </row>
    <row r="160" spans="1:31" ht="26">
      <c r="A160" s="667" t="s">
        <v>972</v>
      </c>
      <c r="B160" s="667" t="s">
        <v>485</v>
      </c>
      <c r="C160" s="669" t="s">
        <v>644</v>
      </c>
      <c r="D160" s="669" t="s">
        <v>973</v>
      </c>
      <c r="E160" s="669" t="s">
        <v>974</v>
      </c>
      <c r="F160" s="671" t="s">
        <v>489</v>
      </c>
      <c r="G160" s="680" t="s">
        <v>269</v>
      </c>
      <c r="H160" s="382">
        <v>3</v>
      </c>
      <c r="I160" s="382">
        <v>15</v>
      </c>
      <c r="J160" s="382">
        <f t="shared" si="11"/>
        <v>3</v>
      </c>
      <c r="K160" s="382">
        <f t="shared" si="13"/>
        <v>45</v>
      </c>
      <c r="L160" s="646">
        <f>IFERROR(IF(B160="funkcna poziadavka",VLOOKUP(G160,MODULY_CBA!$B$3:$E$23,4,0)*H160/SUMIFS($H$3:$H$199,$G$3:$G$199,G160,$B$3:$B$199,B160),),)</f>
        <v>3</v>
      </c>
      <c r="M160" s="382">
        <f>IFERROR(IF(B160="Funkcna poziadavka",VLOOKUP(G160,MODULY_CBA!$B$3:$E$23,3,0),),)</f>
        <v>1.085</v>
      </c>
      <c r="N160" s="382">
        <f>IFERROR(IF(B160="funkcna poziadavka",VLOOKUP(G160,MODULY_CBA!$B$3:$E$23,2,0),),)</f>
        <v>1.1400000000000001</v>
      </c>
      <c r="O160" s="381">
        <f t="shared" si="12"/>
        <v>59.371200000000002</v>
      </c>
      <c r="P160" s="380">
        <f>IFERROR(O160*VLOOKUP(G160,MODULY_CBA!$B$3:$F$23,5,0),)</f>
        <v>1781.136</v>
      </c>
      <c r="Q160" s="482" t="str">
        <f>IFERROR(VLOOKUP(G160,MODULY_CBA!$B$3:$I$23,6,0),"")</f>
        <v>Inkrement 1</v>
      </c>
      <c r="R160" s="385"/>
      <c r="S160" s="385"/>
      <c r="T160" s="385"/>
      <c r="U160" s="385"/>
      <c r="V160" s="385"/>
      <c r="W160" s="385"/>
      <c r="X160" s="385"/>
      <c r="Y160" s="385"/>
      <c r="Z160" s="385"/>
      <c r="AA160" s="385"/>
      <c r="AB160" s="385"/>
      <c r="AC160" s="385"/>
      <c r="AD160" s="385"/>
      <c r="AE160" s="385"/>
    </row>
    <row r="161" spans="1:32" ht="39">
      <c r="A161" s="667" t="s">
        <v>975</v>
      </c>
      <c r="B161" s="667" t="s">
        <v>485</v>
      </c>
      <c r="C161" s="669" t="s">
        <v>644</v>
      </c>
      <c r="D161" s="669" t="s">
        <v>976</v>
      </c>
      <c r="E161" s="669" t="s">
        <v>977</v>
      </c>
      <c r="F161" s="671" t="s">
        <v>489</v>
      </c>
      <c r="G161" s="680" t="s">
        <v>269</v>
      </c>
      <c r="H161" s="382">
        <v>3</v>
      </c>
      <c r="I161" s="382">
        <v>15</v>
      </c>
      <c r="J161" s="382">
        <f t="shared" si="11"/>
        <v>3</v>
      </c>
      <c r="K161" s="382">
        <f t="shared" si="13"/>
        <v>45</v>
      </c>
      <c r="L161" s="646">
        <f>IFERROR(IF(B161="funkcna poziadavka",VLOOKUP(G161,MODULY_CBA!$B$3:$E$23,4,0)*H161/SUMIFS($H$3:$H$199,$G$3:$G$199,G161,$B$3:$B$199,B161),),)</f>
        <v>3</v>
      </c>
      <c r="M161" s="382">
        <f>IFERROR(IF(B161="Funkcna poziadavka",VLOOKUP(G161,MODULY_CBA!$B$3:$E$23,3,0),),)</f>
        <v>1.085</v>
      </c>
      <c r="N161" s="382">
        <f>IFERROR(IF(B161="funkcna poziadavka",VLOOKUP(G161,MODULY_CBA!$B$3:$E$23,2,0),),)</f>
        <v>1.1400000000000001</v>
      </c>
      <c r="O161" s="381">
        <f t="shared" si="12"/>
        <v>59.371200000000002</v>
      </c>
      <c r="P161" s="380">
        <f>IFERROR(O161*VLOOKUP(G161,MODULY_CBA!$B$3:$F$23,5,0),)</f>
        <v>1781.136</v>
      </c>
      <c r="Q161" s="482" t="str">
        <f>IFERROR(VLOOKUP(G161,MODULY_CBA!$B$3:$I$23,6,0),"")</f>
        <v>Inkrement 1</v>
      </c>
      <c r="R161" s="385"/>
      <c r="S161" s="385"/>
      <c r="T161" s="385"/>
      <c r="U161" s="385"/>
      <c r="V161" s="385"/>
      <c r="W161" s="385"/>
      <c r="X161" s="385"/>
      <c r="Y161" s="385"/>
      <c r="Z161" s="385"/>
      <c r="AA161" s="385"/>
      <c r="AB161" s="385"/>
      <c r="AC161" s="385"/>
      <c r="AD161" s="385"/>
      <c r="AE161" s="385"/>
    </row>
    <row r="162" spans="1:32" ht="39">
      <c r="A162" s="667" t="s">
        <v>978</v>
      </c>
      <c r="B162" s="667" t="s">
        <v>485</v>
      </c>
      <c r="C162" s="669" t="s">
        <v>644</v>
      </c>
      <c r="D162" s="669" t="s">
        <v>979</v>
      </c>
      <c r="E162" s="669" t="s">
        <v>980</v>
      </c>
      <c r="F162" s="671" t="s">
        <v>489</v>
      </c>
      <c r="G162" s="680" t="s">
        <v>267</v>
      </c>
      <c r="H162" s="382">
        <v>3</v>
      </c>
      <c r="I162" s="382">
        <v>15</v>
      </c>
      <c r="J162" s="382">
        <f t="shared" si="11"/>
        <v>3</v>
      </c>
      <c r="K162" s="382">
        <f t="shared" si="13"/>
        <v>45</v>
      </c>
      <c r="L162" s="646">
        <f>IFERROR(IF(B162="funkcna poziadavka",VLOOKUP(G162,MODULY_CBA!$B$3:$E$23,4,0)*H162/SUMIFS($H$3:$H$199,$G$3:$G$199,G162,$B$3:$B$199,B162),),)</f>
        <v>1.064516129032258</v>
      </c>
      <c r="M162" s="382">
        <f>IFERROR(IF(B162="Funkcna poziadavka",VLOOKUP(G162,MODULY_CBA!$B$3:$E$23,3,0),),)</f>
        <v>1.085</v>
      </c>
      <c r="N162" s="382">
        <f>IFERROR(IF(B162="funkcna poziadavka",VLOOKUP(G162,MODULY_CBA!$B$3:$E$23,2,0),),)</f>
        <v>1.1400000000000001</v>
      </c>
      <c r="O162" s="381">
        <f t="shared" si="12"/>
        <v>56.977200000000003</v>
      </c>
      <c r="P162" s="380">
        <f>IFERROR(O162*VLOOKUP(G162,MODULY_CBA!$B$3:$F$23,5,0),)</f>
        <v>1709.316</v>
      </c>
      <c r="Q162" s="482" t="str">
        <f>IFERROR(VLOOKUP(G162,MODULY_CBA!$B$3:$I$23,6,0),"")</f>
        <v>Inkrement 2</v>
      </c>
      <c r="R162" s="385"/>
      <c r="S162" s="385"/>
      <c r="T162" s="385"/>
      <c r="U162" s="385"/>
      <c r="V162" s="385"/>
      <c r="W162" s="385"/>
      <c r="X162" s="385"/>
      <c r="Y162" s="385"/>
      <c r="Z162" s="385"/>
      <c r="AA162" s="385"/>
      <c r="AB162" s="385"/>
      <c r="AC162" s="385"/>
      <c r="AD162" s="385"/>
      <c r="AE162" s="385"/>
    </row>
    <row r="163" spans="1:32" ht="52">
      <c r="A163" s="667" t="s">
        <v>981</v>
      </c>
      <c r="B163" s="667" t="s">
        <v>485</v>
      </c>
      <c r="C163" s="669" t="s">
        <v>509</v>
      </c>
      <c r="D163" s="669" t="s">
        <v>982</v>
      </c>
      <c r="E163" s="669" t="s">
        <v>983</v>
      </c>
      <c r="F163" s="671" t="s">
        <v>489</v>
      </c>
      <c r="G163" s="680" t="s">
        <v>265</v>
      </c>
      <c r="H163" s="382">
        <v>3</v>
      </c>
      <c r="I163" s="382">
        <v>15</v>
      </c>
      <c r="J163" s="382">
        <f t="shared" ref="J163:J169" si="14">IF(ISNUMBER(H163),H163,)</f>
        <v>3</v>
      </c>
      <c r="K163" s="382">
        <f t="shared" si="13"/>
        <v>45</v>
      </c>
      <c r="L163" s="646">
        <f>IFERROR(IF(B163="funkcna poziadavka",VLOOKUP(G163,MODULY_CBA!$B$3:$E$23,4,0)*H163/SUMIFS($H$3:$H$199,$G$3:$G$199,G163,$B$3:$B$199,B163),),)</f>
        <v>6.6</v>
      </c>
      <c r="M163" s="382">
        <f>IFERROR(IF(B163="Funkcna poziadavka",VLOOKUP(G163,MODULY_CBA!$B$3:$E$23,3,0),),)</f>
        <v>1.085</v>
      </c>
      <c r="N163" s="382">
        <f>IFERROR(IF(B163="funkcna poziadavka",VLOOKUP(G163,MODULY_CBA!$B$3:$E$23,2,0),),)</f>
        <v>1.1400000000000001</v>
      </c>
      <c r="O163" s="381">
        <f t="shared" ref="O163:O169" si="15">(K163+L163)*M163*N163</f>
        <v>63.824040000000004</v>
      </c>
      <c r="P163" s="380">
        <f>IFERROR(O163*VLOOKUP(G163,MODULY_CBA!$B$3:$F$23,5,0),)</f>
        <v>1914.7212000000002</v>
      </c>
      <c r="Q163" s="482" t="str">
        <f>IFERROR(VLOOKUP(G163,MODULY_CBA!$B$3:$I$23,6,0),"")</f>
        <v>Inkrement 3</v>
      </c>
      <c r="R163" s="385" t="s">
        <v>121</v>
      </c>
      <c r="S163" s="385" t="s">
        <v>121</v>
      </c>
      <c r="T163" s="385" t="s">
        <v>121</v>
      </c>
      <c r="U163" s="385" t="s">
        <v>121</v>
      </c>
      <c r="V163" s="385" t="s">
        <v>121</v>
      </c>
      <c r="W163" s="385" t="s">
        <v>121</v>
      </c>
      <c r="X163" s="385" t="s">
        <v>121</v>
      </c>
      <c r="Y163" s="385" t="s">
        <v>121</v>
      </c>
      <c r="Z163" s="385" t="s">
        <v>121</v>
      </c>
      <c r="AA163" s="385" t="s">
        <v>121</v>
      </c>
      <c r="AB163" s="385" t="s">
        <v>121</v>
      </c>
      <c r="AC163" s="385" t="s">
        <v>121</v>
      </c>
      <c r="AD163" s="385" t="s">
        <v>121</v>
      </c>
      <c r="AE163" s="385" t="s">
        <v>121</v>
      </c>
    </row>
    <row r="164" spans="1:32" ht="52">
      <c r="A164" s="667" t="s">
        <v>984</v>
      </c>
      <c r="B164" s="667" t="s">
        <v>485</v>
      </c>
      <c r="C164" s="669" t="s">
        <v>842</v>
      </c>
      <c r="D164" s="669" t="s">
        <v>985</v>
      </c>
      <c r="E164" s="669" t="s">
        <v>986</v>
      </c>
      <c r="F164" s="671" t="s">
        <v>489</v>
      </c>
      <c r="G164" s="680" t="s">
        <v>267</v>
      </c>
      <c r="H164" s="382">
        <v>3</v>
      </c>
      <c r="I164" s="382">
        <v>15</v>
      </c>
      <c r="J164" s="382">
        <f t="shared" si="14"/>
        <v>3</v>
      </c>
      <c r="K164" s="382">
        <f t="shared" si="13"/>
        <v>45</v>
      </c>
      <c r="L164" s="646">
        <f>IFERROR(IF(B164="funkcna poziadavka",VLOOKUP(G164,MODULY_CBA!$B$3:$E$23,4,0)*H164/SUMIFS($H$3:$H$199,$G$3:$G$199,G164,$B$3:$B$199,B164),),)</f>
        <v>1.064516129032258</v>
      </c>
      <c r="M164" s="382">
        <f>IFERROR(IF(B164="Funkcna poziadavka",VLOOKUP(G164,MODULY_CBA!$B$3:$E$23,3,0),),)</f>
        <v>1.085</v>
      </c>
      <c r="N164" s="382">
        <f>IFERROR(IF(B164="funkcna poziadavka",VLOOKUP(G164,MODULY_CBA!$B$3:$E$23,2,0),),)</f>
        <v>1.1400000000000001</v>
      </c>
      <c r="O164" s="381">
        <f t="shared" si="15"/>
        <v>56.977200000000003</v>
      </c>
      <c r="P164" s="380">
        <f>IFERROR(O164*VLOOKUP(G164,MODULY_CBA!$B$3:$F$23,5,0),)</f>
        <v>1709.316</v>
      </c>
      <c r="Q164" s="482" t="str">
        <f>IFERROR(VLOOKUP(G164,MODULY_CBA!$B$3:$I$23,6,0),"")</f>
        <v>Inkrement 2</v>
      </c>
      <c r="R164" s="385" t="s">
        <v>121</v>
      </c>
      <c r="S164" s="385" t="s">
        <v>121</v>
      </c>
      <c r="T164" s="385" t="s">
        <v>121</v>
      </c>
      <c r="U164" s="385" t="s">
        <v>121</v>
      </c>
      <c r="V164" s="385" t="s">
        <v>121</v>
      </c>
      <c r="W164" s="385" t="s">
        <v>121</v>
      </c>
      <c r="X164" s="385" t="s">
        <v>121</v>
      </c>
      <c r="Y164" s="385" t="s">
        <v>121</v>
      </c>
      <c r="Z164" s="385" t="s">
        <v>121</v>
      </c>
      <c r="AA164" s="385" t="s">
        <v>121</v>
      </c>
      <c r="AB164" s="385" t="s">
        <v>121</v>
      </c>
      <c r="AC164" s="385" t="s">
        <v>121</v>
      </c>
      <c r="AD164" s="385" t="s">
        <v>121</v>
      </c>
      <c r="AE164" s="385" t="s">
        <v>121</v>
      </c>
      <c r="AF164" s="377"/>
    </row>
    <row r="165" spans="1:32" ht="26">
      <c r="A165" s="667" t="s">
        <v>987</v>
      </c>
      <c r="B165" s="667" t="s">
        <v>485</v>
      </c>
      <c r="C165" s="669" t="s">
        <v>644</v>
      </c>
      <c r="D165" s="669" t="s">
        <v>988</v>
      </c>
      <c r="E165" s="670" t="s">
        <v>989</v>
      </c>
      <c r="F165" s="671" t="s">
        <v>489</v>
      </c>
      <c r="G165" s="680" t="s">
        <v>267</v>
      </c>
      <c r="H165" s="382">
        <v>3</v>
      </c>
      <c r="I165" s="382">
        <v>15</v>
      </c>
      <c r="J165" s="382">
        <f t="shared" si="14"/>
        <v>3</v>
      </c>
      <c r="K165" s="382">
        <f t="shared" si="13"/>
        <v>45</v>
      </c>
      <c r="L165" s="646">
        <f>IFERROR(IF(B165="funkcna poziadavka",VLOOKUP(G165,MODULY_CBA!$B$3:$E$23,4,0)*H165/SUMIFS($H$3:$H$199,$G$3:$G$199,G165,$B$3:$B$199,B165),),)</f>
        <v>1.064516129032258</v>
      </c>
      <c r="M165" s="382">
        <f>IFERROR(IF(B165="Funkcna poziadavka",VLOOKUP(G165,MODULY_CBA!$B$3:$E$23,3,0),),)</f>
        <v>1.085</v>
      </c>
      <c r="N165" s="382">
        <f>IFERROR(IF(B165="funkcna poziadavka",VLOOKUP(G165,MODULY_CBA!$B$3:$E$23,2,0),),)</f>
        <v>1.1400000000000001</v>
      </c>
      <c r="O165" s="381">
        <f t="shared" si="15"/>
        <v>56.977200000000003</v>
      </c>
      <c r="P165" s="380">
        <f>IFERROR(O165*VLOOKUP(G165,MODULY_CBA!$B$3:$F$23,5,0),)</f>
        <v>1709.316</v>
      </c>
      <c r="Q165" s="482" t="str">
        <f>IFERROR(VLOOKUP(G165,MODULY_CBA!$B$3:$I$23,6,0),"")</f>
        <v>Inkrement 2</v>
      </c>
      <c r="R165" s="385"/>
      <c r="S165" s="385"/>
      <c r="T165" s="385"/>
      <c r="U165" s="385"/>
      <c r="V165" s="385"/>
      <c r="W165" s="385"/>
      <c r="X165" s="385"/>
      <c r="Y165" s="385"/>
      <c r="Z165" s="385"/>
      <c r="AA165" s="385"/>
      <c r="AB165" s="385"/>
      <c r="AC165" s="385"/>
      <c r="AD165" s="385"/>
      <c r="AE165" s="385"/>
      <c r="AF165" s="377"/>
    </row>
    <row r="166" spans="1:32" ht="39">
      <c r="A166" s="667" t="s">
        <v>990</v>
      </c>
      <c r="B166" s="667" t="s">
        <v>485</v>
      </c>
      <c r="C166" s="669" t="s">
        <v>991</v>
      </c>
      <c r="D166" s="669" t="s">
        <v>992</v>
      </c>
      <c r="E166" s="670" t="s">
        <v>993</v>
      </c>
      <c r="F166" s="671" t="s">
        <v>489</v>
      </c>
      <c r="G166" s="680" t="s">
        <v>267</v>
      </c>
      <c r="H166" s="382">
        <v>3</v>
      </c>
      <c r="I166" s="382">
        <v>15</v>
      </c>
      <c r="J166" s="382">
        <f t="shared" si="14"/>
        <v>3</v>
      </c>
      <c r="K166" s="382">
        <f t="shared" si="13"/>
        <v>45</v>
      </c>
      <c r="L166" s="646">
        <f>IFERROR(IF(B166="funkcna poziadavka",VLOOKUP(G166,MODULY_CBA!$B$3:$E$23,4,0)*H166/SUMIFS($H$3:$H$199,$G$3:$G$199,G166,$B$3:$B$199,B166),),)</f>
        <v>1.064516129032258</v>
      </c>
      <c r="M166" s="382">
        <f>IFERROR(IF(B166="Funkcna poziadavka",VLOOKUP(G166,MODULY_CBA!$B$3:$E$23,3,0),),)</f>
        <v>1.085</v>
      </c>
      <c r="N166" s="382">
        <f>IFERROR(IF(B166="funkcna poziadavka",VLOOKUP(G166,MODULY_CBA!$B$3:$E$23,2,0),),)</f>
        <v>1.1400000000000001</v>
      </c>
      <c r="O166" s="381">
        <f t="shared" si="15"/>
        <v>56.977200000000003</v>
      </c>
      <c r="P166" s="380">
        <f>IFERROR(O166*VLOOKUP(G166,MODULY_CBA!$B$3:$F$23,5,0),)</f>
        <v>1709.316</v>
      </c>
      <c r="Q166" s="482" t="str">
        <f>IFERROR(VLOOKUP(G166,MODULY_CBA!$B$3:$I$23,6,0),"")</f>
        <v>Inkrement 2</v>
      </c>
      <c r="R166" s="385" t="s">
        <v>121</v>
      </c>
      <c r="S166" s="385" t="s">
        <v>121</v>
      </c>
      <c r="T166" s="385" t="s">
        <v>121</v>
      </c>
      <c r="U166" s="385" t="s">
        <v>121</v>
      </c>
      <c r="V166" s="385" t="s">
        <v>121</v>
      </c>
      <c r="W166" s="385" t="s">
        <v>121</v>
      </c>
      <c r="X166" s="385" t="s">
        <v>121</v>
      </c>
      <c r="Y166" s="385" t="s">
        <v>121</v>
      </c>
      <c r="Z166" s="385" t="s">
        <v>121</v>
      </c>
      <c r="AA166" s="385" t="s">
        <v>121</v>
      </c>
      <c r="AB166" s="385" t="s">
        <v>121</v>
      </c>
      <c r="AC166" s="385" t="s">
        <v>121</v>
      </c>
      <c r="AD166" s="385" t="s">
        <v>121</v>
      </c>
      <c r="AE166" s="385" t="s">
        <v>121</v>
      </c>
      <c r="AF166" s="377"/>
    </row>
    <row r="167" spans="1:32" ht="39">
      <c r="A167" s="667" t="s">
        <v>994</v>
      </c>
      <c r="B167" s="667" t="s">
        <v>485</v>
      </c>
      <c r="C167" s="669" t="s">
        <v>575</v>
      </c>
      <c r="D167" s="669" t="s">
        <v>995</v>
      </c>
      <c r="E167" s="670" t="s">
        <v>996</v>
      </c>
      <c r="F167" s="671" t="s">
        <v>489</v>
      </c>
      <c r="G167" s="680" t="s">
        <v>263</v>
      </c>
      <c r="H167" s="382">
        <v>3</v>
      </c>
      <c r="I167" s="382">
        <v>15</v>
      </c>
      <c r="J167" s="382">
        <f t="shared" si="14"/>
        <v>3</v>
      </c>
      <c r="K167" s="382">
        <f t="shared" si="13"/>
        <v>45</v>
      </c>
      <c r="L167" s="646">
        <f>IFERROR(IF(B167="funkcna poziadavka",VLOOKUP(G167,MODULY_CBA!$B$3:$E$23,4,0)*H167/SUMIFS($H$3:$H$199,$G$3:$G$199,G167,$B$3:$B$199,B167),),)</f>
        <v>0.86842105263157898</v>
      </c>
      <c r="M167" s="382">
        <f>IFERROR(IF(B167="Funkcna poziadavka",VLOOKUP(G167,MODULY_CBA!$B$3:$E$23,3,0),),)</f>
        <v>1.085</v>
      </c>
      <c r="N167" s="382">
        <f>IFERROR(IF(B167="funkcna poziadavka",VLOOKUP(G167,MODULY_CBA!$B$3:$E$23,2,0),),)</f>
        <v>1.1400000000000001</v>
      </c>
      <c r="O167" s="381">
        <f t="shared" si="15"/>
        <v>56.734650000000002</v>
      </c>
      <c r="P167" s="380">
        <f>IFERROR(O167*VLOOKUP(G167,MODULY_CBA!$B$3:$F$23,5,0),)</f>
        <v>1702.0395000000001</v>
      </c>
      <c r="Q167" s="482" t="str">
        <f>IFERROR(VLOOKUP(G167,MODULY_CBA!$B$3:$I$23,6,0),"")</f>
        <v>Inkrement 1</v>
      </c>
      <c r="R167" s="385" t="s">
        <v>121</v>
      </c>
      <c r="S167" s="385" t="s">
        <v>121</v>
      </c>
      <c r="T167" s="385" t="s">
        <v>121</v>
      </c>
      <c r="U167" s="385" t="s">
        <v>121</v>
      </c>
      <c r="V167" s="385" t="s">
        <v>121</v>
      </c>
      <c r="W167" s="385" t="s">
        <v>121</v>
      </c>
      <c r="X167" s="385" t="s">
        <v>121</v>
      </c>
      <c r="Y167" s="385" t="s">
        <v>121</v>
      </c>
      <c r="Z167" s="385" t="s">
        <v>121</v>
      </c>
      <c r="AA167" s="385" t="s">
        <v>121</v>
      </c>
      <c r="AB167" s="385" t="s">
        <v>121</v>
      </c>
      <c r="AC167" s="385" t="s">
        <v>121</v>
      </c>
      <c r="AD167" s="385" t="s">
        <v>121</v>
      </c>
      <c r="AE167" s="385" t="s">
        <v>121</v>
      </c>
      <c r="AF167" s="377"/>
    </row>
    <row r="168" spans="1:32" ht="39">
      <c r="A168" s="667" t="s">
        <v>997</v>
      </c>
      <c r="B168" s="667" t="s">
        <v>485</v>
      </c>
      <c r="C168" s="670" t="s">
        <v>873</v>
      </c>
      <c r="D168" s="669" t="s">
        <v>998</v>
      </c>
      <c r="E168" s="670" t="s">
        <v>999</v>
      </c>
      <c r="F168" s="671" t="s">
        <v>489</v>
      </c>
      <c r="G168" s="680" t="s">
        <v>267</v>
      </c>
      <c r="H168" s="382">
        <v>3</v>
      </c>
      <c r="I168" s="382">
        <v>15</v>
      </c>
      <c r="J168" s="382">
        <f t="shared" si="14"/>
        <v>3</v>
      </c>
      <c r="K168" s="382">
        <f t="shared" si="13"/>
        <v>45</v>
      </c>
      <c r="L168" s="646">
        <f>IFERROR(IF(B168="funkcna poziadavka",VLOOKUP(G168,MODULY_CBA!$B$3:$E$23,4,0)*H168/SUMIFS($H$3:$H$199,$G$3:$G$199,G168,$B$3:$B$199,B168),),)</f>
        <v>1.064516129032258</v>
      </c>
      <c r="M168" s="382">
        <f>IFERROR(IF(B168="Funkcna poziadavka",VLOOKUP(G168,MODULY_CBA!$B$3:$E$23,3,0),),)</f>
        <v>1.085</v>
      </c>
      <c r="N168" s="382">
        <f>IFERROR(IF(B168="funkcna poziadavka",VLOOKUP(G168,MODULY_CBA!$B$3:$E$23,2,0),),)</f>
        <v>1.1400000000000001</v>
      </c>
      <c r="O168" s="381">
        <f t="shared" si="15"/>
        <v>56.977200000000003</v>
      </c>
      <c r="P168" s="380">
        <f>IFERROR(O168*VLOOKUP(G168,MODULY_CBA!$B$3:$F$23,5,0),)</f>
        <v>1709.316</v>
      </c>
      <c r="Q168" s="482" t="str">
        <f>IFERROR(VLOOKUP(G168,MODULY_CBA!$B$3:$I$23,6,0),"")</f>
        <v>Inkrement 2</v>
      </c>
      <c r="R168" s="385"/>
      <c r="S168" s="385"/>
      <c r="T168" s="385"/>
      <c r="U168" s="385"/>
      <c r="V168" s="385"/>
      <c r="W168" s="385"/>
      <c r="X168" s="385"/>
      <c r="Y168" s="385"/>
      <c r="Z168" s="385"/>
      <c r="AA168" s="385"/>
      <c r="AB168" s="385"/>
      <c r="AC168" s="385"/>
      <c r="AD168" s="385"/>
      <c r="AE168" s="385"/>
      <c r="AF168" s="377"/>
    </row>
    <row r="169" spans="1:32" ht="39">
      <c r="A169" s="667" t="s">
        <v>1000</v>
      </c>
      <c r="B169" s="667" t="s">
        <v>485</v>
      </c>
      <c r="C169" s="669" t="s">
        <v>491</v>
      </c>
      <c r="D169" s="669" t="s">
        <v>1001</v>
      </c>
      <c r="E169" s="670" t="s">
        <v>1002</v>
      </c>
      <c r="F169" s="671" t="s">
        <v>489</v>
      </c>
      <c r="G169" s="680" t="s">
        <v>251</v>
      </c>
      <c r="H169" s="382">
        <v>3</v>
      </c>
      <c r="I169" s="382">
        <v>15</v>
      </c>
      <c r="J169" s="382">
        <f t="shared" si="14"/>
        <v>3</v>
      </c>
      <c r="K169" s="382">
        <f t="shared" si="13"/>
        <v>45</v>
      </c>
      <c r="L169" s="646">
        <f>IFERROR(IF(B169="funkcna poziadavka",VLOOKUP(G169,MODULY_CBA!$B$3:$E$23,4,0)*H169/SUMIFS($H$3:$H$199,$G$3:$G$199,G169,$B$3:$B$199,B169),),)</f>
        <v>3.3</v>
      </c>
      <c r="M169" s="382">
        <f>IFERROR(IF(B169="Funkcna poziadavka",VLOOKUP(G169,MODULY_CBA!$B$3:$E$23,3,0),),)</f>
        <v>1.085</v>
      </c>
      <c r="N169" s="382">
        <f>IFERROR(IF(B169="funkcna poziadavka",VLOOKUP(G169,MODULY_CBA!$B$3:$E$23,2,0),),)</f>
        <v>1.1400000000000001</v>
      </c>
      <c r="O169" s="381">
        <f t="shared" si="15"/>
        <v>59.742270000000005</v>
      </c>
      <c r="P169" s="380">
        <f>IFERROR(O169*VLOOKUP(G169,MODULY_CBA!$B$3:$F$23,5,0),)</f>
        <v>1792.2681000000002</v>
      </c>
      <c r="Q169" s="482" t="str">
        <f>IFERROR(VLOOKUP(G169,MODULY_CBA!$B$3:$I$23,6,0),"")</f>
        <v>Inkrement 3</v>
      </c>
      <c r="R169" s="385"/>
      <c r="S169" s="385"/>
      <c r="T169" s="385"/>
      <c r="U169" s="385"/>
      <c r="V169" s="385"/>
      <c r="W169" s="385"/>
      <c r="X169" s="385"/>
      <c r="Y169" s="385"/>
      <c r="Z169" s="385"/>
      <c r="AA169" s="385"/>
      <c r="AB169" s="385"/>
      <c r="AC169" s="385"/>
      <c r="AD169" s="385"/>
      <c r="AE169" s="385"/>
      <c r="AF169" s="377"/>
    </row>
    <row r="170" spans="1:32" ht="39">
      <c r="A170" s="667" t="s">
        <v>1003</v>
      </c>
      <c r="B170" s="667" t="s">
        <v>485</v>
      </c>
      <c r="C170" s="669" t="s">
        <v>873</v>
      </c>
      <c r="D170" s="669" t="s">
        <v>1004</v>
      </c>
      <c r="E170" s="670" t="s">
        <v>1005</v>
      </c>
      <c r="F170" s="671" t="s">
        <v>489</v>
      </c>
      <c r="G170" s="672" t="s">
        <v>259</v>
      </c>
      <c r="H170" s="382">
        <v>3</v>
      </c>
      <c r="I170" s="382">
        <v>15</v>
      </c>
      <c r="J170" s="382">
        <f t="shared" ref="J170:J220" si="16">IF(ISNUMBER(H170),H170,)</f>
        <v>3</v>
      </c>
      <c r="K170" s="382">
        <f t="shared" ref="K170:K220" si="17">H170*I170</f>
        <v>45</v>
      </c>
      <c r="L170" s="646">
        <f>IFERROR(IF(B170="funkcna poziadavka",VLOOKUP(G170,MODULY_CBA!$B$3:$E$23,4,0)*H170/SUMIFS($H$3:$H$199,$G$3:$G$199,G170,$B$3:$B$199,B170),),)</f>
        <v>0.44594594594594594</v>
      </c>
      <c r="M170" s="382">
        <f>IFERROR(IF(B170="Funkcna poziadavka",VLOOKUP(G170,MODULY_CBA!$B$3:$E$23,3,0),),)</f>
        <v>1.085</v>
      </c>
      <c r="N170" s="382">
        <f>IFERROR(IF(B170="funkcna poziadavka",VLOOKUP(G170,MODULY_CBA!$B$3:$E$23,2,0),),)</f>
        <v>1.1400000000000001</v>
      </c>
      <c r="O170" s="381">
        <f t="shared" ref="O170:O220" si="18">(K170+L170)*M170*N170</f>
        <v>56.212090540540544</v>
      </c>
      <c r="P170" s="380">
        <f>IFERROR(O170*VLOOKUP(G170,MODULY_CBA!$B$3:$F$23,5,0),)</f>
        <v>1686.3627162162163</v>
      </c>
      <c r="Q170" s="482" t="str">
        <f>IFERROR(VLOOKUP(G170,MODULY_CBA!$B$3:$I$23,6,0),"")</f>
        <v>Inkrement 2</v>
      </c>
      <c r="R170" s="385"/>
      <c r="S170" s="385"/>
      <c r="T170" s="385"/>
      <c r="U170" s="385"/>
      <c r="V170" s="385"/>
      <c r="W170" s="385"/>
      <c r="X170" s="385"/>
      <c r="Y170" s="385"/>
      <c r="Z170" s="385"/>
      <c r="AA170" s="385"/>
      <c r="AB170" s="385"/>
      <c r="AC170" s="385"/>
      <c r="AD170" s="385"/>
      <c r="AE170" s="385"/>
      <c r="AF170" s="377"/>
    </row>
    <row r="171" spans="1:32" ht="26">
      <c r="A171" s="667" t="s">
        <v>1006</v>
      </c>
      <c r="B171" s="667" t="s">
        <v>485</v>
      </c>
      <c r="C171" s="669" t="s">
        <v>842</v>
      </c>
      <c r="D171" s="669" t="s">
        <v>1007</v>
      </c>
      <c r="E171" s="670" t="s">
        <v>1008</v>
      </c>
      <c r="F171" s="671" t="s">
        <v>489</v>
      </c>
      <c r="G171" s="672" t="s">
        <v>259</v>
      </c>
      <c r="H171" s="382">
        <v>3</v>
      </c>
      <c r="I171" s="382">
        <v>15</v>
      </c>
      <c r="J171" s="382">
        <f t="shared" si="16"/>
        <v>3</v>
      </c>
      <c r="K171" s="382">
        <f t="shared" si="17"/>
        <v>45</v>
      </c>
      <c r="L171" s="646">
        <f>IFERROR(IF(B171="funkcna poziadavka",VLOOKUP(G171,MODULY_CBA!$B$3:$E$23,4,0)*H171/SUMIFS($H$3:$H$199,$G$3:$G$199,G171,$B$3:$B$199,B171),),)</f>
        <v>0.44594594594594594</v>
      </c>
      <c r="M171" s="382">
        <f>IFERROR(IF(B171="Funkcna poziadavka",VLOOKUP(G171,MODULY_CBA!$B$3:$E$23,3,0),),)</f>
        <v>1.085</v>
      </c>
      <c r="N171" s="382">
        <f>IFERROR(IF(B171="funkcna poziadavka",VLOOKUP(G171,MODULY_CBA!$B$3:$E$23,2,0),),)</f>
        <v>1.1400000000000001</v>
      </c>
      <c r="O171" s="381">
        <f t="shared" si="18"/>
        <v>56.212090540540544</v>
      </c>
      <c r="P171" s="380">
        <f>IFERROR(O171*VLOOKUP(G171,MODULY_CBA!$B$3:$F$23,5,0),)</f>
        <v>1686.3627162162163</v>
      </c>
      <c r="Q171" s="482" t="str">
        <f>IFERROR(VLOOKUP(G171,MODULY_CBA!$B$3:$I$23,6,0),"")</f>
        <v>Inkrement 2</v>
      </c>
      <c r="R171" s="385"/>
      <c r="S171" s="385"/>
      <c r="T171" s="385"/>
      <c r="U171" s="385"/>
      <c r="V171" s="385"/>
      <c r="W171" s="385"/>
      <c r="X171" s="385"/>
      <c r="Y171" s="385"/>
      <c r="Z171" s="385"/>
      <c r="AA171" s="385"/>
      <c r="AB171" s="385"/>
      <c r="AC171" s="385"/>
      <c r="AD171" s="385"/>
      <c r="AE171" s="385"/>
      <c r="AF171" s="377"/>
    </row>
    <row r="172" spans="1:32" ht="52">
      <c r="A172" s="667" t="s">
        <v>1009</v>
      </c>
      <c r="B172" s="404" t="s">
        <v>485</v>
      </c>
      <c r="C172" s="535" t="s">
        <v>535</v>
      </c>
      <c r="D172" s="535" t="s">
        <v>1010</v>
      </c>
      <c r="E172" s="535" t="s">
        <v>1011</v>
      </c>
      <c r="F172" s="686" t="s">
        <v>489</v>
      </c>
      <c r="G172" s="383" t="s">
        <v>281</v>
      </c>
      <c r="H172" s="382">
        <v>3</v>
      </c>
      <c r="I172" s="382">
        <v>15</v>
      </c>
      <c r="J172" s="382">
        <f t="shared" si="16"/>
        <v>3</v>
      </c>
      <c r="K172" s="382">
        <f t="shared" si="17"/>
        <v>45</v>
      </c>
      <c r="L172" s="646">
        <f>IFERROR(IF(B172="funkcna poziadavka",VLOOKUP(G172,MODULY_CBA!$B$3:$E$23,4,0)*H172/SUMIFS($H$3:$H$199,$G$3:$G$199,G172,$B$3:$B$199,B172),),)</f>
        <v>0</v>
      </c>
      <c r="M172" s="382">
        <f>IFERROR(IF(B172="Funkcna poziadavka",VLOOKUP(G172,MODULY_CBA!$B$3:$E$23,3,0),),)</f>
        <v>1.085</v>
      </c>
      <c r="N172" s="382">
        <f>IFERROR(IF(B172="funkcna poziadavka",VLOOKUP(G172,MODULY_CBA!$B$3:$E$23,2,0),),)</f>
        <v>1.1400000000000001</v>
      </c>
      <c r="O172" s="381">
        <f t="shared" si="18"/>
        <v>55.660499999999999</v>
      </c>
      <c r="P172" s="380">
        <f>IFERROR(O172*VLOOKUP(G172,MODULY_CBA!$B$3:$F$23,5,0),)</f>
        <v>0</v>
      </c>
      <c r="Q172" s="482">
        <f>IFERROR(VLOOKUP(G172,MODULY_CBA!$B$3:$I$23,6,0),"")</f>
        <v>0</v>
      </c>
      <c r="R172" s="385"/>
      <c r="S172" s="385"/>
      <c r="T172" s="385"/>
      <c r="U172" s="385"/>
      <c r="V172" s="385"/>
      <c r="W172" s="385"/>
      <c r="X172" s="385"/>
      <c r="Y172" s="385"/>
      <c r="Z172" s="385"/>
      <c r="AA172" s="385"/>
      <c r="AB172" s="385"/>
      <c r="AC172" s="385"/>
      <c r="AD172" s="385"/>
      <c r="AE172" s="385"/>
      <c r="AF172" s="377"/>
    </row>
    <row r="173" spans="1:32" ht="39">
      <c r="A173" s="667" t="s">
        <v>1012</v>
      </c>
      <c r="B173" s="667" t="s">
        <v>485</v>
      </c>
      <c r="C173" s="669" t="s">
        <v>535</v>
      </c>
      <c r="D173" s="669" t="s">
        <v>1013</v>
      </c>
      <c r="E173" s="669" t="s">
        <v>1014</v>
      </c>
      <c r="F173" s="671" t="s">
        <v>489</v>
      </c>
      <c r="G173" s="680" t="s">
        <v>267</v>
      </c>
      <c r="H173" s="382">
        <v>3</v>
      </c>
      <c r="I173" s="382">
        <v>15</v>
      </c>
      <c r="J173" s="382">
        <f t="shared" si="16"/>
        <v>3</v>
      </c>
      <c r="K173" s="382">
        <f t="shared" si="17"/>
        <v>45</v>
      </c>
      <c r="L173" s="646">
        <f>IFERROR(IF(B173="funkcna poziadavka",VLOOKUP(G173,MODULY_CBA!$B$3:$E$23,4,0)*H173/SUMIFS($H$3:$H$199,$G$3:$G$199,G173,$B$3:$B$199,B173),),)</f>
        <v>1.064516129032258</v>
      </c>
      <c r="M173" s="382">
        <f>IFERROR(IF(B173="Funkcna poziadavka",VLOOKUP(G173,MODULY_CBA!$B$3:$E$23,3,0),),)</f>
        <v>1.085</v>
      </c>
      <c r="N173" s="382">
        <f>IFERROR(IF(B173="funkcna poziadavka",VLOOKUP(G173,MODULY_CBA!$B$3:$E$23,2,0),),)</f>
        <v>1.1400000000000001</v>
      </c>
      <c r="O173" s="381">
        <f t="shared" si="18"/>
        <v>56.977200000000003</v>
      </c>
      <c r="P173" s="380">
        <f>IFERROR(O173*VLOOKUP(G173,MODULY_CBA!$B$3:$F$23,5,0),)</f>
        <v>1709.316</v>
      </c>
      <c r="Q173" s="482" t="str">
        <f>IFERROR(VLOOKUP(G173,MODULY_CBA!$B$3:$I$23,6,0),"")</f>
        <v>Inkrement 2</v>
      </c>
      <c r="R173" s="385"/>
      <c r="S173" s="385"/>
      <c r="T173" s="385"/>
      <c r="U173" s="385"/>
      <c r="V173" s="385"/>
      <c r="W173" s="385"/>
      <c r="X173" s="385"/>
      <c r="Y173" s="385"/>
      <c r="Z173" s="385"/>
      <c r="AA173" s="385"/>
      <c r="AB173" s="385"/>
      <c r="AC173" s="385"/>
      <c r="AD173" s="385"/>
      <c r="AE173" s="385"/>
      <c r="AF173" s="377"/>
    </row>
    <row r="174" spans="1:32" ht="39">
      <c r="A174" s="667" t="s">
        <v>1015</v>
      </c>
      <c r="B174" s="667" t="s">
        <v>485</v>
      </c>
      <c r="C174" s="669" t="s">
        <v>535</v>
      </c>
      <c r="D174" s="669" t="s">
        <v>1016</v>
      </c>
      <c r="E174" s="669" t="s">
        <v>1017</v>
      </c>
      <c r="F174" s="671" t="s">
        <v>489</v>
      </c>
      <c r="G174" s="680" t="s">
        <v>267</v>
      </c>
      <c r="H174" s="382">
        <v>3</v>
      </c>
      <c r="I174" s="382">
        <v>15</v>
      </c>
      <c r="J174" s="382">
        <f t="shared" si="16"/>
        <v>3</v>
      </c>
      <c r="K174" s="382">
        <f t="shared" si="17"/>
        <v>45</v>
      </c>
      <c r="L174" s="646">
        <f>IFERROR(IF(B174="funkcna poziadavka",VLOOKUP(G174,MODULY_CBA!$B$3:$E$23,4,0)*H174/SUMIFS($H$3:$H$199,$G$3:$G$199,G174,$B$3:$B$199,B174),),)</f>
        <v>1.064516129032258</v>
      </c>
      <c r="M174" s="382">
        <f>IFERROR(IF(B174="Funkcna poziadavka",VLOOKUP(G174,MODULY_CBA!$B$3:$E$23,3,0),),)</f>
        <v>1.085</v>
      </c>
      <c r="N174" s="382">
        <f>IFERROR(IF(B174="funkcna poziadavka",VLOOKUP(G174,MODULY_CBA!$B$3:$E$23,2,0),),)</f>
        <v>1.1400000000000001</v>
      </c>
      <c r="O174" s="381">
        <f t="shared" si="18"/>
        <v>56.977200000000003</v>
      </c>
      <c r="P174" s="380">
        <f>IFERROR(O174*VLOOKUP(G174,MODULY_CBA!$B$3:$F$23,5,0),)</f>
        <v>1709.316</v>
      </c>
      <c r="Q174" s="482" t="str">
        <f>IFERROR(VLOOKUP(G174,MODULY_CBA!$B$3:$I$23,6,0),"")</f>
        <v>Inkrement 2</v>
      </c>
      <c r="R174" s="385"/>
      <c r="S174" s="385"/>
      <c r="T174" s="385"/>
      <c r="U174" s="385"/>
      <c r="V174" s="385"/>
      <c r="W174" s="385"/>
      <c r="X174" s="385"/>
      <c r="Y174" s="385"/>
      <c r="Z174" s="385"/>
      <c r="AA174" s="385"/>
      <c r="AB174" s="385"/>
      <c r="AC174" s="385"/>
      <c r="AD174" s="385"/>
      <c r="AE174" s="385"/>
      <c r="AF174" s="377"/>
    </row>
    <row r="175" spans="1:32" ht="39">
      <c r="A175" s="667" t="s">
        <v>1018</v>
      </c>
      <c r="B175" s="667" t="s">
        <v>485</v>
      </c>
      <c r="C175" s="669" t="s">
        <v>535</v>
      </c>
      <c r="D175" s="669" t="s">
        <v>1019</v>
      </c>
      <c r="E175" s="669" t="s">
        <v>1020</v>
      </c>
      <c r="F175" s="671" t="s">
        <v>489</v>
      </c>
      <c r="G175" s="680" t="s">
        <v>267</v>
      </c>
      <c r="H175" s="382">
        <v>3</v>
      </c>
      <c r="I175" s="382">
        <v>15</v>
      </c>
      <c r="J175" s="382">
        <f t="shared" si="16"/>
        <v>3</v>
      </c>
      <c r="K175" s="382">
        <f t="shared" si="17"/>
        <v>45</v>
      </c>
      <c r="L175" s="646">
        <f>IFERROR(IF(B175="funkcna poziadavka",VLOOKUP(G175,MODULY_CBA!$B$3:$E$23,4,0)*H175/SUMIFS($H$3:$H$199,$G$3:$G$199,G175,$B$3:$B$199,B175),),)</f>
        <v>1.064516129032258</v>
      </c>
      <c r="M175" s="382">
        <f>IFERROR(IF(B175="Funkcna poziadavka",VLOOKUP(G175,MODULY_CBA!$B$3:$E$23,3,0),),)</f>
        <v>1.085</v>
      </c>
      <c r="N175" s="382">
        <f>IFERROR(IF(B175="funkcna poziadavka",VLOOKUP(G175,MODULY_CBA!$B$3:$E$23,2,0),),)</f>
        <v>1.1400000000000001</v>
      </c>
      <c r="O175" s="381">
        <f t="shared" si="18"/>
        <v>56.977200000000003</v>
      </c>
      <c r="P175" s="380">
        <f>IFERROR(O175*VLOOKUP(G175,MODULY_CBA!$B$3:$F$23,5,0),)</f>
        <v>1709.316</v>
      </c>
      <c r="Q175" s="482" t="str">
        <f>IFERROR(VLOOKUP(G175,MODULY_CBA!$B$3:$I$23,6,0),"")</f>
        <v>Inkrement 2</v>
      </c>
      <c r="R175" s="385"/>
      <c r="S175" s="385"/>
      <c r="T175" s="385"/>
      <c r="U175" s="385"/>
      <c r="V175" s="385"/>
      <c r="W175" s="385"/>
      <c r="X175" s="385"/>
      <c r="Y175" s="385"/>
      <c r="Z175" s="385"/>
      <c r="AA175" s="385"/>
      <c r="AB175" s="385"/>
      <c r="AC175" s="385"/>
      <c r="AD175" s="385"/>
      <c r="AE175" s="385"/>
      <c r="AF175" s="377"/>
    </row>
    <row r="176" spans="1:32" ht="39">
      <c r="A176" s="667" t="s">
        <v>1021</v>
      </c>
      <c r="B176" s="667" t="s">
        <v>485</v>
      </c>
      <c r="C176" s="669" t="s">
        <v>486</v>
      </c>
      <c r="D176" s="669" t="s">
        <v>1022</v>
      </c>
      <c r="E176" s="669" t="s">
        <v>1023</v>
      </c>
      <c r="F176" s="671" t="s">
        <v>489</v>
      </c>
      <c r="G176" s="680" t="s">
        <v>267</v>
      </c>
      <c r="H176" s="382">
        <v>3</v>
      </c>
      <c r="I176" s="382">
        <v>15</v>
      </c>
      <c r="J176" s="382">
        <f t="shared" si="16"/>
        <v>3</v>
      </c>
      <c r="K176" s="382">
        <f t="shared" si="17"/>
        <v>45</v>
      </c>
      <c r="L176" s="646">
        <f>IFERROR(IF(B176="funkcna poziadavka",VLOOKUP(G176,MODULY_CBA!$B$3:$E$23,4,0)*H176/SUMIFS($H$3:$H$199,$G$3:$G$199,G176,$B$3:$B$199,B176),),)</f>
        <v>1.064516129032258</v>
      </c>
      <c r="M176" s="382">
        <f>IFERROR(IF(B176="Funkcna poziadavka",VLOOKUP(G176,MODULY_CBA!$B$3:$E$23,3,0),),)</f>
        <v>1.085</v>
      </c>
      <c r="N176" s="382">
        <f>IFERROR(IF(B176="funkcna poziadavka",VLOOKUP(G176,MODULY_CBA!$B$3:$E$23,2,0),),)</f>
        <v>1.1400000000000001</v>
      </c>
      <c r="O176" s="381">
        <f t="shared" si="18"/>
        <v>56.977200000000003</v>
      </c>
      <c r="P176" s="380">
        <f>IFERROR(O176*VLOOKUP(G176,MODULY_CBA!$B$3:$F$23,5,0),)</f>
        <v>1709.316</v>
      </c>
      <c r="Q176" s="482" t="str">
        <f>IFERROR(VLOOKUP(G176,MODULY_CBA!$B$3:$I$23,6,0),"")</f>
        <v>Inkrement 2</v>
      </c>
      <c r="R176" s="385"/>
      <c r="S176" s="385"/>
      <c r="T176" s="385"/>
      <c r="U176" s="385"/>
      <c r="V176" s="385"/>
      <c r="W176" s="385"/>
      <c r="X176" s="385"/>
      <c r="Y176" s="385"/>
      <c r="Z176" s="385"/>
      <c r="AA176" s="385"/>
      <c r="AB176" s="385"/>
      <c r="AC176" s="385"/>
      <c r="AD176" s="385"/>
      <c r="AE176" s="385"/>
      <c r="AF176" s="377"/>
    </row>
    <row r="177" spans="1:32" ht="39">
      <c r="A177" s="667" t="s">
        <v>1024</v>
      </c>
      <c r="B177" s="667" t="s">
        <v>485</v>
      </c>
      <c r="C177" s="669" t="s">
        <v>644</v>
      </c>
      <c r="D177" s="669" t="s">
        <v>1025</v>
      </c>
      <c r="E177" s="669" t="s">
        <v>1026</v>
      </c>
      <c r="F177" s="671" t="s">
        <v>489</v>
      </c>
      <c r="G177" s="680" t="s">
        <v>267</v>
      </c>
      <c r="H177" s="382">
        <v>3</v>
      </c>
      <c r="I177" s="382">
        <v>15</v>
      </c>
      <c r="J177" s="382">
        <f t="shared" si="16"/>
        <v>3</v>
      </c>
      <c r="K177" s="382">
        <f t="shared" si="17"/>
        <v>45</v>
      </c>
      <c r="L177" s="646">
        <f>IFERROR(IF(B177="funkcna poziadavka",VLOOKUP(G177,MODULY_CBA!$B$3:$E$23,4,0)*H177/SUMIFS($H$3:$H$199,$G$3:$G$199,G177,$B$3:$B$199,B177),),)</f>
        <v>1.064516129032258</v>
      </c>
      <c r="M177" s="382">
        <f>IFERROR(IF(B177="Funkcna poziadavka",VLOOKUP(G177,MODULY_CBA!$B$3:$E$23,3,0),),)</f>
        <v>1.085</v>
      </c>
      <c r="N177" s="382">
        <f>IFERROR(IF(B177="funkcna poziadavka",VLOOKUP(G177,MODULY_CBA!$B$3:$E$23,2,0),),)</f>
        <v>1.1400000000000001</v>
      </c>
      <c r="O177" s="381">
        <f t="shared" si="18"/>
        <v>56.977200000000003</v>
      </c>
      <c r="P177" s="380">
        <f>IFERROR(O177*VLOOKUP(G177,MODULY_CBA!$B$3:$F$23,5,0),)</f>
        <v>1709.316</v>
      </c>
      <c r="Q177" s="482" t="str">
        <f>IFERROR(VLOOKUP(G177,MODULY_CBA!$B$3:$I$23,6,0),"")</f>
        <v>Inkrement 2</v>
      </c>
      <c r="R177" s="385"/>
      <c r="S177" s="385"/>
      <c r="T177" s="385"/>
      <c r="U177" s="385"/>
      <c r="V177" s="385"/>
      <c r="W177" s="385"/>
      <c r="X177" s="385"/>
      <c r="Y177" s="385"/>
      <c r="Z177" s="385"/>
      <c r="AA177" s="385"/>
      <c r="AB177" s="385"/>
      <c r="AC177" s="385"/>
      <c r="AD177" s="385"/>
      <c r="AE177" s="385"/>
      <c r="AF177" s="377"/>
    </row>
    <row r="178" spans="1:32" ht="52">
      <c r="A178" s="667" t="s">
        <v>1027</v>
      </c>
      <c r="B178" s="667" t="s">
        <v>485</v>
      </c>
      <c r="C178" s="669" t="s">
        <v>644</v>
      </c>
      <c r="D178" s="669" t="s">
        <v>1028</v>
      </c>
      <c r="E178" s="669" t="s">
        <v>1029</v>
      </c>
      <c r="F178" s="671" t="s">
        <v>489</v>
      </c>
      <c r="G178" s="680" t="s">
        <v>267</v>
      </c>
      <c r="H178" s="382">
        <v>3</v>
      </c>
      <c r="I178" s="382">
        <v>15</v>
      </c>
      <c r="J178" s="382">
        <f t="shared" si="16"/>
        <v>3</v>
      </c>
      <c r="K178" s="382">
        <f t="shared" si="17"/>
        <v>45</v>
      </c>
      <c r="L178" s="646">
        <f>IFERROR(IF(B178="funkcna poziadavka",VLOOKUP(G178,MODULY_CBA!$B$3:$E$23,4,0)*H178/SUMIFS($H$3:$H$199,$G$3:$G$199,G178,$B$3:$B$199,B178),),)</f>
        <v>1.064516129032258</v>
      </c>
      <c r="M178" s="382">
        <f>IFERROR(IF(B178="Funkcna poziadavka",VLOOKUP(G178,MODULY_CBA!$B$3:$E$23,3,0),),)</f>
        <v>1.085</v>
      </c>
      <c r="N178" s="382">
        <f>IFERROR(IF(B178="funkcna poziadavka",VLOOKUP(G178,MODULY_CBA!$B$3:$E$23,2,0),),)</f>
        <v>1.1400000000000001</v>
      </c>
      <c r="O178" s="381">
        <f t="shared" si="18"/>
        <v>56.977200000000003</v>
      </c>
      <c r="P178" s="380">
        <f>IFERROR(O178*VLOOKUP(G178,MODULY_CBA!$B$3:$F$23,5,0),)</f>
        <v>1709.316</v>
      </c>
      <c r="Q178" s="482" t="str">
        <f>IFERROR(VLOOKUP(G178,MODULY_CBA!$B$3:$I$23,6,0),"")</f>
        <v>Inkrement 2</v>
      </c>
      <c r="R178" s="385"/>
      <c r="S178" s="385"/>
      <c r="T178" s="385"/>
      <c r="U178" s="385"/>
      <c r="V178" s="385"/>
      <c r="W178" s="385"/>
      <c r="X178" s="385"/>
      <c r="Y178" s="385"/>
      <c r="Z178" s="385"/>
      <c r="AA178" s="385"/>
      <c r="AB178" s="385"/>
      <c r="AC178" s="385"/>
      <c r="AD178" s="385"/>
      <c r="AE178" s="385"/>
      <c r="AF178" s="377"/>
    </row>
    <row r="179" spans="1:32" ht="39">
      <c r="A179" s="667" t="s">
        <v>1030</v>
      </c>
      <c r="B179" s="667" t="s">
        <v>485</v>
      </c>
      <c r="C179" s="669" t="s">
        <v>1031</v>
      </c>
      <c r="D179" s="669" t="s">
        <v>1032</v>
      </c>
      <c r="E179" s="669" t="s">
        <v>1033</v>
      </c>
      <c r="F179" s="671" t="s">
        <v>489</v>
      </c>
      <c r="G179" s="680" t="s">
        <v>267</v>
      </c>
      <c r="H179" s="382">
        <v>3</v>
      </c>
      <c r="I179" s="382">
        <v>15</v>
      </c>
      <c r="J179" s="382">
        <f t="shared" si="16"/>
        <v>3</v>
      </c>
      <c r="K179" s="382">
        <f t="shared" si="17"/>
        <v>45</v>
      </c>
      <c r="L179" s="646">
        <f>IFERROR(IF(B179="funkcna poziadavka",VLOOKUP(G179,MODULY_CBA!$B$3:$E$23,4,0)*H179/SUMIFS($H$3:$H$199,$G$3:$G$199,G179,$B$3:$B$199,B179),),)</f>
        <v>1.064516129032258</v>
      </c>
      <c r="M179" s="382">
        <f>IFERROR(IF(B179="Funkcna poziadavka",VLOOKUP(G179,MODULY_CBA!$B$3:$E$23,3,0),),)</f>
        <v>1.085</v>
      </c>
      <c r="N179" s="382">
        <f>IFERROR(IF(B179="funkcna poziadavka",VLOOKUP(G179,MODULY_CBA!$B$3:$E$23,2,0),),)</f>
        <v>1.1400000000000001</v>
      </c>
      <c r="O179" s="381">
        <f t="shared" si="18"/>
        <v>56.977200000000003</v>
      </c>
      <c r="P179" s="380">
        <f>IFERROR(O179*VLOOKUP(G179,MODULY_CBA!$B$3:$F$23,5,0),)</f>
        <v>1709.316</v>
      </c>
      <c r="Q179" s="482" t="str">
        <f>IFERROR(VLOOKUP(G179,MODULY_CBA!$B$3:$I$23,6,0),"")</f>
        <v>Inkrement 2</v>
      </c>
      <c r="R179" s="385"/>
      <c r="S179" s="385"/>
      <c r="T179" s="385"/>
      <c r="U179" s="385"/>
      <c r="V179" s="385"/>
      <c r="W179" s="385"/>
      <c r="X179" s="385"/>
      <c r="Y179" s="385"/>
      <c r="Z179" s="385"/>
      <c r="AA179" s="385"/>
      <c r="AB179" s="385"/>
      <c r="AC179" s="385"/>
      <c r="AD179" s="385"/>
      <c r="AE179" s="385"/>
      <c r="AF179" s="377"/>
    </row>
    <row r="180" spans="1:32" ht="39">
      <c r="A180" s="667" t="s">
        <v>1034</v>
      </c>
      <c r="B180" s="667" t="s">
        <v>485</v>
      </c>
      <c r="C180" s="669" t="s">
        <v>486</v>
      </c>
      <c r="D180" s="669" t="s">
        <v>1035</v>
      </c>
      <c r="E180" s="669" t="s">
        <v>1036</v>
      </c>
      <c r="F180" s="671" t="s">
        <v>489</v>
      </c>
      <c r="G180" s="680" t="s">
        <v>267</v>
      </c>
      <c r="H180" s="382">
        <v>3</v>
      </c>
      <c r="I180" s="382">
        <v>15</v>
      </c>
      <c r="J180" s="382">
        <f t="shared" si="16"/>
        <v>3</v>
      </c>
      <c r="K180" s="382">
        <f t="shared" si="17"/>
        <v>45</v>
      </c>
      <c r="L180" s="646">
        <f>IFERROR(IF(B180="funkcna poziadavka",VLOOKUP(G180,MODULY_CBA!$B$3:$E$23,4,0)*H180/SUMIFS($H$3:$H$199,$G$3:$G$199,G180,$B$3:$B$199,B180),),)</f>
        <v>1.064516129032258</v>
      </c>
      <c r="M180" s="382">
        <f>IFERROR(IF(B180="Funkcna poziadavka",VLOOKUP(G180,MODULY_CBA!$B$3:$E$23,3,0),),)</f>
        <v>1.085</v>
      </c>
      <c r="N180" s="382">
        <f>IFERROR(IF(B180="funkcna poziadavka",VLOOKUP(G180,MODULY_CBA!$B$3:$E$23,2,0),),)</f>
        <v>1.1400000000000001</v>
      </c>
      <c r="O180" s="381">
        <f t="shared" si="18"/>
        <v>56.977200000000003</v>
      </c>
      <c r="P180" s="380">
        <f>IFERROR(O180*VLOOKUP(G180,MODULY_CBA!$B$3:$F$23,5,0),)</f>
        <v>1709.316</v>
      </c>
      <c r="Q180" s="482" t="str">
        <f>IFERROR(VLOOKUP(G180,MODULY_CBA!$B$3:$I$23,6,0),"")</f>
        <v>Inkrement 2</v>
      </c>
      <c r="R180" s="385"/>
      <c r="S180" s="385"/>
      <c r="T180" s="385"/>
      <c r="U180" s="385"/>
      <c r="V180" s="385"/>
      <c r="W180" s="385"/>
      <c r="X180" s="385"/>
      <c r="Y180" s="385"/>
      <c r="Z180" s="385"/>
      <c r="AA180" s="385"/>
      <c r="AB180" s="385"/>
      <c r="AC180" s="385"/>
      <c r="AD180" s="385"/>
      <c r="AE180" s="385"/>
      <c r="AF180" s="377"/>
    </row>
    <row r="181" spans="1:32" ht="39">
      <c r="A181" s="667" t="s">
        <v>1037</v>
      </c>
      <c r="B181" s="667" t="s">
        <v>485</v>
      </c>
      <c r="C181" s="669" t="s">
        <v>486</v>
      </c>
      <c r="D181" s="669" t="s">
        <v>1038</v>
      </c>
      <c r="E181" s="669" t="s">
        <v>1039</v>
      </c>
      <c r="F181" s="671" t="s">
        <v>489</v>
      </c>
      <c r="G181" s="680" t="s">
        <v>269</v>
      </c>
      <c r="H181" s="382">
        <v>3</v>
      </c>
      <c r="I181" s="382">
        <v>15</v>
      </c>
      <c r="J181" s="382">
        <f t="shared" si="16"/>
        <v>3</v>
      </c>
      <c r="K181" s="382">
        <f t="shared" si="17"/>
        <v>45</v>
      </c>
      <c r="L181" s="646">
        <f>IFERROR(IF(B181="funkcna poziadavka",VLOOKUP(G181,MODULY_CBA!$B$3:$E$23,4,0)*H181/SUMIFS($H$3:$H$199,$G$3:$G$199,G181,$B$3:$B$199,B181),),)</f>
        <v>3</v>
      </c>
      <c r="M181" s="382">
        <f>IFERROR(IF(B181="Funkcna poziadavka",VLOOKUP(G181,MODULY_CBA!$B$3:$E$23,3,0),),)</f>
        <v>1.085</v>
      </c>
      <c r="N181" s="382">
        <f>IFERROR(IF(B181="funkcna poziadavka",VLOOKUP(G181,MODULY_CBA!$B$3:$E$23,2,0),),)</f>
        <v>1.1400000000000001</v>
      </c>
      <c r="O181" s="381">
        <f t="shared" si="18"/>
        <v>59.371200000000002</v>
      </c>
      <c r="P181" s="380">
        <f>IFERROR(O181*VLOOKUP(G181,MODULY_CBA!$B$3:$F$23,5,0),)</f>
        <v>1781.136</v>
      </c>
      <c r="Q181" s="482" t="str">
        <f>IFERROR(VLOOKUP(G181,MODULY_CBA!$B$3:$I$23,6,0),"")</f>
        <v>Inkrement 1</v>
      </c>
      <c r="R181" s="385"/>
      <c r="S181" s="385"/>
      <c r="T181" s="385"/>
      <c r="U181" s="385"/>
      <c r="V181" s="385"/>
      <c r="W181" s="385"/>
      <c r="X181" s="385"/>
      <c r="Y181" s="385"/>
      <c r="Z181" s="385"/>
      <c r="AA181" s="385"/>
      <c r="AB181" s="385"/>
      <c r="AC181" s="385"/>
      <c r="AD181" s="385"/>
      <c r="AE181" s="385"/>
      <c r="AF181" s="377"/>
    </row>
    <row r="182" spans="1:32" ht="39">
      <c r="A182" s="667" t="s">
        <v>1040</v>
      </c>
      <c r="B182" s="667" t="s">
        <v>485</v>
      </c>
      <c r="C182" s="669" t="s">
        <v>644</v>
      </c>
      <c r="D182" s="669" t="s">
        <v>1041</v>
      </c>
      <c r="E182" s="669" t="s">
        <v>1042</v>
      </c>
      <c r="F182" s="671" t="s">
        <v>489</v>
      </c>
      <c r="G182" s="680" t="s">
        <v>269</v>
      </c>
      <c r="H182" s="382">
        <v>3</v>
      </c>
      <c r="I182" s="382">
        <v>15</v>
      </c>
      <c r="J182" s="382">
        <f t="shared" si="16"/>
        <v>3</v>
      </c>
      <c r="K182" s="382">
        <f t="shared" si="17"/>
        <v>45</v>
      </c>
      <c r="L182" s="646">
        <f>IFERROR(IF(B182="funkcna poziadavka",VLOOKUP(G182,MODULY_CBA!$B$3:$E$23,4,0)*H182/SUMIFS($H$3:$H$199,$G$3:$G$199,G182,$B$3:$B$199,B182),),)</f>
        <v>3</v>
      </c>
      <c r="M182" s="382">
        <f>IFERROR(IF(B182="Funkcna poziadavka",VLOOKUP(G182,MODULY_CBA!$B$3:$E$23,3,0),),)</f>
        <v>1.085</v>
      </c>
      <c r="N182" s="382">
        <f>IFERROR(IF(B182="funkcna poziadavka",VLOOKUP(G182,MODULY_CBA!$B$3:$E$23,2,0),),)</f>
        <v>1.1400000000000001</v>
      </c>
      <c r="O182" s="381">
        <f t="shared" si="18"/>
        <v>59.371200000000002</v>
      </c>
      <c r="P182" s="380">
        <f>IFERROR(O182*VLOOKUP(G182,MODULY_CBA!$B$3:$F$23,5,0),)</f>
        <v>1781.136</v>
      </c>
      <c r="Q182" s="482" t="str">
        <f>IFERROR(VLOOKUP(G182,MODULY_CBA!$B$3:$I$23,6,0),"")</f>
        <v>Inkrement 1</v>
      </c>
      <c r="R182" s="385"/>
      <c r="S182" s="385"/>
      <c r="T182" s="385"/>
      <c r="U182" s="385"/>
      <c r="V182" s="385"/>
      <c r="W182" s="385"/>
      <c r="X182" s="385"/>
      <c r="Y182" s="385"/>
      <c r="Z182" s="385"/>
      <c r="AA182" s="385"/>
      <c r="AB182" s="385"/>
      <c r="AC182" s="385"/>
      <c r="AD182" s="385"/>
      <c r="AE182" s="385"/>
      <c r="AF182" s="377"/>
    </row>
    <row r="183" spans="1:32" ht="39">
      <c r="A183" s="667" t="s">
        <v>1043</v>
      </c>
      <c r="B183" s="667" t="s">
        <v>485</v>
      </c>
      <c r="C183" s="669" t="s">
        <v>486</v>
      </c>
      <c r="D183" s="669" t="s">
        <v>1044</v>
      </c>
      <c r="E183" s="669" t="s">
        <v>1045</v>
      </c>
      <c r="F183" s="671" t="s">
        <v>489</v>
      </c>
      <c r="G183" s="680" t="s">
        <v>269</v>
      </c>
      <c r="H183" s="382">
        <v>3</v>
      </c>
      <c r="I183" s="382">
        <v>15</v>
      </c>
      <c r="J183" s="382">
        <f t="shared" si="16"/>
        <v>3</v>
      </c>
      <c r="K183" s="382">
        <f t="shared" si="17"/>
        <v>45</v>
      </c>
      <c r="L183" s="646">
        <f>IFERROR(IF(B183="funkcna poziadavka",VLOOKUP(G183,MODULY_CBA!$B$3:$E$23,4,0)*H183/SUMIFS($H$3:$H$199,$G$3:$G$199,G183,$B$3:$B$199,B183),),)</f>
        <v>3</v>
      </c>
      <c r="M183" s="382">
        <f>IFERROR(IF(B183="Funkcna poziadavka",VLOOKUP(G183,MODULY_CBA!$B$3:$E$23,3,0),),)</f>
        <v>1.085</v>
      </c>
      <c r="N183" s="382">
        <f>IFERROR(IF(B183="funkcna poziadavka",VLOOKUP(G183,MODULY_CBA!$B$3:$E$23,2,0),),)</f>
        <v>1.1400000000000001</v>
      </c>
      <c r="O183" s="381">
        <f t="shared" si="18"/>
        <v>59.371200000000002</v>
      </c>
      <c r="P183" s="380">
        <f>IFERROR(O183*VLOOKUP(G183,MODULY_CBA!$B$3:$F$23,5,0),)</f>
        <v>1781.136</v>
      </c>
      <c r="Q183" s="482" t="str">
        <f>IFERROR(VLOOKUP(G183,MODULY_CBA!$B$3:$I$23,6,0),"")</f>
        <v>Inkrement 1</v>
      </c>
      <c r="R183" s="385"/>
      <c r="S183" s="385"/>
      <c r="T183" s="385"/>
      <c r="U183" s="385"/>
      <c r="V183" s="385"/>
      <c r="W183" s="385"/>
      <c r="X183" s="385"/>
      <c r="Y183" s="385"/>
      <c r="Z183" s="385"/>
      <c r="AA183" s="385"/>
      <c r="AB183" s="385"/>
      <c r="AC183" s="385"/>
      <c r="AD183" s="385"/>
      <c r="AE183" s="385"/>
      <c r="AF183" s="377"/>
    </row>
    <row r="184" spans="1:32" ht="39">
      <c r="A184" s="667" t="s">
        <v>1046</v>
      </c>
      <c r="B184" s="667" t="s">
        <v>485</v>
      </c>
      <c r="C184" s="669" t="s">
        <v>644</v>
      </c>
      <c r="D184" s="669" t="s">
        <v>1047</v>
      </c>
      <c r="E184" s="669" t="s">
        <v>1048</v>
      </c>
      <c r="F184" s="671" t="s">
        <v>489</v>
      </c>
      <c r="G184" s="680" t="s">
        <v>267</v>
      </c>
      <c r="H184" s="382">
        <v>3</v>
      </c>
      <c r="I184" s="382">
        <v>15</v>
      </c>
      <c r="J184" s="382">
        <f t="shared" si="16"/>
        <v>3</v>
      </c>
      <c r="K184" s="382">
        <f t="shared" si="17"/>
        <v>45</v>
      </c>
      <c r="L184" s="646">
        <f>IFERROR(IF(B184="funkcna poziadavka",VLOOKUP(G184,MODULY_CBA!$B$3:$E$23,4,0)*H184/SUMIFS($H$3:$H$199,$G$3:$G$199,G184,$B$3:$B$199,B184),),)</f>
        <v>1.064516129032258</v>
      </c>
      <c r="M184" s="382">
        <f>IFERROR(IF(B184="Funkcna poziadavka",VLOOKUP(G184,MODULY_CBA!$B$3:$E$23,3,0),),)</f>
        <v>1.085</v>
      </c>
      <c r="N184" s="382">
        <f>IFERROR(IF(B184="funkcna poziadavka",VLOOKUP(G184,MODULY_CBA!$B$3:$E$23,2,0),),)</f>
        <v>1.1400000000000001</v>
      </c>
      <c r="O184" s="381">
        <f t="shared" si="18"/>
        <v>56.977200000000003</v>
      </c>
      <c r="P184" s="380">
        <f>IFERROR(O184*VLOOKUP(G184,MODULY_CBA!$B$3:$F$23,5,0),)</f>
        <v>1709.316</v>
      </c>
      <c r="Q184" s="482" t="str">
        <f>IFERROR(VLOOKUP(G184,MODULY_CBA!$B$3:$I$23,6,0),"")</f>
        <v>Inkrement 2</v>
      </c>
      <c r="R184" s="385"/>
      <c r="S184" s="385"/>
      <c r="T184" s="385"/>
      <c r="U184" s="385"/>
      <c r="V184" s="385"/>
      <c r="W184" s="385"/>
      <c r="X184" s="385"/>
      <c r="Y184" s="385"/>
      <c r="Z184" s="385"/>
      <c r="AA184" s="385"/>
      <c r="AB184" s="385"/>
      <c r="AC184" s="385"/>
      <c r="AD184" s="385"/>
      <c r="AE184" s="385"/>
      <c r="AF184" s="377"/>
    </row>
    <row r="185" spans="1:32" ht="39">
      <c r="A185" s="667" t="s">
        <v>1049</v>
      </c>
      <c r="B185" s="667" t="s">
        <v>485</v>
      </c>
      <c r="C185" s="669" t="s">
        <v>491</v>
      </c>
      <c r="D185" s="669" t="s">
        <v>1050</v>
      </c>
      <c r="E185" s="669" t="s">
        <v>1051</v>
      </c>
      <c r="F185" s="671" t="s">
        <v>489</v>
      </c>
      <c r="G185" s="680" t="s">
        <v>267</v>
      </c>
      <c r="H185" s="382">
        <v>3</v>
      </c>
      <c r="I185" s="382">
        <v>15</v>
      </c>
      <c r="J185" s="382">
        <f t="shared" si="16"/>
        <v>3</v>
      </c>
      <c r="K185" s="382">
        <f t="shared" si="17"/>
        <v>45</v>
      </c>
      <c r="L185" s="646">
        <f>IFERROR(IF(B185="funkcna poziadavka",VLOOKUP(G185,MODULY_CBA!$B$3:$E$23,4,0)*H185/SUMIFS($H$3:$H$199,$G$3:$G$199,G185,$B$3:$B$199,B185),),)</f>
        <v>1.064516129032258</v>
      </c>
      <c r="M185" s="382">
        <f>IFERROR(IF(B185="Funkcna poziadavka",VLOOKUP(G185,MODULY_CBA!$B$3:$E$23,3,0),),)</f>
        <v>1.085</v>
      </c>
      <c r="N185" s="382">
        <f>IFERROR(IF(B185="funkcna poziadavka",VLOOKUP(G185,MODULY_CBA!$B$3:$E$23,2,0),),)</f>
        <v>1.1400000000000001</v>
      </c>
      <c r="O185" s="381">
        <f t="shared" si="18"/>
        <v>56.977200000000003</v>
      </c>
      <c r="P185" s="380">
        <f>IFERROR(O185*VLOOKUP(G185,MODULY_CBA!$B$3:$F$23,5,0),)</f>
        <v>1709.316</v>
      </c>
      <c r="Q185" s="482" t="str">
        <f>IFERROR(VLOOKUP(G185,MODULY_CBA!$B$3:$I$23,6,0),"")</f>
        <v>Inkrement 2</v>
      </c>
      <c r="R185" s="385"/>
      <c r="S185" s="385"/>
      <c r="T185" s="385"/>
      <c r="U185" s="385"/>
      <c r="V185" s="385"/>
      <c r="W185" s="385"/>
      <c r="X185" s="385"/>
      <c r="Y185" s="385"/>
      <c r="Z185" s="385"/>
      <c r="AA185" s="385"/>
      <c r="AB185" s="385"/>
      <c r="AC185" s="385"/>
      <c r="AD185" s="385"/>
      <c r="AE185" s="385"/>
      <c r="AF185" s="377"/>
    </row>
    <row r="186" spans="1:32" ht="39">
      <c r="A186" s="667" t="s">
        <v>1052</v>
      </c>
      <c r="B186" s="667" t="s">
        <v>485</v>
      </c>
      <c r="C186" s="669" t="s">
        <v>644</v>
      </c>
      <c r="D186" s="669" t="s">
        <v>1053</v>
      </c>
      <c r="E186" s="669" t="s">
        <v>1054</v>
      </c>
      <c r="F186" s="671" t="s">
        <v>489</v>
      </c>
      <c r="G186" s="680" t="s">
        <v>267</v>
      </c>
      <c r="H186" s="382">
        <v>3</v>
      </c>
      <c r="I186" s="382">
        <v>15</v>
      </c>
      <c r="J186" s="382">
        <f t="shared" si="16"/>
        <v>3</v>
      </c>
      <c r="K186" s="382">
        <f t="shared" si="17"/>
        <v>45</v>
      </c>
      <c r="L186" s="646">
        <f>IFERROR(IF(B186="funkcna poziadavka",VLOOKUP(G186,MODULY_CBA!$B$3:$E$23,4,0)*H186/SUMIFS($H$3:$H$199,$G$3:$G$199,G186,$B$3:$B$199,B186),),)</f>
        <v>1.064516129032258</v>
      </c>
      <c r="M186" s="382">
        <f>IFERROR(IF(B186="Funkcna poziadavka",VLOOKUP(G186,MODULY_CBA!$B$3:$E$23,3,0),),)</f>
        <v>1.085</v>
      </c>
      <c r="N186" s="382">
        <f>IFERROR(IF(B186="funkcna poziadavka",VLOOKUP(G186,MODULY_CBA!$B$3:$E$23,2,0),),)</f>
        <v>1.1400000000000001</v>
      </c>
      <c r="O186" s="381">
        <f t="shared" si="18"/>
        <v>56.977200000000003</v>
      </c>
      <c r="P186" s="380">
        <f>IFERROR(O186*VLOOKUP(G186,MODULY_CBA!$B$3:$F$23,5,0),)</f>
        <v>1709.316</v>
      </c>
      <c r="Q186" s="482" t="str">
        <f>IFERROR(VLOOKUP(G186,MODULY_CBA!$B$3:$I$23,6,0),"")</f>
        <v>Inkrement 2</v>
      </c>
      <c r="R186" s="385"/>
      <c r="S186" s="385"/>
      <c r="T186" s="385"/>
      <c r="U186" s="385"/>
      <c r="V186" s="385"/>
      <c r="W186" s="385"/>
      <c r="X186" s="385"/>
      <c r="Y186" s="385"/>
      <c r="Z186" s="385"/>
      <c r="AA186" s="385"/>
      <c r="AB186" s="385"/>
      <c r="AC186" s="385"/>
      <c r="AD186" s="385"/>
      <c r="AE186" s="385"/>
      <c r="AF186" s="377"/>
    </row>
    <row r="187" spans="1:32" ht="39">
      <c r="A187" s="667" t="s">
        <v>1055</v>
      </c>
      <c r="B187" s="667" t="s">
        <v>485</v>
      </c>
      <c r="C187" s="669" t="s">
        <v>535</v>
      </c>
      <c r="D187" s="669" t="s">
        <v>1056</v>
      </c>
      <c r="E187" s="670" t="s">
        <v>1057</v>
      </c>
      <c r="F187" s="671" t="s">
        <v>489</v>
      </c>
      <c r="G187" s="680" t="s">
        <v>267</v>
      </c>
      <c r="H187" s="382">
        <v>3</v>
      </c>
      <c r="I187" s="382">
        <v>15</v>
      </c>
      <c r="J187" s="382">
        <f t="shared" si="16"/>
        <v>3</v>
      </c>
      <c r="K187" s="382">
        <f t="shared" si="17"/>
        <v>45</v>
      </c>
      <c r="L187" s="646">
        <f>IFERROR(IF(B187="funkcna poziadavka",VLOOKUP(G187,MODULY_CBA!$B$3:$E$23,4,0)*H187/SUMIFS($H$3:$H$199,$G$3:$G$199,G187,$B$3:$B$199,B187),),)</f>
        <v>1.064516129032258</v>
      </c>
      <c r="M187" s="382">
        <f>IFERROR(IF(B187="Funkcna poziadavka",VLOOKUP(G187,MODULY_CBA!$B$3:$E$23,3,0),),)</f>
        <v>1.085</v>
      </c>
      <c r="N187" s="382">
        <f>IFERROR(IF(B187="funkcna poziadavka",VLOOKUP(G187,MODULY_CBA!$B$3:$E$23,2,0),),)</f>
        <v>1.1400000000000001</v>
      </c>
      <c r="O187" s="381">
        <f t="shared" si="18"/>
        <v>56.977200000000003</v>
      </c>
      <c r="P187" s="380">
        <f>IFERROR(O187*VLOOKUP(G187,MODULY_CBA!$B$3:$F$23,5,0),)</f>
        <v>1709.316</v>
      </c>
      <c r="Q187" s="482" t="str">
        <f>IFERROR(VLOOKUP(G187,MODULY_CBA!$B$3:$I$23,6,0),"")</f>
        <v>Inkrement 2</v>
      </c>
      <c r="R187" s="385"/>
      <c r="S187" s="385"/>
      <c r="T187" s="385"/>
      <c r="U187" s="385"/>
      <c r="V187" s="385"/>
      <c r="W187" s="385"/>
      <c r="X187" s="385"/>
      <c r="Y187" s="385"/>
      <c r="Z187" s="385"/>
      <c r="AA187" s="385"/>
      <c r="AB187" s="385"/>
      <c r="AC187" s="385"/>
      <c r="AD187" s="385"/>
      <c r="AE187" s="385"/>
      <c r="AF187" s="377"/>
    </row>
    <row r="188" spans="1:32" ht="26">
      <c r="A188" s="667" t="s">
        <v>1058</v>
      </c>
      <c r="B188" s="667" t="s">
        <v>485</v>
      </c>
      <c r="C188" s="669" t="s">
        <v>486</v>
      </c>
      <c r="D188" s="669" t="s">
        <v>1059</v>
      </c>
      <c r="E188" s="669" t="s">
        <v>1060</v>
      </c>
      <c r="F188" s="671" t="s">
        <v>489</v>
      </c>
      <c r="G188" s="680" t="s">
        <v>267</v>
      </c>
      <c r="H188" s="382">
        <v>3</v>
      </c>
      <c r="I188" s="382">
        <v>15</v>
      </c>
      <c r="J188" s="382">
        <f t="shared" si="16"/>
        <v>3</v>
      </c>
      <c r="K188" s="382">
        <f t="shared" si="17"/>
        <v>45</v>
      </c>
      <c r="L188" s="646">
        <f>IFERROR(IF(B188="funkcna poziadavka",VLOOKUP(G188,MODULY_CBA!$B$3:$E$23,4,0)*H188/SUMIFS($H$3:$H$199,$G$3:$G$199,G188,$B$3:$B$199,B188),),)</f>
        <v>1.064516129032258</v>
      </c>
      <c r="M188" s="382">
        <f>IFERROR(IF(B188="Funkcna poziadavka",VLOOKUP(G188,MODULY_CBA!$B$3:$E$23,3,0),),)</f>
        <v>1.085</v>
      </c>
      <c r="N188" s="382">
        <f>IFERROR(IF(B188="funkcna poziadavka",VLOOKUP(G188,MODULY_CBA!$B$3:$E$23,2,0),),)</f>
        <v>1.1400000000000001</v>
      </c>
      <c r="O188" s="381">
        <f t="shared" si="18"/>
        <v>56.977200000000003</v>
      </c>
      <c r="P188" s="380">
        <f>IFERROR(O188*VLOOKUP(G188,MODULY_CBA!$B$3:$F$23,5,0),)</f>
        <v>1709.316</v>
      </c>
      <c r="Q188" s="482" t="str">
        <f>IFERROR(VLOOKUP(G188,MODULY_CBA!$B$3:$I$23,6,0),"")</f>
        <v>Inkrement 2</v>
      </c>
      <c r="R188" s="385"/>
      <c r="S188" s="385"/>
      <c r="T188" s="385"/>
      <c r="U188" s="385"/>
      <c r="V188" s="385"/>
      <c r="W188" s="385"/>
      <c r="X188" s="385"/>
      <c r="Y188" s="385"/>
      <c r="Z188" s="385"/>
      <c r="AA188" s="385"/>
      <c r="AB188" s="385"/>
      <c r="AC188" s="385"/>
      <c r="AD188" s="385"/>
      <c r="AE188" s="385"/>
      <c r="AF188" s="377"/>
    </row>
    <row r="189" spans="1:32" ht="39">
      <c r="A189" s="667" t="s">
        <v>1061</v>
      </c>
      <c r="B189" s="667" t="s">
        <v>485</v>
      </c>
      <c r="C189" s="669" t="s">
        <v>486</v>
      </c>
      <c r="D189" s="669" t="s">
        <v>1062</v>
      </c>
      <c r="E189" s="669" t="s">
        <v>1063</v>
      </c>
      <c r="F189" s="671" t="s">
        <v>489</v>
      </c>
      <c r="G189" s="680" t="s">
        <v>267</v>
      </c>
      <c r="H189" s="382">
        <v>3</v>
      </c>
      <c r="I189" s="382">
        <v>15</v>
      </c>
      <c r="J189" s="382">
        <f t="shared" si="16"/>
        <v>3</v>
      </c>
      <c r="K189" s="382">
        <f t="shared" si="17"/>
        <v>45</v>
      </c>
      <c r="L189" s="646">
        <f>IFERROR(IF(B189="funkcna poziadavka",VLOOKUP(G189,MODULY_CBA!$B$3:$E$23,4,0)*H189/SUMIFS($H$3:$H$199,$G$3:$G$199,G189,$B$3:$B$199,B189),),)</f>
        <v>1.064516129032258</v>
      </c>
      <c r="M189" s="382">
        <f>IFERROR(IF(B189="Funkcna poziadavka",VLOOKUP(G189,MODULY_CBA!$B$3:$E$23,3,0),),)</f>
        <v>1.085</v>
      </c>
      <c r="N189" s="382">
        <f>IFERROR(IF(B189="funkcna poziadavka",VLOOKUP(G189,MODULY_CBA!$B$3:$E$23,2,0),),)</f>
        <v>1.1400000000000001</v>
      </c>
      <c r="O189" s="381">
        <f t="shared" si="18"/>
        <v>56.977200000000003</v>
      </c>
      <c r="P189" s="380">
        <f>IFERROR(O189*VLOOKUP(G189,MODULY_CBA!$B$3:$F$23,5,0),)</f>
        <v>1709.316</v>
      </c>
      <c r="Q189" s="482" t="str">
        <f>IFERROR(VLOOKUP(G189,MODULY_CBA!$B$3:$I$23,6,0),"")</f>
        <v>Inkrement 2</v>
      </c>
      <c r="R189" s="385"/>
      <c r="S189" s="385"/>
      <c r="T189" s="385"/>
      <c r="U189" s="385"/>
      <c r="V189" s="385"/>
      <c r="W189" s="385"/>
      <c r="X189" s="385"/>
      <c r="Y189" s="385"/>
      <c r="Z189" s="385"/>
      <c r="AA189" s="385"/>
      <c r="AB189" s="385"/>
      <c r="AC189" s="385"/>
      <c r="AD189" s="385"/>
      <c r="AE189" s="385"/>
      <c r="AF189" s="377"/>
    </row>
    <row r="190" spans="1:32" ht="39">
      <c r="A190" s="667" t="s">
        <v>1064</v>
      </c>
      <c r="B190" s="667" t="s">
        <v>485</v>
      </c>
      <c r="C190" s="669" t="s">
        <v>842</v>
      </c>
      <c r="D190" s="669" t="s">
        <v>1065</v>
      </c>
      <c r="E190" s="669" t="s">
        <v>1066</v>
      </c>
      <c r="F190" s="671" t="s">
        <v>489</v>
      </c>
      <c r="G190" s="672" t="s">
        <v>259</v>
      </c>
      <c r="H190" s="382">
        <v>3</v>
      </c>
      <c r="I190" s="382">
        <v>15</v>
      </c>
      <c r="J190" s="382">
        <f t="shared" si="16"/>
        <v>3</v>
      </c>
      <c r="K190" s="382">
        <f t="shared" si="17"/>
        <v>45</v>
      </c>
      <c r="L190" s="646">
        <f>IFERROR(IF(B190="funkcna poziadavka",VLOOKUP(G190,MODULY_CBA!$B$3:$E$23,4,0)*H190/SUMIFS($H$3:$H$199,$G$3:$G$199,G190,$B$3:$B$199,B190),),)</f>
        <v>0.44594594594594594</v>
      </c>
      <c r="M190" s="382">
        <f>IFERROR(IF(B190="Funkcna poziadavka",VLOOKUP(G190,MODULY_CBA!$B$3:$E$23,3,0),),)</f>
        <v>1.085</v>
      </c>
      <c r="N190" s="382">
        <f>IFERROR(IF(B190="funkcna poziadavka",VLOOKUP(G190,MODULY_CBA!$B$3:$E$23,2,0),),)</f>
        <v>1.1400000000000001</v>
      </c>
      <c r="O190" s="381">
        <f t="shared" si="18"/>
        <v>56.212090540540544</v>
      </c>
      <c r="P190" s="380">
        <f>IFERROR(O190*VLOOKUP(G190,MODULY_CBA!$B$3:$F$23,5,0),)</f>
        <v>1686.3627162162163</v>
      </c>
      <c r="Q190" s="482" t="str">
        <f>IFERROR(VLOOKUP(G190,MODULY_CBA!$B$3:$I$23,6,0),"")</f>
        <v>Inkrement 2</v>
      </c>
      <c r="R190" s="385"/>
      <c r="S190" s="385"/>
      <c r="T190" s="385"/>
      <c r="U190" s="385"/>
      <c r="V190" s="385"/>
      <c r="W190" s="385"/>
      <c r="X190" s="385"/>
      <c r="Y190" s="385"/>
      <c r="Z190" s="385"/>
      <c r="AA190" s="385"/>
      <c r="AB190" s="385"/>
      <c r="AC190" s="385"/>
      <c r="AD190" s="385"/>
      <c r="AE190" s="385"/>
      <c r="AF190" s="377"/>
    </row>
    <row r="191" spans="1:32" ht="26">
      <c r="A191" s="667" t="s">
        <v>1067</v>
      </c>
      <c r="B191" s="667" t="s">
        <v>485</v>
      </c>
      <c r="C191" s="669" t="s">
        <v>873</v>
      </c>
      <c r="D191" s="669" t="s">
        <v>1068</v>
      </c>
      <c r="E191" s="669" t="s">
        <v>1069</v>
      </c>
      <c r="F191" s="671" t="s">
        <v>489</v>
      </c>
      <c r="G191" s="672" t="s">
        <v>259</v>
      </c>
      <c r="H191" s="382">
        <v>3</v>
      </c>
      <c r="I191" s="382">
        <v>15</v>
      </c>
      <c r="J191" s="382">
        <f t="shared" si="16"/>
        <v>3</v>
      </c>
      <c r="K191" s="382">
        <f t="shared" si="17"/>
        <v>45</v>
      </c>
      <c r="L191" s="646">
        <f>IFERROR(IF(B191="funkcna poziadavka",VLOOKUP(G191,MODULY_CBA!$B$3:$E$23,4,0)*H191/SUMIFS($H$3:$H$199,$G$3:$G$199,G191,$B$3:$B$199,B191),),)</f>
        <v>0.44594594594594594</v>
      </c>
      <c r="M191" s="382">
        <f>IFERROR(IF(B191="Funkcna poziadavka",VLOOKUP(G191,MODULY_CBA!$B$3:$E$23,3,0),),)</f>
        <v>1.085</v>
      </c>
      <c r="N191" s="382">
        <f>IFERROR(IF(B191="funkcna poziadavka",VLOOKUP(G191,MODULY_CBA!$B$3:$E$23,2,0),),)</f>
        <v>1.1400000000000001</v>
      </c>
      <c r="O191" s="381">
        <f t="shared" si="18"/>
        <v>56.212090540540544</v>
      </c>
      <c r="P191" s="380">
        <f>IFERROR(O191*VLOOKUP(G191,MODULY_CBA!$B$3:$F$23,5,0),)</f>
        <v>1686.3627162162163</v>
      </c>
      <c r="Q191" s="482" t="str">
        <f>IFERROR(VLOOKUP(G191,MODULY_CBA!$B$3:$I$23,6,0),"")</f>
        <v>Inkrement 2</v>
      </c>
      <c r="R191" s="385"/>
      <c r="S191" s="385"/>
      <c r="T191" s="385"/>
      <c r="U191" s="385"/>
      <c r="V191" s="385"/>
      <c r="W191" s="385"/>
      <c r="X191" s="385"/>
      <c r="Y191" s="385"/>
      <c r="Z191" s="385"/>
      <c r="AA191" s="385"/>
      <c r="AB191" s="385"/>
      <c r="AC191" s="385"/>
      <c r="AD191" s="385"/>
      <c r="AE191" s="385"/>
      <c r="AF191" s="377"/>
    </row>
    <row r="192" spans="1:32" ht="26">
      <c r="A192" s="667" t="s">
        <v>1070</v>
      </c>
      <c r="B192" s="667" t="s">
        <v>485</v>
      </c>
      <c r="C192" s="669" t="s">
        <v>491</v>
      </c>
      <c r="D192" s="669" t="s">
        <v>1071</v>
      </c>
      <c r="E192" s="669" t="s">
        <v>1072</v>
      </c>
      <c r="F192" s="671" t="s">
        <v>489</v>
      </c>
      <c r="G192" s="675" t="s">
        <v>263</v>
      </c>
      <c r="H192" s="382">
        <v>3</v>
      </c>
      <c r="I192" s="382">
        <v>15</v>
      </c>
      <c r="J192" s="382">
        <f t="shared" si="16"/>
        <v>3</v>
      </c>
      <c r="K192" s="382">
        <f t="shared" si="17"/>
        <v>45</v>
      </c>
      <c r="L192" s="646">
        <f>IFERROR(IF(B192="funkcna poziadavka",VLOOKUP(G192,MODULY_CBA!$B$3:$E$23,4,0)*H192/SUMIFS($H$3:$H$199,$G$3:$G$199,G192,$B$3:$B$199,B192),),)</f>
        <v>0.86842105263157898</v>
      </c>
      <c r="M192" s="382">
        <f>IFERROR(IF(B192="Funkcna poziadavka",VLOOKUP(G192,MODULY_CBA!$B$3:$E$23,3,0),),)</f>
        <v>1.085</v>
      </c>
      <c r="N192" s="382">
        <f>IFERROR(IF(B192="funkcna poziadavka",VLOOKUP(G192,MODULY_CBA!$B$3:$E$23,2,0),),)</f>
        <v>1.1400000000000001</v>
      </c>
      <c r="O192" s="381">
        <f t="shared" si="18"/>
        <v>56.734650000000002</v>
      </c>
      <c r="P192" s="380">
        <f>IFERROR(O192*VLOOKUP(G192,MODULY_CBA!$B$3:$F$23,5,0),)</f>
        <v>1702.0395000000001</v>
      </c>
      <c r="Q192" s="482" t="str">
        <f>IFERROR(VLOOKUP(G192,MODULY_CBA!$B$3:$I$23,6,0),"")</f>
        <v>Inkrement 1</v>
      </c>
      <c r="R192" s="385"/>
      <c r="S192" s="385"/>
      <c r="T192" s="385"/>
      <c r="U192" s="385"/>
      <c r="V192" s="385"/>
      <c r="W192" s="385"/>
      <c r="X192" s="385"/>
      <c r="Y192" s="385"/>
      <c r="Z192" s="385"/>
      <c r="AA192" s="385"/>
      <c r="AB192" s="385"/>
      <c r="AC192" s="385"/>
      <c r="AD192" s="385"/>
      <c r="AE192" s="385"/>
      <c r="AF192" s="377"/>
    </row>
    <row r="193" spans="1:32" ht="26">
      <c r="A193" s="667" t="s">
        <v>1073</v>
      </c>
      <c r="B193" s="667" t="s">
        <v>485</v>
      </c>
      <c r="C193" s="669" t="s">
        <v>842</v>
      </c>
      <c r="D193" s="669" t="s">
        <v>1074</v>
      </c>
      <c r="E193" s="669" t="s">
        <v>1075</v>
      </c>
      <c r="F193" s="671" t="s">
        <v>489</v>
      </c>
      <c r="G193" s="672" t="s">
        <v>259</v>
      </c>
      <c r="H193" s="382">
        <v>3</v>
      </c>
      <c r="I193" s="382">
        <v>15</v>
      </c>
      <c r="J193" s="382">
        <f t="shared" si="16"/>
        <v>3</v>
      </c>
      <c r="K193" s="382">
        <f t="shared" si="17"/>
        <v>45</v>
      </c>
      <c r="L193" s="646">
        <f>IFERROR(IF(B193="funkcna poziadavka",VLOOKUP(G193,MODULY_CBA!$B$3:$E$23,4,0)*H193/SUMIFS($H$3:$H$199,$G$3:$G$199,G193,$B$3:$B$199,B193),),)</f>
        <v>0.44594594594594594</v>
      </c>
      <c r="M193" s="382">
        <f>IFERROR(IF(B193="Funkcna poziadavka",VLOOKUP(G193,MODULY_CBA!$B$3:$E$23,3,0),),)</f>
        <v>1.085</v>
      </c>
      <c r="N193" s="382">
        <f>IFERROR(IF(B193="funkcna poziadavka",VLOOKUP(G193,MODULY_CBA!$B$3:$E$23,2,0),),)</f>
        <v>1.1400000000000001</v>
      </c>
      <c r="O193" s="381">
        <f t="shared" si="18"/>
        <v>56.212090540540544</v>
      </c>
      <c r="P193" s="380">
        <f>IFERROR(O193*VLOOKUP(G193,MODULY_CBA!$B$3:$F$23,5,0),)</f>
        <v>1686.3627162162163</v>
      </c>
      <c r="Q193" s="482" t="str">
        <f>IFERROR(VLOOKUP(G193,MODULY_CBA!$B$3:$I$23,6,0),"")</f>
        <v>Inkrement 2</v>
      </c>
      <c r="R193" s="385"/>
      <c r="S193" s="385"/>
      <c r="T193" s="385"/>
      <c r="U193" s="385"/>
      <c r="V193" s="385"/>
      <c r="W193" s="385"/>
      <c r="X193" s="385"/>
      <c r="Y193" s="385"/>
      <c r="Z193" s="385"/>
      <c r="AA193" s="385"/>
      <c r="AB193" s="385"/>
      <c r="AC193" s="385"/>
      <c r="AD193" s="385"/>
      <c r="AE193" s="385"/>
      <c r="AF193" s="377"/>
    </row>
    <row r="194" spans="1:32" ht="39">
      <c r="A194" s="667" t="s">
        <v>1076</v>
      </c>
      <c r="B194" s="404" t="s">
        <v>485</v>
      </c>
      <c r="C194" s="535" t="s">
        <v>842</v>
      </c>
      <c r="D194" s="535" t="s">
        <v>1077</v>
      </c>
      <c r="E194" s="535" t="s">
        <v>1078</v>
      </c>
      <c r="F194" s="686" t="s">
        <v>489</v>
      </c>
      <c r="G194" s="386" t="s">
        <v>277</v>
      </c>
      <c r="H194" s="382">
        <v>3</v>
      </c>
      <c r="I194" s="382">
        <v>15</v>
      </c>
      <c r="J194" s="382">
        <f t="shared" si="16"/>
        <v>3</v>
      </c>
      <c r="K194" s="382">
        <f t="shared" si="17"/>
        <v>45</v>
      </c>
      <c r="L194" s="646">
        <f>IFERROR(IF(B194="funkcna poziadavka",VLOOKUP(G194,MODULY_CBA!$B$3:$E$23,4,0)*H194/SUMIFS($H$3:$H$199,$G$3:$G$199,G194,$B$3:$B$199,B194),),)</f>
        <v>0</v>
      </c>
      <c r="M194" s="382">
        <f>IFERROR(IF(B194="Funkcna poziadavka",VLOOKUP(G194,MODULY_CBA!$B$3:$E$23,3,0),),)</f>
        <v>1.085</v>
      </c>
      <c r="N194" s="382">
        <f>IFERROR(IF(B194="funkcna poziadavka",VLOOKUP(G194,MODULY_CBA!$B$3:$E$23,2,0),),)</f>
        <v>1.1400000000000001</v>
      </c>
      <c r="O194" s="381">
        <f t="shared" si="18"/>
        <v>55.660499999999999</v>
      </c>
      <c r="P194" s="380">
        <f>IFERROR(O194*VLOOKUP(G194,MODULY_CBA!$B$3:$F$23,5,0),)</f>
        <v>0</v>
      </c>
      <c r="Q194" s="482">
        <f>IFERROR(VLOOKUP(G194,MODULY_CBA!$B$3:$I$23,6,0),"")</f>
        <v>0</v>
      </c>
      <c r="R194" s="385"/>
      <c r="S194" s="385"/>
      <c r="T194" s="385"/>
      <c r="U194" s="385"/>
      <c r="V194" s="385"/>
      <c r="W194" s="385"/>
      <c r="X194" s="385"/>
      <c r="Y194" s="385"/>
      <c r="Z194" s="385"/>
      <c r="AA194" s="385"/>
      <c r="AB194" s="385"/>
      <c r="AC194" s="385"/>
      <c r="AD194" s="385"/>
      <c r="AE194" s="385"/>
      <c r="AF194" s="377"/>
    </row>
    <row r="195" spans="1:32" ht="65">
      <c r="A195" s="667" t="s">
        <v>1079</v>
      </c>
      <c r="B195" s="667" t="s">
        <v>485</v>
      </c>
      <c r="C195" s="669" t="s">
        <v>873</v>
      </c>
      <c r="D195" s="669" t="s">
        <v>1080</v>
      </c>
      <c r="E195" s="535" t="s">
        <v>1081</v>
      </c>
      <c r="F195" s="671" t="s">
        <v>489</v>
      </c>
      <c r="G195" s="672" t="s">
        <v>259</v>
      </c>
      <c r="H195" s="382">
        <v>3</v>
      </c>
      <c r="I195" s="382">
        <v>15</v>
      </c>
      <c r="J195" s="382">
        <f t="shared" si="16"/>
        <v>3</v>
      </c>
      <c r="K195" s="382">
        <f t="shared" si="17"/>
        <v>45</v>
      </c>
      <c r="L195" s="646">
        <f>IFERROR(IF(B195="funkcna poziadavka",VLOOKUP(G195,MODULY_CBA!$B$3:$E$23,4,0)*H195/SUMIFS($H$3:$H$199,$G$3:$G$199,G195,$B$3:$B$199,B195),),)</f>
        <v>0.44594594594594594</v>
      </c>
      <c r="M195" s="382">
        <f>IFERROR(IF(B195="Funkcna poziadavka",VLOOKUP(G195,MODULY_CBA!$B$3:$E$23,3,0),),)</f>
        <v>1.085</v>
      </c>
      <c r="N195" s="382">
        <f>IFERROR(IF(B195="funkcna poziadavka",VLOOKUP(G195,MODULY_CBA!$B$3:$E$23,2,0),),)</f>
        <v>1.1400000000000001</v>
      </c>
      <c r="O195" s="381">
        <f t="shared" si="18"/>
        <v>56.212090540540544</v>
      </c>
      <c r="P195" s="380">
        <f>IFERROR(O195*VLOOKUP(G195,MODULY_CBA!$B$3:$F$23,5,0),)</f>
        <v>1686.3627162162163</v>
      </c>
      <c r="Q195" s="482" t="str">
        <f>IFERROR(VLOOKUP(G195,MODULY_CBA!$B$3:$I$23,6,0),"")</f>
        <v>Inkrement 2</v>
      </c>
      <c r="R195" s="385"/>
      <c r="S195" s="385"/>
      <c r="T195" s="385"/>
      <c r="U195" s="385"/>
      <c r="V195" s="385"/>
      <c r="W195" s="385"/>
      <c r="X195" s="385"/>
      <c r="Y195" s="385"/>
      <c r="Z195" s="385"/>
      <c r="AA195" s="385"/>
      <c r="AB195" s="385"/>
      <c r="AC195" s="385"/>
      <c r="AD195" s="385"/>
      <c r="AE195" s="385"/>
      <c r="AF195" s="377"/>
    </row>
    <row r="196" spans="1:32" ht="39">
      <c r="A196" s="667" t="s">
        <v>1082</v>
      </c>
      <c r="B196" s="667" t="s">
        <v>485</v>
      </c>
      <c r="C196" s="669" t="s">
        <v>535</v>
      </c>
      <c r="D196" s="669" t="s">
        <v>1083</v>
      </c>
      <c r="E196" s="669" t="s">
        <v>1084</v>
      </c>
      <c r="F196" s="671" t="s">
        <v>489</v>
      </c>
      <c r="G196" s="672" t="s">
        <v>259</v>
      </c>
      <c r="H196" s="382">
        <v>3</v>
      </c>
      <c r="I196" s="382">
        <v>15</v>
      </c>
      <c r="J196" s="382">
        <f t="shared" si="16"/>
        <v>3</v>
      </c>
      <c r="K196" s="382">
        <f t="shared" si="17"/>
        <v>45</v>
      </c>
      <c r="L196" s="646">
        <f>IFERROR(IF(B196="funkcna poziadavka",VLOOKUP(G196,MODULY_CBA!$B$3:$E$23,4,0)*H196/SUMIFS($H$3:$H$199,$G$3:$G$199,G196,$B$3:$B$199,B196),),)</f>
        <v>0.44594594594594594</v>
      </c>
      <c r="M196" s="382">
        <f>IFERROR(IF(B196="Funkcna poziadavka",VLOOKUP(G196,MODULY_CBA!$B$3:$E$23,3,0),),)</f>
        <v>1.085</v>
      </c>
      <c r="N196" s="382">
        <f>IFERROR(IF(B196="funkcna poziadavka",VLOOKUP(G196,MODULY_CBA!$B$3:$E$23,2,0),),)</f>
        <v>1.1400000000000001</v>
      </c>
      <c r="O196" s="381">
        <f t="shared" si="18"/>
        <v>56.212090540540544</v>
      </c>
      <c r="P196" s="380">
        <f>IFERROR(O196*VLOOKUP(G196,MODULY_CBA!$B$3:$F$23,5,0),)</f>
        <v>1686.3627162162163</v>
      </c>
      <c r="Q196" s="482" t="str">
        <f>IFERROR(VLOOKUP(G196,MODULY_CBA!$B$3:$I$23,6,0),"")</f>
        <v>Inkrement 2</v>
      </c>
      <c r="R196" s="385"/>
      <c r="S196" s="385"/>
      <c r="T196" s="385"/>
      <c r="U196" s="385"/>
      <c r="V196" s="385"/>
      <c r="W196" s="385"/>
      <c r="X196" s="385"/>
      <c r="Y196" s="385"/>
      <c r="Z196" s="385"/>
      <c r="AA196" s="385"/>
      <c r="AB196" s="385"/>
      <c r="AC196" s="385"/>
      <c r="AD196" s="385"/>
      <c r="AE196" s="385"/>
      <c r="AF196" s="377"/>
    </row>
    <row r="197" spans="1:32" ht="26">
      <c r="A197" s="667" t="s">
        <v>1085</v>
      </c>
      <c r="B197" s="667" t="s">
        <v>485</v>
      </c>
      <c r="C197" s="669" t="s">
        <v>873</v>
      </c>
      <c r="D197" s="669" t="s">
        <v>1086</v>
      </c>
      <c r="E197" s="669" t="s">
        <v>1087</v>
      </c>
      <c r="F197" s="671" t="s">
        <v>489</v>
      </c>
      <c r="G197" s="672" t="s">
        <v>259</v>
      </c>
      <c r="H197" s="382">
        <v>3</v>
      </c>
      <c r="I197" s="382">
        <v>15</v>
      </c>
      <c r="J197" s="382">
        <f t="shared" si="16"/>
        <v>3</v>
      </c>
      <c r="K197" s="382">
        <f t="shared" si="17"/>
        <v>45</v>
      </c>
      <c r="L197" s="646">
        <f>IFERROR(IF(B197="funkcna poziadavka",VLOOKUP(G197,MODULY_CBA!$B$3:$E$23,4,0)*H197/SUMIFS($H$3:$H$199,$G$3:$G$199,G197,$B$3:$B$199,B197),),)</f>
        <v>0.44594594594594594</v>
      </c>
      <c r="M197" s="382">
        <f>IFERROR(IF(B197="Funkcna poziadavka",VLOOKUP(G197,MODULY_CBA!$B$3:$E$23,3,0),),)</f>
        <v>1.085</v>
      </c>
      <c r="N197" s="382">
        <f>IFERROR(IF(B197="funkcna poziadavka",VLOOKUP(G197,MODULY_CBA!$B$3:$E$23,2,0),),)</f>
        <v>1.1400000000000001</v>
      </c>
      <c r="O197" s="381">
        <f t="shared" si="18"/>
        <v>56.212090540540544</v>
      </c>
      <c r="P197" s="380">
        <f>IFERROR(O197*VLOOKUP(G197,MODULY_CBA!$B$3:$F$23,5,0),)</f>
        <v>1686.3627162162163</v>
      </c>
      <c r="Q197" s="482" t="str">
        <f>IFERROR(VLOOKUP(G197,MODULY_CBA!$B$3:$I$23,6,0),"")</f>
        <v>Inkrement 2</v>
      </c>
      <c r="R197" s="385"/>
      <c r="S197" s="385"/>
      <c r="T197" s="385"/>
      <c r="U197" s="385"/>
      <c r="V197" s="385"/>
      <c r="W197" s="385"/>
      <c r="X197" s="385"/>
      <c r="Y197" s="385"/>
      <c r="Z197" s="385"/>
      <c r="AA197" s="385"/>
      <c r="AB197" s="385"/>
      <c r="AC197" s="385"/>
      <c r="AD197" s="385"/>
      <c r="AE197" s="385"/>
      <c r="AF197" s="377"/>
    </row>
    <row r="198" spans="1:32" ht="39">
      <c r="A198" s="667" t="s">
        <v>1088</v>
      </c>
      <c r="B198" s="667" t="s">
        <v>485</v>
      </c>
      <c r="C198" s="669" t="s">
        <v>873</v>
      </c>
      <c r="D198" s="669" t="s">
        <v>1089</v>
      </c>
      <c r="E198" s="669" t="s">
        <v>1090</v>
      </c>
      <c r="F198" s="671" t="s">
        <v>489</v>
      </c>
      <c r="G198" s="672" t="s">
        <v>259</v>
      </c>
      <c r="H198" s="382">
        <v>3</v>
      </c>
      <c r="I198" s="382">
        <v>15</v>
      </c>
      <c r="J198" s="382">
        <f t="shared" si="16"/>
        <v>3</v>
      </c>
      <c r="K198" s="382">
        <f t="shared" si="17"/>
        <v>45</v>
      </c>
      <c r="L198" s="646">
        <f>IFERROR(IF(B198="funkcna poziadavka",VLOOKUP(G198,MODULY_CBA!$B$3:$E$23,4,0)*H198/SUMIFS($H$3:$H$199,$G$3:$G$199,G198,$B$3:$B$199,B198),),)</f>
        <v>0.44594594594594594</v>
      </c>
      <c r="M198" s="382">
        <f>IFERROR(IF(B198="Funkcna poziadavka",VLOOKUP(G198,MODULY_CBA!$B$3:$E$23,3,0),),)</f>
        <v>1.085</v>
      </c>
      <c r="N198" s="382">
        <f>IFERROR(IF(B198="funkcna poziadavka",VLOOKUP(G198,MODULY_CBA!$B$3:$E$23,2,0),),)</f>
        <v>1.1400000000000001</v>
      </c>
      <c r="O198" s="381">
        <f t="shared" si="18"/>
        <v>56.212090540540544</v>
      </c>
      <c r="P198" s="380">
        <f>IFERROR(O198*VLOOKUP(G198,MODULY_CBA!$B$3:$F$23,5,0),)</f>
        <v>1686.3627162162163</v>
      </c>
      <c r="Q198" s="482" t="str">
        <f>IFERROR(VLOOKUP(G198,MODULY_CBA!$B$3:$I$23,6,0),"")</f>
        <v>Inkrement 2</v>
      </c>
      <c r="R198" s="385"/>
      <c r="S198" s="385"/>
      <c r="T198" s="385"/>
      <c r="U198" s="385"/>
      <c r="V198" s="385"/>
      <c r="W198" s="385"/>
      <c r="X198" s="385"/>
      <c r="Y198" s="385"/>
      <c r="Z198" s="385"/>
      <c r="AA198" s="385"/>
      <c r="AB198" s="385"/>
      <c r="AC198" s="385"/>
      <c r="AD198" s="385"/>
      <c r="AE198" s="385"/>
      <c r="AF198" s="377"/>
    </row>
    <row r="199" spans="1:32" ht="39">
      <c r="A199" s="667" t="s">
        <v>1091</v>
      </c>
      <c r="B199" s="667" t="s">
        <v>485</v>
      </c>
      <c r="C199" s="669" t="s">
        <v>644</v>
      </c>
      <c r="D199" s="669" t="s">
        <v>1092</v>
      </c>
      <c r="E199" s="669" t="s">
        <v>1093</v>
      </c>
      <c r="F199" s="671" t="s">
        <v>489</v>
      </c>
      <c r="G199" s="672" t="s">
        <v>259</v>
      </c>
      <c r="H199" s="382">
        <v>3</v>
      </c>
      <c r="I199" s="382">
        <v>15</v>
      </c>
      <c r="J199" s="382">
        <f t="shared" si="16"/>
        <v>3</v>
      </c>
      <c r="K199" s="382">
        <f t="shared" si="17"/>
        <v>45</v>
      </c>
      <c r="L199" s="646">
        <f>IFERROR(IF(B199="funkcna poziadavka",VLOOKUP(G199,MODULY_CBA!$B$3:$E$23,4,0)*H199/SUMIFS($H$3:$H$199,$G$3:$G$199,G199,$B$3:$B$199,B199),),)</f>
        <v>0.44594594594594594</v>
      </c>
      <c r="M199" s="382">
        <f>IFERROR(IF(B199="Funkcna poziadavka",VLOOKUP(G199,MODULY_CBA!$B$3:$E$23,3,0),),)</f>
        <v>1.085</v>
      </c>
      <c r="N199" s="382">
        <f>IFERROR(IF(B199="funkcna poziadavka",VLOOKUP(G199,MODULY_CBA!$B$3:$E$23,2,0),),)</f>
        <v>1.1400000000000001</v>
      </c>
      <c r="O199" s="381">
        <f t="shared" si="18"/>
        <v>56.212090540540544</v>
      </c>
      <c r="P199" s="380">
        <f>IFERROR(O199*VLOOKUP(G199,MODULY_CBA!$B$3:$F$23,5,0),)</f>
        <v>1686.3627162162163</v>
      </c>
      <c r="Q199" s="482" t="str">
        <f>IFERROR(VLOOKUP(G199,MODULY_CBA!$B$3:$I$23,6,0),"")</f>
        <v>Inkrement 2</v>
      </c>
      <c r="R199" s="385"/>
      <c r="S199" s="385"/>
      <c r="T199" s="385"/>
      <c r="U199" s="385"/>
      <c r="V199" s="385"/>
      <c r="W199" s="385"/>
      <c r="X199" s="385"/>
      <c r="Y199" s="385"/>
      <c r="Z199" s="385"/>
      <c r="AA199" s="385"/>
      <c r="AB199" s="385"/>
      <c r="AC199" s="385"/>
      <c r="AD199" s="385"/>
      <c r="AE199" s="385"/>
      <c r="AF199" s="377"/>
    </row>
    <row r="200" spans="1:32" ht="39">
      <c r="A200" s="667" t="s">
        <v>1094</v>
      </c>
      <c r="B200" s="667" t="s">
        <v>485</v>
      </c>
      <c r="C200" s="669" t="s">
        <v>873</v>
      </c>
      <c r="D200" s="669" t="s">
        <v>1095</v>
      </c>
      <c r="E200" s="669" t="s">
        <v>1096</v>
      </c>
      <c r="F200" s="671" t="s">
        <v>489</v>
      </c>
      <c r="G200" s="672" t="s">
        <v>259</v>
      </c>
      <c r="H200" s="382">
        <v>3</v>
      </c>
      <c r="I200" s="382">
        <v>15</v>
      </c>
      <c r="J200" s="382">
        <f t="shared" si="16"/>
        <v>3</v>
      </c>
      <c r="K200" s="382">
        <f t="shared" si="17"/>
        <v>45</v>
      </c>
      <c r="L200" s="646">
        <f>IFERROR(IF(B200="funkcna poziadavka",VLOOKUP(G200,MODULY_CBA!$B$3:$E$23,4,0)*H200/SUMIFS($H$3:$H$199,$G$3:$G$199,G200,$B$3:$B$199,B200),),)</f>
        <v>0.44594594594594594</v>
      </c>
      <c r="M200" s="382">
        <f>IFERROR(IF(B200="Funkcna poziadavka",VLOOKUP(G200,MODULY_CBA!$B$3:$E$23,3,0),),)</f>
        <v>1.085</v>
      </c>
      <c r="N200" s="382">
        <f>IFERROR(IF(B200="funkcna poziadavka",VLOOKUP(G200,MODULY_CBA!$B$3:$E$23,2,0),),)</f>
        <v>1.1400000000000001</v>
      </c>
      <c r="O200" s="381">
        <f t="shared" si="18"/>
        <v>56.212090540540544</v>
      </c>
      <c r="P200" s="380">
        <f>IFERROR(O200*VLOOKUP(G200,MODULY_CBA!$B$3:$F$23,5,0),)</f>
        <v>1686.3627162162163</v>
      </c>
      <c r="Q200" s="482" t="str">
        <f>IFERROR(VLOOKUP(G200,MODULY_CBA!$B$3:$I$23,6,0),"")</f>
        <v>Inkrement 2</v>
      </c>
      <c r="R200" s="385"/>
      <c r="S200" s="385"/>
      <c r="T200" s="385"/>
      <c r="U200" s="385"/>
      <c r="V200" s="385"/>
      <c r="W200" s="385"/>
      <c r="X200" s="385"/>
      <c r="Y200" s="385"/>
      <c r="Z200" s="385"/>
      <c r="AA200" s="385"/>
      <c r="AB200" s="385"/>
      <c r="AC200" s="385"/>
      <c r="AD200" s="385"/>
      <c r="AE200" s="385"/>
      <c r="AF200" s="377"/>
    </row>
    <row r="201" spans="1:32" ht="39">
      <c r="A201" s="667" t="s">
        <v>1097</v>
      </c>
      <c r="B201" s="667" t="s">
        <v>485</v>
      </c>
      <c r="C201" s="669" t="s">
        <v>873</v>
      </c>
      <c r="D201" s="669" t="s">
        <v>1098</v>
      </c>
      <c r="E201" s="669" t="s">
        <v>1099</v>
      </c>
      <c r="F201" s="671" t="s">
        <v>489</v>
      </c>
      <c r="G201" s="672" t="s">
        <v>259</v>
      </c>
      <c r="H201" s="382">
        <v>3</v>
      </c>
      <c r="I201" s="382">
        <v>15</v>
      </c>
      <c r="J201" s="382">
        <f t="shared" si="16"/>
        <v>3</v>
      </c>
      <c r="K201" s="382">
        <f t="shared" si="17"/>
        <v>45</v>
      </c>
      <c r="L201" s="646">
        <f>IFERROR(IF(B201="funkcna poziadavka",VLOOKUP(G201,MODULY_CBA!$B$3:$E$23,4,0)*H201/SUMIFS($H$3:$H$199,$G$3:$G$199,G201,$B$3:$B$199,B201),),)</f>
        <v>0.44594594594594594</v>
      </c>
      <c r="M201" s="382">
        <f>IFERROR(IF(B201="Funkcna poziadavka",VLOOKUP(G201,MODULY_CBA!$B$3:$E$23,3,0),),)</f>
        <v>1.085</v>
      </c>
      <c r="N201" s="382">
        <f>IFERROR(IF(B201="funkcna poziadavka",VLOOKUP(G201,MODULY_CBA!$B$3:$E$23,2,0),),)</f>
        <v>1.1400000000000001</v>
      </c>
      <c r="O201" s="381">
        <f t="shared" si="18"/>
        <v>56.212090540540544</v>
      </c>
      <c r="P201" s="380">
        <f>IFERROR(O201*VLOOKUP(G201,MODULY_CBA!$B$3:$F$23,5,0),)</f>
        <v>1686.3627162162163</v>
      </c>
      <c r="Q201" s="482" t="str">
        <f>IFERROR(VLOOKUP(G201,MODULY_CBA!$B$3:$I$23,6,0),"")</f>
        <v>Inkrement 2</v>
      </c>
      <c r="R201" s="385"/>
      <c r="S201" s="385"/>
      <c r="T201" s="385"/>
      <c r="U201" s="385"/>
      <c r="V201" s="385"/>
      <c r="W201" s="385"/>
      <c r="X201" s="385"/>
      <c r="Y201" s="385"/>
      <c r="Z201" s="385"/>
      <c r="AA201" s="385"/>
      <c r="AB201" s="385"/>
      <c r="AC201" s="385"/>
      <c r="AD201" s="385"/>
      <c r="AE201" s="385"/>
      <c r="AF201" s="377"/>
    </row>
    <row r="202" spans="1:32" ht="39">
      <c r="A202" s="667" t="s">
        <v>1100</v>
      </c>
      <c r="B202" s="667" t="s">
        <v>485</v>
      </c>
      <c r="C202" s="669" t="s">
        <v>644</v>
      </c>
      <c r="D202" s="669" t="s">
        <v>1101</v>
      </c>
      <c r="E202" s="669" t="s">
        <v>1102</v>
      </c>
      <c r="F202" s="671" t="s">
        <v>489</v>
      </c>
      <c r="G202" s="672" t="s">
        <v>259</v>
      </c>
      <c r="H202" s="382">
        <v>3</v>
      </c>
      <c r="I202" s="382">
        <v>15</v>
      </c>
      <c r="J202" s="382">
        <f t="shared" si="16"/>
        <v>3</v>
      </c>
      <c r="K202" s="382">
        <f t="shared" si="17"/>
        <v>45</v>
      </c>
      <c r="L202" s="646">
        <f>IFERROR(IF(B202="funkcna poziadavka",VLOOKUP(G202,MODULY_CBA!$B$3:$E$23,4,0)*H202/SUMIFS($H$3:$H$199,$G$3:$G$199,G202,$B$3:$B$199,B202),),)</f>
        <v>0.44594594594594594</v>
      </c>
      <c r="M202" s="382">
        <f>IFERROR(IF(B202="Funkcna poziadavka",VLOOKUP(G202,MODULY_CBA!$B$3:$E$23,3,0),),)</f>
        <v>1.085</v>
      </c>
      <c r="N202" s="382">
        <f>IFERROR(IF(B202="funkcna poziadavka",VLOOKUP(G202,MODULY_CBA!$B$3:$E$23,2,0),),)</f>
        <v>1.1400000000000001</v>
      </c>
      <c r="O202" s="381">
        <f t="shared" si="18"/>
        <v>56.212090540540544</v>
      </c>
      <c r="P202" s="380">
        <f>IFERROR(O202*VLOOKUP(G202,MODULY_CBA!$B$3:$F$23,5,0),)</f>
        <v>1686.3627162162163</v>
      </c>
      <c r="Q202" s="482" t="str">
        <f>IFERROR(VLOOKUP(G202,MODULY_CBA!$B$3:$I$23,6,0),"")</f>
        <v>Inkrement 2</v>
      </c>
      <c r="R202" s="385"/>
      <c r="S202" s="385"/>
      <c r="T202" s="385"/>
      <c r="U202" s="385"/>
      <c r="V202" s="385"/>
      <c r="W202" s="385"/>
      <c r="X202" s="385"/>
      <c r="Y202" s="385"/>
      <c r="Z202" s="385"/>
      <c r="AA202" s="385"/>
      <c r="AB202" s="385"/>
      <c r="AC202" s="385"/>
      <c r="AD202" s="385"/>
      <c r="AE202" s="385"/>
      <c r="AF202" s="377"/>
    </row>
    <row r="203" spans="1:32" ht="39">
      <c r="A203" s="667" t="s">
        <v>1103</v>
      </c>
      <c r="B203" s="667" t="s">
        <v>485</v>
      </c>
      <c r="C203" s="669" t="s">
        <v>535</v>
      </c>
      <c r="D203" s="669" t="s">
        <v>1104</v>
      </c>
      <c r="E203" s="669" t="s">
        <v>1105</v>
      </c>
      <c r="F203" s="671" t="s">
        <v>489</v>
      </c>
      <c r="G203" s="672" t="s">
        <v>259</v>
      </c>
      <c r="H203" s="382">
        <v>3</v>
      </c>
      <c r="I203" s="382">
        <v>15</v>
      </c>
      <c r="J203" s="382">
        <f t="shared" si="16"/>
        <v>3</v>
      </c>
      <c r="K203" s="382">
        <f t="shared" si="17"/>
        <v>45</v>
      </c>
      <c r="L203" s="646">
        <f>IFERROR(IF(B203="funkcna poziadavka",VLOOKUP(G203,MODULY_CBA!$B$3:$E$23,4,0)*H203/SUMIFS($H$3:$H$199,$G$3:$G$199,G203,$B$3:$B$199,B203),),)</f>
        <v>0.44594594594594594</v>
      </c>
      <c r="M203" s="382">
        <f>IFERROR(IF(B203="Funkcna poziadavka",VLOOKUP(G203,MODULY_CBA!$B$3:$E$23,3,0),),)</f>
        <v>1.085</v>
      </c>
      <c r="N203" s="382">
        <f>IFERROR(IF(B203="funkcna poziadavka",VLOOKUP(G203,MODULY_CBA!$B$3:$E$23,2,0),),)</f>
        <v>1.1400000000000001</v>
      </c>
      <c r="O203" s="381">
        <f t="shared" si="18"/>
        <v>56.212090540540544</v>
      </c>
      <c r="P203" s="380">
        <f>IFERROR(O203*VLOOKUP(G203,MODULY_CBA!$B$3:$F$23,5,0),)</f>
        <v>1686.3627162162163</v>
      </c>
      <c r="Q203" s="482" t="str">
        <f>IFERROR(VLOOKUP(G203,MODULY_CBA!$B$3:$I$23,6,0),"")</f>
        <v>Inkrement 2</v>
      </c>
      <c r="R203" s="385"/>
      <c r="S203" s="385"/>
      <c r="T203" s="385"/>
      <c r="U203" s="385"/>
      <c r="V203" s="385"/>
      <c r="W203" s="385"/>
      <c r="X203" s="385"/>
      <c r="Y203" s="385"/>
      <c r="Z203" s="385"/>
      <c r="AA203" s="385"/>
      <c r="AB203" s="385"/>
      <c r="AC203" s="385"/>
      <c r="AD203" s="385"/>
      <c r="AE203" s="385"/>
      <c r="AF203" s="377"/>
    </row>
    <row r="204" spans="1:32" ht="39">
      <c r="A204" s="667" t="s">
        <v>1106</v>
      </c>
      <c r="B204" s="667" t="s">
        <v>485</v>
      </c>
      <c r="C204" s="669" t="s">
        <v>873</v>
      </c>
      <c r="D204" s="669" t="s">
        <v>1107</v>
      </c>
      <c r="E204" s="669" t="s">
        <v>1108</v>
      </c>
      <c r="F204" s="671" t="s">
        <v>489</v>
      </c>
      <c r="G204" s="675" t="s">
        <v>263</v>
      </c>
      <c r="H204" s="382">
        <v>3</v>
      </c>
      <c r="I204" s="382">
        <v>15</v>
      </c>
      <c r="J204" s="382">
        <f t="shared" si="16"/>
        <v>3</v>
      </c>
      <c r="K204" s="382">
        <f t="shared" si="17"/>
        <v>45</v>
      </c>
      <c r="L204" s="646">
        <f>IFERROR(IF(B204="funkcna poziadavka",VLOOKUP(G204,MODULY_CBA!$B$3:$E$23,4,0)*H204/SUMIFS($H$3:$H$199,$G$3:$G$199,G204,$B$3:$B$199,B204),),)</f>
        <v>0.86842105263157898</v>
      </c>
      <c r="M204" s="382">
        <f>IFERROR(IF(B204="Funkcna poziadavka",VLOOKUP(G204,MODULY_CBA!$B$3:$E$23,3,0),),)</f>
        <v>1.085</v>
      </c>
      <c r="N204" s="382">
        <f>IFERROR(IF(B204="funkcna poziadavka",VLOOKUP(G204,MODULY_CBA!$B$3:$E$23,2,0),),)</f>
        <v>1.1400000000000001</v>
      </c>
      <c r="O204" s="381">
        <f t="shared" si="18"/>
        <v>56.734650000000002</v>
      </c>
      <c r="P204" s="380">
        <f>IFERROR(O204*VLOOKUP(G204,MODULY_CBA!$B$3:$F$23,5,0),)</f>
        <v>1702.0395000000001</v>
      </c>
      <c r="Q204" s="482" t="str">
        <f>IFERROR(VLOOKUP(G204,MODULY_CBA!$B$3:$I$23,6,0),"")</f>
        <v>Inkrement 1</v>
      </c>
      <c r="R204" s="385"/>
      <c r="S204" s="385"/>
      <c r="T204" s="385"/>
      <c r="U204" s="385"/>
      <c r="V204" s="385"/>
      <c r="W204" s="385"/>
      <c r="X204" s="385"/>
      <c r="Y204" s="385"/>
      <c r="Z204" s="385"/>
      <c r="AA204" s="385"/>
      <c r="AB204" s="385"/>
      <c r="AC204" s="385"/>
      <c r="AD204" s="385"/>
      <c r="AE204" s="385"/>
      <c r="AF204" s="377"/>
    </row>
    <row r="205" spans="1:32" ht="39">
      <c r="A205" s="667" t="s">
        <v>1109</v>
      </c>
      <c r="B205" s="667" t="s">
        <v>485</v>
      </c>
      <c r="C205" s="669" t="s">
        <v>873</v>
      </c>
      <c r="D205" s="669" t="s">
        <v>1110</v>
      </c>
      <c r="E205" s="669" t="s">
        <v>1111</v>
      </c>
      <c r="F205" s="671" t="s">
        <v>489</v>
      </c>
      <c r="G205" s="675" t="s">
        <v>263</v>
      </c>
      <c r="H205" s="382">
        <v>3</v>
      </c>
      <c r="I205" s="382">
        <v>15</v>
      </c>
      <c r="J205" s="382">
        <f t="shared" si="16"/>
        <v>3</v>
      </c>
      <c r="K205" s="382">
        <f t="shared" si="17"/>
        <v>45</v>
      </c>
      <c r="L205" s="646">
        <f>IFERROR(IF(B205="funkcna poziadavka",VLOOKUP(G205,MODULY_CBA!$B$3:$E$23,4,0)*H205/SUMIFS($H$3:$H$199,$G$3:$G$199,G205,$B$3:$B$199,B205),),)</f>
        <v>0.86842105263157898</v>
      </c>
      <c r="M205" s="382">
        <f>IFERROR(IF(B205="Funkcna poziadavka",VLOOKUP(G205,MODULY_CBA!$B$3:$E$23,3,0),),)</f>
        <v>1.085</v>
      </c>
      <c r="N205" s="382">
        <f>IFERROR(IF(B205="funkcna poziadavka",VLOOKUP(G205,MODULY_CBA!$B$3:$E$23,2,0),),)</f>
        <v>1.1400000000000001</v>
      </c>
      <c r="O205" s="381">
        <f t="shared" si="18"/>
        <v>56.734650000000002</v>
      </c>
      <c r="P205" s="380">
        <f>IFERROR(O205*VLOOKUP(G205,MODULY_CBA!$B$3:$F$23,5,0),)</f>
        <v>1702.0395000000001</v>
      </c>
      <c r="Q205" s="482" t="str">
        <f>IFERROR(VLOOKUP(G205,MODULY_CBA!$B$3:$I$23,6,0),"")</f>
        <v>Inkrement 1</v>
      </c>
      <c r="R205" s="385"/>
      <c r="S205" s="385"/>
      <c r="T205" s="385"/>
      <c r="U205" s="385"/>
      <c r="V205" s="385"/>
      <c r="W205" s="385"/>
      <c r="X205" s="385"/>
      <c r="Y205" s="385"/>
      <c r="Z205" s="385"/>
      <c r="AA205" s="385"/>
      <c r="AB205" s="385"/>
      <c r="AC205" s="385"/>
      <c r="AD205" s="385"/>
      <c r="AE205" s="385"/>
      <c r="AF205" s="377"/>
    </row>
    <row r="206" spans="1:32" ht="39">
      <c r="A206" s="667" t="s">
        <v>1112</v>
      </c>
      <c r="B206" s="667" t="s">
        <v>485</v>
      </c>
      <c r="C206" s="669" t="s">
        <v>873</v>
      </c>
      <c r="D206" s="669" t="s">
        <v>1113</v>
      </c>
      <c r="E206" s="669" t="s">
        <v>1114</v>
      </c>
      <c r="F206" s="671" t="s">
        <v>489</v>
      </c>
      <c r="G206" s="675" t="s">
        <v>263</v>
      </c>
      <c r="H206" s="382">
        <v>3</v>
      </c>
      <c r="I206" s="382">
        <v>15</v>
      </c>
      <c r="J206" s="382">
        <f t="shared" si="16"/>
        <v>3</v>
      </c>
      <c r="K206" s="382">
        <f t="shared" si="17"/>
        <v>45</v>
      </c>
      <c r="L206" s="646">
        <f>IFERROR(IF(B206="funkcna poziadavka",VLOOKUP(G206,MODULY_CBA!$B$3:$E$23,4,0)*H206/SUMIFS($H$3:$H$199,$G$3:$G$199,G206,$B$3:$B$199,B206),),)</f>
        <v>0.86842105263157898</v>
      </c>
      <c r="M206" s="382">
        <f>IFERROR(IF(B206="Funkcna poziadavka",VLOOKUP(G206,MODULY_CBA!$B$3:$E$23,3,0),),)</f>
        <v>1.085</v>
      </c>
      <c r="N206" s="382">
        <f>IFERROR(IF(B206="funkcna poziadavka",VLOOKUP(G206,MODULY_CBA!$B$3:$E$23,2,0),),)</f>
        <v>1.1400000000000001</v>
      </c>
      <c r="O206" s="381">
        <f t="shared" si="18"/>
        <v>56.734650000000002</v>
      </c>
      <c r="P206" s="380">
        <f>IFERROR(O206*VLOOKUP(G206,MODULY_CBA!$B$3:$F$23,5,0),)</f>
        <v>1702.0395000000001</v>
      </c>
      <c r="Q206" s="482" t="str">
        <f>IFERROR(VLOOKUP(G206,MODULY_CBA!$B$3:$I$23,6,0),"")</f>
        <v>Inkrement 1</v>
      </c>
      <c r="R206" s="385"/>
      <c r="S206" s="385"/>
      <c r="T206" s="385"/>
      <c r="U206" s="385"/>
      <c r="V206" s="385"/>
      <c r="W206" s="385"/>
      <c r="X206" s="385"/>
      <c r="Y206" s="385"/>
      <c r="Z206" s="385"/>
      <c r="AA206" s="385"/>
      <c r="AB206" s="385"/>
      <c r="AC206" s="385"/>
      <c r="AD206" s="385"/>
      <c r="AE206" s="385"/>
      <c r="AF206" s="377"/>
    </row>
    <row r="207" spans="1:32" ht="39">
      <c r="A207" s="667" t="s">
        <v>1115</v>
      </c>
      <c r="B207" s="667" t="s">
        <v>485</v>
      </c>
      <c r="C207" s="669" t="s">
        <v>842</v>
      </c>
      <c r="D207" s="669" t="s">
        <v>1116</v>
      </c>
      <c r="E207" s="669" t="s">
        <v>1117</v>
      </c>
      <c r="F207" s="671" t="s">
        <v>489</v>
      </c>
      <c r="G207" s="675" t="s">
        <v>263</v>
      </c>
      <c r="H207" s="382">
        <v>3</v>
      </c>
      <c r="I207" s="382">
        <v>15</v>
      </c>
      <c r="J207" s="382">
        <f t="shared" si="16"/>
        <v>3</v>
      </c>
      <c r="K207" s="382">
        <f t="shared" si="17"/>
        <v>45</v>
      </c>
      <c r="L207" s="646">
        <f>IFERROR(IF(B207="funkcna poziadavka",VLOOKUP(G207,MODULY_CBA!$B$3:$E$23,4,0)*H207/SUMIFS($H$3:$H$199,$G$3:$G$199,G207,$B$3:$B$199,B207),),)</f>
        <v>0.86842105263157898</v>
      </c>
      <c r="M207" s="382">
        <f>IFERROR(IF(B207="Funkcna poziadavka",VLOOKUP(G207,MODULY_CBA!$B$3:$E$23,3,0),),)</f>
        <v>1.085</v>
      </c>
      <c r="N207" s="382">
        <f>IFERROR(IF(B207="funkcna poziadavka",VLOOKUP(G207,MODULY_CBA!$B$3:$E$23,2,0),),)</f>
        <v>1.1400000000000001</v>
      </c>
      <c r="O207" s="381">
        <f t="shared" si="18"/>
        <v>56.734650000000002</v>
      </c>
      <c r="P207" s="380">
        <f>IFERROR(O207*VLOOKUP(G207,MODULY_CBA!$B$3:$F$23,5,0),)</f>
        <v>1702.0395000000001</v>
      </c>
      <c r="Q207" s="482" t="str">
        <f>IFERROR(VLOOKUP(G207,MODULY_CBA!$B$3:$I$23,6,0),"")</f>
        <v>Inkrement 1</v>
      </c>
      <c r="R207" s="385"/>
      <c r="S207" s="385"/>
      <c r="T207" s="385"/>
      <c r="U207" s="385"/>
      <c r="V207" s="385"/>
      <c r="W207" s="385"/>
      <c r="X207" s="385"/>
      <c r="Y207" s="385"/>
      <c r="Z207" s="385"/>
      <c r="AA207" s="385"/>
      <c r="AB207" s="385"/>
      <c r="AC207" s="385"/>
      <c r="AD207" s="385"/>
      <c r="AE207" s="385"/>
      <c r="AF207" s="377"/>
    </row>
    <row r="208" spans="1:32" ht="39">
      <c r="A208" s="667" t="s">
        <v>1118</v>
      </c>
      <c r="B208" s="667" t="s">
        <v>485</v>
      </c>
      <c r="C208" s="669" t="s">
        <v>1031</v>
      </c>
      <c r="D208" s="669" t="s">
        <v>1119</v>
      </c>
      <c r="E208" s="669" t="s">
        <v>1120</v>
      </c>
      <c r="F208" s="671" t="s">
        <v>489</v>
      </c>
      <c r="G208" s="675" t="s">
        <v>263</v>
      </c>
      <c r="H208" s="382">
        <v>3</v>
      </c>
      <c r="I208" s="382">
        <v>15</v>
      </c>
      <c r="J208" s="382">
        <f t="shared" si="16"/>
        <v>3</v>
      </c>
      <c r="K208" s="382">
        <f t="shared" si="17"/>
        <v>45</v>
      </c>
      <c r="L208" s="646">
        <f>IFERROR(IF(B208="funkcna poziadavka",VLOOKUP(G208,MODULY_CBA!$B$3:$E$23,4,0)*H208/SUMIFS($H$3:$H$199,$G$3:$G$199,G208,$B$3:$B$199,B208),),)</f>
        <v>0.86842105263157898</v>
      </c>
      <c r="M208" s="382">
        <f>IFERROR(IF(B208="Funkcna poziadavka",VLOOKUP(G208,MODULY_CBA!$B$3:$E$23,3,0),),)</f>
        <v>1.085</v>
      </c>
      <c r="N208" s="382">
        <f>IFERROR(IF(B208="funkcna poziadavka",VLOOKUP(G208,MODULY_CBA!$B$3:$E$23,2,0),),)</f>
        <v>1.1400000000000001</v>
      </c>
      <c r="O208" s="381">
        <f t="shared" si="18"/>
        <v>56.734650000000002</v>
      </c>
      <c r="P208" s="380">
        <f>IFERROR(O208*VLOOKUP(G208,MODULY_CBA!$B$3:$F$23,5,0),)</f>
        <v>1702.0395000000001</v>
      </c>
      <c r="Q208" s="482" t="str">
        <f>IFERROR(VLOOKUP(G208,MODULY_CBA!$B$3:$I$23,6,0),"")</f>
        <v>Inkrement 1</v>
      </c>
      <c r="R208" s="385"/>
      <c r="S208" s="385"/>
      <c r="T208" s="385"/>
      <c r="U208" s="385"/>
      <c r="V208" s="385"/>
      <c r="W208" s="385"/>
      <c r="X208" s="385"/>
      <c r="Y208" s="385"/>
      <c r="Z208" s="385"/>
      <c r="AA208" s="385"/>
      <c r="AB208" s="385"/>
      <c r="AC208" s="385"/>
      <c r="AD208" s="385"/>
      <c r="AE208" s="385"/>
      <c r="AF208" s="377"/>
    </row>
    <row r="209" spans="1:32" ht="52">
      <c r="A209" s="667" t="s">
        <v>1121</v>
      </c>
      <c r="B209" s="667" t="s">
        <v>485</v>
      </c>
      <c r="C209" s="669" t="s">
        <v>842</v>
      </c>
      <c r="D209" s="669" t="s">
        <v>1122</v>
      </c>
      <c r="E209" s="669" t="s">
        <v>1123</v>
      </c>
      <c r="F209" s="671" t="s">
        <v>489</v>
      </c>
      <c r="G209" s="675" t="s">
        <v>263</v>
      </c>
      <c r="H209" s="382">
        <v>3</v>
      </c>
      <c r="I209" s="382">
        <v>15</v>
      </c>
      <c r="J209" s="382">
        <f t="shared" si="16"/>
        <v>3</v>
      </c>
      <c r="K209" s="382">
        <f t="shared" si="17"/>
        <v>45</v>
      </c>
      <c r="L209" s="646">
        <f>IFERROR(IF(B209="funkcna poziadavka",VLOOKUP(G209,MODULY_CBA!$B$3:$E$23,4,0)*H209/SUMIFS($H$3:$H$199,$G$3:$G$199,G209,$B$3:$B$199,B209),),)</f>
        <v>0.86842105263157898</v>
      </c>
      <c r="M209" s="382">
        <f>IFERROR(IF(B209="Funkcna poziadavka",VLOOKUP(G209,MODULY_CBA!$B$3:$E$23,3,0),),)</f>
        <v>1.085</v>
      </c>
      <c r="N209" s="382">
        <f>IFERROR(IF(B209="funkcna poziadavka",VLOOKUP(G209,MODULY_CBA!$B$3:$E$23,2,0),),)</f>
        <v>1.1400000000000001</v>
      </c>
      <c r="O209" s="381">
        <f t="shared" si="18"/>
        <v>56.734650000000002</v>
      </c>
      <c r="P209" s="380">
        <f>IFERROR(O209*VLOOKUP(G209,MODULY_CBA!$B$3:$F$23,5,0),)</f>
        <v>1702.0395000000001</v>
      </c>
      <c r="Q209" s="482" t="str">
        <f>IFERROR(VLOOKUP(G209,MODULY_CBA!$B$3:$I$23,6,0),"")</f>
        <v>Inkrement 1</v>
      </c>
      <c r="R209" s="385"/>
      <c r="S209" s="385"/>
      <c r="T209" s="385"/>
      <c r="U209" s="385"/>
      <c r="V209" s="385"/>
      <c r="W209" s="385"/>
      <c r="X209" s="385"/>
      <c r="Y209" s="385"/>
      <c r="Z209" s="385"/>
      <c r="AA209" s="385"/>
      <c r="AB209" s="385"/>
      <c r="AC209" s="385"/>
      <c r="AD209" s="385"/>
      <c r="AE209" s="385"/>
      <c r="AF209" s="377"/>
    </row>
    <row r="210" spans="1:32" ht="39">
      <c r="A210" s="667" t="s">
        <v>1124</v>
      </c>
      <c r="B210" s="667" t="s">
        <v>485</v>
      </c>
      <c r="C210" s="669" t="s">
        <v>842</v>
      </c>
      <c r="D210" s="669" t="s">
        <v>1125</v>
      </c>
      <c r="E210" s="669" t="s">
        <v>1126</v>
      </c>
      <c r="F210" s="671" t="s">
        <v>489</v>
      </c>
      <c r="G210" s="672" t="s">
        <v>259</v>
      </c>
      <c r="H210" s="382">
        <v>3</v>
      </c>
      <c r="I210" s="382">
        <v>15</v>
      </c>
      <c r="J210" s="382">
        <f t="shared" si="16"/>
        <v>3</v>
      </c>
      <c r="K210" s="382">
        <f t="shared" si="17"/>
        <v>45</v>
      </c>
      <c r="L210" s="646">
        <f>IFERROR(IF(B210="funkcna poziadavka",VLOOKUP(G210,MODULY_CBA!$B$3:$E$23,4,0)*H210/SUMIFS($H$3:$H$199,$G$3:$G$199,G210,$B$3:$B$199,B210),),)</f>
        <v>0.44594594594594594</v>
      </c>
      <c r="M210" s="382">
        <f>IFERROR(IF(B210="Funkcna poziadavka",VLOOKUP(G210,MODULY_CBA!$B$3:$E$23,3,0),),)</f>
        <v>1.085</v>
      </c>
      <c r="N210" s="382">
        <f>IFERROR(IF(B210="funkcna poziadavka",VLOOKUP(G210,MODULY_CBA!$B$3:$E$23,2,0),),)</f>
        <v>1.1400000000000001</v>
      </c>
      <c r="O210" s="381">
        <f t="shared" si="18"/>
        <v>56.212090540540544</v>
      </c>
      <c r="P210" s="380">
        <f>IFERROR(O210*VLOOKUP(G210,MODULY_CBA!$B$3:$F$23,5,0),)</f>
        <v>1686.3627162162163</v>
      </c>
      <c r="Q210" s="482" t="str">
        <f>IFERROR(VLOOKUP(G210,MODULY_CBA!$B$3:$I$23,6,0),"")</f>
        <v>Inkrement 2</v>
      </c>
      <c r="R210" s="385"/>
      <c r="S210" s="385"/>
      <c r="T210" s="385"/>
      <c r="U210" s="385"/>
      <c r="V210" s="385"/>
      <c r="W210" s="385"/>
      <c r="X210" s="385"/>
      <c r="Y210" s="385"/>
      <c r="Z210" s="385"/>
      <c r="AA210" s="385"/>
      <c r="AB210" s="385"/>
      <c r="AC210" s="385"/>
      <c r="AD210" s="385"/>
      <c r="AE210" s="385"/>
      <c r="AF210" s="377"/>
    </row>
    <row r="211" spans="1:32" ht="39">
      <c r="A211" s="667" t="s">
        <v>1127</v>
      </c>
      <c r="B211" s="667" t="s">
        <v>485</v>
      </c>
      <c r="C211" s="669" t="s">
        <v>873</v>
      </c>
      <c r="D211" s="669" t="s">
        <v>1128</v>
      </c>
      <c r="E211" s="669" t="s">
        <v>1129</v>
      </c>
      <c r="F211" s="671" t="s">
        <v>489</v>
      </c>
      <c r="G211" s="675" t="s">
        <v>263</v>
      </c>
      <c r="H211" s="382">
        <v>3</v>
      </c>
      <c r="I211" s="382">
        <v>15</v>
      </c>
      <c r="J211" s="382">
        <f t="shared" si="16"/>
        <v>3</v>
      </c>
      <c r="K211" s="382">
        <f t="shared" si="17"/>
        <v>45</v>
      </c>
      <c r="L211" s="646">
        <f>IFERROR(IF(B211="funkcna poziadavka",VLOOKUP(G211,MODULY_CBA!$B$3:$E$23,4,0)*H211/SUMIFS($H$3:$H$199,$G$3:$G$199,G211,$B$3:$B$199,B211),),)</f>
        <v>0.86842105263157898</v>
      </c>
      <c r="M211" s="382">
        <f>IFERROR(IF(B211="Funkcna poziadavka",VLOOKUP(G211,MODULY_CBA!$B$3:$E$23,3,0),),)</f>
        <v>1.085</v>
      </c>
      <c r="N211" s="382">
        <f>IFERROR(IF(B211="funkcna poziadavka",VLOOKUP(G211,MODULY_CBA!$B$3:$E$23,2,0),),)</f>
        <v>1.1400000000000001</v>
      </c>
      <c r="O211" s="381">
        <f t="shared" si="18"/>
        <v>56.734650000000002</v>
      </c>
      <c r="P211" s="380">
        <f>IFERROR(O211*VLOOKUP(G211,MODULY_CBA!$B$3:$F$23,5,0),)</f>
        <v>1702.0395000000001</v>
      </c>
      <c r="Q211" s="482" t="str">
        <f>IFERROR(VLOOKUP(G211,MODULY_CBA!$B$3:$I$23,6,0),"")</f>
        <v>Inkrement 1</v>
      </c>
      <c r="R211" s="385"/>
      <c r="S211" s="385"/>
      <c r="T211" s="385"/>
      <c r="U211" s="385"/>
      <c r="V211" s="385"/>
      <c r="W211" s="385"/>
      <c r="X211" s="385"/>
      <c r="Y211" s="385"/>
      <c r="Z211" s="385"/>
      <c r="AA211" s="385"/>
      <c r="AB211" s="385"/>
      <c r="AC211" s="385"/>
      <c r="AD211" s="385"/>
      <c r="AE211" s="385"/>
      <c r="AF211" s="377"/>
    </row>
    <row r="212" spans="1:32" ht="26">
      <c r="A212" s="667" t="s">
        <v>1130</v>
      </c>
      <c r="B212" s="667" t="s">
        <v>485</v>
      </c>
      <c r="C212" s="669" t="s">
        <v>842</v>
      </c>
      <c r="D212" s="669" t="s">
        <v>1131</v>
      </c>
      <c r="E212" s="669" t="s">
        <v>1132</v>
      </c>
      <c r="F212" s="671" t="s">
        <v>489</v>
      </c>
      <c r="G212" s="675" t="s">
        <v>263</v>
      </c>
      <c r="H212" s="382">
        <v>3</v>
      </c>
      <c r="I212" s="382">
        <v>15</v>
      </c>
      <c r="J212" s="382">
        <f t="shared" si="16"/>
        <v>3</v>
      </c>
      <c r="K212" s="382">
        <f t="shared" si="17"/>
        <v>45</v>
      </c>
      <c r="L212" s="646">
        <f>IFERROR(IF(B212="funkcna poziadavka",VLOOKUP(G212,MODULY_CBA!$B$3:$E$23,4,0)*H212/SUMIFS($H$3:$H$199,$G$3:$G$199,G212,$B$3:$B$199,B212),),)</f>
        <v>0.86842105263157898</v>
      </c>
      <c r="M212" s="382">
        <f>IFERROR(IF(B212="Funkcna poziadavka",VLOOKUP(G212,MODULY_CBA!$B$3:$E$23,3,0),),)</f>
        <v>1.085</v>
      </c>
      <c r="N212" s="382">
        <f>IFERROR(IF(B212="funkcna poziadavka",VLOOKUP(G212,MODULY_CBA!$B$3:$E$23,2,0),),)</f>
        <v>1.1400000000000001</v>
      </c>
      <c r="O212" s="381">
        <f t="shared" si="18"/>
        <v>56.734650000000002</v>
      </c>
      <c r="P212" s="380">
        <f>IFERROR(O212*VLOOKUP(G212,MODULY_CBA!$B$3:$F$23,5,0),)</f>
        <v>1702.0395000000001</v>
      </c>
      <c r="Q212" s="482" t="str">
        <f>IFERROR(VLOOKUP(G212,MODULY_CBA!$B$3:$I$23,6,0),"")</f>
        <v>Inkrement 1</v>
      </c>
      <c r="R212" s="385"/>
      <c r="S212" s="385"/>
      <c r="T212" s="385"/>
      <c r="U212" s="385"/>
      <c r="V212" s="385"/>
      <c r="W212" s="385"/>
      <c r="X212" s="385"/>
      <c r="Y212" s="385"/>
      <c r="Z212" s="385"/>
      <c r="AA212" s="385"/>
      <c r="AB212" s="385"/>
      <c r="AC212" s="385"/>
      <c r="AD212" s="385"/>
      <c r="AE212" s="385"/>
      <c r="AF212" s="377"/>
    </row>
    <row r="213" spans="1:32" ht="26">
      <c r="A213" s="667" t="s">
        <v>1133</v>
      </c>
      <c r="B213" s="404" t="s">
        <v>485</v>
      </c>
      <c r="C213" s="535" t="s">
        <v>491</v>
      </c>
      <c r="D213" s="535" t="s">
        <v>1134</v>
      </c>
      <c r="E213" s="535" t="s">
        <v>1135</v>
      </c>
      <c r="F213" s="686" t="s">
        <v>489</v>
      </c>
      <c r="G213" s="386" t="s">
        <v>281</v>
      </c>
      <c r="H213" s="382">
        <v>3</v>
      </c>
      <c r="I213" s="382">
        <v>15</v>
      </c>
      <c r="J213" s="382">
        <f t="shared" si="16"/>
        <v>3</v>
      </c>
      <c r="K213" s="382">
        <f t="shared" si="17"/>
        <v>45</v>
      </c>
      <c r="L213" s="646">
        <f>IFERROR(IF(B213="funkcna poziadavka",VLOOKUP(G213,MODULY_CBA!$B$3:$E$23,4,0)*H213/SUMIFS($H$3:$H$199,$G$3:$G$199,G213,$B$3:$B$199,B213),),)</f>
        <v>0</v>
      </c>
      <c r="M213" s="382">
        <f>IFERROR(IF(B213="Funkcna poziadavka",VLOOKUP(G213,MODULY_CBA!$B$3:$E$23,3,0),),)</f>
        <v>1.085</v>
      </c>
      <c r="N213" s="382">
        <f>IFERROR(IF(B213="funkcna poziadavka",VLOOKUP(G213,MODULY_CBA!$B$3:$E$23,2,0),),)</f>
        <v>1.1400000000000001</v>
      </c>
      <c r="O213" s="381">
        <f t="shared" si="18"/>
        <v>55.660499999999999</v>
      </c>
      <c r="P213" s="380">
        <f>IFERROR(O213*VLOOKUP(G213,MODULY_CBA!$B$3:$F$23,5,0),)</f>
        <v>0</v>
      </c>
      <c r="Q213" s="482">
        <f>IFERROR(VLOOKUP(G213,MODULY_CBA!$B$3:$I$23,6,0),"")</f>
        <v>0</v>
      </c>
      <c r="R213" s="385"/>
      <c r="S213" s="385"/>
      <c r="T213" s="385"/>
      <c r="U213" s="385"/>
      <c r="V213" s="385"/>
      <c r="W213" s="385"/>
      <c r="X213" s="385"/>
      <c r="Y213" s="385"/>
      <c r="Z213" s="385"/>
      <c r="AA213" s="385"/>
      <c r="AB213" s="385"/>
      <c r="AC213" s="385"/>
      <c r="AD213" s="385"/>
      <c r="AE213" s="385"/>
      <c r="AF213" s="377"/>
    </row>
    <row r="214" spans="1:32" ht="39">
      <c r="A214" s="667" t="s">
        <v>1136</v>
      </c>
      <c r="B214" s="667" t="s">
        <v>485</v>
      </c>
      <c r="C214" s="669" t="s">
        <v>486</v>
      </c>
      <c r="D214" s="669" t="s">
        <v>1137</v>
      </c>
      <c r="E214" s="669" t="s">
        <v>1138</v>
      </c>
      <c r="F214" s="671" t="s">
        <v>489</v>
      </c>
      <c r="G214" s="675" t="s">
        <v>248</v>
      </c>
      <c r="H214" s="382">
        <v>3</v>
      </c>
      <c r="I214" s="382">
        <v>15</v>
      </c>
      <c r="J214" s="382">
        <f t="shared" si="16"/>
        <v>3</v>
      </c>
      <c r="K214" s="382">
        <f t="shared" si="17"/>
        <v>45</v>
      </c>
      <c r="L214" s="646">
        <f>IFERROR(IF(B214="funkcna poziadavka",VLOOKUP(G214,MODULY_CBA!$B$3:$E$23,4,0)*H214/SUMIFS($H$3:$H$199,$G$3:$G$199,G214,$B$3:$B$199,B214),),)</f>
        <v>16.5</v>
      </c>
      <c r="M214" s="382">
        <f>IFERROR(IF(B214="Funkcna poziadavka",VLOOKUP(G214,MODULY_CBA!$B$3:$E$23,3,0),),)</f>
        <v>1.085</v>
      </c>
      <c r="N214" s="382">
        <f>IFERROR(IF(B214="funkcna poziadavka",VLOOKUP(G214,MODULY_CBA!$B$3:$E$23,2,0),),)</f>
        <v>1.1400000000000001</v>
      </c>
      <c r="O214" s="381">
        <f t="shared" si="18"/>
        <v>76.06935</v>
      </c>
      <c r="P214" s="380">
        <f>IFERROR(O214*VLOOKUP(G214,MODULY_CBA!$B$3:$F$23,5,0),)</f>
        <v>2282.0805</v>
      </c>
      <c r="Q214" s="482" t="str">
        <f>IFERROR(VLOOKUP(G214,MODULY_CBA!$B$3:$I$23,6,0),"")</f>
        <v>Inkrement 1</v>
      </c>
      <c r="R214" s="385"/>
      <c r="S214" s="385"/>
      <c r="T214" s="385"/>
      <c r="U214" s="385"/>
      <c r="V214" s="385"/>
      <c r="W214" s="385"/>
      <c r="X214" s="385"/>
      <c r="Y214" s="385"/>
      <c r="Z214" s="385"/>
      <c r="AA214" s="385"/>
      <c r="AB214" s="385"/>
      <c r="AC214" s="385"/>
      <c r="AD214" s="385"/>
      <c r="AE214" s="385"/>
      <c r="AF214" s="377"/>
    </row>
    <row r="215" spans="1:32" ht="39">
      <c r="A215" s="667" t="s">
        <v>1139</v>
      </c>
      <c r="B215" s="667" t="s">
        <v>485</v>
      </c>
      <c r="C215" s="669" t="s">
        <v>644</v>
      </c>
      <c r="D215" s="669" t="s">
        <v>1140</v>
      </c>
      <c r="E215" s="669" t="s">
        <v>1141</v>
      </c>
      <c r="F215" s="671" t="s">
        <v>489</v>
      </c>
      <c r="G215" s="675" t="s">
        <v>242</v>
      </c>
      <c r="H215" s="382">
        <v>3</v>
      </c>
      <c r="I215" s="382">
        <v>15</v>
      </c>
      <c r="J215" s="382">
        <f t="shared" si="16"/>
        <v>3</v>
      </c>
      <c r="K215" s="382">
        <f t="shared" si="17"/>
        <v>45</v>
      </c>
      <c r="L215" s="646">
        <f>IFERROR(IF(B215="funkcna poziadavka",VLOOKUP(G215,MODULY_CBA!$B$3:$E$23,4,0)*H215/SUMIFS($H$3:$H$199,$G$3:$G$199,G215,$B$3:$B$199,B215),),)</f>
        <v>0</v>
      </c>
      <c r="M215" s="382">
        <f>IFERROR(IF(B215="Funkcna poziadavka",VLOOKUP(G215,MODULY_CBA!$B$3:$E$23,3,0),),)</f>
        <v>1.085</v>
      </c>
      <c r="N215" s="382">
        <f>IFERROR(IF(B215="funkcna poziadavka",VLOOKUP(G215,MODULY_CBA!$B$3:$E$23,2,0),),)</f>
        <v>1.1400000000000001</v>
      </c>
      <c r="O215" s="381">
        <f t="shared" si="18"/>
        <v>55.660499999999999</v>
      </c>
      <c r="P215" s="380">
        <f>IFERROR(O215*VLOOKUP(G215,MODULY_CBA!$B$3:$F$23,5,0),)</f>
        <v>1669.8150000000001</v>
      </c>
      <c r="Q215" s="482" t="str">
        <f>IFERROR(VLOOKUP(G215,MODULY_CBA!$B$3:$I$23,6,0),"")</f>
        <v>Inkrement 2</v>
      </c>
      <c r="R215" s="385"/>
      <c r="S215" s="385"/>
      <c r="T215" s="385"/>
      <c r="U215" s="385"/>
      <c r="V215" s="385"/>
      <c r="W215" s="385"/>
      <c r="X215" s="385"/>
      <c r="Y215" s="385"/>
      <c r="Z215" s="385"/>
      <c r="AA215" s="385"/>
      <c r="AB215" s="385"/>
      <c r="AC215" s="385"/>
      <c r="AD215" s="385"/>
      <c r="AE215" s="385"/>
      <c r="AF215" s="377"/>
    </row>
    <row r="216" spans="1:32" ht="39">
      <c r="A216" s="667" t="s">
        <v>1142</v>
      </c>
      <c r="B216" s="667" t="s">
        <v>485</v>
      </c>
      <c r="C216" s="669" t="s">
        <v>535</v>
      </c>
      <c r="D216" s="669" t="s">
        <v>1143</v>
      </c>
      <c r="E216" s="669" t="s">
        <v>1144</v>
      </c>
      <c r="F216" s="671" t="s">
        <v>489</v>
      </c>
      <c r="G216" s="675" t="s">
        <v>267</v>
      </c>
      <c r="H216" s="382">
        <v>3</v>
      </c>
      <c r="I216" s="382">
        <v>15</v>
      </c>
      <c r="J216" s="382">
        <f t="shared" si="16"/>
        <v>3</v>
      </c>
      <c r="K216" s="382">
        <f t="shared" si="17"/>
        <v>45</v>
      </c>
      <c r="L216" s="646">
        <f>IFERROR(IF(B216="funkcna poziadavka",VLOOKUP(G216,MODULY_CBA!$B$3:$E$23,4,0)*H216/SUMIFS($H$3:$H$199,$G$3:$G$199,G216,$B$3:$B$199,B216),),)</f>
        <v>1.064516129032258</v>
      </c>
      <c r="M216" s="382">
        <f>IFERROR(IF(B216="Funkcna poziadavka",VLOOKUP(G216,MODULY_CBA!$B$3:$E$23,3,0),),)</f>
        <v>1.085</v>
      </c>
      <c r="N216" s="382">
        <f>IFERROR(IF(B216="funkcna poziadavka",VLOOKUP(G216,MODULY_CBA!$B$3:$E$23,2,0),),)</f>
        <v>1.1400000000000001</v>
      </c>
      <c r="O216" s="381">
        <f t="shared" si="18"/>
        <v>56.977200000000003</v>
      </c>
      <c r="P216" s="380">
        <f>IFERROR(O216*VLOOKUP(G216,MODULY_CBA!$B$3:$F$23,5,0),)</f>
        <v>1709.316</v>
      </c>
      <c r="Q216" s="482" t="str">
        <f>IFERROR(VLOOKUP(G216,MODULY_CBA!$B$3:$I$23,6,0),"")</f>
        <v>Inkrement 2</v>
      </c>
      <c r="R216" s="385"/>
      <c r="S216" s="385"/>
      <c r="T216" s="385"/>
      <c r="U216" s="385"/>
      <c r="V216" s="385"/>
      <c r="W216" s="385"/>
      <c r="X216" s="385"/>
      <c r="Y216" s="385"/>
      <c r="Z216" s="385"/>
      <c r="AA216" s="385"/>
      <c r="AB216" s="385"/>
      <c r="AC216" s="385"/>
      <c r="AD216" s="385"/>
      <c r="AE216" s="385"/>
      <c r="AF216" s="377"/>
    </row>
    <row r="217" spans="1:32" ht="39">
      <c r="A217" s="667" t="s">
        <v>1145</v>
      </c>
      <c r="B217" s="667" t="s">
        <v>485</v>
      </c>
      <c r="C217" s="669" t="s">
        <v>535</v>
      </c>
      <c r="D217" s="669" t="s">
        <v>1146</v>
      </c>
      <c r="E217" s="669" t="s">
        <v>1147</v>
      </c>
      <c r="F217" s="671" t="s">
        <v>489</v>
      </c>
      <c r="G217" s="672" t="s">
        <v>259</v>
      </c>
      <c r="H217" s="382">
        <v>3</v>
      </c>
      <c r="I217" s="382">
        <v>15</v>
      </c>
      <c r="J217" s="382">
        <f t="shared" si="16"/>
        <v>3</v>
      </c>
      <c r="K217" s="382">
        <f t="shared" si="17"/>
        <v>45</v>
      </c>
      <c r="L217" s="646">
        <f>IFERROR(IF(B217="funkcna poziadavka",VLOOKUP(G217,MODULY_CBA!$B$3:$E$23,4,0)*H217/SUMIFS($H$3:$H$199,$G$3:$G$199,G217,$B$3:$B$199,B217),),)</f>
        <v>0.44594594594594594</v>
      </c>
      <c r="M217" s="382">
        <f>IFERROR(IF(B217="Funkcna poziadavka",VLOOKUP(G217,MODULY_CBA!$B$3:$E$23,3,0),),)</f>
        <v>1.085</v>
      </c>
      <c r="N217" s="382">
        <f>IFERROR(IF(B217="funkcna poziadavka",VLOOKUP(G217,MODULY_CBA!$B$3:$E$23,2,0),),)</f>
        <v>1.1400000000000001</v>
      </c>
      <c r="O217" s="381">
        <f t="shared" si="18"/>
        <v>56.212090540540544</v>
      </c>
      <c r="P217" s="380">
        <f>IFERROR(O217*VLOOKUP(G217,MODULY_CBA!$B$3:$F$23,5,0),)</f>
        <v>1686.3627162162163</v>
      </c>
      <c r="Q217" s="482" t="str">
        <f>IFERROR(VLOOKUP(G217,MODULY_CBA!$B$3:$I$23,6,0),"")</f>
        <v>Inkrement 2</v>
      </c>
      <c r="R217" s="385"/>
      <c r="S217" s="385"/>
      <c r="T217" s="385"/>
      <c r="U217" s="385"/>
      <c r="V217" s="385"/>
      <c r="W217" s="385"/>
      <c r="X217" s="385"/>
      <c r="Y217" s="385"/>
      <c r="Z217" s="385"/>
      <c r="AA217" s="385"/>
      <c r="AB217" s="385"/>
      <c r="AC217" s="385"/>
      <c r="AD217" s="385"/>
      <c r="AE217" s="385"/>
      <c r="AF217" s="377"/>
    </row>
    <row r="218" spans="1:32" ht="26">
      <c r="A218" s="667" t="s">
        <v>1148</v>
      </c>
      <c r="B218" s="667" t="s">
        <v>485</v>
      </c>
      <c r="C218" s="669" t="s">
        <v>535</v>
      </c>
      <c r="D218" s="669" t="s">
        <v>1149</v>
      </c>
      <c r="E218" s="669" t="s">
        <v>1150</v>
      </c>
      <c r="F218" s="671" t="s">
        <v>489</v>
      </c>
      <c r="G218" s="675" t="s">
        <v>267</v>
      </c>
      <c r="H218" s="382">
        <v>3</v>
      </c>
      <c r="I218" s="382">
        <v>15</v>
      </c>
      <c r="J218" s="382">
        <f t="shared" si="16"/>
        <v>3</v>
      </c>
      <c r="K218" s="382">
        <f t="shared" si="17"/>
        <v>45</v>
      </c>
      <c r="L218" s="646">
        <f>IFERROR(IF(B218="funkcna poziadavka",VLOOKUP(G218,MODULY_CBA!$B$3:$E$23,4,0)*H218/SUMIFS($H$3:$H$199,$G$3:$G$199,G218,$B$3:$B$199,B218),),)</f>
        <v>1.064516129032258</v>
      </c>
      <c r="M218" s="382">
        <f>IFERROR(IF(B218="Funkcna poziadavka",VLOOKUP(G218,MODULY_CBA!$B$3:$E$23,3,0),),)</f>
        <v>1.085</v>
      </c>
      <c r="N218" s="382">
        <f>IFERROR(IF(B218="funkcna poziadavka",VLOOKUP(G218,MODULY_CBA!$B$3:$E$23,2,0),),)</f>
        <v>1.1400000000000001</v>
      </c>
      <c r="O218" s="381">
        <f t="shared" si="18"/>
        <v>56.977200000000003</v>
      </c>
      <c r="P218" s="380">
        <f>IFERROR(O218*VLOOKUP(G218,MODULY_CBA!$B$3:$F$23,5,0),)</f>
        <v>1709.316</v>
      </c>
      <c r="Q218" s="482" t="str">
        <f>IFERROR(VLOOKUP(G218,MODULY_CBA!$B$3:$I$23,6,0),"")</f>
        <v>Inkrement 2</v>
      </c>
      <c r="R218" s="385"/>
      <c r="S218" s="385"/>
      <c r="T218" s="385"/>
      <c r="U218" s="385"/>
      <c r="V218" s="385"/>
      <c r="W218" s="385"/>
      <c r="X218" s="385"/>
      <c r="Y218" s="385"/>
      <c r="Z218" s="385"/>
      <c r="AA218" s="385"/>
      <c r="AB218" s="385"/>
      <c r="AC218" s="385"/>
      <c r="AD218" s="385"/>
      <c r="AE218" s="385"/>
      <c r="AF218" s="377"/>
    </row>
    <row r="219" spans="1:32" ht="39">
      <c r="A219" s="667" t="s">
        <v>1151</v>
      </c>
      <c r="B219" s="667" t="s">
        <v>485</v>
      </c>
      <c r="C219" s="669" t="s">
        <v>644</v>
      </c>
      <c r="D219" s="669" t="s">
        <v>1152</v>
      </c>
      <c r="E219" s="669" t="s">
        <v>1153</v>
      </c>
      <c r="F219" s="671" t="s">
        <v>489</v>
      </c>
      <c r="G219" s="675" t="s">
        <v>242</v>
      </c>
      <c r="H219" s="382">
        <v>3</v>
      </c>
      <c r="I219" s="382">
        <v>15</v>
      </c>
      <c r="J219" s="382">
        <f t="shared" si="16"/>
        <v>3</v>
      </c>
      <c r="K219" s="382">
        <f t="shared" si="17"/>
        <v>45</v>
      </c>
      <c r="L219" s="646">
        <f>IFERROR(IF(B219="funkcna poziadavka",VLOOKUP(G219,MODULY_CBA!$B$3:$E$23,4,0)*H219/SUMIFS($H$3:$H$199,$G$3:$G$199,G219,$B$3:$B$199,B219),),)</f>
        <v>0</v>
      </c>
      <c r="M219" s="382">
        <f>IFERROR(IF(B219="Funkcna poziadavka",VLOOKUP(G219,MODULY_CBA!$B$3:$E$23,3,0),),)</f>
        <v>1.085</v>
      </c>
      <c r="N219" s="382">
        <f>IFERROR(IF(B219="funkcna poziadavka",VLOOKUP(G219,MODULY_CBA!$B$3:$E$23,2,0),),)</f>
        <v>1.1400000000000001</v>
      </c>
      <c r="O219" s="381">
        <f t="shared" si="18"/>
        <v>55.660499999999999</v>
      </c>
      <c r="P219" s="380">
        <f>IFERROR(O219*VLOOKUP(G219,MODULY_CBA!$B$3:$F$23,5,0),)</f>
        <v>1669.8150000000001</v>
      </c>
      <c r="Q219" s="482" t="str">
        <f>IFERROR(VLOOKUP(G219,MODULY_CBA!$B$3:$I$23,6,0),"")</f>
        <v>Inkrement 2</v>
      </c>
      <c r="R219" s="385"/>
      <c r="S219" s="385"/>
      <c r="T219" s="385"/>
      <c r="U219" s="385"/>
      <c r="V219" s="385"/>
      <c r="W219" s="385"/>
      <c r="X219" s="385"/>
      <c r="Y219" s="385"/>
      <c r="Z219" s="385"/>
      <c r="AA219" s="385"/>
      <c r="AB219" s="385"/>
      <c r="AC219" s="385"/>
      <c r="AD219" s="385"/>
      <c r="AE219" s="385"/>
      <c r="AF219" s="377"/>
    </row>
    <row r="220" spans="1:32" ht="39">
      <c r="A220" s="667" t="s">
        <v>1154</v>
      </c>
      <c r="B220" s="667" t="s">
        <v>485</v>
      </c>
      <c r="C220" s="669" t="s">
        <v>491</v>
      </c>
      <c r="D220" s="678" t="s">
        <v>1155</v>
      </c>
      <c r="E220" s="669" t="s">
        <v>1156</v>
      </c>
      <c r="F220" s="671" t="s">
        <v>489</v>
      </c>
      <c r="G220" s="672" t="s">
        <v>259</v>
      </c>
      <c r="H220" s="382">
        <v>3</v>
      </c>
      <c r="I220" s="382">
        <v>15</v>
      </c>
      <c r="J220" s="382">
        <f t="shared" si="16"/>
        <v>3</v>
      </c>
      <c r="K220" s="382">
        <f t="shared" si="17"/>
        <v>45</v>
      </c>
      <c r="L220" s="646">
        <f>IFERROR(IF(B220="funkcna poziadavka",VLOOKUP(G220,MODULY_CBA!$B$3:$E$23,4,0)*H220/SUMIFS($H$3:$H$199,$G$3:$G$199,G220,$B$3:$B$199,B220),),)</f>
        <v>0.44594594594594594</v>
      </c>
      <c r="M220" s="382">
        <f>IFERROR(IF(B220="Funkcna poziadavka",VLOOKUP(G220,MODULY_CBA!$B$3:$E$23,3,0),),)</f>
        <v>1.085</v>
      </c>
      <c r="N220" s="382">
        <f>IFERROR(IF(B220="funkcna poziadavka",VLOOKUP(G220,MODULY_CBA!$B$3:$E$23,2,0),),)</f>
        <v>1.1400000000000001</v>
      </c>
      <c r="O220" s="381">
        <f t="shared" si="18"/>
        <v>56.212090540540544</v>
      </c>
      <c r="P220" s="380">
        <f>IFERROR(O220*VLOOKUP(G220,MODULY_CBA!$B$3:$F$23,5,0),)</f>
        <v>1686.3627162162163</v>
      </c>
      <c r="Q220" s="482" t="str">
        <f>IFERROR(VLOOKUP(G220,MODULY_CBA!$B$3:$I$23,6,0),"")</f>
        <v>Inkrement 2</v>
      </c>
      <c r="R220" s="385"/>
      <c r="S220" s="385"/>
      <c r="T220" s="385"/>
      <c r="U220" s="385"/>
      <c r="V220" s="385"/>
      <c r="W220" s="385"/>
      <c r="X220" s="385"/>
      <c r="Y220" s="385"/>
      <c r="Z220" s="385"/>
      <c r="AA220" s="385"/>
      <c r="AB220" s="385"/>
      <c r="AC220" s="385"/>
      <c r="AD220" s="385"/>
      <c r="AE220" s="385"/>
      <c r="AF220" s="377"/>
    </row>
    <row r="221" spans="1:32" ht="26">
      <c r="A221" s="404" t="s">
        <v>1157</v>
      </c>
      <c r="B221" s="404" t="s">
        <v>1158</v>
      </c>
      <c r="C221" s="535" t="s">
        <v>1159</v>
      </c>
      <c r="D221" s="392" t="s">
        <v>1160</v>
      </c>
      <c r="E221" s="536" t="s">
        <v>1161</v>
      </c>
      <c r="F221" s="685" t="s">
        <v>489</v>
      </c>
      <c r="G221" s="392" t="s">
        <v>279</v>
      </c>
      <c r="H221" s="382">
        <v>3</v>
      </c>
      <c r="I221" s="644">
        <v>15</v>
      </c>
      <c r="J221" s="382">
        <f t="shared" ref="J221:J284" si="19">IF(ISNUMBER(H221),H221,)</f>
        <v>3</v>
      </c>
      <c r="K221" s="382">
        <f t="shared" ref="K221:K284" si="20">H221*I221</f>
        <v>45</v>
      </c>
      <c r="L221" s="646">
        <f>IFERROR(IF(B221="funkcna poziadavka",VLOOKUP(G221,MODULY_CBA!$B$3:$E$23,4,0)*H221/SUMIFS($H$3:$H$199,$G$3:$G$199,G221,$B$3:$B$199,B221),),)</f>
        <v>0</v>
      </c>
      <c r="M221" s="382">
        <f>IFERROR(IF(B221="Funkcna poziadavka",VLOOKUP(G221,MODULY_CBA!$B$3:$E$23,3,0),),)</f>
        <v>0</v>
      </c>
      <c r="N221" s="382">
        <f>IFERROR(IF(B221="funkcna poziadavka",VLOOKUP(G221,MODULY_CBA!$B$3:$E$23,2,0),),)</f>
        <v>0</v>
      </c>
      <c r="O221" s="381">
        <f t="shared" ref="O221:O284" si="21">(K221+L221)*M221*N221</f>
        <v>0</v>
      </c>
      <c r="P221" s="380">
        <f>IFERROR(O221*VLOOKUP(G221,MODULY_CBA!$B$3:$F$23,5,0),)</f>
        <v>0</v>
      </c>
      <c r="Q221" s="482">
        <f>IFERROR(VLOOKUP(G221,MODULY_CBA!$B$3:$I$23,6,0),"")</f>
        <v>0</v>
      </c>
      <c r="R221" s="385"/>
      <c r="S221" s="385"/>
      <c r="T221" s="385"/>
      <c r="U221" s="385"/>
      <c r="V221" s="385"/>
      <c r="W221" s="385"/>
      <c r="X221" s="385"/>
      <c r="Y221" s="385"/>
      <c r="Z221" s="385"/>
      <c r="AA221" s="385"/>
      <c r="AB221" s="385"/>
      <c r="AC221" s="385"/>
      <c r="AD221" s="385"/>
      <c r="AE221" s="385"/>
      <c r="AF221" s="377"/>
    </row>
    <row r="222" spans="1:32" ht="39">
      <c r="A222" s="404" t="s">
        <v>1162</v>
      </c>
      <c r="B222" s="404" t="s">
        <v>1158</v>
      </c>
      <c r="C222" s="535" t="s">
        <v>1163</v>
      </c>
      <c r="D222" s="392" t="s">
        <v>1164</v>
      </c>
      <c r="E222" s="536" t="s">
        <v>1165</v>
      </c>
      <c r="F222" s="685" t="s">
        <v>489</v>
      </c>
      <c r="G222" s="392" t="s">
        <v>279</v>
      </c>
      <c r="H222" s="382">
        <v>3</v>
      </c>
      <c r="I222" s="644">
        <v>15</v>
      </c>
      <c r="J222" s="382">
        <f t="shared" si="19"/>
        <v>3</v>
      </c>
      <c r="K222" s="382">
        <f t="shared" si="20"/>
        <v>45</v>
      </c>
      <c r="L222" s="646">
        <f>IFERROR(IF(B222="funkcna poziadavka",VLOOKUP(G222,MODULY_CBA!$B$3:$E$23,4,0)*H222/SUMIFS($H$3:$H$199,$G$3:$G$199,G222,$B$3:$B$199,B222),),)</f>
        <v>0</v>
      </c>
      <c r="M222" s="382">
        <f>IFERROR(IF(B222="Funkcna poziadavka",VLOOKUP(G222,MODULY_CBA!$B$3:$E$23,3,0),),)</f>
        <v>0</v>
      </c>
      <c r="N222" s="382">
        <f>IFERROR(IF(B222="funkcna poziadavka",VLOOKUP(G222,MODULY_CBA!$B$3:$E$23,2,0),),)</f>
        <v>0</v>
      </c>
      <c r="O222" s="381">
        <f t="shared" si="21"/>
        <v>0</v>
      </c>
      <c r="P222" s="380">
        <f>IFERROR(O222*VLOOKUP(G222,MODULY_CBA!$B$3:$F$23,5,0),)</f>
        <v>0</v>
      </c>
      <c r="Q222" s="482">
        <f>IFERROR(VLOOKUP(G222,MODULY_CBA!$B$3:$I$23,6,0),"")</f>
        <v>0</v>
      </c>
      <c r="R222" s="385"/>
      <c r="S222" s="385"/>
      <c r="T222" s="385"/>
      <c r="U222" s="385"/>
      <c r="V222" s="385"/>
      <c r="W222" s="385"/>
      <c r="X222" s="385"/>
      <c r="Y222" s="385"/>
      <c r="Z222" s="385"/>
      <c r="AA222" s="385"/>
      <c r="AB222" s="385"/>
      <c r="AC222" s="385"/>
      <c r="AD222" s="385"/>
      <c r="AE222" s="385"/>
      <c r="AF222" s="377"/>
    </row>
    <row r="223" spans="1:32" ht="78">
      <c r="A223" s="404" t="s">
        <v>1166</v>
      </c>
      <c r="B223" s="404" t="s">
        <v>1158</v>
      </c>
      <c r="C223" s="535" t="s">
        <v>1167</v>
      </c>
      <c r="D223" s="392" t="s">
        <v>1168</v>
      </c>
      <c r="E223" s="536" t="s">
        <v>1169</v>
      </c>
      <c r="F223" s="685" t="s">
        <v>489</v>
      </c>
      <c r="G223" s="392" t="s">
        <v>279</v>
      </c>
      <c r="H223" s="382">
        <v>3</v>
      </c>
      <c r="I223" s="644">
        <v>15</v>
      </c>
      <c r="J223" s="382">
        <f t="shared" si="19"/>
        <v>3</v>
      </c>
      <c r="K223" s="382">
        <f t="shared" si="20"/>
        <v>45</v>
      </c>
      <c r="L223" s="646">
        <f>IFERROR(IF(B223="funkcna poziadavka",VLOOKUP(G223,MODULY_CBA!$B$3:$E$23,4,0)*H223/SUMIFS($H$3:$H$199,$G$3:$G$199,G223,$B$3:$B$199,B223),),)</f>
        <v>0</v>
      </c>
      <c r="M223" s="382">
        <f>IFERROR(IF(B223="Funkcna poziadavka",VLOOKUP(G223,MODULY_CBA!$B$3:$E$23,3,0),),)</f>
        <v>0</v>
      </c>
      <c r="N223" s="382">
        <f>IFERROR(IF(B223="funkcna poziadavka",VLOOKUP(G223,MODULY_CBA!$B$3:$E$23,2,0),),)</f>
        <v>0</v>
      </c>
      <c r="O223" s="381">
        <f t="shared" si="21"/>
        <v>0</v>
      </c>
      <c r="P223" s="380">
        <f>IFERROR(O223*VLOOKUP(G223,MODULY_CBA!$B$3:$F$23,5,0),)</f>
        <v>0</v>
      </c>
      <c r="Q223" s="482">
        <f>IFERROR(VLOOKUP(G223,MODULY_CBA!$B$3:$I$23,6,0),"")</f>
        <v>0</v>
      </c>
      <c r="R223" s="385"/>
      <c r="S223" s="385"/>
      <c r="T223" s="385"/>
      <c r="U223" s="385"/>
      <c r="V223" s="385"/>
      <c r="W223" s="385"/>
      <c r="X223" s="385"/>
      <c r="Y223" s="385"/>
      <c r="Z223" s="385"/>
      <c r="AA223" s="385"/>
      <c r="AB223" s="385"/>
      <c r="AC223" s="385"/>
      <c r="AD223" s="385"/>
      <c r="AE223" s="385"/>
      <c r="AF223" s="377"/>
    </row>
    <row r="224" spans="1:32" ht="39">
      <c r="A224" s="404" t="s">
        <v>1170</v>
      </c>
      <c r="B224" s="404" t="s">
        <v>1158</v>
      </c>
      <c r="C224" s="535" t="s">
        <v>1159</v>
      </c>
      <c r="D224" s="392" t="s">
        <v>1171</v>
      </c>
      <c r="E224" s="536" t="s">
        <v>1172</v>
      </c>
      <c r="F224" s="685" t="s">
        <v>489</v>
      </c>
      <c r="G224" s="392" t="s">
        <v>279</v>
      </c>
      <c r="H224" s="382">
        <v>3</v>
      </c>
      <c r="I224" s="644">
        <v>15</v>
      </c>
      <c r="J224" s="382">
        <f t="shared" si="19"/>
        <v>3</v>
      </c>
      <c r="K224" s="382">
        <f t="shared" si="20"/>
        <v>45</v>
      </c>
      <c r="L224" s="646">
        <f>IFERROR(IF(B224="funkcna poziadavka",VLOOKUP(G224,MODULY_CBA!$B$3:$E$23,4,0)*H224/SUMIFS($H$3:$H$199,$G$3:$G$199,G224,$B$3:$B$199,B224),),)</f>
        <v>0</v>
      </c>
      <c r="M224" s="382">
        <f>IFERROR(IF(B224="Funkcna poziadavka",VLOOKUP(G224,MODULY_CBA!$B$3:$E$23,3,0),),)</f>
        <v>0</v>
      </c>
      <c r="N224" s="382">
        <f>IFERROR(IF(B224="funkcna poziadavka",VLOOKUP(G224,MODULY_CBA!$B$3:$E$23,2,0),),)</f>
        <v>0</v>
      </c>
      <c r="O224" s="381">
        <f t="shared" si="21"/>
        <v>0</v>
      </c>
      <c r="P224" s="380">
        <f>IFERROR(O224*VLOOKUP(G224,MODULY_CBA!$B$3:$F$23,5,0),)</f>
        <v>0</v>
      </c>
      <c r="Q224" s="482">
        <f>IFERROR(VLOOKUP(G224,MODULY_CBA!$B$3:$I$23,6,0),"")</f>
        <v>0</v>
      </c>
      <c r="R224" s="385"/>
      <c r="S224" s="385"/>
      <c r="T224" s="385"/>
      <c r="U224" s="385"/>
      <c r="V224" s="385"/>
      <c r="W224" s="385"/>
      <c r="X224" s="385"/>
      <c r="Y224" s="385"/>
      <c r="Z224" s="385"/>
      <c r="AA224" s="385"/>
      <c r="AB224" s="385"/>
      <c r="AC224" s="385"/>
      <c r="AD224" s="385"/>
      <c r="AE224" s="385"/>
      <c r="AF224" s="377"/>
    </row>
    <row r="225" spans="1:32" ht="26">
      <c r="A225" s="404" t="s">
        <v>1173</v>
      </c>
      <c r="B225" s="404" t="s">
        <v>1158</v>
      </c>
      <c r="C225" s="535" t="s">
        <v>1159</v>
      </c>
      <c r="D225" s="535" t="s">
        <v>1174</v>
      </c>
      <c r="E225" s="536" t="s">
        <v>1175</v>
      </c>
      <c r="F225" s="685" t="s">
        <v>489</v>
      </c>
      <c r="G225" s="392" t="s">
        <v>279</v>
      </c>
      <c r="H225" s="382">
        <v>3</v>
      </c>
      <c r="I225" s="644">
        <v>15</v>
      </c>
      <c r="J225" s="382">
        <f t="shared" si="19"/>
        <v>3</v>
      </c>
      <c r="K225" s="382">
        <f t="shared" si="20"/>
        <v>45</v>
      </c>
      <c r="L225" s="646">
        <f>IFERROR(IF(B225="funkcna poziadavka",VLOOKUP(G225,MODULY_CBA!$B$3:$E$23,4,0)*H225/SUMIFS($H$3:$H$199,$G$3:$G$199,G225,$B$3:$B$199,B225),),)</f>
        <v>0</v>
      </c>
      <c r="M225" s="382">
        <f>IFERROR(IF(B225="Funkcna poziadavka",VLOOKUP(G225,MODULY_CBA!$B$3:$E$23,3,0),),)</f>
        <v>0</v>
      </c>
      <c r="N225" s="382">
        <f>IFERROR(IF(B225="funkcna poziadavka",VLOOKUP(G225,MODULY_CBA!$B$3:$E$23,2,0),),)</f>
        <v>0</v>
      </c>
      <c r="O225" s="381">
        <f t="shared" si="21"/>
        <v>0</v>
      </c>
      <c r="P225" s="380">
        <f>IFERROR(O225*VLOOKUP(G225,MODULY_CBA!$B$3:$F$23,5,0),)</f>
        <v>0</v>
      </c>
      <c r="Q225" s="482">
        <f>IFERROR(VLOOKUP(G225,MODULY_CBA!$B$3:$I$23,6,0),"")</f>
        <v>0</v>
      </c>
      <c r="R225" s="385"/>
      <c r="S225" s="385"/>
      <c r="T225" s="385"/>
      <c r="U225" s="385"/>
      <c r="V225" s="385"/>
      <c r="W225" s="385"/>
      <c r="X225" s="385"/>
      <c r="Y225" s="385"/>
      <c r="Z225" s="385"/>
      <c r="AA225" s="385"/>
      <c r="AB225" s="385"/>
      <c r="AC225" s="385"/>
      <c r="AD225" s="385"/>
      <c r="AE225" s="385"/>
      <c r="AF225" s="377"/>
    </row>
    <row r="226" spans="1:32" ht="26">
      <c r="A226" s="404" t="s">
        <v>1176</v>
      </c>
      <c r="B226" s="404" t="s">
        <v>1158</v>
      </c>
      <c r="C226" s="535" t="s">
        <v>1177</v>
      </c>
      <c r="D226" s="535" t="s">
        <v>1178</v>
      </c>
      <c r="E226" s="392" t="s">
        <v>1179</v>
      </c>
      <c r="F226" s="686" t="s">
        <v>489</v>
      </c>
      <c r="G226" s="687" t="s">
        <v>275</v>
      </c>
      <c r="H226" s="382">
        <v>3</v>
      </c>
      <c r="I226" s="644">
        <v>15</v>
      </c>
      <c r="J226" s="382">
        <f t="shared" si="19"/>
        <v>3</v>
      </c>
      <c r="K226" s="382">
        <f t="shared" si="20"/>
        <v>45</v>
      </c>
      <c r="L226" s="646">
        <f>IFERROR(IF(B226="funkcna poziadavka",VLOOKUP(G226,MODULY_CBA!$B$3:$E$23,4,0)*H226/SUMIFS($H$3:$H$199,$G$3:$G$199,G226,$B$3:$B$199,B226),),)</f>
        <v>0</v>
      </c>
      <c r="M226" s="382">
        <f>IFERROR(IF(B226="Funkcna poziadavka",VLOOKUP(G226,MODULY_CBA!$B$3:$E$23,3,0),),)</f>
        <v>0</v>
      </c>
      <c r="N226" s="382">
        <f>IFERROR(IF(B226="funkcna poziadavka",VLOOKUP(G226,MODULY_CBA!$B$3:$E$23,2,0),),)</f>
        <v>0</v>
      </c>
      <c r="O226" s="381">
        <f t="shared" si="21"/>
        <v>0</v>
      </c>
      <c r="P226" s="380">
        <f>IFERROR(O226*VLOOKUP(G226,MODULY_CBA!$B$3:$F$23,5,0),)</f>
        <v>0</v>
      </c>
      <c r="Q226" s="482">
        <f>IFERROR(VLOOKUP(G226,MODULY_CBA!$B$3:$I$23,6,0),"")</f>
        <v>0</v>
      </c>
      <c r="R226" s="385"/>
      <c r="S226" s="385"/>
      <c r="T226" s="385"/>
      <c r="U226" s="385"/>
      <c r="V226" s="385"/>
      <c r="W226" s="385"/>
      <c r="X226" s="385"/>
      <c r="Y226" s="385"/>
      <c r="Z226" s="385"/>
      <c r="AA226" s="385"/>
      <c r="AB226" s="385"/>
      <c r="AC226" s="385"/>
      <c r="AD226" s="385"/>
      <c r="AE226" s="385"/>
      <c r="AF226" s="377"/>
    </row>
    <row r="227" spans="1:32" ht="104">
      <c r="A227" s="404" t="s">
        <v>1180</v>
      </c>
      <c r="B227" s="404" t="s">
        <v>1158</v>
      </c>
      <c r="C227" s="535" t="s">
        <v>1177</v>
      </c>
      <c r="D227" s="535" t="s">
        <v>1181</v>
      </c>
      <c r="E227" s="392" t="s">
        <v>1182</v>
      </c>
      <c r="F227" s="686" t="s">
        <v>489</v>
      </c>
      <c r="G227" s="687" t="s">
        <v>275</v>
      </c>
      <c r="H227" s="382">
        <v>3</v>
      </c>
      <c r="I227" s="644">
        <v>15</v>
      </c>
      <c r="J227" s="382">
        <f t="shared" si="19"/>
        <v>3</v>
      </c>
      <c r="K227" s="382">
        <f t="shared" si="20"/>
        <v>45</v>
      </c>
      <c r="L227" s="646">
        <f>IFERROR(IF(B227="funkcna poziadavka",VLOOKUP(G227,MODULY_CBA!$B$3:$E$23,4,0)*H227/SUMIFS($H$3:$H$199,$G$3:$G$199,G227,$B$3:$B$199,B227),),)</f>
        <v>0</v>
      </c>
      <c r="M227" s="382">
        <f>IFERROR(IF(B227="Funkcna poziadavka",VLOOKUP(G227,MODULY_CBA!$B$3:$E$23,3,0),),)</f>
        <v>0</v>
      </c>
      <c r="N227" s="382">
        <f>IFERROR(IF(B227="funkcna poziadavka",VLOOKUP(G227,MODULY_CBA!$B$3:$E$23,2,0),),)</f>
        <v>0</v>
      </c>
      <c r="O227" s="381">
        <f t="shared" si="21"/>
        <v>0</v>
      </c>
      <c r="P227" s="380">
        <f>IFERROR(O227*VLOOKUP(G227,MODULY_CBA!$B$3:$F$23,5,0),)</f>
        <v>0</v>
      </c>
      <c r="Q227" s="482">
        <f>IFERROR(VLOOKUP(G227,MODULY_CBA!$B$3:$I$23,6,0),"")</f>
        <v>0</v>
      </c>
      <c r="R227" s="385"/>
      <c r="S227" s="385"/>
      <c r="T227" s="385"/>
      <c r="U227" s="385"/>
      <c r="V227" s="385"/>
      <c r="W227" s="385"/>
      <c r="X227" s="385"/>
      <c r="Y227" s="385"/>
      <c r="Z227" s="385"/>
      <c r="AA227" s="385"/>
      <c r="AB227" s="385"/>
      <c r="AC227" s="385"/>
      <c r="AD227" s="385"/>
      <c r="AE227" s="385"/>
      <c r="AF227" s="377"/>
    </row>
    <row r="228" spans="1:32" ht="39">
      <c r="A228" s="404" t="s">
        <v>1183</v>
      </c>
      <c r="B228" s="404" t="s">
        <v>1158</v>
      </c>
      <c r="C228" s="535" t="s">
        <v>1184</v>
      </c>
      <c r="D228" s="535" t="s">
        <v>1185</v>
      </c>
      <c r="E228" s="392" t="s">
        <v>1186</v>
      </c>
      <c r="F228" s="686" t="s">
        <v>489</v>
      </c>
      <c r="G228" s="392" t="s">
        <v>281</v>
      </c>
      <c r="H228" s="382">
        <v>3</v>
      </c>
      <c r="I228" s="644">
        <v>15</v>
      </c>
      <c r="J228" s="382">
        <f t="shared" si="19"/>
        <v>3</v>
      </c>
      <c r="K228" s="382">
        <f t="shared" si="20"/>
        <v>45</v>
      </c>
      <c r="L228" s="646">
        <f>IFERROR(IF(B228="funkcna poziadavka",VLOOKUP(G228,MODULY_CBA!$B$3:$E$23,4,0)*H228/SUMIFS($H$3:$H$199,$G$3:$G$199,G228,$B$3:$B$199,B228),),)</f>
        <v>0</v>
      </c>
      <c r="M228" s="382">
        <f>IFERROR(IF(B228="Funkcna poziadavka",VLOOKUP(G228,MODULY_CBA!$B$3:$E$23,3,0),),)</f>
        <v>0</v>
      </c>
      <c r="N228" s="382">
        <f>IFERROR(IF(B228="funkcna poziadavka",VLOOKUP(G228,MODULY_CBA!$B$3:$E$23,2,0),),)</f>
        <v>0</v>
      </c>
      <c r="O228" s="381">
        <f t="shared" si="21"/>
        <v>0</v>
      </c>
      <c r="P228" s="380">
        <f>IFERROR(O228*VLOOKUP(G228,MODULY_CBA!$B$3:$F$23,5,0),)</f>
        <v>0</v>
      </c>
      <c r="Q228" s="482">
        <f>IFERROR(VLOOKUP(G228,MODULY_CBA!$B$3:$I$23,6,0),"")</f>
        <v>0</v>
      </c>
      <c r="R228" s="385"/>
      <c r="S228" s="385"/>
      <c r="T228" s="385"/>
      <c r="U228" s="385"/>
      <c r="V228" s="385"/>
      <c r="W228" s="385"/>
      <c r="X228" s="385"/>
      <c r="Y228" s="385"/>
      <c r="Z228" s="385"/>
      <c r="AA228" s="385"/>
      <c r="AB228" s="385"/>
      <c r="AC228" s="385"/>
      <c r="AD228" s="385"/>
      <c r="AE228" s="385"/>
      <c r="AF228" s="377"/>
    </row>
    <row r="229" spans="1:32" ht="52">
      <c r="A229" s="404" t="s">
        <v>1187</v>
      </c>
      <c r="B229" s="404" t="s">
        <v>1158</v>
      </c>
      <c r="C229" s="535" t="s">
        <v>1184</v>
      </c>
      <c r="D229" s="535" t="s">
        <v>1188</v>
      </c>
      <c r="E229" s="392" t="s">
        <v>1189</v>
      </c>
      <c r="F229" s="686" t="s">
        <v>489</v>
      </c>
      <c r="G229" s="687" t="s">
        <v>281</v>
      </c>
      <c r="H229" s="382">
        <v>3</v>
      </c>
      <c r="I229" s="644">
        <v>15</v>
      </c>
      <c r="J229" s="382">
        <f t="shared" si="19"/>
        <v>3</v>
      </c>
      <c r="K229" s="382">
        <f t="shared" si="20"/>
        <v>45</v>
      </c>
      <c r="L229" s="646">
        <f>IFERROR(IF(B229="funkcna poziadavka",VLOOKUP(G229,MODULY_CBA!$B$3:$E$23,4,0)*H229/SUMIFS($H$3:$H$199,$G$3:$G$199,G229,$B$3:$B$199,B229),),)</f>
        <v>0</v>
      </c>
      <c r="M229" s="382">
        <f>IFERROR(IF(B229="Funkcna poziadavka",VLOOKUP(G229,MODULY_CBA!$B$3:$E$23,3,0),),)</f>
        <v>0</v>
      </c>
      <c r="N229" s="382">
        <f>IFERROR(IF(B229="funkcna poziadavka",VLOOKUP(G229,MODULY_CBA!$B$3:$E$23,2,0),),)</f>
        <v>0</v>
      </c>
      <c r="O229" s="381">
        <f t="shared" si="21"/>
        <v>0</v>
      </c>
      <c r="P229" s="380">
        <f>IFERROR(O229*VLOOKUP(G229,MODULY_CBA!$B$3:$F$23,5,0),)</f>
        <v>0</v>
      </c>
      <c r="Q229" s="482">
        <f>IFERROR(VLOOKUP(G229,MODULY_CBA!$B$3:$I$23,6,0),"")</f>
        <v>0</v>
      </c>
      <c r="R229" s="385"/>
      <c r="S229" s="385"/>
      <c r="T229" s="385"/>
      <c r="U229" s="385"/>
      <c r="V229" s="385"/>
      <c r="W229" s="385"/>
      <c r="X229" s="385"/>
      <c r="Y229" s="385"/>
      <c r="Z229" s="385"/>
      <c r="AA229" s="385"/>
      <c r="AB229" s="385"/>
      <c r="AC229" s="385"/>
      <c r="AD229" s="385"/>
      <c r="AE229" s="385"/>
      <c r="AF229" s="377"/>
    </row>
    <row r="230" spans="1:32" ht="26">
      <c r="A230" s="404" t="s">
        <v>1190</v>
      </c>
      <c r="B230" s="404" t="s">
        <v>1158</v>
      </c>
      <c r="C230" s="535" t="s">
        <v>1184</v>
      </c>
      <c r="D230" s="535" t="s">
        <v>1191</v>
      </c>
      <c r="E230" s="392" t="s">
        <v>1192</v>
      </c>
      <c r="F230" s="686" t="s">
        <v>489</v>
      </c>
      <c r="G230" s="687" t="s">
        <v>281</v>
      </c>
      <c r="H230" s="382">
        <v>3</v>
      </c>
      <c r="I230" s="644">
        <v>15</v>
      </c>
      <c r="J230" s="382">
        <f t="shared" si="19"/>
        <v>3</v>
      </c>
      <c r="K230" s="382">
        <f t="shared" si="20"/>
        <v>45</v>
      </c>
      <c r="L230" s="646">
        <f>IFERROR(IF(B230="funkcna poziadavka",VLOOKUP(G230,MODULY_CBA!$B$3:$E$23,4,0)*H230/SUMIFS($H$3:$H$199,$G$3:$G$199,G230,$B$3:$B$199,B230),),)</f>
        <v>0</v>
      </c>
      <c r="M230" s="382">
        <f>IFERROR(IF(B230="Funkcna poziadavka",VLOOKUP(G230,MODULY_CBA!$B$3:$E$23,3,0),),)</f>
        <v>0</v>
      </c>
      <c r="N230" s="382">
        <f>IFERROR(IF(B230="funkcna poziadavka",VLOOKUP(G230,MODULY_CBA!$B$3:$E$23,2,0),),)</f>
        <v>0</v>
      </c>
      <c r="O230" s="381">
        <f t="shared" si="21"/>
        <v>0</v>
      </c>
      <c r="P230" s="380">
        <f>IFERROR(O230*VLOOKUP(G230,MODULY_CBA!$B$3:$F$23,5,0),)</f>
        <v>0</v>
      </c>
      <c r="Q230" s="482">
        <f>IFERROR(VLOOKUP(G230,MODULY_CBA!$B$3:$I$23,6,0),"")</f>
        <v>0</v>
      </c>
      <c r="R230" s="385"/>
      <c r="S230" s="385"/>
      <c r="T230" s="385"/>
      <c r="U230" s="385"/>
      <c r="V230" s="385"/>
      <c r="W230" s="385"/>
      <c r="X230" s="385"/>
      <c r="Y230" s="385"/>
      <c r="Z230" s="385"/>
      <c r="AA230" s="385"/>
      <c r="AB230" s="385"/>
      <c r="AC230" s="385"/>
      <c r="AD230" s="385"/>
      <c r="AE230" s="385"/>
      <c r="AF230" s="377"/>
    </row>
    <row r="231" spans="1:32" ht="26">
      <c r="A231" s="404" t="s">
        <v>1193</v>
      </c>
      <c r="B231" s="404" t="s">
        <v>1158</v>
      </c>
      <c r="C231" s="535" t="s">
        <v>1184</v>
      </c>
      <c r="D231" s="535" t="s">
        <v>1194</v>
      </c>
      <c r="E231" s="392" t="s">
        <v>1195</v>
      </c>
      <c r="F231" s="686" t="s">
        <v>489</v>
      </c>
      <c r="G231" s="687" t="s">
        <v>281</v>
      </c>
      <c r="H231" s="382">
        <v>3</v>
      </c>
      <c r="I231" s="644">
        <v>15</v>
      </c>
      <c r="J231" s="382">
        <f t="shared" si="19"/>
        <v>3</v>
      </c>
      <c r="K231" s="382">
        <f t="shared" si="20"/>
        <v>45</v>
      </c>
      <c r="L231" s="646">
        <f>IFERROR(IF(B231="funkcna poziadavka",VLOOKUP(G231,MODULY_CBA!$B$3:$E$23,4,0)*H231/SUMIFS($H$3:$H$199,$G$3:$G$199,G231,$B$3:$B$199,B231),),)</f>
        <v>0</v>
      </c>
      <c r="M231" s="382">
        <f>IFERROR(IF(B231="Funkcna poziadavka",VLOOKUP(G231,MODULY_CBA!$B$3:$E$23,3,0),),)</f>
        <v>0</v>
      </c>
      <c r="N231" s="382">
        <f>IFERROR(IF(B231="funkcna poziadavka",VLOOKUP(G231,MODULY_CBA!$B$3:$E$23,2,0),),)</f>
        <v>0</v>
      </c>
      <c r="O231" s="381">
        <f t="shared" si="21"/>
        <v>0</v>
      </c>
      <c r="P231" s="380">
        <f>IFERROR(O231*VLOOKUP(G231,MODULY_CBA!$B$3:$F$23,5,0),)</f>
        <v>0</v>
      </c>
      <c r="Q231" s="482">
        <f>IFERROR(VLOOKUP(G231,MODULY_CBA!$B$3:$I$23,6,0),"")</f>
        <v>0</v>
      </c>
      <c r="R231" s="385"/>
      <c r="S231" s="385"/>
      <c r="T231" s="385"/>
      <c r="U231" s="385"/>
      <c r="V231" s="385"/>
      <c r="W231" s="385"/>
      <c r="X231" s="385"/>
      <c r="Y231" s="385"/>
      <c r="Z231" s="385"/>
      <c r="AA231" s="385"/>
      <c r="AB231" s="385"/>
      <c r="AC231" s="385"/>
      <c r="AD231" s="385"/>
      <c r="AE231" s="385"/>
      <c r="AF231" s="377"/>
    </row>
    <row r="232" spans="1:32" ht="26">
      <c r="A232" s="404" t="s">
        <v>1196</v>
      </c>
      <c r="B232" s="404" t="s">
        <v>1158</v>
      </c>
      <c r="C232" s="535" t="s">
        <v>1184</v>
      </c>
      <c r="D232" s="535" t="s">
        <v>1197</v>
      </c>
      <c r="E232" s="392" t="s">
        <v>1198</v>
      </c>
      <c r="F232" s="686" t="s">
        <v>489</v>
      </c>
      <c r="G232" s="687" t="s">
        <v>281</v>
      </c>
      <c r="H232" s="382">
        <v>3</v>
      </c>
      <c r="I232" s="644">
        <v>15</v>
      </c>
      <c r="J232" s="382">
        <f t="shared" si="19"/>
        <v>3</v>
      </c>
      <c r="K232" s="382">
        <f t="shared" si="20"/>
        <v>45</v>
      </c>
      <c r="L232" s="646">
        <f>IFERROR(IF(B232="funkcna poziadavka",VLOOKUP(G232,MODULY_CBA!$B$3:$E$23,4,0)*H232/SUMIFS($H$3:$H$199,$G$3:$G$199,G232,$B$3:$B$199,B232),),)</f>
        <v>0</v>
      </c>
      <c r="M232" s="382">
        <f>IFERROR(IF(B232="Funkcna poziadavka",VLOOKUP(G232,MODULY_CBA!$B$3:$E$23,3,0),),)</f>
        <v>0</v>
      </c>
      <c r="N232" s="382">
        <f>IFERROR(IF(B232="funkcna poziadavka",VLOOKUP(G232,MODULY_CBA!$B$3:$E$23,2,0),),)</f>
        <v>0</v>
      </c>
      <c r="O232" s="381">
        <f t="shared" si="21"/>
        <v>0</v>
      </c>
      <c r="P232" s="380">
        <f>IFERROR(O232*VLOOKUP(G232,MODULY_CBA!$B$3:$F$23,5,0),)</f>
        <v>0</v>
      </c>
      <c r="Q232" s="482">
        <f>IFERROR(VLOOKUP(G232,MODULY_CBA!$B$3:$I$23,6,0),"")</f>
        <v>0</v>
      </c>
      <c r="R232" s="385"/>
      <c r="S232" s="385"/>
      <c r="T232" s="385"/>
      <c r="U232" s="385"/>
      <c r="V232" s="385"/>
      <c r="W232" s="385"/>
      <c r="X232" s="385"/>
      <c r="Y232" s="385"/>
      <c r="Z232" s="385"/>
      <c r="AA232" s="385"/>
      <c r="AB232" s="385"/>
      <c r="AC232" s="385"/>
      <c r="AD232" s="385"/>
      <c r="AE232" s="385"/>
      <c r="AF232" s="377"/>
    </row>
    <row r="233" spans="1:32" ht="26">
      <c r="A233" s="404" t="s">
        <v>1199</v>
      </c>
      <c r="B233" s="404" t="s">
        <v>1158</v>
      </c>
      <c r="C233" s="535" t="s">
        <v>1184</v>
      </c>
      <c r="D233" s="535" t="s">
        <v>1200</v>
      </c>
      <c r="E233" s="392" t="s">
        <v>1201</v>
      </c>
      <c r="F233" s="686" t="s">
        <v>489</v>
      </c>
      <c r="G233" s="687" t="s">
        <v>281</v>
      </c>
      <c r="H233" s="382">
        <v>3</v>
      </c>
      <c r="I233" s="644">
        <v>15</v>
      </c>
      <c r="J233" s="382">
        <f t="shared" si="19"/>
        <v>3</v>
      </c>
      <c r="K233" s="382">
        <f t="shared" si="20"/>
        <v>45</v>
      </c>
      <c r="L233" s="646">
        <f>IFERROR(IF(B233="funkcna poziadavka",VLOOKUP(G233,MODULY_CBA!$B$3:$E$23,4,0)*H233/SUMIFS($H$3:$H$199,$G$3:$G$199,G233,$B$3:$B$199,B233),),)</f>
        <v>0</v>
      </c>
      <c r="M233" s="382">
        <f>IFERROR(IF(B233="Funkcna poziadavka",VLOOKUP(G233,MODULY_CBA!$B$3:$E$23,3,0),),)</f>
        <v>0</v>
      </c>
      <c r="N233" s="382">
        <f>IFERROR(IF(B233="funkcna poziadavka",VLOOKUP(G233,MODULY_CBA!$B$3:$E$23,2,0),),)</f>
        <v>0</v>
      </c>
      <c r="O233" s="381">
        <f t="shared" si="21"/>
        <v>0</v>
      </c>
      <c r="P233" s="380">
        <f>IFERROR(O233*VLOOKUP(G233,MODULY_CBA!$B$3:$F$23,5,0),)</f>
        <v>0</v>
      </c>
      <c r="Q233" s="482">
        <f>IFERROR(VLOOKUP(G233,MODULY_CBA!$B$3:$I$23,6,0),"")</f>
        <v>0</v>
      </c>
      <c r="R233" s="385"/>
      <c r="S233" s="385"/>
      <c r="T233" s="385"/>
      <c r="U233" s="385"/>
      <c r="V233" s="385"/>
      <c r="W233" s="385"/>
      <c r="X233" s="385"/>
      <c r="Y233" s="385"/>
      <c r="Z233" s="385"/>
      <c r="AA233" s="385"/>
      <c r="AB233" s="385"/>
      <c r="AC233" s="385"/>
      <c r="AD233" s="385"/>
      <c r="AE233" s="385"/>
      <c r="AF233" s="377"/>
    </row>
    <row r="234" spans="1:32" ht="26">
      <c r="A234" s="404" t="s">
        <v>1202</v>
      </c>
      <c r="B234" s="404" t="s">
        <v>1158</v>
      </c>
      <c r="C234" s="535" t="s">
        <v>1184</v>
      </c>
      <c r="D234" s="535" t="s">
        <v>1203</v>
      </c>
      <c r="E234" s="392" t="s">
        <v>1204</v>
      </c>
      <c r="F234" s="686" t="s">
        <v>489</v>
      </c>
      <c r="G234" s="687" t="s">
        <v>281</v>
      </c>
      <c r="H234" s="382">
        <v>3</v>
      </c>
      <c r="I234" s="644">
        <v>15</v>
      </c>
      <c r="J234" s="382">
        <f t="shared" si="19"/>
        <v>3</v>
      </c>
      <c r="K234" s="382">
        <f t="shared" si="20"/>
        <v>45</v>
      </c>
      <c r="L234" s="646">
        <f>IFERROR(IF(B234="funkcna poziadavka",VLOOKUP(G234,MODULY_CBA!$B$3:$E$23,4,0)*H234/SUMIFS($H$3:$H$199,$G$3:$G$199,G234,$B$3:$B$199,B234),),)</f>
        <v>0</v>
      </c>
      <c r="M234" s="382">
        <f>IFERROR(IF(B234="Funkcna poziadavka",VLOOKUP(G234,MODULY_CBA!$B$3:$E$23,3,0),),)</f>
        <v>0</v>
      </c>
      <c r="N234" s="382">
        <f>IFERROR(IF(B234="funkcna poziadavka",VLOOKUP(G234,MODULY_CBA!$B$3:$E$23,2,0),),)</f>
        <v>0</v>
      </c>
      <c r="O234" s="381">
        <f t="shared" si="21"/>
        <v>0</v>
      </c>
      <c r="P234" s="380">
        <f>IFERROR(O234*VLOOKUP(G234,MODULY_CBA!$B$3:$F$23,5,0),)</f>
        <v>0</v>
      </c>
      <c r="Q234" s="482">
        <f>IFERROR(VLOOKUP(G234,MODULY_CBA!$B$3:$I$23,6,0),"")</f>
        <v>0</v>
      </c>
      <c r="R234" s="385"/>
      <c r="S234" s="385"/>
      <c r="T234" s="385"/>
      <c r="U234" s="385"/>
      <c r="V234" s="385"/>
      <c r="W234" s="385"/>
      <c r="X234" s="385"/>
      <c r="Y234" s="385"/>
      <c r="Z234" s="385"/>
      <c r="AA234" s="385"/>
      <c r="AB234" s="385"/>
      <c r="AC234" s="385"/>
      <c r="AD234" s="385"/>
      <c r="AE234" s="385"/>
      <c r="AF234" s="377"/>
    </row>
    <row r="235" spans="1:32" ht="39">
      <c r="A235" s="404" t="s">
        <v>1205</v>
      </c>
      <c r="B235" s="404" t="s">
        <v>1158</v>
      </c>
      <c r="C235" s="535" t="s">
        <v>1184</v>
      </c>
      <c r="D235" s="535" t="s">
        <v>1206</v>
      </c>
      <c r="E235" s="392" t="s">
        <v>1207</v>
      </c>
      <c r="F235" s="686" t="s">
        <v>489</v>
      </c>
      <c r="G235" s="687" t="s">
        <v>281</v>
      </c>
      <c r="H235" s="382">
        <v>3</v>
      </c>
      <c r="I235" s="644">
        <v>15</v>
      </c>
      <c r="J235" s="382">
        <f t="shared" si="19"/>
        <v>3</v>
      </c>
      <c r="K235" s="382">
        <f t="shared" si="20"/>
        <v>45</v>
      </c>
      <c r="L235" s="646">
        <f>IFERROR(IF(B235="funkcna poziadavka",VLOOKUP(G235,MODULY_CBA!$B$3:$E$23,4,0)*H235/SUMIFS($H$3:$H$199,$G$3:$G$199,G235,$B$3:$B$199,B235),),)</f>
        <v>0</v>
      </c>
      <c r="M235" s="382">
        <f>IFERROR(IF(B235="Funkcna poziadavka",VLOOKUP(G235,MODULY_CBA!$B$3:$E$23,3,0),),)</f>
        <v>0</v>
      </c>
      <c r="N235" s="382">
        <f>IFERROR(IF(B235="funkcna poziadavka",VLOOKUP(G235,MODULY_CBA!$B$3:$E$23,2,0),),)</f>
        <v>0</v>
      </c>
      <c r="O235" s="381">
        <f t="shared" si="21"/>
        <v>0</v>
      </c>
      <c r="P235" s="380">
        <f>IFERROR(O235*VLOOKUP(G235,MODULY_CBA!$B$3:$F$23,5,0),)</f>
        <v>0</v>
      </c>
      <c r="Q235" s="482">
        <f>IFERROR(VLOOKUP(G235,MODULY_CBA!$B$3:$I$23,6,0),"")</f>
        <v>0</v>
      </c>
      <c r="R235" s="385"/>
      <c r="S235" s="385"/>
      <c r="T235" s="385"/>
      <c r="U235" s="385"/>
      <c r="V235" s="385"/>
      <c r="W235" s="385"/>
      <c r="X235" s="385"/>
      <c r="Y235" s="385"/>
      <c r="Z235" s="385"/>
      <c r="AA235" s="385"/>
      <c r="AB235" s="385"/>
      <c r="AC235" s="385"/>
      <c r="AD235" s="385"/>
      <c r="AE235" s="385"/>
      <c r="AF235" s="377"/>
    </row>
    <row r="236" spans="1:32" ht="39">
      <c r="A236" s="404" t="s">
        <v>1208</v>
      </c>
      <c r="B236" s="404" t="s">
        <v>1158</v>
      </c>
      <c r="C236" s="535" t="s">
        <v>1184</v>
      </c>
      <c r="D236" s="535" t="s">
        <v>1209</v>
      </c>
      <c r="E236" s="392" t="s">
        <v>1210</v>
      </c>
      <c r="F236" s="686" t="s">
        <v>489</v>
      </c>
      <c r="G236" s="687" t="s">
        <v>281</v>
      </c>
      <c r="H236" s="382">
        <v>3</v>
      </c>
      <c r="I236" s="644">
        <v>15</v>
      </c>
      <c r="J236" s="382">
        <f t="shared" si="19"/>
        <v>3</v>
      </c>
      <c r="K236" s="382">
        <f t="shared" si="20"/>
        <v>45</v>
      </c>
      <c r="L236" s="646">
        <f>IFERROR(IF(B236="funkcna poziadavka",VLOOKUP(G236,MODULY_CBA!$B$3:$E$23,4,0)*H236/SUMIFS($H$3:$H$199,$G$3:$G$199,G236,$B$3:$B$199,B236),),)</f>
        <v>0</v>
      </c>
      <c r="M236" s="382">
        <f>IFERROR(IF(B236="Funkcna poziadavka",VLOOKUP(G236,MODULY_CBA!$B$3:$E$23,3,0),),)</f>
        <v>0</v>
      </c>
      <c r="N236" s="382">
        <f>IFERROR(IF(B236="funkcna poziadavka",VLOOKUP(G236,MODULY_CBA!$B$3:$E$23,2,0),),)</f>
        <v>0</v>
      </c>
      <c r="O236" s="381">
        <f t="shared" si="21"/>
        <v>0</v>
      </c>
      <c r="P236" s="380">
        <f>IFERROR(O236*VLOOKUP(G236,MODULY_CBA!$B$3:$F$23,5,0),)</f>
        <v>0</v>
      </c>
      <c r="Q236" s="482">
        <f>IFERROR(VLOOKUP(G236,MODULY_CBA!$B$3:$I$23,6,0),"")</f>
        <v>0</v>
      </c>
      <c r="R236" s="385"/>
      <c r="S236" s="385"/>
      <c r="T236" s="385"/>
      <c r="U236" s="385"/>
      <c r="V236" s="385"/>
      <c r="W236" s="385"/>
      <c r="X236" s="385"/>
      <c r="Y236" s="385"/>
      <c r="Z236" s="385"/>
      <c r="AA236" s="385"/>
      <c r="AB236" s="385"/>
      <c r="AC236" s="385"/>
      <c r="AD236" s="385"/>
      <c r="AE236" s="385"/>
      <c r="AF236" s="377"/>
    </row>
    <row r="237" spans="1:32" ht="26">
      <c r="A237" s="404" t="s">
        <v>1211</v>
      </c>
      <c r="B237" s="404" t="s">
        <v>1158</v>
      </c>
      <c r="C237" s="535" t="s">
        <v>1184</v>
      </c>
      <c r="D237" s="535" t="s">
        <v>1212</v>
      </c>
      <c r="E237" s="392" t="s">
        <v>1213</v>
      </c>
      <c r="F237" s="686" t="s">
        <v>489</v>
      </c>
      <c r="G237" s="687" t="s">
        <v>281</v>
      </c>
      <c r="H237" s="382">
        <v>3</v>
      </c>
      <c r="I237" s="644">
        <v>15</v>
      </c>
      <c r="J237" s="382">
        <f t="shared" si="19"/>
        <v>3</v>
      </c>
      <c r="K237" s="382">
        <f t="shared" si="20"/>
        <v>45</v>
      </c>
      <c r="L237" s="646">
        <f>IFERROR(IF(B237="funkcna poziadavka",VLOOKUP(G237,MODULY_CBA!$B$3:$E$23,4,0)*H237/SUMIFS($H$3:$H$199,$G$3:$G$199,G237,$B$3:$B$199,B237),),)</f>
        <v>0</v>
      </c>
      <c r="M237" s="382">
        <f>IFERROR(IF(B237="Funkcna poziadavka",VLOOKUP(G237,MODULY_CBA!$B$3:$E$23,3,0),),)</f>
        <v>0</v>
      </c>
      <c r="N237" s="382">
        <f>IFERROR(IF(B237="funkcna poziadavka",VLOOKUP(G237,MODULY_CBA!$B$3:$E$23,2,0),),)</f>
        <v>0</v>
      </c>
      <c r="O237" s="381">
        <f t="shared" si="21"/>
        <v>0</v>
      </c>
      <c r="P237" s="380">
        <f>IFERROR(O237*VLOOKUP(G237,MODULY_CBA!$B$3:$F$23,5,0),)</f>
        <v>0</v>
      </c>
      <c r="Q237" s="482">
        <f>IFERROR(VLOOKUP(G237,MODULY_CBA!$B$3:$I$23,6,0),"")</f>
        <v>0</v>
      </c>
      <c r="R237" s="385"/>
      <c r="S237" s="385"/>
      <c r="T237" s="385"/>
      <c r="U237" s="385"/>
      <c r="V237" s="385"/>
      <c r="W237" s="385"/>
      <c r="X237" s="385"/>
      <c r="Y237" s="385"/>
      <c r="Z237" s="385"/>
      <c r="AA237" s="385"/>
      <c r="AB237" s="385"/>
      <c r="AC237" s="385"/>
      <c r="AD237" s="385"/>
      <c r="AE237" s="385"/>
      <c r="AF237" s="377"/>
    </row>
    <row r="238" spans="1:32" ht="39">
      <c r="A238" s="404" t="s">
        <v>1214</v>
      </c>
      <c r="B238" s="404" t="s">
        <v>1158</v>
      </c>
      <c r="C238" s="535" t="s">
        <v>1184</v>
      </c>
      <c r="D238" s="535" t="s">
        <v>1215</v>
      </c>
      <c r="E238" s="392" t="s">
        <v>1216</v>
      </c>
      <c r="F238" s="686" t="s">
        <v>489</v>
      </c>
      <c r="G238" s="687" t="s">
        <v>281</v>
      </c>
      <c r="H238" s="382">
        <v>3</v>
      </c>
      <c r="I238" s="644">
        <v>15</v>
      </c>
      <c r="J238" s="382">
        <f t="shared" si="19"/>
        <v>3</v>
      </c>
      <c r="K238" s="382">
        <f t="shared" si="20"/>
        <v>45</v>
      </c>
      <c r="L238" s="646">
        <f>IFERROR(IF(B238="funkcna poziadavka",VLOOKUP(G238,MODULY_CBA!$B$3:$E$23,4,0)*H238/SUMIFS($H$3:$H$199,$G$3:$G$199,G238,$B$3:$B$199,B238),),)</f>
        <v>0</v>
      </c>
      <c r="M238" s="382">
        <f>IFERROR(IF(B238="Funkcna poziadavka",VLOOKUP(G238,MODULY_CBA!$B$3:$E$23,3,0),),)</f>
        <v>0</v>
      </c>
      <c r="N238" s="382">
        <f>IFERROR(IF(B238="funkcna poziadavka",VLOOKUP(G238,MODULY_CBA!$B$3:$E$23,2,0),),)</f>
        <v>0</v>
      </c>
      <c r="O238" s="381">
        <f t="shared" si="21"/>
        <v>0</v>
      </c>
      <c r="P238" s="380">
        <f>IFERROR(O238*VLOOKUP(G238,MODULY_CBA!$B$3:$F$23,5,0),)</f>
        <v>0</v>
      </c>
      <c r="Q238" s="482">
        <f>IFERROR(VLOOKUP(G238,MODULY_CBA!$B$3:$I$23,6,0),"")</f>
        <v>0</v>
      </c>
      <c r="R238" s="385"/>
      <c r="S238" s="385"/>
      <c r="T238" s="385"/>
      <c r="U238" s="385"/>
      <c r="V238" s="385"/>
      <c r="W238" s="385"/>
      <c r="X238" s="385"/>
      <c r="Y238" s="385"/>
      <c r="Z238" s="385"/>
      <c r="AA238" s="385"/>
      <c r="AB238" s="385"/>
      <c r="AC238" s="385"/>
      <c r="AD238" s="385"/>
      <c r="AE238" s="385"/>
      <c r="AF238" s="377"/>
    </row>
    <row r="239" spans="1:32" ht="26">
      <c r="A239" s="404" t="s">
        <v>1217</v>
      </c>
      <c r="B239" s="404" t="s">
        <v>1158</v>
      </c>
      <c r="C239" s="535" t="s">
        <v>1184</v>
      </c>
      <c r="D239" s="535" t="s">
        <v>1218</v>
      </c>
      <c r="E239" s="535" t="s">
        <v>1219</v>
      </c>
      <c r="F239" s="686" t="s">
        <v>489</v>
      </c>
      <c r="G239" s="687" t="s">
        <v>281</v>
      </c>
      <c r="H239" s="382">
        <v>3</v>
      </c>
      <c r="I239" s="644">
        <v>15</v>
      </c>
      <c r="J239" s="382">
        <f t="shared" si="19"/>
        <v>3</v>
      </c>
      <c r="K239" s="382">
        <f t="shared" si="20"/>
        <v>45</v>
      </c>
      <c r="L239" s="646">
        <f>IFERROR(IF(B239="funkcna poziadavka",VLOOKUP(G239,MODULY_CBA!$B$3:$E$23,4,0)*H239/SUMIFS($H$3:$H$199,$G$3:$G$199,G239,$B$3:$B$199,B239),),)</f>
        <v>0</v>
      </c>
      <c r="M239" s="382">
        <f>IFERROR(IF(B239="Funkcna poziadavka",VLOOKUP(G239,MODULY_CBA!$B$3:$E$23,3,0),),)</f>
        <v>0</v>
      </c>
      <c r="N239" s="382">
        <f>IFERROR(IF(B239="funkcna poziadavka",VLOOKUP(G239,MODULY_CBA!$B$3:$E$23,2,0),),)</f>
        <v>0</v>
      </c>
      <c r="O239" s="381">
        <f t="shared" si="21"/>
        <v>0</v>
      </c>
      <c r="P239" s="380">
        <f>IFERROR(O239*VLOOKUP(G239,MODULY_CBA!$B$3:$F$23,5,0),)</f>
        <v>0</v>
      </c>
      <c r="Q239" s="482">
        <f>IFERROR(VLOOKUP(G239,MODULY_CBA!$B$3:$I$23,6,0),"")</f>
        <v>0</v>
      </c>
      <c r="R239" s="385"/>
      <c r="S239" s="385"/>
      <c r="T239" s="385"/>
      <c r="U239" s="385"/>
      <c r="V239" s="385"/>
      <c r="W239" s="385"/>
      <c r="X239" s="385"/>
      <c r="Y239" s="385"/>
      <c r="Z239" s="385"/>
      <c r="AA239" s="385"/>
      <c r="AB239" s="385"/>
      <c r="AC239" s="385"/>
      <c r="AD239" s="385"/>
      <c r="AE239" s="385"/>
      <c r="AF239" s="377"/>
    </row>
    <row r="240" spans="1:32" ht="26">
      <c r="A240" s="404" t="s">
        <v>1220</v>
      </c>
      <c r="B240" s="404" t="s">
        <v>1158</v>
      </c>
      <c r="C240" s="535" t="s">
        <v>1184</v>
      </c>
      <c r="D240" s="535" t="s">
        <v>1221</v>
      </c>
      <c r="E240" s="535" t="s">
        <v>1222</v>
      </c>
      <c r="F240" s="686" t="s">
        <v>489</v>
      </c>
      <c r="G240" s="687" t="s">
        <v>281</v>
      </c>
      <c r="H240" s="382">
        <v>3</v>
      </c>
      <c r="I240" s="644">
        <v>15</v>
      </c>
      <c r="J240" s="382">
        <f t="shared" si="19"/>
        <v>3</v>
      </c>
      <c r="K240" s="382">
        <f t="shared" si="20"/>
        <v>45</v>
      </c>
      <c r="L240" s="646">
        <f>IFERROR(IF(B240="funkcna poziadavka",VLOOKUP(G240,MODULY_CBA!$B$3:$E$23,4,0)*H240/SUMIFS($H$3:$H$199,$G$3:$G$199,G240,$B$3:$B$199,B240),),)</f>
        <v>0</v>
      </c>
      <c r="M240" s="382">
        <f>IFERROR(IF(B240="Funkcna poziadavka",VLOOKUP(G240,MODULY_CBA!$B$3:$E$23,3,0),),)</f>
        <v>0</v>
      </c>
      <c r="N240" s="382">
        <f>IFERROR(IF(B240="funkcna poziadavka",VLOOKUP(G240,MODULY_CBA!$B$3:$E$23,2,0),),)</f>
        <v>0</v>
      </c>
      <c r="O240" s="381">
        <f t="shared" si="21"/>
        <v>0</v>
      </c>
      <c r="P240" s="380">
        <f>IFERROR(O240*VLOOKUP(G240,MODULY_CBA!$B$3:$F$23,5,0),)</f>
        <v>0</v>
      </c>
      <c r="Q240" s="482">
        <f>IFERROR(VLOOKUP(G240,MODULY_CBA!$B$3:$I$23,6,0),"")</f>
        <v>0</v>
      </c>
      <c r="R240" s="385"/>
      <c r="S240" s="385"/>
      <c r="T240" s="385"/>
      <c r="U240" s="385"/>
      <c r="V240" s="385"/>
      <c r="W240" s="385"/>
      <c r="X240" s="385"/>
      <c r="Y240" s="385"/>
      <c r="Z240" s="385"/>
      <c r="AA240" s="385"/>
      <c r="AB240" s="385"/>
      <c r="AC240" s="385"/>
      <c r="AD240" s="385"/>
      <c r="AE240" s="385"/>
      <c r="AF240" s="377"/>
    </row>
    <row r="241" spans="1:32" ht="26">
      <c r="A241" s="404" t="s">
        <v>1223</v>
      </c>
      <c r="B241" s="404" t="s">
        <v>1158</v>
      </c>
      <c r="C241" s="535" t="s">
        <v>1184</v>
      </c>
      <c r="D241" s="535" t="s">
        <v>1224</v>
      </c>
      <c r="E241" s="535" t="s">
        <v>1225</v>
      </c>
      <c r="F241" s="686" t="s">
        <v>489</v>
      </c>
      <c r="G241" s="687" t="s">
        <v>281</v>
      </c>
      <c r="H241" s="382">
        <v>3</v>
      </c>
      <c r="I241" s="644">
        <v>15</v>
      </c>
      <c r="J241" s="382">
        <f t="shared" si="19"/>
        <v>3</v>
      </c>
      <c r="K241" s="382">
        <f t="shared" si="20"/>
        <v>45</v>
      </c>
      <c r="L241" s="646">
        <f>IFERROR(IF(B241="funkcna poziadavka",VLOOKUP(G241,MODULY_CBA!$B$3:$E$23,4,0)*H241/SUMIFS($H$3:$H$199,$G$3:$G$199,G241,$B$3:$B$199,B241),),)</f>
        <v>0</v>
      </c>
      <c r="M241" s="382">
        <f>IFERROR(IF(B241="Funkcna poziadavka",VLOOKUP(G241,MODULY_CBA!$B$3:$E$23,3,0),),)</f>
        <v>0</v>
      </c>
      <c r="N241" s="382">
        <f>IFERROR(IF(B241="funkcna poziadavka",VLOOKUP(G241,MODULY_CBA!$B$3:$E$23,2,0),),)</f>
        <v>0</v>
      </c>
      <c r="O241" s="381">
        <f t="shared" si="21"/>
        <v>0</v>
      </c>
      <c r="P241" s="380">
        <f>IFERROR(O241*VLOOKUP(G241,MODULY_CBA!$B$3:$F$23,5,0),)</f>
        <v>0</v>
      </c>
      <c r="Q241" s="482">
        <f>IFERROR(VLOOKUP(G241,MODULY_CBA!$B$3:$I$23,6,0),"")</f>
        <v>0</v>
      </c>
      <c r="R241" s="385"/>
      <c r="S241" s="385"/>
      <c r="T241" s="385"/>
      <c r="U241" s="385"/>
      <c r="V241" s="385"/>
      <c r="W241" s="385"/>
      <c r="X241" s="385"/>
      <c r="Y241" s="385"/>
      <c r="Z241" s="385"/>
      <c r="AA241" s="385"/>
      <c r="AB241" s="385"/>
      <c r="AC241" s="385"/>
      <c r="AD241" s="385"/>
      <c r="AE241" s="385"/>
      <c r="AF241" s="377"/>
    </row>
    <row r="242" spans="1:32" ht="39">
      <c r="A242" s="404" t="s">
        <v>1226</v>
      </c>
      <c r="B242" s="404" t="s">
        <v>1158</v>
      </c>
      <c r="C242" s="535" t="s">
        <v>1184</v>
      </c>
      <c r="D242" s="535" t="s">
        <v>1227</v>
      </c>
      <c r="E242" s="392" t="s">
        <v>1228</v>
      </c>
      <c r="F242" s="686" t="s">
        <v>489</v>
      </c>
      <c r="G242" s="687" t="s">
        <v>281</v>
      </c>
      <c r="H242" s="382">
        <v>3</v>
      </c>
      <c r="I242" s="644">
        <v>15</v>
      </c>
      <c r="J242" s="382">
        <f t="shared" si="19"/>
        <v>3</v>
      </c>
      <c r="K242" s="382">
        <f t="shared" si="20"/>
        <v>45</v>
      </c>
      <c r="L242" s="646">
        <f>IFERROR(IF(B242="funkcna poziadavka",VLOOKUP(G242,MODULY_CBA!$B$3:$E$23,4,0)*H242/SUMIFS($H$3:$H$199,$G$3:$G$199,G242,$B$3:$B$199,B242),),)</f>
        <v>0</v>
      </c>
      <c r="M242" s="382">
        <f>IFERROR(IF(B242="Funkcna poziadavka",VLOOKUP(G242,MODULY_CBA!$B$3:$E$23,3,0),),)</f>
        <v>0</v>
      </c>
      <c r="N242" s="382">
        <f>IFERROR(IF(B242="funkcna poziadavka",VLOOKUP(G242,MODULY_CBA!$B$3:$E$23,2,0),),)</f>
        <v>0</v>
      </c>
      <c r="O242" s="381">
        <f t="shared" si="21"/>
        <v>0</v>
      </c>
      <c r="P242" s="380">
        <f>IFERROR(O242*VLOOKUP(G242,MODULY_CBA!$B$3:$F$23,5,0),)</f>
        <v>0</v>
      </c>
      <c r="Q242" s="482">
        <f>IFERROR(VLOOKUP(G242,MODULY_CBA!$B$3:$I$23,6,0),"")</f>
        <v>0</v>
      </c>
      <c r="R242" s="385"/>
      <c r="S242" s="385"/>
      <c r="T242" s="385"/>
      <c r="U242" s="385"/>
      <c r="V242" s="385"/>
      <c r="W242" s="385"/>
      <c r="X242" s="385"/>
      <c r="Y242" s="385"/>
      <c r="Z242" s="385"/>
      <c r="AA242" s="385"/>
      <c r="AB242" s="385"/>
      <c r="AC242" s="385"/>
      <c r="AD242" s="385"/>
      <c r="AE242" s="385"/>
      <c r="AF242" s="377"/>
    </row>
    <row r="243" spans="1:32" ht="26">
      <c r="A243" s="404" t="s">
        <v>1229</v>
      </c>
      <c r="B243" s="404" t="s">
        <v>1158</v>
      </c>
      <c r="C243" s="535" t="s">
        <v>1184</v>
      </c>
      <c r="D243" s="535" t="s">
        <v>1230</v>
      </c>
      <c r="E243" s="535" t="s">
        <v>1231</v>
      </c>
      <c r="F243" s="686" t="s">
        <v>489</v>
      </c>
      <c r="G243" s="687" t="s">
        <v>281</v>
      </c>
      <c r="H243" s="382">
        <v>3</v>
      </c>
      <c r="I243" s="644">
        <v>15</v>
      </c>
      <c r="J243" s="382">
        <f t="shared" si="19"/>
        <v>3</v>
      </c>
      <c r="K243" s="382">
        <f t="shared" si="20"/>
        <v>45</v>
      </c>
      <c r="L243" s="646">
        <f>IFERROR(IF(B243="funkcna poziadavka",VLOOKUP(G243,MODULY_CBA!$B$3:$E$23,4,0)*H243/SUMIFS($H$3:$H$199,$G$3:$G$199,G243,$B$3:$B$199,B243),),)</f>
        <v>0</v>
      </c>
      <c r="M243" s="382">
        <f>IFERROR(IF(B243="Funkcna poziadavka",VLOOKUP(G243,MODULY_CBA!$B$3:$E$23,3,0),),)</f>
        <v>0</v>
      </c>
      <c r="N243" s="382">
        <f>IFERROR(IF(B243="funkcna poziadavka",VLOOKUP(G243,MODULY_CBA!$B$3:$E$23,2,0),),)</f>
        <v>0</v>
      </c>
      <c r="O243" s="381">
        <f t="shared" si="21"/>
        <v>0</v>
      </c>
      <c r="P243" s="380">
        <f>IFERROR(O243*VLOOKUP(G243,MODULY_CBA!$B$3:$F$23,5,0),)</f>
        <v>0</v>
      </c>
      <c r="Q243" s="482">
        <f>IFERROR(VLOOKUP(G243,MODULY_CBA!$B$3:$I$23,6,0),"")</f>
        <v>0</v>
      </c>
      <c r="R243" s="385"/>
      <c r="S243" s="385"/>
      <c r="T243" s="385"/>
      <c r="U243" s="385"/>
      <c r="V243" s="385"/>
      <c r="W243" s="385"/>
      <c r="X243" s="385"/>
      <c r="Y243" s="385"/>
      <c r="Z243" s="385"/>
      <c r="AA243" s="385"/>
      <c r="AB243" s="385"/>
      <c r="AC243" s="385"/>
      <c r="AD243" s="385"/>
      <c r="AE243" s="385"/>
      <c r="AF243" s="377"/>
    </row>
    <row r="244" spans="1:32" ht="26">
      <c r="A244" s="404" t="s">
        <v>1232</v>
      </c>
      <c r="B244" s="404" t="s">
        <v>1158</v>
      </c>
      <c r="C244" s="535" t="s">
        <v>1184</v>
      </c>
      <c r="D244" s="535" t="s">
        <v>1233</v>
      </c>
      <c r="E244" s="392" t="s">
        <v>1234</v>
      </c>
      <c r="F244" s="686" t="s">
        <v>489</v>
      </c>
      <c r="G244" s="687" t="s">
        <v>281</v>
      </c>
      <c r="H244" s="382">
        <v>3</v>
      </c>
      <c r="I244" s="644">
        <v>15</v>
      </c>
      <c r="J244" s="382">
        <f t="shared" si="19"/>
        <v>3</v>
      </c>
      <c r="K244" s="382">
        <f t="shared" si="20"/>
        <v>45</v>
      </c>
      <c r="L244" s="646">
        <f>IFERROR(IF(B244="funkcna poziadavka",VLOOKUP(G244,MODULY_CBA!$B$3:$E$23,4,0)*H244/SUMIFS($H$3:$H$199,$G$3:$G$199,G244,$B$3:$B$199,B244),),)</f>
        <v>0</v>
      </c>
      <c r="M244" s="382">
        <f>IFERROR(IF(B244="Funkcna poziadavka",VLOOKUP(G244,MODULY_CBA!$B$3:$E$23,3,0),),)</f>
        <v>0</v>
      </c>
      <c r="N244" s="382">
        <f>IFERROR(IF(B244="funkcna poziadavka",VLOOKUP(G244,MODULY_CBA!$B$3:$E$23,2,0),),)</f>
        <v>0</v>
      </c>
      <c r="O244" s="381">
        <f t="shared" si="21"/>
        <v>0</v>
      </c>
      <c r="P244" s="380">
        <f>IFERROR(O244*VLOOKUP(G244,MODULY_CBA!$B$3:$F$23,5,0),)</f>
        <v>0</v>
      </c>
      <c r="Q244" s="482">
        <f>IFERROR(VLOOKUP(G244,MODULY_CBA!$B$3:$I$23,6,0),"")</f>
        <v>0</v>
      </c>
      <c r="R244" s="385"/>
      <c r="S244" s="385"/>
      <c r="T244" s="385"/>
      <c r="U244" s="385"/>
      <c r="V244" s="385"/>
      <c r="W244" s="385"/>
      <c r="X244" s="385"/>
      <c r="Y244" s="385"/>
      <c r="Z244" s="385"/>
      <c r="AA244" s="385"/>
      <c r="AB244" s="385"/>
      <c r="AC244" s="385"/>
      <c r="AD244" s="385"/>
      <c r="AE244" s="385"/>
      <c r="AF244" s="377"/>
    </row>
    <row r="245" spans="1:32" ht="39">
      <c r="A245" s="404" t="s">
        <v>1235</v>
      </c>
      <c r="B245" s="404" t="s">
        <v>1158</v>
      </c>
      <c r="C245" s="535" t="s">
        <v>1184</v>
      </c>
      <c r="D245" s="535" t="s">
        <v>1236</v>
      </c>
      <c r="E245" s="392" t="s">
        <v>1237</v>
      </c>
      <c r="F245" s="686" t="s">
        <v>489</v>
      </c>
      <c r="G245" s="687" t="s">
        <v>281</v>
      </c>
      <c r="H245" s="382">
        <v>3</v>
      </c>
      <c r="I245" s="644">
        <v>15</v>
      </c>
      <c r="J245" s="382">
        <f t="shared" si="19"/>
        <v>3</v>
      </c>
      <c r="K245" s="382">
        <f t="shared" si="20"/>
        <v>45</v>
      </c>
      <c r="L245" s="646">
        <f>IFERROR(IF(B245="funkcna poziadavka",VLOOKUP(G245,MODULY_CBA!$B$3:$E$23,4,0)*H245/SUMIFS($H$3:$H$199,$G$3:$G$199,G245,$B$3:$B$199,B245),),)</f>
        <v>0</v>
      </c>
      <c r="M245" s="382">
        <f>IFERROR(IF(B245="Funkcna poziadavka",VLOOKUP(G245,MODULY_CBA!$B$3:$E$23,3,0),),)</f>
        <v>0</v>
      </c>
      <c r="N245" s="382">
        <f>IFERROR(IF(B245="funkcna poziadavka",VLOOKUP(G245,MODULY_CBA!$B$3:$E$23,2,0),),)</f>
        <v>0</v>
      </c>
      <c r="O245" s="381">
        <f t="shared" si="21"/>
        <v>0</v>
      </c>
      <c r="P245" s="380">
        <f>IFERROR(O245*VLOOKUP(G245,MODULY_CBA!$B$3:$F$23,5,0),)</f>
        <v>0</v>
      </c>
      <c r="Q245" s="482">
        <f>IFERROR(VLOOKUP(G245,MODULY_CBA!$B$3:$I$23,6,0),"")</f>
        <v>0</v>
      </c>
      <c r="R245" s="385"/>
      <c r="S245" s="385"/>
      <c r="T245" s="385"/>
      <c r="U245" s="385"/>
      <c r="V245" s="385"/>
      <c r="W245" s="385"/>
      <c r="X245" s="385"/>
      <c r="Y245" s="385"/>
      <c r="Z245" s="385"/>
      <c r="AA245" s="385"/>
      <c r="AB245" s="385"/>
      <c r="AC245" s="385"/>
      <c r="AD245" s="385"/>
      <c r="AE245" s="385"/>
      <c r="AF245" s="377"/>
    </row>
    <row r="246" spans="1:32" ht="39">
      <c r="A246" s="404" t="s">
        <v>1238</v>
      </c>
      <c r="B246" s="404" t="s">
        <v>1158</v>
      </c>
      <c r="C246" s="535" t="s">
        <v>499</v>
      </c>
      <c r="D246" s="535" t="s">
        <v>1239</v>
      </c>
      <c r="E246" s="392" t="s">
        <v>1240</v>
      </c>
      <c r="F246" s="686" t="s">
        <v>489</v>
      </c>
      <c r="G246" s="392" t="s">
        <v>259</v>
      </c>
      <c r="H246" s="382">
        <v>3</v>
      </c>
      <c r="I246" s="644">
        <v>15</v>
      </c>
      <c r="J246" s="382">
        <f t="shared" si="19"/>
        <v>3</v>
      </c>
      <c r="K246" s="382">
        <f t="shared" si="20"/>
        <v>45</v>
      </c>
      <c r="L246" s="646">
        <f>IFERROR(IF(B246="funkcna poziadavka",VLOOKUP(G246,MODULY_CBA!$B$3:$E$23,4,0)*H246/SUMIFS($H$3:$H$199,$G$3:$G$199,G246,$B$3:$B$199,B246),),)</f>
        <v>0</v>
      </c>
      <c r="M246" s="382">
        <f>IFERROR(IF(B246="Funkcna poziadavka",VLOOKUP(G246,MODULY_CBA!$B$3:$E$23,3,0),),)</f>
        <v>0</v>
      </c>
      <c r="N246" s="382">
        <f>IFERROR(IF(B246="funkcna poziadavka",VLOOKUP(G246,MODULY_CBA!$B$3:$E$23,2,0),),)</f>
        <v>0</v>
      </c>
      <c r="O246" s="381">
        <f t="shared" si="21"/>
        <v>0</v>
      </c>
      <c r="P246" s="380">
        <f>IFERROR(O246*VLOOKUP(G246,MODULY_CBA!$B$3:$F$23,5,0),)</f>
        <v>0</v>
      </c>
      <c r="Q246" s="482" t="str">
        <f>IFERROR(VLOOKUP(G246,MODULY_CBA!$B$3:$I$23,6,0),"")</f>
        <v>Inkrement 2</v>
      </c>
      <c r="R246" s="385"/>
      <c r="S246" s="385"/>
      <c r="T246" s="385"/>
      <c r="U246" s="385"/>
      <c r="V246" s="385"/>
      <c r="W246" s="385"/>
      <c r="X246" s="385"/>
      <c r="Y246" s="385"/>
      <c r="Z246" s="385"/>
      <c r="AA246" s="385"/>
      <c r="AB246" s="385"/>
      <c r="AC246" s="385"/>
      <c r="AD246" s="385"/>
      <c r="AE246" s="385"/>
      <c r="AF246" s="377"/>
    </row>
    <row r="247" spans="1:32" ht="52">
      <c r="A247" s="404" t="s">
        <v>1241</v>
      </c>
      <c r="B247" s="404" t="s">
        <v>1158</v>
      </c>
      <c r="C247" s="535" t="s">
        <v>1242</v>
      </c>
      <c r="D247" s="535" t="s">
        <v>1243</v>
      </c>
      <c r="E247" s="535" t="s">
        <v>1244</v>
      </c>
      <c r="F247" s="686" t="s">
        <v>489</v>
      </c>
      <c r="G247" s="392" t="s">
        <v>277</v>
      </c>
      <c r="H247" s="382">
        <v>3</v>
      </c>
      <c r="I247" s="644">
        <v>15</v>
      </c>
      <c r="J247" s="382">
        <f t="shared" si="19"/>
        <v>3</v>
      </c>
      <c r="K247" s="382">
        <f t="shared" si="20"/>
        <v>45</v>
      </c>
      <c r="L247" s="646">
        <f>IFERROR(IF(B247="funkcna poziadavka",VLOOKUP(G247,MODULY_CBA!$B$3:$E$23,4,0)*H247/SUMIFS($H$3:$H$199,$G$3:$G$199,G247,$B$3:$B$199,B247),),)</f>
        <v>0</v>
      </c>
      <c r="M247" s="382">
        <f>IFERROR(IF(B247="Funkcna poziadavka",VLOOKUP(G247,MODULY_CBA!$B$3:$E$23,3,0),),)</f>
        <v>0</v>
      </c>
      <c r="N247" s="382">
        <f>IFERROR(IF(B247="funkcna poziadavka",VLOOKUP(G247,MODULY_CBA!$B$3:$E$23,2,0),),)</f>
        <v>0</v>
      </c>
      <c r="O247" s="381">
        <f t="shared" si="21"/>
        <v>0</v>
      </c>
      <c r="P247" s="380">
        <f>IFERROR(O247*VLOOKUP(G247,MODULY_CBA!$B$3:$F$23,5,0),)</f>
        <v>0</v>
      </c>
      <c r="Q247" s="482">
        <f>IFERROR(VLOOKUP(G247,MODULY_CBA!$B$3:$I$23,6,0),"")</f>
        <v>0</v>
      </c>
      <c r="R247" s="385"/>
      <c r="S247" s="385"/>
      <c r="T247" s="385"/>
      <c r="U247" s="385"/>
      <c r="V247" s="385"/>
      <c r="W247" s="385"/>
      <c r="X247" s="385"/>
      <c r="Y247" s="385"/>
      <c r="Z247" s="385"/>
      <c r="AA247" s="385"/>
      <c r="AB247" s="385"/>
      <c r="AC247" s="385"/>
      <c r="AD247" s="385"/>
      <c r="AE247" s="385"/>
      <c r="AF247" s="377"/>
    </row>
    <row r="248" spans="1:32" ht="52">
      <c r="A248" s="404" t="s">
        <v>1245</v>
      </c>
      <c r="B248" s="404" t="s">
        <v>1158</v>
      </c>
      <c r="C248" s="535" t="s">
        <v>1242</v>
      </c>
      <c r="D248" s="535" t="s">
        <v>1246</v>
      </c>
      <c r="E248" s="535" t="s">
        <v>1247</v>
      </c>
      <c r="F248" s="686" t="s">
        <v>489</v>
      </c>
      <c r="G248" s="392" t="s">
        <v>277</v>
      </c>
      <c r="H248" s="382">
        <v>3</v>
      </c>
      <c r="I248" s="644">
        <v>15</v>
      </c>
      <c r="J248" s="382">
        <f t="shared" si="19"/>
        <v>3</v>
      </c>
      <c r="K248" s="382">
        <f t="shared" si="20"/>
        <v>45</v>
      </c>
      <c r="L248" s="646">
        <f>IFERROR(IF(B248="funkcna poziadavka",VLOOKUP(G248,MODULY_CBA!$B$3:$E$23,4,0)*H248/SUMIFS($H$3:$H$199,$G$3:$G$199,G248,$B$3:$B$199,B248),),)</f>
        <v>0</v>
      </c>
      <c r="M248" s="382">
        <f>IFERROR(IF(B248="Funkcna poziadavka",VLOOKUP(G248,MODULY_CBA!$B$3:$E$23,3,0),),)</f>
        <v>0</v>
      </c>
      <c r="N248" s="382">
        <f>IFERROR(IF(B248="funkcna poziadavka",VLOOKUP(G248,MODULY_CBA!$B$3:$E$23,2,0),),)</f>
        <v>0</v>
      </c>
      <c r="O248" s="381">
        <f t="shared" si="21"/>
        <v>0</v>
      </c>
      <c r="P248" s="380">
        <f>IFERROR(O248*VLOOKUP(G248,MODULY_CBA!$B$3:$F$23,5,0),)</f>
        <v>0</v>
      </c>
      <c r="Q248" s="482">
        <f>IFERROR(VLOOKUP(G248,MODULY_CBA!$B$3:$I$23,6,0),"")</f>
        <v>0</v>
      </c>
      <c r="R248" s="385"/>
      <c r="S248" s="385"/>
      <c r="T248" s="385"/>
      <c r="U248" s="385"/>
      <c r="V248" s="385"/>
      <c r="W248" s="385"/>
      <c r="X248" s="385"/>
      <c r="Y248" s="385"/>
      <c r="Z248" s="385"/>
      <c r="AA248" s="385"/>
      <c r="AB248" s="385"/>
      <c r="AC248" s="385"/>
      <c r="AD248" s="385"/>
      <c r="AE248" s="385"/>
      <c r="AF248" s="377"/>
    </row>
    <row r="249" spans="1:32" ht="39">
      <c r="A249" s="404" t="s">
        <v>1248</v>
      </c>
      <c r="B249" s="404" t="s">
        <v>1158</v>
      </c>
      <c r="C249" s="535" t="s">
        <v>1242</v>
      </c>
      <c r="D249" s="535" t="s">
        <v>1249</v>
      </c>
      <c r="E249" s="535" t="s">
        <v>1250</v>
      </c>
      <c r="F249" s="686" t="s">
        <v>489</v>
      </c>
      <c r="G249" s="392" t="s">
        <v>277</v>
      </c>
      <c r="H249" s="382">
        <v>3</v>
      </c>
      <c r="I249" s="644">
        <v>15</v>
      </c>
      <c r="J249" s="382">
        <f t="shared" si="19"/>
        <v>3</v>
      </c>
      <c r="K249" s="382">
        <f t="shared" si="20"/>
        <v>45</v>
      </c>
      <c r="L249" s="646">
        <f>IFERROR(IF(B249="funkcna poziadavka",VLOOKUP(G249,MODULY_CBA!$B$3:$E$23,4,0)*H249/SUMIFS($H$3:$H$199,$G$3:$G$199,G249,$B$3:$B$199,B249),),)</f>
        <v>0</v>
      </c>
      <c r="M249" s="382">
        <f>IFERROR(IF(B249="Funkcna poziadavka",VLOOKUP(G249,MODULY_CBA!$B$3:$E$23,3,0),),)</f>
        <v>0</v>
      </c>
      <c r="N249" s="382">
        <f>IFERROR(IF(B249="funkcna poziadavka",VLOOKUP(G249,MODULY_CBA!$B$3:$E$23,2,0),),)</f>
        <v>0</v>
      </c>
      <c r="O249" s="381">
        <f t="shared" si="21"/>
        <v>0</v>
      </c>
      <c r="P249" s="380">
        <f>IFERROR(O249*VLOOKUP(G249,MODULY_CBA!$B$3:$F$23,5,0),)</f>
        <v>0</v>
      </c>
      <c r="Q249" s="482">
        <f>IFERROR(VLOOKUP(G249,MODULY_CBA!$B$3:$I$23,6,0),"")</f>
        <v>0</v>
      </c>
      <c r="R249" s="385"/>
      <c r="S249" s="385"/>
      <c r="T249" s="385"/>
      <c r="U249" s="385"/>
      <c r="V249" s="385"/>
      <c r="W249" s="385"/>
      <c r="X249" s="385"/>
      <c r="Y249" s="385"/>
      <c r="Z249" s="385"/>
      <c r="AA249" s="385"/>
      <c r="AB249" s="385"/>
      <c r="AC249" s="385"/>
      <c r="AD249" s="385"/>
      <c r="AE249" s="385"/>
      <c r="AF249" s="377"/>
    </row>
    <row r="250" spans="1:32" ht="26">
      <c r="A250" s="404" t="s">
        <v>1251</v>
      </c>
      <c r="B250" s="404" t="s">
        <v>1158</v>
      </c>
      <c r="C250" s="535" t="s">
        <v>842</v>
      </c>
      <c r="D250" s="535" t="s">
        <v>1252</v>
      </c>
      <c r="E250" s="535" t="s">
        <v>1253</v>
      </c>
      <c r="F250" s="686" t="s">
        <v>489</v>
      </c>
      <c r="G250" s="392" t="s">
        <v>281</v>
      </c>
      <c r="H250" s="382">
        <v>3</v>
      </c>
      <c r="I250" s="644">
        <v>15</v>
      </c>
      <c r="J250" s="382">
        <f t="shared" si="19"/>
        <v>3</v>
      </c>
      <c r="K250" s="382">
        <f t="shared" si="20"/>
        <v>45</v>
      </c>
      <c r="L250" s="646">
        <f>IFERROR(IF(B250="funkcna poziadavka",VLOOKUP(G250,MODULY_CBA!$B$3:$E$23,4,0)*H250/SUMIFS($H$3:$H$199,$G$3:$G$199,G250,$B$3:$B$199,B250),),)</f>
        <v>0</v>
      </c>
      <c r="M250" s="382">
        <f>IFERROR(IF(B250="Funkcna poziadavka",VLOOKUP(G250,MODULY_CBA!$B$3:$E$23,3,0),),)</f>
        <v>0</v>
      </c>
      <c r="N250" s="382">
        <f>IFERROR(IF(B250="funkcna poziadavka",VLOOKUP(G250,MODULY_CBA!$B$3:$E$23,2,0),),)</f>
        <v>0</v>
      </c>
      <c r="O250" s="381">
        <f t="shared" si="21"/>
        <v>0</v>
      </c>
      <c r="P250" s="380">
        <f>IFERROR(O250*VLOOKUP(G250,MODULY_CBA!$B$3:$F$23,5,0),)</f>
        <v>0</v>
      </c>
      <c r="Q250" s="482">
        <f>IFERROR(VLOOKUP(G250,MODULY_CBA!$B$3:$I$23,6,0),"")</f>
        <v>0</v>
      </c>
      <c r="R250" s="385"/>
      <c r="S250" s="385"/>
      <c r="T250" s="385"/>
      <c r="U250" s="385"/>
      <c r="V250" s="385"/>
      <c r="W250" s="385"/>
      <c r="X250" s="385"/>
      <c r="Y250" s="385"/>
      <c r="Z250" s="385"/>
      <c r="AA250" s="385"/>
      <c r="AB250" s="385"/>
      <c r="AC250" s="385"/>
      <c r="AD250" s="385"/>
      <c r="AE250" s="385"/>
      <c r="AF250" s="377"/>
    </row>
    <row r="251" spans="1:32" ht="39">
      <c r="A251" s="404" t="s">
        <v>1254</v>
      </c>
      <c r="B251" s="404" t="s">
        <v>1158</v>
      </c>
      <c r="C251" s="535" t="s">
        <v>873</v>
      </c>
      <c r="D251" s="535" t="s">
        <v>1255</v>
      </c>
      <c r="E251" s="535" t="s">
        <v>1256</v>
      </c>
      <c r="F251" s="686" t="s">
        <v>489</v>
      </c>
      <c r="G251" s="392" t="s">
        <v>281</v>
      </c>
      <c r="H251" s="382">
        <v>3</v>
      </c>
      <c r="I251" s="644">
        <v>15</v>
      </c>
      <c r="J251" s="382">
        <f t="shared" si="19"/>
        <v>3</v>
      </c>
      <c r="K251" s="382">
        <f t="shared" si="20"/>
        <v>45</v>
      </c>
      <c r="L251" s="646">
        <f>IFERROR(IF(B251="funkcna poziadavka",VLOOKUP(G251,MODULY_CBA!$B$3:$E$23,4,0)*H251/SUMIFS($H$3:$H$199,$G$3:$G$199,G251,$B$3:$B$199,B251),),)</f>
        <v>0</v>
      </c>
      <c r="M251" s="382">
        <f>IFERROR(IF(B251="Funkcna poziadavka",VLOOKUP(G251,MODULY_CBA!$B$3:$E$23,3,0),),)</f>
        <v>0</v>
      </c>
      <c r="N251" s="382">
        <f>IFERROR(IF(B251="funkcna poziadavka",VLOOKUP(G251,MODULY_CBA!$B$3:$E$23,2,0),),)</f>
        <v>0</v>
      </c>
      <c r="O251" s="381">
        <f t="shared" si="21"/>
        <v>0</v>
      </c>
      <c r="P251" s="380">
        <f>IFERROR(O251*VLOOKUP(G251,MODULY_CBA!$B$3:$F$23,5,0),)</f>
        <v>0</v>
      </c>
      <c r="Q251" s="482">
        <f>IFERROR(VLOOKUP(G251,MODULY_CBA!$B$3:$I$23,6,0),"")</f>
        <v>0</v>
      </c>
      <c r="R251" s="385"/>
      <c r="S251" s="385"/>
      <c r="T251" s="385"/>
      <c r="U251" s="385"/>
      <c r="V251" s="385"/>
      <c r="W251" s="385"/>
      <c r="X251" s="385"/>
      <c r="Y251" s="385"/>
      <c r="Z251" s="385"/>
      <c r="AA251" s="385"/>
      <c r="AB251" s="385"/>
      <c r="AC251" s="385"/>
      <c r="AD251" s="385"/>
      <c r="AE251" s="385"/>
      <c r="AF251" s="377"/>
    </row>
    <row r="252" spans="1:32" ht="26">
      <c r="A252" s="404" t="s">
        <v>1257</v>
      </c>
      <c r="B252" s="404" t="s">
        <v>1158</v>
      </c>
      <c r="C252" s="535" t="s">
        <v>842</v>
      </c>
      <c r="D252" s="535" t="s">
        <v>1258</v>
      </c>
      <c r="E252" s="535" t="s">
        <v>1259</v>
      </c>
      <c r="F252" s="686" t="s">
        <v>489</v>
      </c>
      <c r="G252" s="392" t="s">
        <v>281</v>
      </c>
      <c r="H252" s="382">
        <v>3</v>
      </c>
      <c r="I252" s="644">
        <v>15</v>
      </c>
      <c r="J252" s="382">
        <f t="shared" si="19"/>
        <v>3</v>
      </c>
      <c r="K252" s="382">
        <f t="shared" si="20"/>
        <v>45</v>
      </c>
      <c r="L252" s="646">
        <f>IFERROR(IF(B252="funkcna poziadavka",VLOOKUP(G252,MODULY_CBA!$B$3:$E$23,4,0)*H252/SUMIFS($H$3:$H$199,$G$3:$G$199,G252,$B$3:$B$199,B252),),)</f>
        <v>0</v>
      </c>
      <c r="M252" s="382">
        <f>IFERROR(IF(B252="Funkcna poziadavka",VLOOKUP(G252,MODULY_CBA!$B$3:$E$23,3,0),),)</f>
        <v>0</v>
      </c>
      <c r="N252" s="382">
        <f>IFERROR(IF(B252="funkcna poziadavka",VLOOKUP(G252,MODULY_CBA!$B$3:$E$23,2,0),),)</f>
        <v>0</v>
      </c>
      <c r="O252" s="381">
        <f t="shared" si="21"/>
        <v>0</v>
      </c>
      <c r="P252" s="380">
        <f>IFERROR(O252*VLOOKUP(G252,MODULY_CBA!$B$3:$F$23,5,0),)</f>
        <v>0</v>
      </c>
      <c r="Q252" s="482">
        <f>IFERROR(VLOOKUP(G252,MODULY_CBA!$B$3:$I$23,6,0),"")</f>
        <v>0</v>
      </c>
      <c r="R252" s="385"/>
      <c r="S252" s="385"/>
      <c r="T252" s="385"/>
      <c r="U252" s="385"/>
      <c r="V252" s="385"/>
      <c r="W252" s="385"/>
      <c r="X252" s="385"/>
      <c r="Y252" s="385"/>
      <c r="Z252" s="385"/>
      <c r="AA252" s="385"/>
      <c r="AB252" s="385"/>
      <c r="AC252" s="385"/>
      <c r="AD252" s="385"/>
      <c r="AE252" s="385"/>
      <c r="AF252" s="377"/>
    </row>
    <row r="253" spans="1:32" ht="52">
      <c r="A253" s="404" t="s">
        <v>1260</v>
      </c>
      <c r="B253" s="404" t="s">
        <v>1158</v>
      </c>
      <c r="C253" s="535" t="s">
        <v>491</v>
      </c>
      <c r="D253" s="535" t="s">
        <v>1261</v>
      </c>
      <c r="E253" s="535" t="s">
        <v>1262</v>
      </c>
      <c r="F253" s="686" t="s">
        <v>489</v>
      </c>
      <c r="G253" s="392" t="s">
        <v>277</v>
      </c>
      <c r="H253" s="382">
        <v>3</v>
      </c>
      <c r="I253" s="644">
        <v>15</v>
      </c>
      <c r="J253" s="382">
        <f t="shared" si="19"/>
        <v>3</v>
      </c>
      <c r="K253" s="382">
        <f t="shared" si="20"/>
        <v>45</v>
      </c>
      <c r="L253" s="646">
        <f>IFERROR(IF(B253="funkcna poziadavka",VLOOKUP(G253,MODULY_CBA!$B$3:$E$23,4,0)*H253/SUMIFS($H$3:$H$199,$G$3:$G$199,G253,$B$3:$B$199,B253),),)</f>
        <v>0</v>
      </c>
      <c r="M253" s="382">
        <f>IFERROR(IF(B253="Funkcna poziadavka",VLOOKUP(G253,MODULY_CBA!$B$3:$E$23,3,0),),)</f>
        <v>0</v>
      </c>
      <c r="N253" s="382">
        <f>IFERROR(IF(B253="funkcna poziadavka",VLOOKUP(G253,MODULY_CBA!$B$3:$E$23,2,0),),)</f>
        <v>0</v>
      </c>
      <c r="O253" s="381">
        <f t="shared" si="21"/>
        <v>0</v>
      </c>
      <c r="P253" s="380">
        <f>IFERROR(O253*VLOOKUP(G253,MODULY_CBA!$B$3:$F$23,5,0),)</f>
        <v>0</v>
      </c>
      <c r="Q253" s="482">
        <f>IFERROR(VLOOKUP(G253,MODULY_CBA!$B$3:$I$23,6,0),"")</f>
        <v>0</v>
      </c>
      <c r="R253" s="385"/>
      <c r="S253" s="385"/>
      <c r="T253" s="385"/>
      <c r="U253" s="385"/>
      <c r="V253" s="385"/>
      <c r="W253" s="385"/>
      <c r="X253" s="385"/>
      <c r="Y253" s="385"/>
      <c r="Z253" s="385"/>
      <c r="AA253" s="385"/>
      <c r="AB253" s="385"/>
      <c r="AC253" s="385"/>
      <c r="AD253" s="385"/>
      <c r="AE253" s="385"/>
      <c r="AF253" s="377"/>
    </row>
    <row r="254" spans="1:32" ht="26">
      <c r="A254" s="404" t="s">
        <v>1263</v>
      </c>
      <c r="B254" s="404" t="s">
        <v>1158</v>
      </c>
      <c r="C254" s="535" t="s">
        <v>842</v>
      </c>
      <c r="D254" s="535" t="s">
        <v>1264</v>
      </c>
      <c r="E254" s="535" t="s">
        <v>1265</v>
      </c>
      <c r="F254" s="686" t="s">
        <v>489</v>
      </c>
      <c r="G254" s="392" t="s">
        <v>275</v>
      </c>
      <c r="H254" s="382">
        <v>3</v>
      </c>
      <c r="I254" s="644">
        <v>15</v>
      </c>
      <c r="J254" s="382">
        <f t="shared" si="19"/>
        <v>3</v>
      </c>
      <c r="K254" s="382">
        <f t="shared" si="20"/>
        <v>45</v>
      </c>
      <c r="L254" s="646">
        <f>IFERROR(IF(B254="funkcna poziadavka",VLOOKUP(G254,MODULY_CBA!$B$3:$E$23,4,0)*H254/SUMIFS($H$3:$H$199,$G$3:$G$199,G254,$B$3:$B$199,B254),),)</f>
        <v>0</v>
      </c>
      <c r="M254" s="382">
        <f>IFERROR(IF(B254="Funkcna poziadavka",VLOOKUP(G254,MODULY_CBA!$B$3:$E$23,3,0),),)</f>
        <v>0</v>
      </c>
      <c r="N254" s="382">
        <f>IFERROR(IF(B254="funkcna poziadavka",VLOOKUP(G254,MODULY_CBA!$B$3:$E$23,2,0),),)</f>
        <v>0</v>
      </c>
      <c r="O254" s="381">
        <f t="shared" si="21"/>
        <v>0</v>
      </c>
      <c r="P254" s="380">
        <f>IFERROR(O254*VLOOKUP(G254,MODULY_CBA!$B$3:$F$23,5,0),)</f>
        <v>0</v>
      </c>
      <c r="Q254" s="482">
        <f>IFERROR(VLOOKUP(G254,MODULY_CBA!$B$3:$I$23,6,0),"")</f>
        <v>0</v>
      </c>
      <c r="R254" s="385"/>
      <c r="S254" s="385"/>
      <c r="T254" s="385"/>
      <c r="U254" s="385"/>
      <c r="V254" s="385"/>
      <c r="W254" s="385"/>
      <c r="X254" s="385"/>
      <c r="Y254" s="385"/>
      <c r="Z254" s="385"/>
      <c r="AA254" s="385"/>
      <c r="AB254" s="385"/>
      <c r="AC254" s="385"/>
      <c r="AD254" s="385"/>
      <c r="AE254" s="385"/>
      <c r="AF254" s="377"/>
    </row>
    <row r="255" spans="1:32" ht="52">
      <c r="A255" s="404" t="s">
        <v>1266</v>
      </c>
      <c r="B255" s="404" t="s">
        <v>1158</v>
      </c>
      <c r="C255" s="535" t="s">
        <v>842</v>
      </c>
      <c r="D255" s="535" t="s">
        <v>1267</v>
      </c>
      <c r="E255" s="535" t="s">
        <v>1268</v>
      </c>
      <c r="F255" s="686" t="s">
        <v>489</v>
      </c>
      <c r="G255" s="392" t="s">
        <v>275</v>
      </c>
      <c r="H255" s="382">
        <v>3</v>
      </c>
      <c r="I255" s="644">
        <v>15</v>
      </c>
      <c r="J255" s="382">
        <f t="shared" si="19"/>
        <v>3</v>
      </c>
      <c r="K255" s="382">
        <f t="shared" si="20"/>
        <v>45</v>
      </c>
      <c r="L255" s="646">
        <f>IFERROR(IF(B255="funkcna poziadavka",VLOOKUP(G255,MODULY_CBA!$B$3:$E$23,4,0)*H255/SUMIFS($H$3:$H$199,$G$3:$G$199,G255,$B$3:$B$199,B255),),)</f>
        <v>0</v>
      </c>
      <c r="M255" s="382">
        <f>IFERROR(IF(B255="Funkcna poziadavka",VLOOKUP(G255,MODULY_CBA!$B$3:$E$23,3,0),),)</f>
        <v>0</v>
      </c>
      <c r="N255" s="382">
        <f>IFERROR(IF(B255="funkcna poziadavka",VLOOKUP(G255,MODULY_CBA!$B$3:$E$23,2,0),),)</f>
        <v>0</v>
      </c>
      <c r="O255" s="381">
        <f t="shared" si="21"/>
        <v>0</v>
      </c>
      <c r="P255" s="380">
        <f>IFERROR(O255*VLOOKUP(G255,MODULY_CBA!$B$3:$F$23,5,0),)</f>
        <v>0</v>
      </c>
      <c r="Q255" s="482">
        <f>IFERROR(VLOOKUP(G255,MODULY_CBA!$B$3:$I$23,6,0),"")</f>
        <v>0</v>
      </c>
      <c r="R255" s="385"/>
      <c r="S255" s="385"/>
      <c r="T255" s="385"/>
      <c r="U255" s="385"/>
      <c r="V255" s="385"/>
      <c r="W255" s="385"/>
      <c r="X255" s="385"/>
      <c r="Y255" s="385"/>
      <c r="Z255" s="385"/>
      <c r="AA255" s="385"/>
      <c r="AB255" s="385"/>
      <c r="AC255" s="385"/>
      <c r="AD255" s="385"/>
      <c r="AE255" s="385"/>
      <c r="AF255" s="377"/>
    </row>
    <row r="256" spans="1:32" ht="39">
      <c r="A256" s="404" t="s">
        <v>1269</v>
      </c>
      <c r="B256" s="404" t="s">
        <v>1158</v>
      </c>
      <c r="C256" s="535" t="s">
        <v>842</v>
      </c>
      <c r="D256" s="535" t="s">
        <v>1270</v>
      </c>
      <c r="E256" s="535" t="s">
        <v>1271</v>
      </c>
      <c r="F256" s="686" t="s">
        <v>489</v>
      </c>
      <c r="G256" s="392" t="s">
        <v>281</v>
      </c>
      <c r="H256" s="382">
        <v>3</v>
      </c>
      <c r="I256" s="644">
        <v>15</v>
      </c>
      <c r="J256" s="382">
        <f t="shared" si="19"/>
        <v>3</v>
      </c>
      <c r="K256" s="382">
        <f t="shared" si="20"/>
        <v>45</v>
      </c>
      <c r="L256" s="646">
        <f>IFERROR(IF(B256="funkcna poziadavka",VLOOKUP(G256,MODULY_CBA!$B$3:$E$23,4,0)*H256/SUMIFS($H$3:$H$199,$G$3:$G$199,G256,$B$3:$B$199,B256),),)</f>
        <v>0</v>
      </c>
      <c r="M256" s="382">
        <f>IFERROR(IF(B256="Funkcna poziadavka",VLOOKUP(G256,MODULY_CBA!$B$3:$E$23,3,0),),)</f>
        <v>0</v>
      </c>
      <c r="N256" s="382">
        <f>IFERROR(IF(B256="funkcna poziadavka",VLOOKUP(G256,MODULY_CBA!$B$3:$E$23,2,0),),)</f>
        <v>0</v>
      </c>
      <c r="O256" s="381">
        <f t="shared" si="21"/>
        <v>0</v>
      </c>
      <c r="P256" s="380">
        <f>IFERROR(O256*VLOOKUP(G256,MODULY_CBA!$B$3:$F$23,5,0),)</f>
        <v>0</v>
      </c>
      <c r="Q256" s="482">
        <f>IFERROR(VLOOKUP(G256,MODULY_CBA!$B$3:$I$23,6,0),"")</f>
        <v>0</v>
      </c>
      <c r="R256" s="385"/>
      <c r="S256" s="385"/>
      <c r="T256" s="385"/>
      <c r="U256" s="385"/>
      <c r="V256" s="385"/>
      <c r="W256" s="385"/>
      <c r="X256" s="385"/>
      <c r="Y256" s="385"/>
      <c r="Z256" s="385"/>
      <c r="AA256" s="385"/>
      <c r="AB256" s="385"/>
      <c r="AC256" s="385"/>
      <c r="AD256" s="385"/>
      <c r="AE256" s="385"/>
      <c r="AF256" s="377"/>
    </row>
    <row r="257" spans="1:32" ht="39">
      <c r="A257" s="404" t="s">
        <v>1272</v>
      </c>
      <c r="B257" s="404" t="s">
        <v>1158</v>
      </c>
      <c r="C257" s="535" t="s">
        <v>1031</v>
      </c>
      <c r="D257" s="535" t="s">
        <v>1273</v>
      </c>
      <c r="E257" s="535" t="s">
        <v>1274</v>
      </c>
      <c r="F257" s="686" t="s">
        <v>489</v>
      </c>
      <c r="G257" s="392" t="s">
        <v>281</v>
      </c>
      <c r="H257" s="382">
        <v>3</v>
      </c>
      <c r="I257" s="644">
        <v>15</v>
      </c>
      <c r="J257" s="382">
        <f t="shared" si="19"/>
        <v>3</v>
      </c>
      <c r="K257" s="382">
        <f t="shared" si="20"/>
        <v>45</v>
      </c>
      <c r="L257" s="646">
        <f>IFERROR(IF(B257="funkcna poziadavka",VLOOKUP(G257,MODULY_CBA!$B$3:$E$23,4,0)*H257/SUMIFS($H$3:$H$199,$G$3:$G$199,G257,$B$3:$B$199,B257),),)</f>
        <v>0</v>
      </c>
      <c r="M257" s="382">
        <f>IFERROR(IF(B257="Funkcna poziadavka",VLOOKUP(G257,MODULY_CBA!$B$3:$E$23,3,0),),)</f>
        <v>0</v>
      </c>
      <c r="N257" s="382">
        <f>IFERROR(IF(B257="funkcna poziadavka",VLOOKUP(G257,MODULY_CBA!$B$3:$E$23,2,0),),)</f>
        <v>0</v>
      </c>
      <c r="O257" s="381">
        <f t="shared" si="21"/>
        <v>0</v>
      </c>
      <c r="P257" s="380">
        <f>IFERROR(O257*VLOOKUP(G257,MODULY_CBA!$B$3:$F$23,5,0),)</f>
        <v>0</v>
      </c>
      <c r="Q257" s="482">
        <f>IFERROR(VLOOKUP(G257,MODULY_CBA!$B$3:$I$23,6,0),"")</f>
        <v>0</v>
      </c>
      <c r="R257" s="385"/>
      <c r="S257" s="385"/>
      <c r="T257" s="385"/>
      <c r="U257" s="385"/>
      <c r="V257" s="385"/>
      <c r="W257" s="385"/>
      <c r="X257" s="385"/>
      <c r="Y257" s="385"/>
      <c r="Z257" s="385"/>
      <c r="AA257" s="385"/>
      <c r="AB257" s="385"/>
      <c r="AC257" s="385"/>
      <c r="AD257" s="385"/>
      <c r="AE257" s="385"/>
      <c r="AF257" s="377"/>
    </row>
    <row r="258" spans="1:32" ht="52">
      <c r="A258" s="404" t="s">
        <v>1275</v>
      </c>
      <c r="B258" s="404" t="s">
        <v>1158</v>
      </c>
      <c r="C258" s="535" t="s">
        <v>842</v>
      </c>
      <c r="D258" s="535" t="s">
        <v>1276</v>
      </c>
      <c r="E258" s="535" t="s">
        <v>1277</v>
      </c>
      <c r="F258" s="686" t="s">
        <v>489</v>
      </c>
      <c r="G258" s="392" t="s">
        <v>281</v>
      </c>
      <c r="H258" s="382">
        <v>3</v>
      </c>
      <c r="I258" s="644">
        <v>15</v>
      </c>
      <c r="J258" s="382">
        <f t="shared" si="19"/>
        <v>3</v>
      </c>
      <c r="K258" s="382">
        <f t="shared" si="20"/>
        <v>45</v>
      </c>
      <c r="L258" s="646">
        <f>IFERROR(IF(B258="funkcna poziadavka",VLOOKUP(G258,MODULY_CBA!$B$3:$E$23,4,0)*H258/SUMIFS($H$3:$H$199,$G$3:$G$199,G258,$B$3:$B$199,B258),),)</f>
        <v>0</v>
      </c>
      <c r="M258" s="382">
        <f>IFERROR(IF(B258="Funkcna poziadavka",VLOOKUP(G258,MODULY_CBA!$B$3:$E$23,3,0),),)</f>
        <v>0</v>
      </c>
      <c r="N258" s="382">
        <f>IFERROR(IF(B258="funkcna poziadavka",VLOOKUP(G258,MODULY_CBA!$B$3:$E$23,2,0),),)</f>
        <v>0</v>
      </c>
      <c r="O258" s="381">
        <f t="shared" si="21"/>
        <v>0</v>
      </c>
      <c r="P258" s="380">
        <f>IFERROR(O258*VLOOKUP(G258,MODULY_CBA!$B$3:$F$23,5,0),)</f>
        <v>0</v>
      </c>
      <c r="Q258" s="482">
        <f>IFERROR(VLOOKUP(G258,MODULY_CBA!$B$3:$I$23,6,0),"")</f>
        <v>0</v>
      </c>
      <c r="R258" s="385"/>
      <c r="S258" s="385"/>
      <c r="T258" s="385"/>
      <c r="U258" s="385"/>
      <c r="V258" s="385"/>
      <c r="W258" s="385"/>
      <c r="X258" s="385"/>
      <c r="Y258" s="385"/>
      <c r="Z258" s="385"/>
      <c r="AA258" s="385"/>
      <c r="AB258" s="385"/>
      <c r="AC258" s="385"/>
      <c r="AD258" s="385"/>
      <c r="AE258" s="385"/>
      <c r="AF258" s="377"/>
    </row>
    <row r="259" spans="1:32" ht="39">
      <c r="A259" s="404" t="s">
        <v>1278</v>
      </c>
      <c r="B259" s="404" t="s">
        <v>1158</v>
      </c>
      <c r="C259" s="535" t="s">
        <v>535</v>
      </c>
      <c r="D259" s="535" t="s">
        <v>1279</v>
      </c>
      <c r="E259" s="535" t="s">
        <v>1280</v>
      </c>
      <c r="F259" s="686" t="s">
        <v>489</v>
      </c>
      <c r="G259" s="392" t="s">
        <v>277</v>
      </c>
      <c r="H259" s="382">
        <v>3</v>
      </c>
      <c r="I259" s="644">
        <v>15</v>
      </c>
      <c r="J259" s="382">
        <f t="shared" si="19"/>
        <v>3</v>
      </c>
      <c r="K259" s="382">
        <f t="shared" si="20"/>
        <v>45</v>
      </c>
      <c r="L259" s="646">
        <f>IFERROR(IF(B259="funkcna poziadavka",VLOOKUP(G259,MODULY_CBA!$B$3:$E$23,4,0)*H259/SUMIFS($H$3:$H$199,$G$3:$G$199,G259,$B$3:$B$199,B259),),)</f>
        <v>0</v>
      </c>
      <c r="M259" s="382">
        <f>IFERROR(IF(B259="Funkcna poziadavka",VLOOKUP(G259,MODULY_CBA!$B$3:$E$23,3,0),),)</f>
        <v>0</v>
      </c>
      <c r="N259" s="382">
        <f>IFERROR(IF(B259="funkcna poziadavka",VLOOKUP(G259,MODULY_CBA!$B$3:$E$23,2,0),),)</f>
        <v>0</v>
      </c>
      <c r="O259" s="381">
        <f t="shared" si="21"/>
        <v>0</v>
      </c>
      <c r="P259" s="380">
        <f>IFERROR(O259*VLOOKUP(G259,MODULY_CBA!$B$3:$F$23,5,0),)</f>
        <v>0</v>
      </c>
      <c r="Q259" s="482">
        <f>IFERROR(VLOOKUP(G259,MODULY_CBA!$B$3:$I$23,6,0),"")</f>
        <v>0</v>
      </c>
      <c r="R259" s="385"/>
      <c r="S259" s="385"/>
      <c r="T259" s="385"/>
      <c r="U259" s="385"/>
      <c r="V259" s="385"/>
      <c r="W259" s="385"/>
      <c r="X259" s="385"/>
      <c r="Y259" s="385"/>
      <c r="Z259" s="385"/>
      <c r="AA259" s="385"/>
      <c r="AB259" s="385"/>
      <c r="AC259" s="385"/>
      <c r="AD259" s="385"/>
      <c r="AE259" s="385"/>
      <c r="AF259" s="377"/>
    </row>
    <row r="260" spans="1:32" ht="52">
      <c r="A260" s="404" t="s">
        <v>1281</v>
      </c>
      <c r="B260" s="404" t="s">
        <v>1158</v>
      </c>
      <c r="C260" s="535" t="s">
        <v>842</v>
      </c>
      <c r="D260" s="535" t="s">
        <v>1282</v>
      </c>
      <c r="E260" s="535" t="s">
        <v>1283</v>
      </c>
      <c r="F260" s="686" t="s">
        <v>489</v>
      </c>
      <c r="G260" s="392" t="s">
        <v>277</v>
      </c>
      <c r="H260" s="382">
        <v>3</v>
      </c>
      <c r="I260" s="644">
        <v>15</v>
      </c>
      <c r="J260" s="382">
        <f t="shared" si="19"/>
        <v>3</v>
      </c>
      <c r="K260" s="382">
        <f t="shared" si="20"/>
        <v>45</v>
      </c>
      <c r="L260" s="646">
        <f>IFERROR(IF(B260="funkcna poziadavka",VLOOKUP(G260,MODULY_CBA!$B$3:$E$23,4,0)*H260/SUMIFS($H$3:$H$199,$G$3:$G$199,G260,$B$3:$B$199,B260),),)</f>
        <v>0</v>
      </c>
      <c r="M260" s="382">
        <f>IFERROR(IF(B260="Funkcna poziadavka",VLOOKUP(G260,MODULY_CBA!$B$3:$E$23,3,0),),)</f>
        <v>0</v>
      </c>
      <c r="N260" s="382">
        <f>IFERROR(IF(B260="funkcna poziadavka",VLOOKUP(G260,MODULY_CBA!$B$3:$E$23,2,0),),)</f>
        <v>0</v>
      </c>
      <c r="O260" s="381">
        <f t="shared" si="21"/>
        <v>0</v>
      </c>
      <c r="P260" s="380">
        <f>IFERROR(O260*VLOOKUP(G260,MODULY_CBA!$B$3:$F$23,5,0),)</f>
        <v>0</v>
      </c>
      <c r="Q260" s="482">
        <f>IFERROR(VLOOKUP(G260,MODULY_CBA!$B$3:$I$23,6,0),"")</f>
        <v>0</v>
      </c>
      <c r="R260" s="385"/>
      <c r="S260" s="385"/>
      <c r="T260" s="385"/>
      <c r="U260" s="385"/>
      <c r="V260" s="385"/>
      <c r="W260" s="385"/>
      <c r="X260" s="385"/>
      <c r="Y260" s="385"/>
      <c r="Z260" s="385"/>
      <c r="AA260" s="385"/>
      <c r="AB260" s="385"/>
      <c r="AC260" s="385"/>
      <c r="AD260" s="385"/>
      <c r="AE260" s="385"/>
      <c r="AF260" s="377"/>
    </row>
    <row r="261" spans="1:32" ht="39">
      <c r="A261" s="404" t="s">
        <v>1284</v>
      </c>
      <c r="B261" s="404" t="s">
        <v>1158</v>
      </c>
      <c r="C261" s="535" t="s">
        <v>842</v>
      </c>
      <c r="D261" s="535" t="s">
        <v>1285</v>
      </c>
      <c r="E261" s="535" t="s">
        <v>1286</v>
      </c>
      <c r="F261" s="686" t="s">
        <v>489</v>
      </c>
      <c r="G261" s="392" t="s">
        <v>277</v>
      </c>
      <c r="H261" s="382">
        <v>3</v>
      </c>
      <c r="I261" s="644">
        <v>15</v>
      </c>
      <c r="J261" s="382">
        <f t="shared" si="19"/>
        <v>3</v>
      </c>
      <c r="K261" s="382">
        <f t="shared" si="20"/>
        <v>45</v>
      </c>
      <c r="L261" s="646">
        <f>IFERROR(IF(B261="funkcna poziadavka",VLOOKUP(G261,MODULY_CBA!$B$3:$E$23,4,0)*H261/SUMIFS($H$3:$H$199,$G$3:$G$199,G261,$B$3:$B$199,B261),),)</f>
        <v>0</v>
      </c>
      <c r="M261" s="382">
        <f>IFERROR(IF(B261="Funkcna poziadavka",VLOOKUP(G261,MODULY_CBA!$B$3:$E$23,3,0),),)</f>
        <v>0</v>
      </c>
      <c r="N261" s="382">
        <f>IFERROR(IF(B261="funkcna poziadavka",VLOOKUP(G261,MODULY_CBA!$B$3:$E$23,2,0),),)</f>
        <v>0</v>
      </c>
      <c r="O261" s="381">
        <f t="shared" si="21"/>
        <v>0</v>
      </c>
      <c r="P261" s="380">
        <f>IFERROR(O261*VLOOKUP(G261,MODULY_CBA!$B$3:$F$23,5,0),)</f>
        <v>0</v>
      </c>
      <c r="Q261" s="482">
        <f>IFERROR(VLOOKUP(G261,MODULY_CBA!$B$3:$I$23,6,0),"")</f>
        <v>0</v>
      </c>
      <c r="R261" s="385"/>
      <c r="S261" s="385"/>
      <c r="T261" s="385"/>
      <c r="U261" s="385"/>
      <c r="V261" s="385"/>
      <c r="W261" s="385"/>
      <c r="X261" s="385"/>
      <c r="Y261" s="385"/>
      <c r="Z261" s="385"/>
      <c r="AA261" s="385"/>
      <c r="AB261" s="385"/>
      <c r="AC261" s="385"/>
      <c r="AD261" s="385"/>
      <c r="AE261" s="385"/>
      <c r="AF261" s="377"/>
    </row>
    <row r="262" spans="1:32" ht="39">
      <c r="A262" s="404" t="s">
        <v>1287</v>
      </c>
      <c r="B262" s="404" t="s">
        <v>1158</v>
      </c>
      <c r="C262" s="535" t="s">
        <v>842</v>
      </c>
      <c r="D262" s="535" t="s">
        <v>1288</v>
      </c>
      <c r="E262" s="535" t="s">
        <v>1289</v>
      </c>
      <c r="F262" s="686" t="s">
        <v>489</v>
      </c>
      <c r="G262" s="392" t="s">
        <v>281</v>
      </c>
      <c r="H262" s="382">
        <v>3</v>
      </c>
      <c r="I262" s="644">
        <v>15</v>
      </c>
      <c r="J262" s="382">
        <f t="shared" si="19"/>
        <v>3</v>
      </c>
      <c r="K262" s="382">
        <f t="shared" si="20"/>
        <v>45</v>
      </c>
      <c r="L262" s="646">
        <f>IFERROR(IF(B262="funkcna poziadavka",VLOOKUP(G262,MODULY_CBA!$B$3:$E$23,4,0)*H262/SUMIFS($H$3:$H$199,$G$3:$G$199,G262,$B$3:$B$199,B262),),)</f>
        <v>0</v>
      </c>
      <c r="M262" s="382">
        <f>IFERROR(IF(B262="Funkcna poziadavka",VLOOKUP(G262,MODULY_CBA!$B$3:$E$23,3,0),),)</f>
        <v>0</v>
      </c>
      <c r="N262" s="382">
        <f>IFERROR(IF(B262="funkcna poziadavka",VLOOKUP(G262,MODULY_CBA!$B$3:$E$23,2,0),),)</f>
        <v>0</v>
      </c>
      <c r="O262" s="381">
        <f t="shared" si="21"/>
        <v>0</v>
      </c>
      <c r="P262" s="380">
        <f>IFERROR(O262*VLOOKUP(G262,MODULY_CBA!$B$3:$F$23,5,0),)</f>
        <v>0</v>
      </c>
      <c r="Q262" s="482">
        <f>IFERROR(VLOOKUP(G262,MODULY_CBA!$B$3:$I$23,6,0),"")</f>
        <v>0</v>
      </c>
      <c r="R262" s="385"/>
      <c r="S262" s="385"/>
      <c r="T262" s="385"/>
      <c r="U262" s="385"/>
      <c r="V262" s="385"/>
      <c r="W262" s="385"/>
      <c r="X262" s="385"/>
      <c r="Y262" s="385"/>
      <c r="Z262" s="385"/>
      <c r="AA262" s="385"/>
      <c r="AB262" s="385"/>
      <c r="AC262" s="385"/>
      <c r="AD262" s="385"/>
      <c r="AE262" s="385"/>
      <c r="AF262" s="377"/>
    </row>
    <row r="263" spans="1:32" ht="39">
      <c r="A263" s="404" t="s">
        <v>1290</v>
      </c>
      <c r="B263" s="404" t="s">
        <v>1158</v>
      </c>
      <c r="C263" s="535" t="s">
        <v>842</v>
      </c>
      <c r="D263" s="535" t="s">
        <v>1291</v>
      </c>
      <c r="E263" s="535" t="s">
        <v>1292</v>
      </c>
      <c r="F263" s="686" t="s">
        <v>489</v>
      </c>
      <c r="G263" s="392" t="s">
        <v>281</v>
      </c>
      <c r="H263" s="382">
        <v>3</v>
      </c>
      <c r="I263" s="644">
        <v>15</v>
      </c>
      <c r="J263" s="382">
        <f t="shared" si="19"/>
        <v>3</v>
      </c>
      <c r="K263" s="382">
        <f t="shared" si="20"/>
        <v>45</v>
      </c>
      <c r="L263" s="646">
        <f>IFERROR(IF(B263="funkcna poziadavka",VLOOKUP(G263,MODULY_CBA!$B$3:$E$23,4,0)*H263/SUMIFS($H$3:$H$199,$G$3:$G$199,G263,$B$3:$B$199,B263),),)</f>
        <v>0</v>
      </c>
      <c r="M263" s="382">
        <f>IFERROR(IF(B263="Funkcna poziadavka",VLOOKUP(G263,MODULY_CBA!$B$3:$E$23,3,0),),)</f>
        <v>0</v>
      </c>
      <c r="N263" s="382">
        <f>IFERROR(IF(B263="funkcna poziadavka",VLOOKUP(G263,MODULY_CBA!$B$3:$E$23,2,0),),)</f>
        <v>0</v>
      </c>
      <c r="O263" s="381">
        <f t="shared" si="21"/>
        <v>0</v>
      </c>
      <c r="P263" s="380">
        <f>IFERROR(O263*VLOOKUP(G263,MODULY_CBA!$B$3:$F$23,5,0),)</f>
        <v>0</v>
      </c>
      <c r="Q263" s="482">
        <f>IFERROR(VLOOKUP(G263,MODULY_CBA!$B$3:$I$23,6,0),"")</f>
        <v>0</v>
      </c>
      <c r="R263" s="385"/>
      <c r="S263" s="385"/>
      <c r="T263" s="385"/>
      <c r="U263" s="385"/>
      <c r="V263" s="385"/>
      <c r="W263" s="385"/>
      <c r="X263" s="385"/>
      <c r="Y263" s="385"/>
      <c r="Z263" s="385"/>
      <c r="AA263" s="385"/>
      <c r="AB263" s="385"/>
      <c r="AC263" s="385"/>
      <c r="AD263" s="385"/>
      <c r="AE263" s="385"/>
      <c r="AF263" s="377"/>
    </row>
    <row r="264" spans="1:32" ht="104">
      <c r="A264" s="404" t="s">
        <v>1293</v>
      </c>
      <c r="B264" s="404" t="s">
        <v>1158</v>
      </c>
      <c r="C264" s="535" t="s">
        <v>842</v>
      </c>
      <c r="D264" s="535" t="s">
        <v>1294</v>
      </c>
      <c r="E264" s="535" t="s">
        <v>1295</v>
      </c>
      <c r="F264" s="686" t="s">
        <v>489</v>
      </c>
      <c r="G264" s="392" t="s">
        <v>277</v>
      </c>
      <c r="H264" s="382">
        <v>3</v>
      </c>
      <c r="I264" s="644">
        <v>15</v>
      </c>
      <c r="J264" s="382">
        <f t="shared" si="19"/>
        <v>3</v>
      </c>
      <c r="K264" s="382">
        <f t="shared" si="20"/>
        <v>45</v>
      </c>
      <c r="L264" s="646">
        <f>IFERROR(IF(B264="funkcna poziadavka",VLOOKUP(G264,MODULY_CBA!$B$3:$E$23,4,0)*H264/SUMIFS($H$3:$H$199,$G$3:$G$199,G264,$B$3:$B$199,B264),),)</f>
        <v>0</v>
      </c>
      <c r="M264" s="382">
        <f>IFERROR(IF(B264="Funkcna poziadavka",VLOOKUP(G264,MODULY_CBA!$B$3:$E$23,3,0),),)</f>
        <v>0</v>
      </c>
      <c r="N264" s="382">
        <f>IFERROR(IF(B264="funkcna poziadavka",VLOOKUP(G264,MODULY_CBA!$B$3:$E$23,2,0),),)</f>
        <v>0</v>
      </c>
      <c r="O264" s="381">
        <f t="shared" si="21"/>
        <v>0</v>
      </c>
      <c r="P264" s="380">
        <f>IFERROR(O264*VLOOKUP(G264,MODULY_CBA!$B$3:$F$23,5,0),)</f>
        <v>0</v>
      </c>
      <c r="Q264" s="482">
        <f>IFERROR(VLOOKUP(G264,MODULY_CBA!$B$3:$I$23,6,0),"")</f>
        <v>0</v>
      </c>
      <c r="R264" s="385"/>
      <c r="S264" s="385"/>
      <c r="T264" s="385"/>
      <c r="U264" s="385"/>
      <c r="V264" s="385"/>
      <c r="W264" s="385"/>
      <c r="X264" s="385"/>
      <c r="Y264" s="385"/>
      <c r="Z264" s="385"/>
      <c r="AA264" s="385"/>
      <c r="AB264" s="385"/>
      <c r="AC264" s="385"/>
      <c r="AD264" s="385"/>
      <c r="AE264" s="385"/>
      <c r="AF264" s="377"/>
    </row>
    <row r="265" spans="1:32" ht="52">
      <c r="A265" s="404" t="s">
        <v>1296</v>
      </c>
      <c r="B265" s="404" t="s">
        <v>1158</v>
      </c>
      <c r="C265" s="535" t="s">
        <v>842</v>
      </c>
      <c r="D265" s="535" t="s">
        <v>1297</v>
      </c>
      <c r="E265" s="535" t="s">
        <v>1298</v>
      </c>
      <c r="F265" s="686" t="s">
        <v>489</v>
      </c>
      <c r="G265" s="392" t="s">
        <v>277</v>
      </c>
      <c r="H265" s="382">
        <v>3</v>
      </c>
      <c r="I265" s="644">
        <v>15</v>
      </c>
      <c r="J265" s="382">
        <f t="shared" si="19"/>
        <v>3</v>
      </c>
      <c r="K265" s="382">
        <f t="shared" si="20"/>
        <v>45</v>
      </c>
      <c r="L265" s="646">
        <f>IFERROR(IF(B265="funkcna poziadavka",VLOOKUP(G265,MODULY_CBA!$B$3:$E$23,4,0)*H265/SUMIFS($H$3:$H$199,$G$3:$G$199,G265,$B$3:$B$199,B265),),)</f>
        <v>0</v>
      </c>
      <c r="M265" s="382">
        <f>IFERROR(IF(B265="Funkcna poziadavka",VLOOKUP(G265,MODULY_CBA!$B$3:$E$23,3,0),),)</f>
        <v>0</v>
      </c>
      <c r="N265" s="382">
        <f>IFERROR(IF(B265="funkcna poziadavka",VLOOKUP(G265,MODULY_CBA!$B$3:$E$23,2,0),),)</f>
        <v>0</v>
      </c>
      <c r="O265" s="381">
        <f t="shared" si="21"/>
        <v>0</v>
      </c>
      <c r="P265" s="380">
        <f>IFERROR(O265*VLOOKUP(G265,MODULY_CBA!$B$3:$F$23,5,0),)</f>
        <v>0</v>
      </c>
      <c r="Q265" s="482">
        <f>IFERROR(VLOOKUP(G265,MODULY_CBA!$B$3:$I$23,6,0),"")</f>
        <v>0</v>
      </c>
      <c r="R265" s="385"/>
      <c r="S265" s="385"/>
      <c r="T265" s="385"/>
      <c r="U265" s="385"/>
      <c r="V265" s="385"/>
      <c r="W265" s="385"/>
      <c r="X265" s="385"/>
      <c r="Y265" s="385"/>
      <c r="Z265" s="385"/>
      <c r="AA265" s="385"/>
      <c r="AB265" s="385"/>
      <c r="AC265" s="385"/>
      <c r="AD265" s="385"/>
      <c r="AE265" s="385"/>
      <c r="AF265" s="377"/>
    </row>
    <row r="266" spans="1:32" ht="52">
      <c r="A266" s="404" t="s">
        <v>1299</v>
      </c>
      <c r="B266" s="404" t="s">
        <v>1158</v>
      </c>
      <c r="C266" s="535" t="s">
        <v>842</v>
      </c>
      <c r="D266" s="535" t="s">
        <v>1300</v>
      </c>
      <c r="E266" s="535" t="s">
        <v>1301</v>
      </c>
      <c r="F266" s="686" t="s">
        <v>489</v>
      </c>
      <c r="G266" s="392" t="s">
        <v>281</v>
      </c>
      <c r="H266" s="382">
        <v>3</v>
      </c>
      <c r="I266" s="644">
        <v>15</v>
      </c>
      <c r="J266" s="382">
        <f t="shared" si="19"/>
        <v>3</v>
      </c>
      <c r="K266" s="382">
        <f t="shared" si="20"/>
        <v>45</v>
      </c>
      <c r="L266" s="646">
        <f>IFERROR(IF(B266="funkcna poziadavka",VLOOKUP(G266,MODULY_CBA!$B$3:$E$23,4,0)*H266/SUMIFS($H$3:$H$199,$G$3:$G$199,G266,$B$3:$B$199,B266),),)</f>
        <v>0</v>
      </c>
      <c r="M266" s="382">
        <f>IFERROR(IF(B266="Funkcna poziadavka",VLOOKUP(G266,MODULY_CBA!$B$3:$E$23,3,0),),)</f>
        <v>0</v>
      </c>
      <c r="N266" s="382">
        <f>IFERROR(IF(B266="funkcna poziadavka",VLOOKUP(G266,MODULY_CBA!$B$3:$E$23,2,0),),)</f>
        <v>0</v>
      </c>
      <c r="O266" s="381">
        <f t="shared" si="21"/>
        <v>0</v>
      </c>
      <c r="P266" s="380">
        <f>IFERROR(O266*VLOOKUP(G266,MODULY_CBA!$B$3:$F$23,5,0),)</f>
        <v>0</v>
      </c>
      <c r="Q266" s="482">
        <f>IFERROR(VLOOKUP(G266,MODULY_CBA!$B$3:$I$23,6,0),"")</f>
        <v>0</v>
      </c>
      <c r="R266" s="385"/>
      <c r="S266" s="385"/>
      <c r="T266" s="385"/>
      <c r="U266" s="385"/>
      <c r="V266" s="385"/>
      <c r="W266" s="385"/>
      <c r="X266" s="385"/>
      <c r="Y266" s="385"/>
      <c r="Z266" s="385"/>
      <c r="AA266" s="385"/>
      <c r="AB266" s="385"/>
      <c r="AC266" s="385"/>
      <c r="AD266" s="385"/>
      <c r="AE266" s="385"/>
      <c r="AF266" s="377"/>
    </row>
    <row r="267" spans="1:32" ht="39">
      <c r="A267" s="404" t="s">
        <v>1302</v>
      </c>
      <c r="B267" s="404" t="s">
        <v>1158</v>
      </c>
      <c r="C267" s="535" t="s">
        <v>842</v>
      </c>
      <c r="D267" s="535" t="s">
        <v>1303</v>
      </c>
      <c r="E267" s="535" t="s">
        <v>1304</v>
      </c>
      <c r="F267" s="686" t="s">
        <v>489</v>
      </c>
      <c r="G267" s="392" t="s">
        <v>281</v>
      </c>
      <c r="H267" s="382">
        <v>3</v>
      </c>
      <c r="I267" s="644">
        <v>15</v>
      </c>
      <c r="J267" s="382">
        <f t="shared" si="19"/>
        <v>3</v>
      </c>
      <c r="K267" s="382">
        <f t="shared" si="20"/>
        <v>45</v>
      </c>
      <c r="L267" s="646">
        <f>IFERROR(IF(B267="funkcna poziadavka",VLOOKUP(G267,MODULY_CBA!$B$3:$E$23,4,0)*H267/SUMIFS($H$3:$H$199,$G$3:$G$199,G267,$B$3:$B$199,B267),),)</f>
        <v>0</v>
      </c>
      <c r="M267" s="382">
        <f>IFERROR(IF(B267="Funkcna poziadavka",VLOOKUP(G267,MODULY_CBA!$B$3:$E$23,3,0),),)</f>
        <v>0</v>
      </c>
      <c r="N267" s="382">
        <f>IFERROR(IF(B267="funkcna poziadavka",VLOOKUP(G267,MODULY_CBA!$B$3:$E$23,2,0),),)</f>
        <v>0</v>
      </c>
      <c r="O267" s="381">
        <f t="shared" si="21"/>
        <v>0</v>
      </c>
      <c r="P267" s="380">
        <f>IFERROR(O267*VLOOKUP(G267,MODULY_CBA!$B$3:$F$23,5,0),)</f>
        <v>0</v>
      </c>
      <c r="Q267" s="482">
        <f>IFERROR(VLOOKUP(G267,MODULY_CBA!$B$3:$I$23,6,0),"")</f>
        <v>0</v>
      </c>
      <c r="R267" s="385"/>
      <c r="S267" s="385"/>
      <c r="T267" s="385"/>
      <c r="U267" s="385"/>
      <c r="V267" s="385"/>
      <c r="W267" s="385"/>
      <c r="X267" s="385"/>
      <c r="Y267" s="385"/>
      <c r="Z267" s="385"/>
      <c r="AA267" s="385"/>
      <c r="AB267" s="385"/>
      <c r="AC267" s="385"/>
      <c r="AD267" s="385"/>
      <c r="AE267" s="385"/>
      <c r="AF267" s="377"/>
    </row>
    <row r="268" spans="1:32" ht="52">
      <c r="A268" s="404" t="s">
        <v>1305</v>
      </c>
      <c r="B268" s="404" t="s">
        <v>1158</v>
      </c>
      <c r="C268" s="535" t="s">
        <v>842</v>
      </c>
      <c r="D268" s="535" t="s">
        <v>1306</v>
      </c>
      <c r="E268" s="535" t="s">
        <v>1307</v>
      </c>
      <c r="F268" s="686" t="s">
        <v>489</v>
      </c>
      <c r="G268" s="392" t="s">
        <v>277</v>
      </c>
      <c r="H268" s="382">
        <v>3</v>
      </c>
      <c r="I268" s="644">
        <v>15</v>
      </c>
      <c r="J268" s="382">
        <f t="shared" si="19"/>
        <v>3</v>
      </c>
      <c r="K268" s="382">
        <f t="shared" si="20"/>
        <v>45</v>
      </c>
      <c r="L268" s="646">
        <f>IFERROR(IF(B268="funkcna poziadavka",VLOOKUP(G268,MODULY_CBA!$B$3:$E$23,4,0)*H268/SUMIFS($H$3:$H$199,$G$3:$G$199,G268,$B$3:$B$199,B268),),)</f>
        <v>0</v>
      </c>
      <c r="M268" s="382">
        <f>IFERROR(IF(B268="Funkcna poziadavka",VLOOKUP(G268,MODULY_CBA!$B$3:$E$23,3,0),),)</f>
        <v>0</v>
      </c>
      <c r="N268" s="382">
        <f>IFERROR(IF(B268="funkcna poziadavka",VLOOKUP(G268,MODULY_CBA!$B$3:$E$23,2,0),),)</f>
        <v>0</v>
      </c>
      <c r="O268" s="381">
        <f t="shared" si="21"/>
        <v>0</v>
      </c>
      <c r="P268" s="380">
        <f>IFERROR(O268*VLOOKUP(G268,MODULY_CBA!$B$3:$F$23,5,0),)</f>
        <v>0</v>
      </c>
      <c r="Q268" s="482">
        <f>IFERROR(VLOOKUP(G268,MODULY_CBA!$B$3:$I$23,6,0),"")</f>
        <v>0</v>
      </c>
      <c r="R268" s="385"/>
      <c r="S268" s="385"/>
      <c r="T268" s="385"/>
      <c r="U268" s="385"/>
      <c r="V268" s="385"/>
      <c r="W268" s="385"/>
      <c r="X268" s="385"/>
      <c r="Y268" s="385"/>
      <c r="Z268" s="385"/>
      <c r="AA268" s="385"/>
      <c r="AB268" s="385"/>
      <c r="AC268" s="385"/>
      <c r="AD268" s="385"/>
      <c r="AE268" s="385"/>
      <c r="AF268" s="377"/>
    </row>
    <row r="269" spans="1:32" ht="39">
      <c r="A269" s="404" t="s">
        <v>1308</v>
      </c>
      <c r="B269" s="404" t="s">
        <v>1158</v>
      </c>
      <c r="C269" s="535" t="s">
        <v>842</v>
      </c>
      <c r="D269" s="535" t="s">
        <v>1309</v>
      </c>
      <c r="E269" s="535" t="s">
        <v>1310</v>
      </c>
      <c r="F269" s="686" t="s">
        <v>489</v>
      </c>
      <c r="G269" s="392" t="s">
        <v>277</v>
      </c>
      <c r="H269" s="382">
        <v>3</v>
      </c>
      <c r="I269" s="644">
        <v>15</v>
      </c>
      <c r="J269" s="382">
        <f t="shared" si="19"/>
        <v>3</v>
      </c>
      <c r="K269" s="382">
        <f t="shared" si="20"/>
        <v>45</v>
      </c>
      <c r="L269" s="646">
        <f>IFERROR(IF(B269="funkcna poziadavka",VLOOKUP(G269,MODULY_CBA!$B$3:$E$23,4,0)*H269/SUMIFS($H$3:$H$199,$G$3:$G$199,G269,$B$3:$B$199,B269),),)</f>
        <v>0</v>
      </c>
      <c r="M269" s="382">
        <f>IFERROR(IF(B269="Funkcna poziadavka",VLOOKUP(G269,MODULY_CBA!$B$3:$E$23,3,0),),)</f>
        <v>0</v>
      </c>
      <c r="N269" s="382">
        <f>IFERROR(IF(B269="funkcna poziadavka",VLOOKUP(G269,MODULY_CBA!$B$3:$E$23,2,0),),)</f>
        <v>0</v>
      </c>
      <c r="O269" s="381">
        <f t="shared" si="21"/>
        <v>0</v>
      </c>
      <c r="P269" s="380">
        <f>IFERROR(O269*VLOOKUP(G269,MODULY_CBA!$B$3:$F$23,5,0),)</f>
        <v>0</v>
      </c>
      <c r="Q269" s="482">
        <f>IFERROR(VLOOKUP(G269,MODULY_CBA!$B$3:$I$23,6,0),"")</f>
        <v>0</v>
      </c>
      <c r="R269" s="385"/>
      <c r="S269" s="385"/>
      <c r="T269" s="385"/>
      <c r="U269" s="385"/>
      <c r="V269" s="385"/>
      <c r="W269" s="385"/>
      <c r="X269" s="385"/>
      <c r="Y269" s="385"/>
      <c r="Z269" s="385"/>
      <c r="AA269" s="385"/>
      <c r="AB269" s="385"/>
      <c r="AC269" s="385"/>
      <c r="AD269" s="385"/>
      <c r="AE269" s="385"/>
      <c r="AF269" s="377"/>
    </row>
    <row r="270" spans="1:32" ht="52">
      <c r="A270" s="404" t="s">
        <v>1311</v>
      </c>
      <c r="B270" s="404" t="s">
        <v>1158</v>
      </c>
      <c r="C270" s="535" t="s">
        <v>842</v>
      </c>
      <c r="D270" s="535" t="s">
        <v>1312</v>
      </c>
      <c r="E270" s="535" t="s">
        <v>1313</v>
      </c>
      <c r="F270" s="686" t="s">
        <v>489</v>
      </c>
      <c r="G270" s="392" t="s">
        <v>275</v>
      </c>
      <c r="H270" s="382">
        <v>3</v>
      </c>
      <c r="I270" s="644">
        <v>15</v>
      </c>
      <c r="J270" s="382">
        <f t="shared" si="19"/>
        <v>3</v>
      </c>
      <c r="K270" s="382">
        <f t="shared" si="20"/>
        <v>45</v>
      </c>
      <c r="L270" s="646">
        <f>IFERROR(IF(B270="funkcna poziadavka",VLOOKUP(G270,MODULY_CBA!$B$3:$E$23,4,0)*H270/SUMIFS($H$3:$H$199,$G$3:$G$199,G270,$B$3:$B$199,B270),),)</f>
        <v>0</v>
      </c>
      <c r="M270" s="382">
        <f>IFERROR(IF(B270="Funkcna poziadavka",VLOOKUP(G270,MODULY_CBA!$B$3:$E$23,3,0),),)</f>
        <v>0</v>
      </c>
      <c r="N270" s="382">
        <f>IFERROR(IF(B270="funkcna poziadavka",VLOOKUP(G270,MODULY_CBA!$B$3:$E$23,2,0),),)</f>
        <v>0</v>
      </c>
      <c r="O270" s="381">
        <f t="shared" si="21"/>
        <v>0</v>
      </c>
      <c r="P270" s="380">
        <f>IFERROR(O270*VLOOKUP(G270,MODULY_CBA!$B$3:$F$23,5,0),)</f>
        <v>0</v>
      </c>
      <c r="Q270" s="482">
        <f>IFERROR(VLOOKUP(G270,MODULY_CBA!$B$3:$I$23,6,0),"")</f>
        <v>0</v>
      </c>
      <c r="R270" s="385"/>
      <c r="S270" s="385"/>
      <c r="T270" s="385"/>
      <c r="U270" s="385"/>
      <c r="V270" s="385"/>
      <c r="W270" s="385"/>
      <c r="X270" s="385"/>
      <c r="Y270" s="385"/>
      <c r="Z270" s="385"/>
      <c r="AA270" s="385"/>
      <c r="AB270" s="385"/>
      <c r="AC270" s="385"/>
      <c r="AD270" s="385"/>
      <c r="AE270" s="385"/>
      <c r="AF270" s="377"/>
    </row>
    <row r="271" spans="1:32" ht="52">
      <c r="A271" s="404" t="s">
        <v>1314</v>
      </c>
      <c r="B271" s="404" t="s">
        <v>1158</v>
      </c>
      <c r="C271" s="535" t="s">
        <v>644</v>
      </c>
      <c r="D271" s="535" t="s">
        <v>1315</v>
      </c>
      <c r="E271" s="535" t="s">
        <v>1316</v>
      </c>
      <c r="F271" s="686" t="s">
        <v>489</v>
      </c>
      <c r="G271" s="392" t="s">
        <v>277</v>
      </c>
      <c r="H271" s="382">
        <v>3</v>
      </c>
      <c r="I271" s="644">
        <v>15</v>
      </c>
      <c r="J271" s="382">
        <f t="shared" si="19"/>
        <v>3</v>
      </c>
      <c r="K271" s="382">
        <f t="shared" si="20"/>
        <v>45</v>
      </c>
      <c r="L271" s="646">
        <f>IFERROR(IF(B271="funkcna poziadavka",VLOOKUP(G271,MODULY_CBA!$B$3:$E$23,4,0)*H271/SUMIFS($H$3:$H$199,$G$3:$G$199,G271,$B$3:$B$199,B271),),)</f>
        <v>0</v>
      </c>
      <c r="M271" s="382">
        <f>IFERROR(IF(B271="Funkcna poziadavka",VLOOKUP(G271,MODULY_CBA!$B$3:$E$23,3,0),),)</f>
        <v>0</v>
      </c>
      <c r="N271" s="382">
        <f>IFERROR(IF(B271="funkcna poziadavka",VLOOKUP(G271,MODULY_CBA!$B$3:$E$23,2,0),),)</f>
        <v>0</v>
      </c>
      <c r="O271" s="381">
        <f t="shared" si="21"/>
        <v>0</v>
      </c>
      <c r="P271" s="380">
        <f>IFERROR(O271*VLOOKUP(G271,MODULY_CBA!$B$3:$F$23,5,0),)</f>
        <v>0</v>
      </c>
      <c r="Q271" s="482">
        <f>IFERROR(VLOOKUP(G271,MODULY_CBA!$B$3:$I$23,6,0),"")</f>
        <v>0</v>
      </c>
      <c r="R271" s="385"/>
      <c r="S271" s="385"/>
      <c r="T271" s="385"/>
      <c r="U271" s="385"/>
      <c r="V271" s="385"/>
      <c r="W271" s="385"/>
      <c r="X271" s="385"/>
      <c r="Y271" s="385"/>
      <c r="Z271" s="385"/>
      <c r="AA271" s="385"/>
      <c r="AB271" s="385"/>
      <c r="AC271" s="385"/>
      <c r="AD271" s="385"/>
      <c r="AE271" s="385"/>
      <c r="AF271" s="377"/>
    </row>
    <row r="272" spans="1:32" ht="52">
      <c r="A272" s="404" t="s">
        <v>1317</v>
      </c>
      <c r="B272" s="404" t="s">
        <v>1158</v>
      </c>
      <c r="C272" s="535" t="s">
        <v>644</v>
      </c>
      <c r="D272" s="535" t="s">
        <v>1318</v>
      </c>
      <c r="E272" s="535" t="s">
        <v>1319</v>
      </c>
      <c r="F272" s="686" t="s">
        <v>489</v>
      </c>
      <c r="G272" s="392" t="s">
        <v>281</v>
      </c>
      <c r="H272" s="382">
        <v>3</v>
      </c>
      <c r="I272" s="644">
        <v>15</v>
      </c>
      <c r="J272" s="382">
        <f t="shared" si="19"/>
        <v>3</v>
      </c>
      <c r="K272" s="382">
        <f t="shared" si="20"/>
        <v>45</v>
      </c>
      <c r="L272" s="646">
        <f>IFERROR(IF(B272="funkcna poziadavka",VLOOKUP(G272,MODULY_CBA!$B$3:$E$23,4,0)*H272/SUMIFS($H$3:$H$199,$G$3:$G$199,G272,$B$3:$B$199,B272),),)</f>
        <v>0</v>
      </c>
      <c r="M272" s="382">
        <f>IFERROR(IF(B272="Funkcna poziadavka",VLOOKUP(G272,MODULY_CBA!$B$3:$E$23,3,0),),)</f>
        <v>0</v>
      </c>
      <c r="N272" s="382">
        <f>IFERROR(IF(B272="funkcna poziadavka",VLOOKUP(G272,MODULY_CBA!$B$3:$E$23,2,0),),)</f>
        <v>0</v>
      </c>
      <c r="O272" s="381">
        <f t="shared" si="21"/>
        <v>0</v>
      </c>
      <c r="P272" s="380">
        <f>IFERROR(O272*VLOOKUP(G272,MODULY_CBA!$B$3:$F$23,5,0),)</f>
        <v>0</v>
      </c>
      <c r="Q272" s="482">
        <f>IFERROR(VLOOKUP(G272,MODULY_CBA!$B$3:$I$23,6,0),"")</f>
        <v>0</v>
      </c>
      <c r="R272" s="385"/>
      <c r="S272" s="385"/>
      <c r="T272" s="385"/>
      <c r="U272" s="385"/>
      <c r="V272" s="385"/>
      <c r="W272" s="385"/>
      <c r="X272" s="385"/>
      <c r="Y272" s="385"/>
      <c r="Z272" s="385"/>
      <c r="AA272" s="385"/>
      <c r="AB272" s="385"/>
      <c r="AC272" s="385"/>
      <c r="AD272" s="385"/>
      <c r="AE272" s="385"/>
      <c r="AF272" s="377"/>
    </row>
    <row r="273" spans="1:32" ht="39">
      <c r="A273" s="404" t="s">
        <v>1320</v>
      </c>
      <c r="B273" s="404" t="s">
        <v>1158</v>
      </c>
      <c r="C273" s="535" t="s">
        <v>644</v>
      </c>
      <c r="D273" s="535" t="s">
        <v>1321</v>
      </c>
      <c r="E273" s="535" t="s">
        <v>1322</v>
      </c>
      <c r="F273" s="686" t="s">
        <v>489</v>
      </c>
      <c r="G273" s="392" t="s">
        <v>259</v>
      </c>
      <c r="H273" s="382">
        <v>3</v>
      </c>
      <c r="I273" s="644">
        <v>15</v>
      </c>
      <c r="J273" s="382">
        <f t="shared" si="19"/>
        <v>3</v>
      </c>
      <c r="K273" s="382">
        <f t="shared" si="20"/>
        <v>45</v>
      </c>
      <c r="L273" s="646">
        <f>IFERROR(IF(B273="funkcna poziadavka",VLOOKUP(G273,MODULY_CBA!$B$3:$E$23,4,0)*H273/SUMIFS($H$3:$H$199,$G$3:$G$199,G273,$B$3:$B$199,B273),),)</f>
        <v>0</v>
      </c>
      <c r="M273" s="382">
        <f>IFERROR(IF(B273="Funkcna poziadavka",VLOOKUP(G273,MODULY_CBA!$B$3:$E$23,3,0),),)</f>
        <v>0</v>
      </c>
      <c r="N273" s="382">
        <f>IFERROR(IF(B273="funkcna poziadavka",VLOOKUP(G273,MODULY_CBA!$B$3:$E$23,2,0),),)</f>
        <v>0</v>
      </c>
      <c r="O273" s="381">
        <f t="shared" si="21"/>
        <v>0</v>
      </c>
      <c r="P273" s="380">
        <f>IFERROR(O273*VLOOKUP(G273,MODULY_CBA!$B$3:$F$23,5,0),)</f>
        <v>0</v>
      </c>
      <c r="Q273" s="482" t="str">
        <f>IFERROR(VLOOKUP(G273,MODULY_CBA!$B$3:$I$23,6,0),"")</f>
        <v>Inkrement 2</v>
      </c>
      <c r="R273" s="385"/>
      <c r="S273" s="385"/>
      <c r="T273" s="385"/>
      <c r="U273" s="385"/>
      <c r="V273" s="385"/>
      <c r="W273" s="385"/>
      <c r="X273" s="385"/>
      <c r="Y273" s="385"/>
      <c r="Z273" s="385"/>
      <c r="AA273" s="385"/>
      <c r="AB273" s="385"/>
      <c r="AC273" s="385"/>
      <c r="AD273" s="385"/>
      <c r="AE273" s="385"/>
      <c r="AF273" s="377"/>
    </row>
    <row r="274" spans="1:32" ht="39">
      <c r="A274" s="404" t="s">
        <v>1323</v>
      </c>
      <c r="B274" s="404" t="s">
        <v>1158</v>
      </c>
      <c r="C274" s="392" t="s">
        <v>842</v>
      </c>
      <c r="D274" s="535" t="s">
        <v>1324</v>
      </c>
      <c r="E274" s="535" t="s">
        <v>1325</v>
      </c>
      <c r="F274" s="685" t="s">
        <v>489</v>
      </c>
      <c r="G274" s="392" t="s">
        <v>263</v>
      </c>
      <c r="H274" s="382">
        <v>3</v>
      </c>
      <c r="I274" s="644">
        <v>15</v>
      </c>
      <c r="J274" s="382">
        <f t="shared" si="19"/>
        <v>3</v>
      </c>
      <c r="K274" s="382">
        <f t="shared" si="20"/>
        <v>45</v>
      </c>
      <c r="L274" s="646">
        <f>IFERROR(IF(B274="funkcna poziadavka",VLOOKUP(G274,MODULY_CBA!$B$3:$E$23,4,0)*H274/SUMIFS($H$3:$H$199,$G$3:$G$199,G274,$B$3:$B$199,B274),),)</f>
        <v>0</v>
      </c>
      <c r="M274" s="382">
        <f>IFERROR(IF(B274="Funkcna poziadavka",VLOOKUP(G274,MODULY_CBA!$B$3:$E$23,3,0),),)</f>
        <v>0</v>
      </c>
      <c r="N274" s="382">
        <f>IFERROR(IF(B274="funkcna poziadavka",VLOOKUP(G274,MODULY_CBA!$B$3:$E$23,2,0),),)</f>
        <v>0</v>
      </c>
      <c r="O274" s="381">
        <f t="shared" si="21"/>
        <v>0</v>
      </c>
      <c r="P274" s="380">
        <f>IFERROR(O274*VLOOKUP(G274,MODULY_CBA!$B$3:$F$23,5,0),)</f>
        <v>0</v>
      </c>
      <c r="Q274" s="482" t="str">
        <f>IFERROR(VLOOKUP(G274,MODULY_CBA!$B$3:$I$23,6,0),"")</f>
        <v>Inkrement 1</v>
      </c>
      <c r="R274" s="385"/>
      <c r="S274" s="385"/>
      <c r="T274" s="385"/>
      <c r="U274" s="385"/>
      <c r="V274" s="385"/>
      <c r="W274" s="385"/>
      <c r="X274" s="385"/>
      <c r="Y274" s="385"/>
      <c r="Z274" s="385"/>
      <c r="AA274" s="385"/>
      <c r="AB274" s="385"/>
      <c r="AC274" s="385"/>
      <c r="AD274" s="385"/>
      <c r="AE274" s="385"/>
      <c r="AF274" s="377"/>
    </row>
    <row r="275" spans="1:32" ht="39">
      <c r="A275" s="404" t="s">
        <v>1326</v>
      </c>
      <c r="B275" s="404" t="s">
        <v>1158</v>
      </c>
      <c r="C275" s="392" t="s">
        <v>486</v>
      </c>
      <c r="D275" s="535" t="s">
        <v>1327</v>
      </c>
      <c r="E275" s="535" t="s">
        <v>1328</v>
      </c>
      <c r="F275" s="685" t="s">
        <v>489</v>
      </c>
      <c r="G275" s="685" t="s">
        <v>263</v>
      </c>
      <c r="H275" s="382">
        <v>3</v>
      </c>
      <c r="I275" s="644">
        <v>15</v>
      </c>
      <c r="J275" s="382">
        <f t="shared" si="19"/>
        <v>3</v>
      </c>
      <c r="K275" s="382">
        <f t="shared" si="20"/>
        <v>45</v>
      </c>
      <c r="L275" s="646">
        <f>IFERROR(IF(B275="funkcna poziadavka",VLOOKUP(G275,MODULY_CBA!$B$3:$E$23,4,0)*H275/SUMIFS($H$3:$H$199,$G$3:$G$199,G275,$B$3:$B$199,B275),),)</f>
        <v>0</v>
      </c>
      <c r="M275" s="382">
        <f>IFERROR(IF(B275="Funkcna poziadavka",VLOOKUP(G275,MODULY_CBA!$B$3:$E$23,3,0),),)</f>
        <v>0</v>
      </c>
      <c r="N275" s="382">
        <f>IFERROR(IF(B275="funkcna poziadavka",VLOOKUP(G275,MODULY_CBA!$B$3:$E$23,2,0),),)</f>
        <v>0</v>
      </c>
      <c r="O275" s="381">
        <f t="shared" si="21"/>
        <v>0</v>
      </c>
      <c r="P275" s="380">
        <f>IFERROR(O275*VLOOKUP(G275,MODULY_CBA!$B$3:$F$23,5,0),)</f>
        <v>0</v>
      </c>
      <c r="Q275" s="482" t="str">
        <f>IFERROR(VLOOKUP(G275,MODULY_CBA!$B$3:$I$23,6,0),"")</f>
        <v>Inkrement 1</v>
      </c>
      <c r="R275" s="385"/>
      <c r="S275" s="385"/>
      <c r="T275" s="385"/>
      <c r="U275" s="385"/>
      <c r="V275" s="385"/>
      <c r="W275" s="385"/>
      <c r="X275" s="385"/>
      <c r="Y275" s="385"/>
      <c r="Z275" s="385"/>
      <c r="AA275" s="385"/>
      <c r="AB275" s="385"/>
      <c r="AC275" s="385"/>
      <c r="AD275" s="385"/>
      <c r="AE275" s="385"/>
      <c r="AF275" s="377"/>
    </row>
    <row r="276" spans="1:32" ht="39">
      <c r="A276" s="404" t="s">
        <v>1329</v>
      </c>
      <c r="B276" s="404" t="s">
        <v>1158</v>
      </c>
      <c r="C276" s="392" t="s">
        <v>486</v>
      </c>
      <c r="D276" s="535" t="s">
        <v>1330</v>
      </c>
      <c r="E276" s="535" t="s">
        <v>1331</v>
      </c>
      <c r="F276" s="685" t="s">
        <v>489</v>
      </c>
      <c r="G276" s="685" t="s">
        <v>263</v>
      </c>
      <c r="H276" s="382">
        <v>3</v>
      </c>
      <c r="I276" s="644">
        <v>15</v>
      </c>
      <c r="J276" s="382">
        <f t="shared" si="19"/>
        <v>3</v>
      </c>
      <c r="K276" s="382">
        <f t="shared" si="20"/>
        <v>45</v>
      </c>
      <c r="L276" s="646">
        <f>IFERROR(IF(B276="funkcna poziadavka",VLOOKUP(G276,MODULY_CBA!$B$3:$E$23,4,0)*H276/SUMIFS($H$3:$H$199,$G$3:$G$199,G276,$B$3:$B$199,B276),),)</f>
        <v>0</v>
      </c>
      <c r="M276" s="382">
        <f>IFERROR(IF(B276="Funkcna poziadavka",VLOOKUP(G276,MODULY_CBA!$B$3:$E$23,3,0),),)</f>
        <v>0</v>
      </c>
      <c r="N276" s="382">
        <f>IFERROR(IF(B276="funkcna poziadavka",VLOOKUP(G276,MODULY_CBA!$B$3:$E$23,2,0),),)</f>
        <v>0</v>
      </c>
      <c r="O276" s="381">
        <f t="shared" si="21"/>
        <v>0</v>
      </c>
      <c r="P276" s="380">
        <f>IFERROR(O276*VLOOKUP(G276,MODULY_CBA!$B$3:$F$23,5,0),)</f>
        <v>0</v>
      </c>
      <c r="Q276" s="482" t="str">
        <f>IFERROR(VLOOKUP(G276,MODULY_CBA!$B$3:$I$23,6,0),"")</f>
        <v>Inkrement 1</v>
      </c>
      <c r="R276" s="385"/>
      <c r="S276" s="385"/>
      <c r="T276" s="385"/>
      <c r="U276" s="385"/>
      <c r="V276" s="385"/>
      <c r="W276" s="385"/>
      <c r="X276" s="385"/>
      <c r="Y276" s="385"/>
      <c r="Z276" s="385"/>
      <c r="AA276" s="385"/>
      <c r="AB276" s="385"/>
      <c r="AC276" s="385"/>
      <c r="AD276" s="385"/>
      <c r="AE276" s="385"/>
      <c r="AF276" s="377"/>
    </row>
    <row r="277" spans="1:32" ht="39">
      <c r="A277" s="404" t="s">
        <v>1332</v>
      </c>
      <c r="B277" s="404" t="s">
        <v>1158</v>
      </c>
      <c r="C277" s="392" t="s">
        <v>491</v>
      </c>
      <c r="D277" s="535" t="s">
        <v>1333</v>
      </c>
      <c r="E277" s="535" t="s">
        <v>1334</v>
      </c>
      <c r="F277" s="685" t="s">
        <v>489</v>
      </c>
      <c r="G277" s="685" t="s">
        <v>263</v>
      </c>
      <c r="H277" s="382">
        <v>3</v>
      </c>
      <c r="I277" s="644">
        <v>15</v>
      </c>
      <c r="J277" s="382">
        <f t="shared" si="19"/>
        <v>3</v>
      </c>
      <c r="K277" s="382">
        <f t="shared" si="20"/>
        <v>45</v>
      </c>
      <c r="L277" s="646">
        <f>IFERROR(IF(B277="funkcna poziadavka",VLOOKUP(G277,MODULY_CBA!$B$3:$E$23,4,0)*H277/SUMIFS($H$3:$H$199,$G$3:$G$199,G277,$B$3:$B$199,B277),),)</f>
        <v>0</v>
      </c>
      <c r="M277" s="382">
        <f>IFERROR(IF(B277="Funkcna poziadavka",VLOOKUP(G277,MODULY_CBA!$B$3:$E$23,3,0),),)</f>
        <v>0</v>
      </c>
      <c r="N277" s="382">
        <f>IFERROR(IF(B277="funkcna poziadavka",VLOOKUP(G277,MODULY_CBA!$B$3:$E$23,2,0),),)</f>
        <v>0</v>
      </c>
      <c r="O277" s="381">
        <f t="shared" si="21"/>
        <v>0</v>
      </c>
      <c r="P277" s="380">
        <f>IFERROR(O277*VLOOKUP(G277,MODULY_CBA!$B$3:$F$23,5,0),)</f>
        <v>0</v>
      </c>
      <c r="Q277" s="482" t="str">
        <f>IFERROR(VLOOKUP(G277,MODULY_CBA!$B$3:$I$23,6,0),"")</f>
        <v>Inkrement 1</v>
      </c>
      <c r="R277" s="385"/>
      <c r="S277" s="385"/>
      <c r="T277" s="385"/>
      <c r="U277" s="385"/>
      <c r="V277" s="385"/>
      <c r="W277" s="385"/>
      <c r="X277" s="385"/>
      <c r="Y277" s="385"/>
      <c r="Z277" s="385"/>
      <c r="AA277" s="385"/>
      <c r="AB277" s="385"/>
      <c r="AC277" s="385"/>
      <c r="AD277" s="385"/>
      <c r="AE277" s="385"/>
      <c r="AF277" s="377"/>
    </row>
    <row r="278" spans="1:32" ht="39">
      <c r="A278" s="404" t="s">
        <v>1335</v>
      </c>
      <c r="B278" s="404" t="s">
        <v>1158</v>
      </c>
      <c r="C278" s="392" t="s">
        <v>1336</v>
      </c>
      <c r="D278" s="535" t="s">
        <v>1337</v>
      </c>
      <c r="E278" s="535" t="s">
        <v>1338</v>
      </c>
      <c r="F278" s="685" t="s">
        <v>489</v>
      </c>
      <c r="G278" s="685" t="s">
        <v>263</v>
      </c>
      <c r="H278" s="382">
        <v>3</v>
      </c>
      <c r="I278" s="644">
        <v>15</v>
      </c>
      <c r="J278" s="382">
        <f t="shared" si="19"/>
        <v>3</v>
      </c>
      <c r="K278" s="382">
        <f t="shared" si="20"/>
        <v>45</v>
      </c>
      <c r="L278" s="646">
        <f>IFERROR(IF(B278="funkcna poziadavka",VLOOKUP(G278,MODULY_CBA!$B$3:$E$23,4,0)*H278/SUMIFS($H$3:$H$199,$G$3:$G$199,G278,$B$3:$B$199,B278),),)</f>
        <v>0</v>
      </c>
      <c r="M278" s="382">
        <f>IFERROR(IF(B278="Funkcna poziadavka",VLOOKUP(G278,MODULY_CBA!$B$3:$E$23,3,0),),)</f>
        <v>0</v>
      </c>
      <c r="N278" s="382">
        <f>IFERROR(IF(B278="funkcna poziadavka",VLOOKUP(G278,MODULY_CBA!$B$3:$E$23,2,0),),)</f>
        <v>0</v>
      </c>
      <c r="O278" s="381">
        <f t="shared" si="21"/>
        <v>0</v>
      </c>
      <c r="P278" s="380">
        <f>IFERROR(O278*VLOOKUP(G278,MODULY_CBA!$B$3:$F$23,5,0),)</f>
        <v>0</v>
      </c>
      <c r="Q278" s="482" t="str">
        <f>IFERROR(VLOOKUP(G278,MODULY_CBA!$B$3:$I$23,6,0),"")</f>
        <v>Inkrement 1</v>
      </c>
      <c r="R278" s="385"/>
      <c r="S278" s="385"/>
      <c r="T278" s="385"/>
      <c r="U278" s="385"/>
      <c r="V278" s="385"/>
      <c r="W278" s="385"/>
      <c r="X278" s="385"/>
      <c r="Y278" s="385"/>
      <c r="Z278" s="385"/>
      <c r="AA278" s="385"/>
      <c r="AB278" s="385"/>
      <c r="AC278" s="385"/>
      <c r="AD278" s="385"/>
      <c r="AE278" s="385"/>
      <c r="AF278" s="377"/>
    </row>
    <row r="279" spans="1:32" ht="39">
      <c r="A279" s="404" t="s">
        <v>1339</v>
      </c>
      <c r="B279" s="404" t="s">
        <v>1158</v>
      </c>
      <c r="C279" s="535" t="s">
        <v>873</v>
      </c>
      <c r="D279" s="535" t="s">
        <v>1340</v>
      </c>
      <c r="E279" s="535" t="s">
        <v>1341</v>
      </c>
      <c r="F279" s="686" t="s">
        <v>489</v>
      </c>
      <c r="G279" s="688" t="s">
        <v>277</v>
      </c>
      <c r="H279" s="382">
        <v>3</v>
      </c>
      <c r="I279" s="644">
        <v>15</v>
      </c>
      <c r="J279" s="382">
        <f t="shared" si="19"/>
        <v>3</v>
      </c>
      <c r="K279" s="382">
        <f t="shared" si="20"/>
        <v>45</v>
      </c>
      <c r="L279" s="646">
        <f>IFERROR(IF(B279="funkcna poziadavka",VLOOKUP(G279,MODULY_CBA!$B$3:$E$23,4,0)*H279/SUMIFS($H$3:$H$199,$G$3:$G$199,G279,$B$3:$B$199,B279),),)</f>
        <v>0</v>
      </c>
      <c r="M279" s="382">
        <f>IFERROR(IF(B279="Funkcna poziadavka",VLOOKUP(G279,MODULY_CBA!$B$3:$E$23,3,0),),)</f>
        <v>0</v>
      </c>
      <c r="N279" s="382">
        <f>IFERROR(IF(B279="funkcna poziadavka",VLOOKUP(G279,MODULY_CBA!$B$3:$E$23,2,0),),)</f>
        <v>0</v>
      </c>
      <c r="O279" s="381">
        <f t="shared" si="21"/>
        <v>0</v>
      </c>
      <c r="P279" s="380">
        <f>IFERROR(O279*VLOOKUP(G279,MODULY_CBA!$B$3:$F$23,5,0),)</f>
        <v>0</v>
      </c>
      <c r="Q279" s="482">
        <f>IFERROR(VLOOKUP(G279,MODULY_CBA!$B$3:$I$23,6,0),"")</f>
        <v>0</v>
      </c>
      <c r="R279" s="385"/>
      <c r="S279" s="385"/>
      <c r="T279" s="385"/>
      <c r="U279" s="385"/>
      <c r="V279" s="385"/>
      <c r="W279" s="385"/>
      <c r="X279" s="385"/>
      <c r="Y279" s="385"/>
      <c r="Z279" s="385"/>
      <c r="AA279" s="385"/>
      <c r="AB279" s="385"/>
      <c r="AC279" s="385"/>
      <c r="AD279" s="385"/>
      <c r="AE279" s="385"/>
      <c r="AF279" s="377"/>
    </row>
    <row r="280" spans="1:32" ht="39">
      <c r="A280" s="404" t="s">
        <v>1342</v>
      </c>
      <c r="B280" s="404" t="s">
        <v>1158</v>
      </c>
      <c r="C280" s="535" t="s">
        <v>873</v>
      </c>
      <c r="D280" s="535" t="s">
        <v>1343</v>
      </c>
      <c r="E280" s="535" t="s">
        <v>1344</v>
      </c>
      <c r="F280" s="686" t="s">
        <v>489</v>
      </c>
      <c r="G280" s="688" t="s">
        <v>277</v>
      </c>
      <c r="H280" s="382">
        <v>3</v>
      </c>
      <c r="I280" s="644">
        <v>15</v>
      </c>
      <c r="J280" s="382">
        <f t="shared" si="19"/>
        <v>3</v>
      </c>
      <c r="K280" s="382">
        <f t="shared" si="20"/>
        <v>45</v>
      </c>
      <c r="L280" s="646">
        <f>IFERROR(IF(B280="funkcna poziadavka",VLOOKUP(G280,MODULY_CBA!$B$3:$E$23,4,0)*H280/SUMIFS($H$3:$H$199,$G$3:$G$199,G280,$B$3:$B$199,B280),),)</f>
        <v>0</v>
      </c>
      <c r="M280" s="382">
        <f>IFERROR(IF(B280="Funkcna poziadavka",VLOOKUP(G280,MODULY_CBA!$B$3:$E$23,3,0),),)</f>
        <v>0</v>
      </c>
      <c r="N280" s="382">
        <f>IFERROR(IF(B280="funkcna poziadavka",VLOOKUP(G280,MODULY_CBA!$B$3:$E$23,2,0),),)</f>
        <v>0</v>
      </c>
      <c r="O280" s="381">
        <f t="shared" si="21"/>
        <v>0</v>
      </c>
      <c r="P280" s="380">
        <f>IFERROR(O280*VLOOKUP(G280,MODULY_CBA!$B$3:$F$23,5,0),)</f>
        <v>0</v>
      </c>
      <c r="Q280" s="482">
        <f>IFERROR(VLOOKUP(G280,MODULY_CBA!$B$3:$I$23,6,0),"")</f>
        <v>0</v>
      </c>
      <c r="R280" s="385"/>
      <c r="S280" s="385"/>
      <c r="T280" s="385"/>
      <c r="U280" s="385"/>
      <c r="V280" s="385"/>
      <c r="W280" s="385"/>
      <c r="X280" s="385"/>
      <c r="Y280" s="385"/>
      <c r="Z280" s="385"/>
      <c r="AA280" s="385"/>
      <c r="AB280" s="385"/>
      <c r="AC280" s="385"/>
      <c r="AD280" s="385"/>
      <c r="AE280" s="385"/>
      <c r="AF280" s="377"/>
    </row>
    <row r="281" spans="1:32" ht="39">
      <c r="A281" s="404" t="s">
        <v>1345</v>
      </c>
      <c r="B281" s="404" t="s">
        <v>1158</v>
      </c>
      <c r="C281" s="535" t="s">
        <v>873</v>
      </c>
      <c r="D281" s="535" t="s">
        <v>1346</v>
      </c>
      <c r="E281" s="535" t="s">
        <v>1347</v>
      </c>
      <c r="F281" s="686" t="s">
        <v>489</v>
      </c>
      <c r="G281" s="383" t="s">
        <v>277</v>
      </c>
      <c r="H281" s="382">
        <v>3</v>
      </c>
      <c r="I281" s="644">
        <v>15</v>
      </c>
      <c r="J281" s="382">
        <f t="shared" si="19"/>
        <v>3</v>
      </c>
      <c r="K281" s="382">
        <f t="shared" si="20"/>
        <v>45</v>
      </c>
      <c r="L281" s="646">
        <f>IFERROR(IF(B281="funkcna poziadavka",VLOOKUP(G281,MODULY_CBA!$B$3:$E$23,4,0)*H281/SUMIFS($H$3:$H$199,$G$3:$G$199,G281,$B$3:$B$199,B281),),)</f>
        <v>0</v>
      </c>
      <c r="M281" s="382">
        <f>IFERROR(IF(B281="Funkcna poziadavka",VLOOKUP(G281,MODULY_CBA!$B$3:$E$23,3,0),),)</f>
        <v>0</v>
      </c>
      <c r="N281" s="382">
        <f>IFERROR(IF(B281="funkcna poziadavka",VLOOKUP(G281,MODULY_CBA!$B$3:$E$23,2,0),),)</f>
        <v>0</v>
      </c>
      <c r="O281" s="381">
        <f t="shared" si="21"/>
        <v>0</v>
      </c>
      <c r="P281" s="380">
        <f>IFERROR(O281*VLOOKUP(G281,MODULY_CBA!$B$3:$F$23,5,0),)</f>
        <v>0</v>
      </c>
      <c r="Q281" s="482">
        <f>IFERROR(VLOOKUP(G281,MODULY_CBA!$B$3:$I$23,6,0),"")</f>
        <v>0</v>
      </c>
      <c r="R281" s="385"/>
      <c r="S281" s="385"/>
      <c r="T281" s="385"/>
      <c r="U281" s="385"/>
      <c r="V281" s="385"/>
      <c r="W281" s="385"/>
      <c r="X281" s="385"/>
      <c r="Y281" s="385"/>
      <c r="Z281" s="385"/>
      <c r="AA281" s="385"/>
      <c r="AB281" s="385"/>
      <c r="AC281" s="385"/>
      <c r="AD281" s="385"/>
      <c r="AE281" s="385"/>
      <c r="AF281" s="377"/>
    </row>
    <row r="282" spans="1:32" ht="39">
      <c r="A282" s="404" t="s">
        <v>1348</v>
      </c>
      <c r="B282" s="404" t="s">
        <v>1158</v>
      </c>
      <c r="C282" s="535" t="s">
        <v>535</v>
      </c>
      <c r="D282" s="535" t="s">
        <v>1349</v>
      </c>
      <c r="E282" s="535" t="s">
        <v>1350</v>
      </c>
      <c r="F282" s="686" t="s">
        <v>489</v>
      </c>
      <c r="G282" s="383" t="s">
        <v>277</v>
      </c>
      <c r="H282" s="382">
        <v>3</v>
      </c>
      <c r="I282" s="644">
        <v>15</v>
      </c>
      <c r="J282" s="382">
        <f t="shared" si="19"/>
        <v>3</v>
      </c>
      <c r="K282" s="382">
        <f t="shared" si="20"/>
        <v>45</v>
      </c>
      <c r="L282" s="646">
        <f>IFERROR(IF(B282="funkcna poziadavka",VLOOKUP(G282,MODULY_CBA!$B$3:$E$23,4,0)*H282/SUMIFS($H$3:$H$199,$G$3:$G$199,G282,$B$3:$B$199,B282),),)</f>
        <v>0</v>
      </c>
      <c r="M282" s="382">
        <f>IFERROR(IF(B282="Funkcna poziadavka",VLOOKUP(G282,MODULY_CBA!$B$3:$E$23,3,0),),)</f>
        <v>0</v>
      </c>
      <c r="N282" s="382">
        <f>IFERROR(IF(B282="funkcna poziadavka",VLOOKUP(G282,MODULY_CBA!$B$3:$E$23,2,0),),)</f>
        <v>0</v>
      </c>
      <c r="O282" s="381">
        <f t="shared" si="21"/>
        <v>0</v>
      </c>
      <c r="P282" s="380">
        <f>IFERROR(O282*VLOOKUP(G282,MODULY_CBA!$B$3:$F$23,5,0),)</f>
        <v>0</v>
      </c>
      <c r="Q282" s="482">
        <f>IFERROR(VLOOKUP(G282,MODULY_CBA!$B$3:$I$23,6,0),"")</f>
        <v>0</v>
      </c>
      <c r="R282" s="385"/>
      <c r="S282" s="385"/>
      <c r="T282" s="385"/>
      <c r="U282" s="385"/>
      <c r="V282" s="385"/>
      <c r="W282" s="385"/>
      <c r="X282" s="385"/>
      <c r="Y282" s="385"/>
      <c r="Z282" s="385"/>
      <c r="AA282" s="385"/>
      <c r="AB282" s="385"/>
      <c r="AC282" s="385"/>
      <c r="AD282" s="385"/>
      <c r="AE282" s="385"/>
      <c r="AF282" s="377"/>
    </row>
    <row r="283" spans="1:32" ht="39">
      <c r="A283" s="404" t="s">
        <v>1351</v>
      </c>
      <c r="B283" s="404" t="s">
        <v>1158</v>
      </c>
      <c r="C283" s="535" t="s">
        <v>873</v>
      </c>
      <c r="D283" s="535" t="s">
        <v>1352</v>
      </c>
      <c r="E283" s="535" t="s">
        <v>1353</v>
      </c>
      <c r="F283" s="686" t="s">
        <v>489</v>
      </c>
      <c r="G283" s="688" t="s">
        <v>277</v>
      </c>
      <c r="H283" s="382">
        <v>3</v>
      </c>
      <c r="I283" s="644">
        <v>15</v>
      </c>
      <c r="J283" s="382">
        <f t="shared" si="19"/>
        <v>3</v>
      </c>
      <c r="K283" s="382">
        <f t="shared" si="20"/>
        <v>45</v>
      </c>
      <c r="L283" s="646">
        <f>IFERROR(IF(B283="funkcna poziadavka",VLOOKUP(G283,MODULY_CBA!$B$3:$E$23,4,0)*H283/SUMIFS($H$3:$H$199,$G$3:$G$199,G283,$B$3:$B$199,B283),),)</f>
        <v>0</v>
      </c>
      <c r="M283" s="382">
        <f>IFERROR(IF(B283="Funkcna poziadavka",VLOOKUP(G283,MODULY_CBA!$B$3:$E$23,3,0),),)</f>
        <v>0</v>
      </c>
      <c r="N283" s="382">
        <f>IFERROR(IF(B283="funkcna poziadavka",VLOOKUP(G283,MODULY_CBA!$B$3:$E$23,2,0),),)</f>
        <v>0</v>
      </c>
      <c r="O283" s="381">
        <f t="shared" si="21"/>
        <v>0</v>
      </c>
      <c r="P283" s="380">
        <f>IFERROR(O283*VLOOKUP(G283,MODULY_CBA!$B$3:$F$23,5,0),)</f>
        <v>0</v>
      </c>
      <c r="Q283" s="482">
        <f>IFERROR(VLOOKUP(G283,MODULY_CBA!$B$3:$I$23,6,0),"")</f>
        <v>0</v>
      </c>
      <c r="R283" s="385"/>
      <c r="S283" s="385"/>
      <c r="T283" s="385"/>
      <c r="U283" s="385"/>
      <c r="V283" s="385"/>
      <c r="W283" s="385"/>
      <c r="X283" s="385"/>
      <c r="Y283" s="385"/>
      <c r="Z283" s="385"/>
      <c r="AA283" s="385"/>
      <c r="AB283" s="385"/>
      <c r="AC283" s="385"/>
      <c r="AD283" s="385"/>
      <c r="AE283" s="385"/>
      <c r="AF283" s="377"/>
    </row>
    <row r="284" spans="1:32" ht="26">
      <c r="A284" s="404" t="s">
        <v>1354</v>
      </c>
      <c r="B284" s="404" t="s">
        <v>1158</v>
      </c>
      <c r="C284" s="535" t="s">
        <v>1336</v>
      </c>
      <c r="D284" s="535" t="s">
        <v>1355</v>
      </c>
      <c r="E284" s="535" t="s">
        <v>1356</v>
      </c>
      <c r="F284" s="686" t="s">
        <v>489</v>
      </c>
      <c r="G284" s="688" t="s">
        <v>277</v>
      </c>
      <c r="H284" s="382">
        <v>3</v>
      </c>
      <c r="I284" s="644">
        <v>15</v>
      </c>
      <c r="J284" s="382">
        <f t="shared" si="19"/>
        <v>3</v>
      </c>
      <c r="K284" s="382">
        <f t="shared" si="20"/>
        <v>45</v>
      </c>
      <c r="L284" s="646">
        <f>IFERROR(IF(B284="funkcna poziadavka",VLOOKUP(G284,MODULY_CBA!$B$3:$E$23,4,0)*H284/SUMIFS($H$3:$H$199,$G$3:$G$199,G284,$B$3:$B$199,B284),),)</f>
        <v>0</v>
      </c>
      <c r="M284" s="382">
        <f>IFERROR(IF(B284="Funkcna poziadavka",VLOOKUP(G284,MODULY_CBA!$B$3:$E$23,3,0),),)</f>
        <v>0</v>
      </c>
      <c r="N284" s="382">
        <f>IFERROR(IF(B284="funkcna poziadavka",VLOOKUP(G284,MODULY_CBA!$B$3:$E$23,2,0),),)</f>
        <v>0</v>
      </c>
      <c r="O284" s="381">
        <f t="shared" si="21"/>
        <v>0</v>
      </c>
      <c r="P284" s="380">
        <f>IFERROR(O284*VLOOKUP(G284,MODULY_CBA!$B$3:$F$23,5,0),)</f>
        <v>0</v>
      </c>
      <c r="Q284" s="482">
        <f>IFERROR(VLOOKUP(G284,MODULY_CBA!$B$3:$I$23,6,0),"")</f>
        <v>0</v>
      </c>
      <c r="R284" s="385"/>
      <c r="S284" s="385"/>
      <c r="T284" s="385"/>
      <c r="U284" s="385"/>
      <c r="V284" s="385"/>
      <c r="W284" s="385"/>
      <c r="X284" s="385"/>
      <c r="Y284" s="385"/>
      <c r="Z284" s="385"/>
      <c r="AA284" s="385"/>
      <c r="AB284" s="385"/>
      <c r="AC284" s="385"/>
      <c r="AD284" s="385"/>
      <c r="AE284" s="385"/>
      <c r="AF284" s="377"/>
    </row>
    <row r="285" spans="1:32" ht="39">
      <c r="A285" s="404" t="s">
        <v>1357</v>
      </c>
      <c r="B285" s="689" t="s">
        <v>1158</v>
      </c>
      <c r="C285" s="535" t="s">
        <v>491</v>
      </c>
      <c r="D285" s="535" t="s">
        <v>1358</v>
      </c>
      <c r="E285" s="535" t="s">
        <v>1359</v>
      </c>
      <c r="F285" s="686" t="s">
        <v>489</v>
      </c>
      <c r="G285" s="688" t="s">
        <v>281</v>
      </c>
      <c r="H285" s="382">
        <v>3</v>
      </c>
      <c r="I285" s="644">
        <v>15</v>
      </c>
      <c r="J285" s="382">
        <f t="shared" ref="J285:J286" si="22">IF(ISNUMBER(H285),H285,)</f>
        <v>3</v>
      </c>
      <c r="K285" s="382">
        <f t="shared" ref="K285:K286" si="23">H285*I285</f>
        <v>45</v>
      </c>
      <c r="L285" s="646">
        <f>IFERROR(IF(B285="funkcna poziadavka",VLOOKUP(G285,MODULY_CBA!$B$3:$E$23,4,0)*H285/SUMIFS($H$3:$H$199,$G$3:$G$199,G285,$B$3:$B$199,B285),),)</f>
        <v>0</v>
      </c>
      <c r="M285" s="382">
        <f>IFERROR(IF(B285="Funkcna poziadavka",VLOOKUP(G285,MODULY_CBA!$B$3:$E$23,3,0),),)</f>
        <v>0</v>
      </c>
      <c r="N285" s="382">
        <f>IFERROR(IF(B285="funkcna poziadavka",VLOOKUP(G285,MODULY_CBA!$B$3:$E$23,2,0),),)</f>
        <v>0</v>
      </c>
      <c r="O285" s="381">
        <f t="shared" ref="O285:O286" si="24">(K285+L285)*M285*N285</f>
        <v>0</v>
      </c>
      <c r="P285" s="380">
        <f>IFERROR(O285*VLOOKUP(G285,MODULY_CBA!$B$3:$F$23,5,0),)</f>
        <v>0</v>
      </c>
      <c r="Q285" s="482">
        <f>IFERROR(VLOOKUP(G285,MODULY_CBA!$B$3:$I$23,6,0),"")</f>
        <v>0</v>
      </c>
      <c r="R285" s="385"/>
      <c r="S285" s="385"/>
      <c r="T285" s="385"/>
      <c r="U285" s="385"/>
      <c r="V285" s="385"/>
      <c r="W285" s="385"/>
      <c r="X285" s="385"/>
      <c r="Y285" s="385"/>
      <c r="Z285" s="385"/>
      <c r="AA285" s="385"/>
      <c r="AB285" s="385"/>
      <c r="AC285" s="385"/>
      <c r="AD285" s="385"/>
      <c r="AE285" s="385"/>
      <c r="AF285" s="377"/>
    </row>
    <row r="286" spans="1:32" ht="39">
      <c r="A286" s="404" t="s">
        <v>1360</v>
      </c>
      <c r="B286" s="404" t="s">
        <v>1158</v>
      </c>
      <c r="C286" s="535" t="s">
        <v>842</v>
      </c>
      <c r="D286" s="535" t="s">
        <v>1361</v>
      </c>
      <c r="E286" s="535" t="s">
        <v>1362</v>
      </c>
      <c r="F286" s="686" t="s">
        <v>489</v>
      </c>
      <c r="G286" s="688" t="s">
        <v>277</v>
      </c>
      <c r="H286" s="382">
        <v>3</v>
      </c>
      <c r="I286" s="644">
        <v>15</v>
      </c>
      <c r="J286" s="382">
        <f t="shared" si="22"/>
        <v>3</v>
      </c>
      <c r="K286" s="382">
        <f t="shared" si="23"/>
        <v>45</v>
      </c>
      <c r="L286" s="646">
        <f>IFERROR(IF(B286="funkcna poziadavka",VLOOKUP(G286,MODULY_CBA!$B$3:$E$23,4,0)*H286/SUMIFS($H$3:$H$199,$G$3:$G$199,G286,$B$3:$B$199,B286),),)</f>
        <v>0</v>
      </c>
      <c r="M286" s="382">
        <f>IFERROR(IF(B286="Funkcna poziadavka",VLOOKUP(G286,MODULY_CBA!$B$3:$E$23,3,0),),)</f>
        <v>0</v>
      </c>
      <c r="N286" s="382">
        <f>IFERROR(IF(B286="funkcna poziadavka",VLOOKUP(G286,MODULY_CBA!$B$3:$E$23,2,0),),)</f>
        <v>0</v>
      </c>
      <c r="O286" s="381">
        <f t="shared" si="24"/>
        <v>0</v>
      </c>
      <c r="P286" s="380">
        <f>IFERROR(O286*VLOOKUP(G286,MODULY_CBA!$B$3:$F$23,5,0),)</f>
        <v>0</v>
      </c>
      <c r="Q286" s="482">
        <f>IFERROR(VLOOKUP(G286,MODULY_CBA!$B$3:$I$23,6,0),"")</f>
        <v>0</v>
      </c>
      <c r="R286" s="385"/>
      <c r="S286" s="385"/>
      <c r="T286" s="385"/>
      <c r="U286" s="385"/>
      <c r="V286" s="385"/>
      <c r="W286" s="385"/>
      <c r="X286" s="385"/>
      <c r="Y286" s="385"/>
      <c r="Z286" s="385"/>
      <c r="AA286" s="385"/>
      <c r="AB286" s="385"/>
      <c r="AC286" s="385"/>
      <c r="AD286" s="385"/>
      <c r="AE286" s="385"/>
      <c r="AF286" s="377"/>
    </row>
    <row r="287" spans="1:32" ht="39">
      <c r="A287" s="404" t="s">
        <v>1363</v>
      </c>
      <c r="B287" s="404" t="s">
        <v>1158</v>
      </c>
      <c r="C287" s="535" t="s">
        <v>486</v>
      </c>
      <c r="D287" s="535" t="s">
        <v>1364</v>
      </c>
      <c r="E287" s="535" t="s">
        <v>1365</v>
      </c>
      <c r="F287" s="686" t="s">
        <v>489</v>
      </c>
      <c r="G287" s="383" t="s">
        <v>267</v>
      </c>
      <c r="H287" s="382">
        <v>3</v>
      </c>
      <c r="I287" s="644">
        <v>15</v>
      </c>
      <c r="J287" s="382">
        <f t="shared" ref="J287:J350" si="25">IF(ISNUMBER(H287),H287,)</f>
        <v>3</v>
      </c>
      <c r="K287" s="382">
        <f t="shared" ref="K287:K350" si="26">H287*I287</f>
        <v>45</v>
      </c>
      <c r="L287" s="646">
        <f>IFERROR(IF(B287="funkcna poziadavka",VLOOKUP(G287,MODULY_CBA!$B$3:$E$23,4,0)*H287/SUMIFS($H$3:$H$199,$G$3:$G$199,G287,$B$3:$B$199,B287),),)</f>
        <v>0</v>
      </c>
      <c r="M287" s="382">
        <f>IFERROR(IF(B287="Funkcna poziadavka",VLOOKUP(G287,MODULY_CBA!$B$3:$E$23,3,0),),)</f>
        <v>0</v>
      </c>
      <c r="N287" s="382">
        <f>IFERROR(IF(B287="funkcna poziadavka",VLOOKUP(G287,MODULY_CBA!$B$3:$E$23,2,0),),)</f>
        <v>0</v>
      </c>
      <c r="O287" s="381">
        <f t="shared" ref="O287:O350" si="27">(K287+L287)*M287*N287</f>
        <v>0</v>
      </c>
      <c r="P287" s="380">
        <f>IFERROR(O287*VLOOKUP(G287,MODULY_CBA!$B$3:$F$23,5,0),)</f>
        <v>0</v>
      </c>
      <c r="Q287" s="482" t="str">
        <f>IFERROR(VLOOKUP(G287,MODULY_CBA!$B$3:$I$23,6,0),"")</f>
        <v>Inkrement 2</v>
      </c>
      <c r="R287" s="385"/>
      <c r="S287" s="385"/>
      <c r="T287" s="385"/>
      <c r="U287" s="385"/>
      <c r="V287" s="385"/>
      <c r="W287" s="385"/>
      <c r="X287" s="385"/>
      <c r="Y287" s="385"/>
      <c r="Z287" s="385"/>
      <c r="AA287" s="385"/>
      <c r="AB287" s="385"/>
      <c r="AC287" s="385"/>
      <c r="AD287" s="385"/>
      <c r="AE287" s="385"/>
      <c r="AF287" s="377"/>
    </row>
    <row r="288" spans="1:32" ht="52">
      <c r="A288" s="404" t="s">
        <v>1366</v>
      </c>
      <c r="B288" s="404" t="s">
        <v>1158</v>
      </c>
      <c r="C288" s="535" t="s">
        <v>535</v>
      </c>
      <c r="D288" s="535" t="s">
        <v>1367</v>
      </c>
      <c r="E288" s="535" t="s">
        <v>1368</v>
      </c>
      <c r="F288" s="686" t="s">
        <v>489</v>
      </c>
      <c r="G288" s="383" t="s">
        <v>267</v>
      </c>
      <c r="H288" s="382">
        <v>3</v>
      </c>
      <c r="I288" s="644">
        <v>15</v>
      </c>
      <c r="J288" s="382">
        <f t="shared" si="25"/>
        <v>3</v>
      </c>
      <c r="K288" s="382">
        <f t="shared" si="26"/>
        <v>45</v>
      </c>
      <c r="L288" s="646">
        <f>IFERROR(IF(B288="funkcna poziadavka",VLOOKUP(G288,MODULY_CBA!$B$3:$E$23,4,0)*H288/SUMIFS($H$3:$H$199,$G$3:$G$199,G288,$B$3:$B$199,B288),),)</f>
        <v>0</v>
      </c>
      <c r="M288" s="382">
        <f>IFERROR(IF(B288="Funkcna poziadavka",VLOOKUP(G288,MODULY_CBA!$B$3:$E$23,3,0),),)</f>
        <v>0</v>
      </c>
      <c r="N288" s="382">
        <f>IFERROR(IF(B288="funkcna poziadavka",VLOOKUP(G288,MODULY_CBA!$B$3:$E$23,2,0),),)</f>
        <v>0</v>
      </c>
      <c r="O288" s="381">
        <f t="shared" si="27"/>
        <v>0</v>
      </c>
      <c r="P288" s="380">
        <f>IFERROR(O288*VLOOKUP(G288,MODULY_CBA!$B$3:$F$23,5,0),)</f>
        <v>0</v>
      </c>
      <c r="Q288" s="482" t="str">
        <f>IFERROR(VLOOKUP(G288,MODULY_CBA!$B$3:$I$23,6,0),"")</f>
        <v>Inkrement 2</v>
      </c>
      <c r="R288" s="385"/>
      <c r="S288" s="385"/>
      <c r="T288" s="385"/>
      <c r="U288" s="385"/>
      <c r="V288" s="385"/>
      <c r="W288" s="385"/>
      <c r="X288" s="385"/>
      <c r="Y288" s="385"/>
      <c r="Z288" s="385"/>
      <c r="AA288" s="385"/>
      <c r="AB288" s="385"/>
      <c r="AC288" s="385"/>
      <c r="AD288" s="385"/>
      <c r="AE288" s="385"/>
      <c r="AF288" s="377"/>
    </row>
    <row r="289" spans="1:32" ht="39">
      <c r="A289" s="404" t="s">
        <v>1369</v>
      </c>
      <c r="B289" s="404" t="s">
        <v>1158</v>
      </c>
      <c r="C289" s="535" t="s">
        <v>535</v>
      </c>
      <c r="D289" s="535" t="s">
        <v>1370</v>
      </c>
      <c r="E289" s="535" t="s">
        <v>1371</v>
      </c>
      <c r="F289" s="686" t="s">
        <v>489</v>
      </c>
      <c r="G289" s="383" t="s">
        <v>267</v>
      </c>
      <c r="H289" s="382">
        <v>3</v>
      </c>
      <c r="I289" s="644">
        <v>15</v>
      </c>
      <c r="J289" s="382">
        <f t="shared" si="25"/>
        <v>3</v>
      </c>
      <c r="K289" s="382">
        <f t="shared" si="26"/>
        <v>45</v>
      </c>
      <c r="L289" s="646">
        <f>IFERROR(IF(B289="funkcna poziadavka",VLOOKUP(G289,MODULY_CBA!$B$3:$E$23,4,0)*H289/SUMIFS($H$3:$H$199,$G$3:$G$199,G289,$B$3:$B$199,B289),),)</f>
        <v>0</v>
      </c>
      <c r="M289" s="382">
        <f>IFERROR(IF(B289="Funkcna poziadavka",VLOOKUP(G289,MODULY_CBA!$B$3:$E$23,3,0),),)</f>
        <v>0</v>
      </c>
      <c r="N289" s="382">
        <f>IFERROR(IF(B289="funkcna poziadavka",VLOOKUP(G289,MODULY_CBA!$B$3:$E$23,2,0),),)</f>
        <v>0</v>
      </c>
      <c r="O289" s="381">
        <f t="shared" si="27"/>
        <v>0</v>
      </c>
      <c r="P289" s="380">
        <f>IFERROR(O289*VLOOKUP(G289,MODULY_CBA!$B$3:$F$23,5,0),)</f>
        <v>0</v>
      </c>
      <c r="Q289" s="482" t="str">
        <f>IFERROR(VLOOKUP(G289,MODULY_CBA!$B$3:$I$23,6,0),"")</f>
        <v>Inkrement 2</v>
      </c>
      <c r="R289" s="385"/>
      <c r="S289" s="385"/>
      <c r="T289" s="385"/>
      <c r="U289" s="385"/>
      <c r="V289" s="385"/>
      <c r="W289" s="385"/>
      <c r="X289" s="385"/>
      <c r="Y289" s="385"/>
      <c r="Z289" s="385"/>
      <c r="AA289" s="385"/>
      <c r="AB289" s="385"/>
      <c r="AC289" s="385"/>
      <c r="AD289" s="385"/>
      <c r="AE289" s="385"/>
      <c r="AF289" s="377"/>
    </row>
    <row r="290" spans="1:32" ht="39">
      <c r="A290" s="404" t="s">
        <v>1372</v>
      </c>
      <c r="B290" s="404" t="s">
        <v>1158</v>
      </c>
      <c r="C290" s="535" t="s">
        <v>873</v>
      </c>
      <c r="D290" s="535" t="s">
        <v>1373</v>
      </c>
      <c r="E290" s="535" t="s">
        <v>1374</v>
      </c>
      <c r="F290" s="686" t="s">
        <v>489</v>
      </c>
      <c r="G290" s="383" t="s">
        <v>267</v>
      </c>
      <c r="H290" s="382">
        <v>3</v>
      </c>
      <c r="I290" s="644">
        <v>15</v>
      </c>
      <c r="J290" s="382">
        <f t="shared" si="25"/>
        <v>3</v>
      </c>
      <c r="K290" s="382">
        <f t="shared" si="26"/>
        <v>45</v>
      </c>
      <c r="L290" s="646">
        <f>IFERROR(IF(B290="funkcna poziadavka",VLOOKUP(G290,MODULY_CBA!$B$3:$E$23,4,0)*H290/SUMIFS($H$3:$H$199,$G$3:$G$199,G290,$B$3:$B$199,B290),),)</f>
        <v>0</v>
      </c>
      <c r="M290" s="382">
        <f>IFERROR(IF(B290="Funkcna poziadavka",VLOOKUP(G290,MODULY_CBA!$B$3:$E$23,3,0),),)</f>
        <v>0</v>
      </c>
      <c r="N290" s="382">
        <f>IFERROR(IF(B290="funkcna poziadavka",VLOOKUP(G290,MODULY_CBA!$B$3:$E$23,2,0),),)</f>
        <v>0</v>
      </c>
      <c r="O290" s="381">
        <f t="shared" si="27"/>
        <v>0</v>
      </c>
      <c r="P290" s="380">
        <f>IFERROR(O290*VLOOKUP(G290,MODULY_CBA!$B$3:$F$23,5,0),)</f>
        <v>0</v>
      </c>
      <c r="Q290" s="482" t="str">
        <f>IFERROR(VLOOKUP(G290,MODULY_CBA!$B$3:$I$23,6,0),"")</f>
        <v>Inkrement 2</v>
      </c>
      <c r="R290" s="385"/>
      <c r="S290" s="385"/>
      <c r="T290" s="385"/>
      <c r="U290" s="385"/>
      <c r="V290" s="385"/>
      <c r="W290" s="385"/>
      <c r="X290" s="385"/>
      <c r="Y290" s="385"/>
      <c r="Z290" s="385"/>
      <c r="AA290" s="385"/>
      <c r="AB290" s="385"/>
      <c r="AC290" s="385"/>
      <c r="AD290" s="385"/>
      <c r="AE290" s="385"/>
      <c r="AF290" s="377"/>
    </row>
    <row r="291" spans="1:32" ht="39">
      <c r="A291" s="404" t="s">
        <v>1375</v>
      </c>
      <c r="B291" s="404" t="s">
        <v>1158</v>
      </c>
      <c r="C291" s="535" t="s">
        <v>486</v>
      </c>
      <c r="D291" s="535" t="s">
        <v>1376</v>
      </c>
      <c r="E291" s="535" t="s">
        <v>1377</v>
      </c>
      <c r="F291" s="686" t="s">
        <v>489</v>
      </c>
      <c r="G291" s="383" t="s">
        <v>275</v>
      </c>
      <c r="H291" s="382">
        <v>3</v>
      </c>
      <c r="I291" s="644">
        <v>15</v>
      </c>
      <c r="J291" s="382">
        <f t="shared" si="25"/>
        <v>3</v>
      </c>
      <c r="K291" s="382">
        <f t="shared" si="26"/>
        <v>45</v>
      </c>
      <c r="L291" s="646">
        <f>IFERROR(IF(B291="funkcna poziadavka",VLOOKUP(G291,MODULY_CBA!$B$3:$E$23,4,0)*H291/SUMIFS($H$3:$H$199,$G$3:$G$199,G291,$B$3:$B$199,B291),),)</f>
        <v>0</v>
      </c>
      <c r="M291" s="382">
        <f>IFERROR(IF(B291="Funkcna poziadavka",VLOOKUP(G291,MODULY_CBA!$B$3:$E$23,3,0),),)</f>
        <v>0</v>
      </c>
      <c r="N291" s="382">
        <f>IFERROR(IF(B291="funkcna poziadavka",VLOOKUP(G291,MODULY_CBA!$B$3:$E$23,2,0),),)</f>
        <v>0</v>
      </c>
      <c r="O291" s="381">
        <f t="shared" si="27"/>
        <v>0</v>
      </c>
      <c r="P291" s="380">
        <f>IFERROR(O291*VLOOKUP(G291,MODULY_CBA!$B$3:$F$23,5,0),)</f>
        <v>0</v>
      </c>
      <c r="Q291" s="482">
        <f>IFERROR(VLOOKUP(G291,MODULY_CBA!$B$3:$I$23,6,0),"")</f>
        <v>0</v>
      </c>
      <c r="R291" s="385"/>
      <c r="S291" s="385"/>
      <c r="T291" s="385"/>
      <c r="U291" s="385"/>
      <c r="V291" s="385"/>
      <c r="W291" s="385"/>
      <c r="X291" s="385"/>
      <c r="Y291" s="385"/>
      <c r="Z291" s="385"/>
      <c r="AA291" s="385"/>
      <c r="AB291" s="385"/>
      <c r="AC291" s="385"/>
      <c r="AD291" s="385"/>
      <c r="AE291" s="385"/>
      <c r="AF291" s="377"/>
    </row>
    <row r="292" spans="1:32" ht="39">
      <c r="A292" s="404" t="s">
        <v>1378</v>
      </c>
      <c r="B292" s="404" t="s">
        <v>1158</v>
      </c>
      <c r="C292" s="535" t="s">
        <v>486</v>
      </c>
      <c r="D292" s="535" t="s">
        <v>1379</v>
      </c>
      <c r="E292" s="535" t="s">
        <v>1380</v>
      </c>
      <c r="F292" s="686" t="s">
        <v>489</v>
      </c>
      <c r="G292" s="383" t="s">
        <v>277</v>
      </c>
      <c r="H292" s="382">
        <v>3</v>
      </c>
      <c r="I292" s="644">
        <v>15</v>
      </c>
      <c r="J292" s="382">
        <f t="shared" si="25"/>
        <v>3</v>
      </c>
      <c r="K292" s="382">
        <f t="shared" si="26"/>
        <v>45</v>
      </c>
      <c r="L292" s="646">
        <f>IFERROR(IF(B292="funkcna poziadavka",VLOOKUP(G292,MODULY_CBA!$B$3:$E$23,4,0)*H292/SUMIFS($H$3:$H$199,$G$3:$G$199,G292,$B$3:$B$199,B292),),)</f>
        <v>0</v>
      </c>
      <c r="M292" s="382">
        <f>IFERROR(IF(B292="Funkcna poziadavka",VLOOKUP(G292,MODULY_CBA!$B$3:$E$23,3,0),),)</f>
        <v>0</v>
      </c>
      <c r="N292" s="382">
        <f>IFERROR(IF(B292="funkcna poziadavka",VLOOKUP(G292,MODULY_CBA!$B$3:$E$23,2,0),),)</f>
        <v>0</v>
      </c>
      <c r="O292" s="381">
        <f t="shared" si="27"/>
        <v>0</v>
      </c>
      <c r="P292" s="380">
        <f>IFERROR(O292*VLOOKUP(G292,MODULY_CBA!$B$3:$F$23,5,0),)</f>
        <v>0</v>
      </c>
      <c r="Q292" s="482">
        <f>IFERROR(VLOOKUP(G292,MODULY_CBA!$B$3:$I$23,6,0),"")</f>
        <v>0</v>
      </c>
      <c r="R292" s="385"/>
      <c r="S292" s="385"/>
      <c r="T292" s="385"/>
      <c r="U292" s="385"/>
      <c r="V292" s="385"/>
      <c r="W292" s="385"/>
      <c r="X292" s="385"/>
      <c r="Y292" s="385"/>
      <c r="Z292" s="385"/>
      <c r="AA292" s="385"/>
      <c r="AB292" s="385"/>
      <c r="AC292" s="385"/>
      <c r="AD292" s="385"/>
      <c r="AE292" s="385"/>
      <c r="AF292" s="377"/>
    </row>
    <row r="293" spans="1:32" ht="39">
      <c r="A293" s="404" t="s">
        <v>1381</v>
      </c>
      <c r="B293" s="404" t="s">
        <v>1158</v>
      </c>
      <c r="C293" s="535" t="s">
        <v>486</v>
      </c>
      <c r="D293" s="535" t="s">
        <v>1382</v>
      </c>
      <c r="E293" s="535" t="s">
        <v>1383</v>
      </c>
      <c r="F293" s="686" t="s">
        <v>489</v>
      </c>
      <c r="G293" s="383" t="s">
        <v>275</v>
      </c>
      <c r="H293" s="382">
        <v>3</v>
      </c>
      <c r="I293" s="644">
        <v>15</v>
      </c>
      <c r="J293" s="382">
        <f t="shared" si="25"/>
        <v>3</v>
      </c>
      <c r="K293" s="382">
        <f t="shared" si="26"/>
        <v>45</v>
      </c>
      <c r="L293" s="646">
        <f>IFERROR(IF(B293="funkcna poziadavka",VLOOKUP(G293,MODULY_CBA!$B$3:$E$23,4,0)*H293/SUMIFS($H$3:$H$199,$G$3:$G$199,G293,$B$3:$B$199,B293),),)</f>
        <v>0</v>
      </c>
      <c r="M293" s="382">
        <f>IFERROR(IF(B293="Funkcna poziadavka",VLOOKUP(G293,MODULY_CBA!$B$3:$E$23,3,0),),)</f>
        <v>0</v>
      </c>
      <c r="N293" s="382">
        <f>IFERROR(IF(B293="funkcna poziadavka",VLOOKUP(G293,MODULY_CBA!$B$3:$E$23,2,0),),)</f>
        <v>0</v>
      </c>
      <c r="O293" s="381">
        <f t="shared" si="27"/>
        <v>0</v>
      </c>
      <c r="P293" s="380">
        <f>IFERROR(O293*VLOOKUP(G293,MODULY_CBA!$B$3:$F$23,5,0),)</f>
        <v>0</v>
      </c>
      <c r="Q293" s="482">
        <f>IFERROR(VLOOKUP(G293,MODULY_CBA!$B$3:$I$23,6,0),"")</f>
        <v>0</v>
      </c>
      <c r="R293" s="385"/>
      <c r="S293" s="385"/>
      <c r="T293" s="385"/>
      <c r="U293" s="385"/>
      <c r="V293" s="385"/>
      <c r="W293" s="385"/>
      <c r="X293" s="385"/>
      <c r="Y293" s="385"/>
      <c r="Z293" s="385"/>
      <c r="AA293" s="385"/>
      <c r="AB293" s="385"/>
      <c r="AC293" s="385"/>
      <c r="AD293" s="385"/>
      <c r="AE293" s="385"/>
      <c r="AF293" s="377"/>
    </row>
    <row r="294" spans="1:32" ht="39">
      <c r="A294" s="404" t="s">
        <v>1384</v>
      </c>
      <c r="B294" s="404" t="s">
        <v>1158</v>
      </c>
      <c r="C294" s="535" t="s">
        <v>486</v>
      </c>
      <c r="D294" s="535" t="s">
        <v>1385</v>
      </c>
      <c r="E294" s="535" t="s">
        <v>1386</v>
      </c>
      <c r="F294" s="686" t="s">
        <v>489</v>
      </c>
      <c r="G294" s="383" t="s">
        <v>281</v>
      </c>
      <c r="H294" s="382">
        <v>3</v>
      </c>
      <c r="I294" s="644">
        <v>15</v>
      </c>
      <c r="J294" s="382">
        <f t="shared" si="25"/>
        <v>3</v>
      </c>
      <c r="K294" s="382">
        <f t="shared" si="26"/>
        <v>45</v>
      </c>
      <c r="L294" s="646">
        <f>IFERROR(IF(B294="funkcna poziadavka",VLOOKUP(G294,MODULY_CBA!$B$3:$E$23,4,0)*H294/SUMIFS($H$3:$H$199,$G$3:$G$199,G294,$B$3:$B$199,B294),),)</f>
        <v>0</v>
      </c>
      <c r="M294" s="382">
        <f>IFERROR(IF(B294="Funkcna poziadavka",VLOOKUP(G294,MODULY_CBA!$B$3:$E$23,3,0),),)</f>
        <v>0</v>
      </c>
      <c r="N294" s="382">
        <f>IFERROR(IF(B294="funkcna poziadavka",VLOOKUP(G294,MODULY_CBA!$B$3:$E$23,2,0),),)</f>
        <v>0</v>
      </c>
      <c r="O294" s="381">
        <f t="shared" si="27"/>
        <v>0</v>
      </c>
      <c r="P294" s="380">
        <f>IFERROR(O294*VLOOKUP(G294,MODULY_CBA!$B$3:$F$23,5,0),)</f>
        <v>0</v>
      </c>
      <c r="Q294" s="482">
        <f>IFERROR(VLOOKUP(G294,MODULY_CBA!$B$3:$I$23,6,0),"")</f>
        <v>0</v>
      </c>
      <c r="R294" s="385"/>
      <c r="S294" s="385"/>
      <c r="T294" s="385"/>
      <c r="U294" s="385"/>
      <c r="V294" s="385"/>
      <c r="W294" s="385"/>
      <c r="X294" s="385"/>
      <c r="Y294" s="385"/>
      <c r="Z294" s="385"/>
      <c r="AA294" s="385"/>
      <c r="AB294" s="385"/>
      <c r="AC294" s="385"/>
      <c r="AD294" s="385"/>
      <c r="AE294" s="385"/>
      <c r="AF294" s="377"/>
    </row>
    <row r="295" spans="1:32" ht="26">
      <c r="A295" s="404" t="s">
        <v>1387</v>
      </c>
      <c r="B295" s="404" t="s">
        <v>1158</v>
      </c>
      <c r="C295" s="535" t="s">
        <v>486</v>
      </c>
      <c r="D295" s="535" t="s">
        <v>1388</v>
      </c>
      <c r="E295" s="535" t="s">
        <v>1389</v>
      </c>
      <c r="F295" s="686" t="s">
        <v>489</v>
      </c>
      <c r="G295" s="383" t="s">
        <v>277</v>
      </c>
      <c r="H295" s="382">
        <v>3</v>
      </c>
      <c r="I295" s="644">
        <v>15</v>
      </c>
      <c r="J295" s="382">
        <f t="shared" si="25"/>
        <v>3</v>
      </c>
      <c r="K295" s="382">
        <f t="shared" si="26"/>
        <v>45</v>
      </c>
      <c r="L295" s="646">
        <f>IFERROR(IF(B295="funkcna poziadavka",VLOOKUP(G295,MODULY_CBA!$B$3:$E$23,4,0)*H295/SUMIFS($H$3:$H$199,$G$3:$G$199,G295,$B$3:$B$199,B295),),)</f>
        <v>0</v>
      </c>
      <c r="M295" s="382">
        <f>IFERROR(IF(B295="Funkcna poziadavka",VLOOKUP(G295,MODULY_CBA!$B$3:$E$23,3,0),),)</f>
        <v>0</v>
      </c>
      <c r="N295" s="382">
        <f>IFERROR(IF(B295="funkcna poziadavka",VLOOKUP(G295,MODULY_CBA!$B$3:$E$23,2,0),),)</f>
        <v>0</v>
      </c>
      <c r="O295" s="381">
        <f t="shared" si="27"/>
        <v>0</v>
      </c>
      <c r="P295" s="380">
        <f>IFERROR(O295*VLOOKUP(G295,MODULY_CBA!$B$3:$F$23,5,0),)</f>
        <v>0</v>
      </c>
      <c r="Q295" s="482">
        <f>IFERROR(VLOOKUP(G295,MODULY_CBA!$B$3:$I$23,6,0),"")</f>
        <v>0</v>
      </c>
      <c r="R295" s="385"/>
      <c r="S295" s="385"/>
      <c r="T295" s="385"/>
      <c r="U295" s="385"/>
      <c r="V295" s="385"/>
      <c r="W295" s="385"/>
      <c r="X295" s="385"/>
      <c r="Y295" s="385"/>
      <c r="Z295" s="385"/>
      <c r="AA295" s="385"/>
      <c r="AB295" s="385"/>
      <c r="AC295" s="385"/>
      <c r="AD295" s="385"/>
      <c r="AE295" s="385"/>
      <c r="AF295" s="377"/>
    </row>
    <row r="296" spans="1:32" ht="26">
      <c r="A296" s="404" t="s">
        <v>1390</v>
      </c>
      <c r="B296" s="404" t="s">
        <v>1158</v>
      </c>
      <c r="C296" s="535" t="s">
        <v>486</v>
      </c>
      <c r="D296" s="535" t="s">
        <v>1391</v>
      </c>
      <c r="E296" s="535" t="s">
        <v>1392</v>
      </c>
      <c r="F296" s="686" t="s">
        <v>489</v>
      </c>
      <c r="G296" s="383" t="s">
        <v>281</v>
      </c>
      <c r="H296" s="382">
        <v>3</v>
      </c>
      <c r="I296" s="644">
        <v>15</v>
      </c>
      <c r="J296" s="382">
        <f t="shared" si="25"/>
        <v>3</v>
      </c>
      <c r="K296" s="382">
        <f t="shared" si="26"/>
        <v>45</v>
      </c>
      <c r="L296" s="646">
        <f>IFERROR(IF(B296="funkcna poziadavka",VLOOKUP(G296,MODULY_CBA!$B$3:$E$23,4,0)*H296/SUMIFS($H$3:$H$199,$G$3:$G$199,G296,$B$3:$B$199,B296),),)</f>
        <v>0</v>
      </c>
      <c r="M296" s="382">
        <f>IFERROR(IF(B296="Funkcna poziadavka",VLOOKUP(G296,MODULY_CBA!$B$3:$E$23,3,0),),)</f>
        <v>0</v>
      </c>
      <c r="N296" s="382">
        <f>IFERROR(IF(B296="funkcna poziadavka",VLOOKUP(G296,MODULY_CBA!$B$3:$E$23,2,0),),)</f>
        <v>0</v>
      </c>
      <c r="O296" s="381">
        <f t="shared" si="27"/>
        <v>0</v>
      </c>
      <c r="P296" s="380">
        <f>IFERROR(O296*VLOOKUP(G296,MODULY_CBA!$B$3:$F$23,5,0),)</f>
        <v>0</v>
      </c>
      <c r="Q296" s="482">
        <f>IFERROR(VLOOKUP(G296,MODULY_CBA!$B$3:$I$23,6,0),"")</f>
        <v>0</v>
      </c>
      <c r="R296" s="385"/>
      <c r="S296" s="385"/>
      <c r="T296" s="385"/>
      <c r="U296" s="385"/>
      <c r="V296" s="385"/>
      <c r="W296" s="385"/>
      <c r="X296" s="385"/>
      <c r="Y296" s="385"/>
      <c r="Z296" s="385"/>
      <c r="AA296" s="385"/>
      <c r="AB296" s="385"/>
      <c r="AC296" s="385"/>
      <c r="AD296" s="385"/>
      <c r="AE296" s="385"/>
      <c r="AF296" s="377"/>
    </row>
    <row r="297" spans="1:32" ht="39">
      <c r="A297" s="404" t="s">
        <v>1393</v>
      </c>
      <c r="B297" s="404" t="s">
        <v>1158</v>
      </c>
      <c r="C297" s="535" t="s">
        <v>486</v>
      </c>
      <c r="D297" s="535" t="s">
        <v>1394</v>
      </c>
      <c r="E297" s="535" t="s">
        <v>1395</v>
      </c>
      <c r="F297" s="686" t="s">
        <v>489</v>
      </c>
      <c r="G297" s="383" t="s">
        <v>281</v>
      </c>
      <c r="H297" s="382">
        <v>3</v>
      </c>
      <c r="I297" s="644">
        <v>15</v>
      </c>
      <c r="J297" s="382">
        <f t="shared" si="25"/>
        <v>3</v>
      </c>
      <c r="K297" s="382">
        <f t="shared" si="26"/>
        <v>45</v>
      </c>
      <c r="L297" s="646">
        <f>IFERROR(IF(B297="funkcna poziadavka",VLOOKUP(G297,MODULY_CBA!$B$3:$E$23,4,0)*H297/SUMIFS($H$3:$H$199,$G$3:$G$199,G297,$B$3:$B$199,B297),),)</f>
        <v>0</v>
      </c>
      <c r="M297" s="382">
        <f>IFERROR(IF(B297="Funkcna poziadavka",VLOOKUP(G297,MODULY_CBA!$B$3:$E$23,3,0),),)</f>
        <v>0</v>
      </c>
      <c r="N297" s="382">
        <f>IFERROR(IF(B297="funkcna poziadavka",VLOOKUP(G297,MODULY_CBA!$B$3:$E$23,2,0),),)</f>
        <v>0</v>
      </c>
      <c r="O297" s="381">
        <f t="shared" si="27"/>
        <v>0</v>
      </c>
      <c r="P297" s="380">
        <f>IFERROR(O297*VLOOKUP(G297,MODULY_CBA!$B$3:$F$23,5,0),)</f>
        <v>0</v>
      </c>
      <c r="Q297" s="482">
        <f>IFERROR(VLOOKUP(G297,MODULY_CBA!$B$3:$I$23,6,0),"")</f>
        <v>0</v>
      </c>
      <c r="R297" s="385"/>
      <c r="S297" s="385"/>
      <c r="T297" s="385"/>
      <c r="U297" s="385"/>
      <c r="V297" s="385"/>
      <c r="W297" s="385"/>
      <c r="X297" s="385"/>
      <c r="Y297" s="385"/>
      <c r="Z297" s="385"/>
      <c r="AA297" s="385"/>
      <c r="AB297" s="385"/>
      <c r="AC297" s="385"/>
      <c r="AD297" s="385"/>
      <c r="AE297" s="385"/>
      <c r="AF297" s="377"/>
    </row>
    <row r="298" spans="1:32" ht="26">
      <c r="A298" s="404" t="s">
        <v>1396</v>
      </c>
      <c r="B298" s="404" t="s">
        <v>1158</v>
      </c>
      <c r="C298" s="535" t="s">
        <v>486</v>
      </c>
      <c r="D298" s="535" t="s">
        <v>1397</v>
      </c>
      <c r="E298" s="535" t="s">
        <v>1398</v>
      </c>
      <c r="F298" s="686" t="s">
        <v>489</v>
      </c>
      <c r="G298" s="383" t="s">
        <v>281</v>
      </c>
      <c r="H298" s="382">
        <v>3</v>
      </c>
      <c r="I298" s="644">
        <v>15</v>
      </c>
      <c r="J298" s="382">
        <f t="shared" si="25"/>
        <v>3</v>
      </c>
      <c r="K298" s="382">
        <f t="shared" si="26"/>
        <v>45</v>
      </c>
      <c r="L298" s="646">
        <f>IFERROR(IF(B298="funkcna poziadavka",VLOOKUP(G298,MODULY_CBA!$B$3:$E$23,4,0)*H298/SUMIFS($H$3:$H$199,$G$3:$G$199,G298,$B$3:$B$199,B298),),)</f>
        <v>0</v>
      </c>
      <c r="M298" s="382">
        <f>IFERROR(IF(B298="Funkcna poziadavka",VLOOKUP(G298,MODULY_CBA!$B$3:$E$23,3,0),),)</f>
        <v>0</v>
      </c>
      <c r="N298" s="382">
        <f>IFERROR(IF(B298="funkcna poziadavka",VLOOKUP(G298,MODULY_CBA!$B$3:$E$23,2,0),),)</f>
        <v>0</v>
      </c>
      <c r="O298" s="381">
        <f t="shared" si="27"/>
        <v>0</v>
      </c>
      <c r="P298" s="380">
        <f>IFERROR(O298*VLOOKUP(G298,MODULY_CBA!$B$3:$F$23,5,0),)</f>
        <v>0</v>
      </c>
      <c r="Q298" s="482">
        <f>IFERROR(VLOOKUP(G298,MODULY_CBA!$B$3:$I$23,6,0),"")</f>
        <v>0</v>
      </c>
      <c r="R298" s="385"/>
      <c r="S298" s="385"/>
      <c r="T298" s="385"/>
      <c r="U298" s="385"/>
      <c r="V298" s="385"/>
      <c r="W298" s="385"/>
      <c r="X298" s="385"/>
      <c r="Y298" s="385"/>
      <c r="Z298" s="385"/>
      <c r="AA298" s="385"/>
      <c r="AB298" s="385"/>
      <c r="AC298" s="385"/>
      <c r="AD298" s="385"/>
      <c r="AE298" s="385"/>
      <c r="AF298" s="377"/>
    </row>
    <row r="299" spans="1:32" ht="39">
      <c r="A299" s="404" t="s">
        <v>1399</v>
      </c>
      <c r="B299" s="404" t="s">
        <v>1158</v>
      </c>
      <c r="C299" s="535" t="s">
        <v>486</v>
      </c>
      <c r="D299" s="535" t="s">
        <v>1400</v>
      </c>
      <c r="E299" s="535" t="s">
        <v>1401</v>
      </c>
      <c r="F299" s="686" t="s">
        <v>489</v>
      </c>
      <c r="G299" s="383" t="s">
        <v>281</v>
      </c>
      <c r="H299" s="382">
        <v>3</v>
      </c>
      <c r="I299" s="644">
        <v>15</v>
      </c>
      <c r="J299" s="382">
        <f t="shared" si="25"/>
        <v>3</v>
      </c>
      <c r="K299" s="382">
        <f t="shared" si="26"/>
        <v>45</v>
      </c>
      <c r="L299" s="646">
        <f>IFERROR(IF(B299="funkcna poziadavka",VLOOKUP(G299,MODULY_CBA!$B$3:$E$23,4,0)*H299/SUMIFS($H$3:$H$199,$G$3:$G$199,G299,$B$3:$B$199,B299),),)</f>
        <v>0</v>
      </c>
      <c r="M299" s="382">
        <f>IFERROR(IF(B299="Funkcna poziadavka",VLOOKUP(G299,MODULY_CBA!$B$3:$E$23,3,0),),)</f>
        <v>0</v>
      </c>
      <c r="N299" s="382">
        <f>IFERROR(IF(B299="funkcna poziadavka",VLOOKUP(G299,MODULY_CBA!$B$3:$E$23,2,0),),)</f>
        <v>0</v>
      </c>
      <c r="O299" s="381">
        <f t="shared" si="27"/>
        <v>0</v>
      </c>
      <c r="P299" s="380">
        <f>IFERROR(O299*VLOOKUP(G299,MODULY_CBA!$B$3:$F$23,5,0),)</f>
        <v>0</v>
      </c>
      <c r="Q299" s="482">
        <f>IFERROR(VLOOKUP(G299,MODULY_CBA!$B$3:$I$23,6,0),"")</f>
        <v>0</v>
      </c>
      <c r="R299" s="385"/>
      <c r="S299" s="385"/>
      <c r="T299" s="385"/>
      <c r="U299" s="385"/>
      <c r="V299" s="385"/>
      <c r="W299" s="385"/>
      <c r="X299" s="385"/>
      <c r="Y299" s="385"/>
      <c r="Z299" s="385"/>
      <c r="AA299" s="385"/>
      <c r="AB299" s="385"/>
      <c r="AC299" s="385"/>
      <c r="AD299" s="385"/>
      <c r="AE299" s="385"/>
      <c r="AF299" s="377"/>
    </row>
    <row r="300" spans="1:32" ht="26">
      <c r="A300" s="404" t="s">
        <v>1402</v>
      </c>
      <c r="B300" s="404" t="s">
        <v>1158</v>
      </c>
      <c r="C300" s="535" t="s">
        <v>491</v>
      </c>
      <c r="D300" s="535" t="s">
        <v>1403</v>
      </c>
      <c r="E300" s="535" t="s">
        <v>1404</v>
      </c>
      <c r="F300" s="686" t="s">
        <v>489</v>
      </c>
      <c r="G300" s="383" t="s">
        <v>267</v>
      </c>
      <c r="H300" s="382">
        <v>3</v>
      </c>
      <c r="I300" s="644">
        <v>15</v>
      </c>
      <c r="J300" s="382">
        <f t="shared" si="25"/>
        <v>3</v>
      </c>
      <c r="K300" s="382">
        <f t="shared" si="26"/>
        <v>45</v>
      </c>
      <c r="L300" s="646">
        <f>IFERROR(IF(B300="funkcna poziadavka",VLOOKUP(G300,MODULY_CBA!$B$3:$E$23,4,0)*H300/SUMIFS($H$3:$H$199,$G$3:$G$199,G300,$B$3:$B$199,B300),),)</f>
        <v>0</v>
      </c>
      <c r="M300" s="382">
        <f>IFERROR(IF(B300="Funkcna poziadavka",VLOOKUP(G300,MODULY_CBA!$B$3:$E$23,3,0),),)</f>
        <v>0</v>
      </c>
      <c r="N300" s="382">
        <f>IFERROR(IF(B300="funkcna poziadavka",VLOOKUP(G300,MODULY_CBA!$B$3:$E$23,2,0),),)</f>
        <v>0</v>
      </c>
      <c r="O300" s="381">
        <f t="shared" si="27"/>
        <v>0</v>
      </c>
      <c r="P300" s="380">
        <f>IFERROR(O300*VLOOKUP(G300,MODULY_CBA!$B$3:$F$23,5,0),)</f>
        <v>0</v>
      </c>
      <c r="Q300" s="482" t="str">
        <f>IFERROR(VLOOKUP(G300,MODULY_CBA!$B$3:$I$23,6,0),"")</f>
        <v>Inkrement 2</v>
      </c>
      <c r="R300" s="385"/>
      <c r="S300" s="385"/>
      <c r="T300" s="385"/>
      <c r="U300" s="385"/>
      <c r="V300" s="385"/>
      <c r="W300" s="385"/>
      <c r="X300" s="385"/>
      <c r="Y300" s="385"/>
      <c r="Z300" s="385"/>
      <c r="AA300" s="385"/>
      <c r="AB300" s="385"/>
      <c r="AC300" s="385"/>
      <c r="AD300" s="385"/>
      <c r="AE300" s="385"/>
      <c r="AF300" s="377"/>
    </row>
    <row r="301" spans="1:32" ht="39">
      <c r="A301" s="404" t="s">
        <v>1405</v>
      </c>
      <c r="B301" s="404" t="s">
        <v>1158</v>
      </c>
      <c r="C301" s="535" t="s">
        <v>491</v>
      </c>
      <c r="D301" s="535" t="s">
        <v>1406</v>
      </c>
      <c r="E301" s="535" t="s">
        <v>1407</v>
      </c>
      <c r="F301" s="686" t="s">
        <v>489</v>
      </c>
      <c r="G301" s="383" t="s">
        <v>253</v>
      </c>
      <c r="H301" s="382">
        <v>3</v>
      </c>
      <c r="I301" s="644">
        <v>15</v>
      </c>
      <c r="J301" s="382">
        <f t="shared" si="25"/>
        <v>3</v>
      </c>
      <c r="K301" s="382">
        <f t="shared" si="26"/>
        <v>45</v>
      </c>
      <c r="L301" s="646">
        <f>IFERROR(IF(B301="funkcna poziadavka",VLOOKUP(G301,MODULY_CBA!$B$3:$E$23,4,0)*H301/SUMIFS($H$3:$H$199,$G$3:$G$199,G301,$B$3:$B$199,B301),),)</f>
        <v>0</v>
      </c>
      <c r="M301" s="382">
        <f>IFERROR(IF(B301="Funkcna poziadavka",VLOOKUP(G301,MODULY_CBA!$B$3:$E$23,3,0),),)</f>
        <v>0</v>
      </c>
      <c r="N301" s="382">
        <f>IFERROR(IF(B301="funkcna poziadavka",VLOOKUP(G301,MODULY_CBA!$B$3:$E$23,2,0),),)</f>
        <v>0</v>
      </c>
      <c r="O301" s="381">
        <f t="shared" si="27"/>
        <v>0</v>
      </c>
      <c r="P301" s="380">
        <f>IFERROR(O301*VLOOKUP(G301,MODULY_CBA!$B$3:$F$23,5,0),)</f>
        <v>0</v>
      </c>
      <c r="Q301" s="482" t="str">
        <f>IFERROR(VLOOKUP(G301,MODULY_CBA!$B$3:$I$23,6,0),"")</f>
        <v>Inkrement 2</v>
      </c>
      <c r="R301" s="385"/>
      <c r="S301" s="385"/>
      <c r="T301" s="385"/>
      <c r="U301" s="385"/>
      <c r="V301" s="385"/>
      <c r="W301" s="385"/>
      <c r="X301" s="385"/>
      <c r="Y301" s="385"/>
      <c r="Z301" s="385"/>
      <c r="AA301" s="385"/>
      <c r="AB301" s="385"/>
      <c r="AC301" s="385"/>
      <c r="AD301" s="385"/>
      <c r="AE301" s="385"/>
      <c r="AF301" s="377"/>
    </row>
    <row r="302" spans="1:32" ht="52">
      <c r="A302" s="404" t="s">
        <v>1408</v>
      </c>
      <c r="B302" s="404" t="s">
        <v>1158</v>
      </c>
      <c r="C302" s="535" t="s">
        <v>486</v>
      </c>
      <c r="D302" s="535" t="s">
        <v>1409</v>
      </c>
      <c r="E302" s="535" t="s">
        <v>1410</v>
      </c>
      <c r="F302" s="686" t="s">
        <v>489</v>
      </c>
      <c r="G302" s="383" t="s">
        <v>267</v>
      </c>
      <c r="H302" s="382">
        <v>3</v>
      </c>
      <c r="I302" s="644">
        <v>15</v>
      </c>
      <c r="J302" s="382">
        <f t="shared" si="25"/>
        <v>3</v>
      </c>
      <c r="K302" s="382">
        <f t="shared" si="26"/>
        <v>45</v>
      </c>
      <c r="L302" s="646">
        <f>IFERROR(IF(B302="funkcna poziadavka",VLOOKUP(G302,MODULY_CBA!$B$3:$E$23,4,0)*H302/SUMIFS($H$3:$H$199,$G$3:$G$199,G302,$B$3:$B$199,B302),),)</f>
        <v>0</v>
      </c>
      <c r="M302" s="382">
        <f>IFERROR(IF(B302="Funkcna poziadavka",VLOOKUP(G302,MODULY_CBA!$B$3:$E$23,3,0),),)</f>
        <v>0</v>
      </c>
      <c r="N302" s="382">
        <f>IFERROR(IF(B302="funkcna poziadavka",VLOOKUP(G302,MODULY_CBA!$B$3:$E$23,2,0),),)</f>
        <v>0</v>
      </c>
      <c r="O302" s="381">
        <f t="shared" si="27"/>
        <v>0</v>
      </c>
      <c r="P302" s="380">
        <f>IFERROR(O302*VLOOKUP(G302,MODULY_CBA!$B$3:$F$23,5,0),)</f>
        <v>0</v>
      </c>
      <c r="Q302" s="482" t="str">
        <f>IFERROR(VLOOKUP(G302,MODULY_CBA!$B$3:$I$23,6,0),"")</f>
        <v>Inkrement 2</v>
      </c>
      <c r="R302" s="385"/>
      <c r="S302" s="385"/>
      <c r="T302" s="385"/>
      <c r="U302" s="385"/>
      <c r="V302" s="385"/>
      <c r="W302" s="385"/>
      <c r="X302" s="385"/>
      <c r="Y302" s="385"/>
      <c r="Z302" s="385"/>
      <c r="AA302" s="385"/>
      <c r="AB302" s="385"/>
      <c r="AC302" s="385"/>
      <c r="AD302" s="385"/>
      <c r="AE302" s="385"/>
      <c r="AF302" s="377"/>
    </row>
    <row r="303" spans="1:32" ht="39">
      <c r="A303" s="404" t="s">
        <v>1411</v>
      </c>
      <c r="B303" s="404" t="s">
        <v>1158</v>
      </c>
      <c r="C303" s="535" t="s">
        <v>491</v>
      </c>
      <c r="D303" s="535" t="s">
        <v>1412</v>
      </c>
      <c r="E303" s="535" t="s">
        <v>1413</v>
      </c>
      <c r="F303" s="686" t="s">
        <v>489</v>
      </c>
      <c r="G303" s="383" t="s">
        <v>259</v>
      </c>
      <c r="H303" s="382">
        <v>3</v>
      </c>
      <c r="I303" s="644">
        <v>15</v>
      </c>
      <c r="J303" s="382">
        <f t="shared" si="25"/>
        <v>3</v>
      </c>
      <c r="K303" s="382">
        <f t="shared" si="26"/>
        <v>45</v>
      </c>
      <c r="L303" s="646">
        <f>IFERROR(IF(B303="funkcna poziadavka",VLOOKUP(G303,MODULY_CBA!$B$3:$E$23,4,0)*H303/SUMIFS($H$3:$H$199,$G$3:$G$199,G303,$B$3:$B$199,B303),),)</f>
        <v>0</v>
      </c>
      <c r="M303" s="382">
        <f>IFERROR(IF(B303="Funkcna poziadavka",VLOOKUP(G303,MODULY_CBA!$B$3:$E$23,3,0),),)</f>
        <v>0</v>
      </c>
      <c r="N303" s="382">
        <f>IFERROR(IF(B303="funkcna poziadavka",VLOOKUP(G303,MODULY_CBA!$B$3:$E$23,2,0),),)</f>
        <v>0</v>
      </c>
      <c r="O303" s="381">
        <f t="shared" si="27"/>
        <v>0</v>
      </c>
      <c r="P303" s="380">
        <f>IFERROR(O303*VLOOKUP(G303,MODULY_CBA!$B$3:$F$23,5,0),)</f>
        <v>0</v>
      </c>
      <c r="Q303" s="482" t="str">
        <f>IFERROR(VLOOKUP(G303,MODULY_CBA!$B$3:$I$23,6,0),"")</f>
        <v>Inkrement 2</v>
      </c>
      <c r="R303" s="385"/>
      <c r="S303" s="385"/>
      <c r="T303" s="385"/>
      <c r="U303" s="385"/>
      <c r="V303" s="385"/>
      <c r="W303" s="385"/>
      <c r="X303" s="385"/>
      <c r="Y303" s="385"/>
      <c r="Z303" s="385"/>
      <c r="AA303" s="385"/>
      <c r="AB303" s="385"/>
      <c r="AC303" s="385"/>
      <c r="AD303" s="385"/>
      <c r="AE303" s="385"/>
      <c r="AF303" s="377"/>
    </row>
    <row r="304" spans="1:32" ht="39">
      <c r="A304" s="404" t="s">
        <v>1414</v>
      </c>
      <c r="B304" s="404" t="s">
        <v>1158</v>
      </c>
      <c r="C304" s="535" t="s">
        <v>491</v>
      </c>
      <c r="D304" s="535" t="s">
        <v>1415</v>
      </c>
      <c r="E304" s="535" t="s">
        <v>1416</v>
      </c>
      <c r="F304" s="686" t="s">
        <v>489</v>
      </c>
      <c r="G304" s="386" t="s">
        <v>277</v>
      </c>
      <c r="H304" s="382">
        <v>3</v>
      </c>
      <c r="I304" s="644">
        <v>15</v>
      </c>
      <c r="J304" s="382">
        <f t="shared" si="25"/>
        <v>3</v>
      </c>
      <c r="K304" s="382">
        <f t="shared" si="26"/>
        <v>45</v>
      </c>
      <c r="L304" s="646">
        <f>IFERROR(IF(B304="funkcna poziadavka",VLOOKUP(G304,MODULY_CBA!$B$3:$E$23,4,0)*H304/SUMIFS($H$3:$H$199,$G$3:$G$199,G304,$B$3:$B$199,B304),),)</f>
        <v>0</v>
      </c>
      <c r="M304" s="382">
        <f>IFERROR(IF(B304="Funkcna poziadavka",VLOOKUP(G304,MODULY_CBA!$B$3:$E$23,3,0),),)</f>
        <v>0</v>
      </c>
      <c r="N304" s="382">
        <f>IFERROR(IF(B304="funkcna poziadavka",VLOOKUP(G304,MODULY_CBA!$B$3:$E$23,2,0),),)</f>
        <v>0</v>
      </c>
      <c r="O304" s="381">
        <f t="shared" si="27"/>
        <v>0</v>
      </c>
      <c r="P304" s="380">
        <f>IFERROR(O304*VLOOKUP(G304,MODULY_CBA!$B$3:$F$23,5,0),)</f>
        <v>0</v>
      </c>
      <c r="Q304" s="482">
        <f>IFERROR(VLOOKUP(G304,MODULY_CBA!$B$3:$I$23,6,0),"")</f>
        <v>0</v>
      </c>
      <c r="R304" s="385"/>
      <c r="S304" s="385"/>
      <c r="T304" s="385"/>
      <c r="U304" s="385"/>
      <c r="V304" s="385"/>
      <c r="W304" s="385"/>
      <c r="X304" s="385"/>
      <c r="Y304" s="385"/>
      <c r="Z304" s="385"/>
      <c r="AA304" s="385"/>
      <c r="AB304" s="385"/>
      <c r="AC304" s="385"/>
      <c r="AD304" s="385"/>
      <c r="AE304" s="385"/>
      <c r="AF304" s="377"/>
    </row>
    <row r="305" spans="1:32" ht="26">
      <c r="A305" s="404" t="s">
        <v>1417</v>
      </c>
      <c r="B305" s="404" t="s">
        <v>1158</v>
      </c>
      <c r="C305" s="535" t="s">
        <v>535</v>
      </c>
      <c r="D305" s="535" t="s">
        <v>1418</v>
      </c>
      <c r="E305" s="535" t="s">
        <v>1419</v>
      </c>
      <c r="F305" s="686" t="s">
        <v>489</v>
      </c>
      <c r="G305" s="386" t="s">
        <v>277</v>
      </c>
      <c r="H305" s="382">
        <v>3</v>
      </c>
      <c r="I305" s="644">
        <v>15</v>
      </c>
      <c r="J305" s="382">
        <f t="shared" si="25"/>
        <v>3</v>
      </c>
      <c r="K305" s="382">
        <f t="shared" si="26"/>
        <v>45</v>
      </c>
      <c r="L305" s="646">
        <f>IFERROR(IF(B305="funkcna poziadavka",VLOOKUP(G305,MODULY_CBA!$B$3:$E$23,4,0)*H305/SUMIFS($H$3:$H$199,$G$3:$G$199,G305,$B$3:$B$199,B305),),)</f>
        <v>0</v>
      </c>
      <c r="M305" s="382">
        <f>IFERROR(IF(B305="Funkcna poziadavka",VLOOKUP(G305,MODULY_CBA!$B$3:$E$23,3,0),),)</f>
        <v>0</v>
      </c>
      <c r="N305" s="382">
        <f>IFERROR(IF(B305="funkcna poziadavka",VLOOKUP(G305,MODULY_CBA!$B$3:$E$23,2,0),),)</f>
        <v>0</v>
      </c>
      <c r="O305" s="381">
        <f t="shared" si="27"/>
        <v>0</v>
      </c>
      <c r="P305" s="380">
        <f>IFERROR(O305*VLOOKUP(G305,MODULY_CBA!$B$3:$F$23,5,0),)</f>
        <v>0</v>
      </c>
      <c r="Q305" s="482">
        <f>IFERROR(VLOOKUP(G305,MODULY_CBA!$B$3:$I$23,6,0),"")</f>
        <v>0</v>
      </c>
      <c r="R305" s="385"/>
      <c r="S305" s="385"/>
      <c r="T305" s="385"/>
      <c r="U305" s="385"/>
      <c r="V305" s="385"/>
      <c r="W305" s="385"/>
      <c r="X305" s="385"/>
      <c r="Y305" s="385"/>
      <c r="Z305" s="385"/>
      <c r="AA305" s="385"/>
      <c r="AB305" s="385"/>
      <c r="AC305" s="385"/>
      <c r="AD305" s="385"/>
      <c r="AE305" s="385"/>
      <c r="AF305" s="377"/>
    </row>
    <row r="306" spans="1:32" ht="26">
      <c r="A306" s="404" t="s">
        <v>1420</v>
      </c>
      <c r="B306" s="404" t="s">
        <v>1158</v>
      </c>
      <c r="C306" s="535" t="s">
        <v>535</v>
      </c>
      <c r="D306" s="535" t="s">
        <v>1421</v>
      </c>
      <c r="E306" s="535" t="s">
        <v>1422</v>
      </c>
      <c r="F306" s="686" t="s">
        <v>489</v>
      </c>
      <c r="G306" s="386" t="s">
        <v>277</v>
      </c>
      <c r="H306" s="382">
        <v>3</v>
      </c>
      <c r="I306" s="644">
        <v>15</v>
      </c>
      <c r="J306" s="382">
        <f t="shared" si="25"/>
        <v>3</v>
      </c>
      <c r="K306" s="382">
        <f t="shared" si="26"/>
        <v>45</v>
      </c>
      <c r="L306" s="646">
        <f>IFERROR(IF(B306="funkcna poziadavka",VLOOKUP(G306,MODULY_CBA!$B$3:$E$23,4,0)*H306/SUMIFS($H$3:$H$199,$G$3:$G$199,G306,$B$3:$B$199,B306),),)</f>
        <v>0</v>
      </c>
      <c r="M306" s="382">
        <f>IFERROR(IF(B306="Funkcna poziadavka",VLOOKUP(G306,MODULY_CBA!$B$3:$E$23,3,0),),)</f>
        <v>0</v>
      </c>
      <c r="N306" s="382">
        <f>IFERROR(IF(B306="funkcna poziadavka",VLOOKUP(G306,MODULY_CBA!$B$3:$E$23,2,0),),)</f>
        <v>0</v>
      </c>
      <c r="O306" s="381">
        <f t="shared" si="27"/>
        <v>0</v>
      </c>
      <c r="P306" s="380">
        <f>IFERROR(O306*VLOOKUP(G306,MODULY_CBA!$B$3:$F$23,5,0),)</f>
        <v>0</v>
      </c>
      <c r="Q306" s="482">
        <f>IFERROR(VLOOKUP(G306,MODULY_CBA!$B$3:$I$23,6,0),"")</f>
        <v>0</v>
      </c>
      <c r="R306" s="385"/>
      <c r="S306" s="385"/>
      <c r="T306" s="385"/>
      <c r="U306" s="385"/>
      <c r="V306" s="385"/>
      <c r="W306" s="385"/>
      <c r="X306" s="385"/>
      <c r="Y306" s="385"/>
      <c r="Z306" s="385"/>
      <c r="AA306" s="385"/>
      <c r="AB306" s="385"/>
      <c r="AC306" s="385"/>
      <c r="AD306" s="385"/>
      <c r="AE306" s="385"/>
      <c r="AF306" s="377"/>
    </row>
    <row r="307" spans="1:32" ht="26">
      <c r="A307" s="404" t="s">
        <v>1423</v>
      </c>
      <c r="B307" s="404" t="s">
        <v>1158</v>
      </c>
      <c r="C307" s="535" t="s">
        <v>842</v>
      </c>
      <c r="D307" s="535" t="s">
        <v>1424</v>
      </c>
      <c r="E307" s="535" t="s">
        <v>1425</v>
      </c>
      <c r="F307" s="686" t="s">
        <v>489</v>
      </c>
      <c r="G307" s="386" t="s">
        <v>277</v>
      </c>
      <c r="H307" s="382">
        <v>3</v>
      </c>
      <c r="I307" s="644">
        <v>15</v>
      </c>
      <c r="J307" s="382">
        <f t="shared" si="25"/>
        <v>3</v>
      </c>
      <c r="K307" s="382">
        <f t="shared" si="26"/>
        <v>45</v>
      </c>
      <c r="L307" s="646">
        <f>IFERROR(IF(B307="funkcna poziadavka",VLOOKUP(G307,MODULY_CBA!$B$3:$E$23,4,0)*H307/SUMIFS($H$3:$H$199,$G$3:$G$199,G307,$B$3:$B$199,B307),),)</f>
        <v>0</v>
      </c>
      <c r="M307" s="382">
        <f>IFERROR(IF(B307="Funkcna poziadavka",VLOOKUP(G307,MODULY_CBA!$B$3:$E$23,3,0),),)</f>
        <v>0</v>
      </c>
      <c r="N307" s="382">
        <f>IFERROR(IF(B307="funkcna poziadavka",VLOOKUP(G307,MODULY_CBA!$B$3:$E$23,2,0),),)</f>
        <v>0</v>
      </c>
      <c r="O307" s="381">
        <f t="shared" si="27"/>
        <v>0</v>
      </c>
      <c r="P307" s="380">
        <f>IFERROR(O307*VLOOKUP(G307,MODULY_CBA!$B$3:$F$23,5,0),)</f>
        <v>0</v>
      </c>
      <c r="Q307" s="482">
        <f>IFERROR(VLOOKUP(G307,MODULY_CBA!$B$3:$I$23,6,0),"")</f>
        <v>0</v>
      </c>
      <c r="R307" s="385"/>
      <c r="S307" s="385"/>
      <c r="T307" s="385"/>
      <c r="U307" s="385"/>
      <c r="V307" s="385"/>
      <c r="W307" s="385"/>
      <c r="X307" s="385"/>
      <c r="Y307" s="385"/>
      <c r="Z307" s="385"/>
      <c r="AA307" s="385"/>
      <c r="AB307" s="385"/>
      <c r="AC307" s="385"/>
      <c r="AD307" s="385"/>
      <c r="AE307" s="385"/>
      <c r="AF307" s="377"/>
    </row>
    <row r="308" spans="1:32" ht="26">
      <c r="A308" s="404" t="s">
        <v>1426</v>
      </c>
      <c r="B308" s="404" t="s">
        <v>1158</v>
      </c>
      <c r="C308" s="535" t="s">
        <v>842</v>
      </c>
      <c r="D308" s="535" t="s">
        <v>1427</v>
      </c>
      <c r="E308" s="535" t="s">
        <v>1428</v>
      </c>
      <c r="F308" s="686" t="s">
        <v>489</v>
      </c>
      <c r="G308" s="386" t="s">
        <v>277</v>
      </c>
      <c r="H308" s="382">
        <v>3</v>
      </c>
      <c r="I308" s="644">
        <v>15</v>
      </c>
      <c r="J308" s="382">
        <f t="shared" si="25"/>
        <v>3</v>
      </c>
      <c r="K308" s="382">
        <f t="shared" si="26"/>
        <v>45</v>
      </c>
      <c r="L308" s="646">
        <f>IFERROR(IF(B308="funkcna poziadavka",VLOOKUP(G308,MODULY_CBA!$B$3:$E$23,4,0)*H308/SUMIFS($H$3:$H$199,$G$3:$G$199,G308,$B$3:$B$199,B308),),)</f>
        <v>0</v>
      </c>
      <c r="M308" s="382">
        <f>IFERROR(IF(B308="Funkcna poziadavka",VLOOKUP(G308,MODULY_CBA!$B$3:$E$23,3,0),),)</f>
        <v>0</v>
      </c>
      <c r="N308" s="382">
        <f>IFERROR(IF(B308="funkcna poziadavka",VLOOKUP(G308,MODULY_CBA!$B$3:$E$23,2,0),),)</f>
        <v>0</v>
      </c>
      <c r="O308" s="381">
        <f t="shared" si="27"/>
        <v>0</v>
      </c>
      <c r="P308" s="380">
        <f>IFERROR(O308*VLOOKUP(G308,MODULY_CBA!$B$3:$F$23,5,0),)</f>
        <v>0</v>
      </c>
      <c r="Q308" s="482">
        <f>IFERROR(VLOOKUP(G308,MODULY_CBA!$B$3:$I$23,6,0),"")</f>
        <v>0</v>
      </c>
      <c r="R308" s="385"/>
      <c r="S308" s="385"/>
      <c r="T308" s="385"/>
      <c r="U308" s="385"/>
      <c r="V308" s="385"/>
      <c r="W308" s="385"/>
      <c r="X308" s="385"/>
      <c r="Y308" s="385"/>
      <c r="Z308" s="385"/>
      <c r="AA308" s="385"/>
      <c r="AB308" s="385"/>
      <c r="AC308" s="385"/>
      <c r="AD308" s="385"/>
      <c r="AE308" s="385"/>
      <c r="AF308" s="377"/>
    </row>
    <row r="309" spans="1:32" ht="26">
      <c r="A309" s="404" t="s">
        <v>1429</v>
      </c>
      <c r="B309" s="404" t="s">
        <v>1158</v>
      </c>
      <c r="C309" s="535" t="s">
        <v>842</v>
      </c>
      <c r="D309" s="535" t="s">
        <v>1430</v>
      </c>
      <c r="E309" s="535" t="s">
        <v>1431</v>
      </c>
      <c r="F309" s="686" t="s">
        <v>489</v>
      </c>
      <c r="G309" s="386" t="s">
        <v>277</v>
      </c>
      <c r="H309" s="382">
        <v>3</v>
      </c>
      <c r="I309" s="644">
        <v>15</v>
      </c>
      <c r="J309" s="382">
        <f t="shared" si="25"/>
        <v>3</v>
      </c>
      <c r="K309" s="382">
        <f t="shared" si="26"/>
        <v>45</v>
      </c>
      <c r="L309" s="646">
        <f>IFERROR(IF(B309="funkcna poziadavka",VLOOKUP(G309,MODULY_CBA!$B$3:$E$23,4,0)*H309/SUMIFS($H$3:$H$199,$G$3:$G$199,G309,$B$3:$B$199,B309),),)</f>
        <v>0</v>
      </c>
      <c r="M309" s="382">
        <f>IFERROR(IF(B309="Funkcna poziadavka",VLOOKUP(G309,MODULY_CBA!$B$3:$E$23,3,0),),)</f>
        <v>0</v>
      </c>
      <c r="N309" s="382">
        <f>IFERROR(IF(B309="funkcna poziadavka",VLOOKUP(G309,MODULY_CBA!$B$3:$E$23,2,0),),)</f>
        <v>0</v>
      </c>
      <c r="O309" s="381">
        <f t="shared" si="27"/>
        <v>0</v>
      </c>
      <c r="P309" s="380">
        <f>IFERROR(O309*VLOOKUP(G309,MODULY_CBA!$B$3:$F$23,5,0),)</f>
        <v>0</v>
      </c>
      <c r="Q309" s="482">
        <f>IFERROR(VLOOKUP(G309,MODULY_CBA!$B$3:$I$23,6,0),"")</f>
        <v>0</v>
      </c>
      <c r="R309" s="385"/>
      <c r="S309" s="385"/>
      <c r="T309" s="385"/>
      <c r="U309" s="385"/>
      <c r="V309" s="385"/>
      <c r="W309" s="385"/>
      <c r="X309" s="385"/>
      <c r="Y309" s="385"/>
      <c r="Z309" s="385"/>
      <c r="AA309" s="385"/>
      <c r="AB309" s="385"/>
      <c r="AC309" s="385"/>
      <c r="AD309" s="385"/>
      <c r="AE309" s="385"/>
      <c r="AF309" s="377"/>
    </row>
    <row r="310" spans="1:32" ht="26">
      <c r="A310" s="404" t="s">
        <v>1432</v>
      </c>
      <c r="B310" s="404" t="s">
        <v>1158</v>
      </c>
      <c r="C310" s="535" t="s">
        <v>842</v>
      </c>
      <c r="D310" s="535" t="s">
        <v>1433</v>
      </c>
      <c r="E310" s="535" t="s">
        <v>1434</v>
      </c>
      <c r="F310" s="686" t="s">
        <v>489</v>
      </c>
      <c r="G310" s="386" t="s">
        <v>281</v>
      </c>
      <c r="H310" s="382">
        <v>3</v>
      </c>
      <c r="I310" s="644">
        <v>15</v>
      </c>
      <c r="J310" s="382">
        <f t="shared" si="25"/>
        <v>3</v>
      </c>
      <c r="K310" s="382">
        <f t="shared" si="26"/>
        <v>45</v>
      </c>
      <c r="L310" s="646">
        <f>IFERROR(IF(B310="funkcna poziadavka",VLOOKUP(G310,MODULY_CBA!$B$3:$E$23,4,0)*H310/SUMIFS($H$3:$H$199,$G$3:$G$199,G310,$B$3:$B$199,B310),),)</f>
        <v>0</v>
      </c>
      <c r="M310" s="382">
        <f>IFERROR(IF(B310="Funkcna poziadavka",VLOOKUP(G310,MODULY_CBA!$B$3:$E$23,3,0),),)</f>
        <v>0</v>
      </c>
      <c r="N310" s="382">
        <f>IFERROR(IF(B310="funkcna poziadavka",VLOOKUP(G310,MODULY_CBA!$B$3:$E$23,2,0),),)</f>
        <v>0</v>
      </c>
      <c r="O310" s="381">
        <f t="shared" si="27"/>
        <v>0</v>
      </c>
      <c r="P310" s="380">
        <f>IFERROR(O310*VLOOKUP(G310,MODULY_CBA!$B$3:$F$23,5,0),)</f>
        <v>0</v>
      </c>
      <c r="Q310" s="482">
        <f>IFERROR(VLOOKUP(G310,MODULY_CBA!$B$3:$I$23,6,0),"")</f>
        <v>0</v>
      </c>
      <c r="R310" s="385"/>
      <c r="S310" s="385"/>
      <c r="T310" s="385"/>
      <c r="U310" s="385"/>
      <c r="V310" s="385"/>
      <c r="W310" s="385"/>
      <c r="X310" s="385"/>
      <c r="Y310" s="385"/>
      <c r="Z310" s="385"/>
      <c r="AA310" s="385"/>
      <c r="AB310" s="385"/>
      <c r="AC310" s="385"/>
      <c r="AD310" s="385"/>
      <c r="AE310" s="385"/>
      <c r="AF310" s="377"/>
    </row>
    <row r="311" spans="1:32" ht="26">
      <c r="A311" s="404" t="s">
        <v>1435</v>
      </c>
      <c r="B311" s="404" t="s">
        <v>1158</v>
      </c>
      <c r="C311" s="535" t="s">
        <v>842</v>
      </c>
      <c r="D311" s="535" t="s">
        <v>1436</v>
      </c>
      <c r="E311" s="535" t="s">
        <v>1437</v>
      </c>
      <c r="F311" s="686" t="s">
        <v>489</v>
      </c>
      <c r="G311" s="386" t="s">
        <v>281</v>
      </c>
      <c r="H311" s="382">
        <v>3</v>
      </c>
      <c r="I311" s="644">
        <v>15</v>
      </c>
      <c r="J311" s="382">
        <f t="shared" si="25"/>
        <v>3</v>
      </c>
      <c r="K311" s="382">
        <f t="shared" si="26"/>
        <v>45</v>
      </c>
      <c r="L311" s="646">
        <f>IFERROR(IF(B311="funkcna poziadavka",VLOOKUP(G311,MODULY_CBA!$B$3:$E$23,4,0)*H311/SUMIFS($H$3:$H$199,$G$3:$G$199,G311,$B$3:$B$199,B311),),)</f>
        <v>0</v>
      </c>
      <c r="M311" s="382">
        <f>IFERROR(IF(B311="Funkcna poziadavka",VLOOKUP(G311,MODULY_CBA!$B$3:$E$23,3,0),),)</f>
        <v>0</v>
      </c>
      <c r="N311" s="382">
        <f>IFERROR(IF(B311="funkcna poziadavka",VLOOKUP(G311,MODULY_CBA!$B$3:$E$23,2,0),),)</f>
        <v>0</v>
      </c>
      <c r="O311" s="381">
        <f t="shared" si="27"/>
        <v>0</v>
      </c>
      <c r="P311" s="380">
        <f>IFERROR(O311*VLOOKUP(G311,MODULY_CBA!$B$3:$F$23,5,0),)</f>
        <v>0</v>
      </c>
      <c r="Q311" s="482">
        <f>IFERROR(VLOOKUP(G311,MODULY_CBA!$B$3:$I$23,6,0),"")</f>
        <v>0</v>
      </c>
      <c r="R311" s="385"/>
      <c r="S311" s="385"/>
      <c r="T311" s="385"/>
      <c r="U311" s="385"/>
      <c r="V311" s="385"/>
      <c r="W311" s="385"/>
      <c r="X311" s="385"/>
      <c r="Y311" s="385"/>
      <c r="Z311" s="385"/>
      <c r="AA311" s="385"/>
      <c r="AB311" s="385"/>
      <c r="AC311" s="385"/>
      <c r="AD311" s="385"/>
      <c r="AE311" s="385"/>
      <c r="AF311" s="377"/>
    </row>
    <row r="312" spans="1:32" ht="26">
      <c r="A312" s="404" t="s">
        <v>1438</v>
      </c>
      <c r="B312" s="404" t="s">
        <v>1158</v>
      </c>
      <c r="C312" s="535" t="s">
        <v>873</v>
      </c>
      <c r="D312" s="535" t="s">
        <v>1439</v>
      </c>
      <c r="E312" s="535" t="s">
        <v>1440</v>
      </c>
      <c r="F312" s="686" t="s">
        <v>489</v>
      </c>
      <c r="G312" s="386" t="s">
        <v>281</v>
      </c>
      <c r="H312" s="382">
        <v>3</v>
      </c>
      <c r="I312" s="644">
        <v>15</v>
      </c>
      <c r="J312" s="382">
        <f t="shared" si="25"/>
        <v>3</v>
      </c>
      <c r="K312" s="382">
        <f t="shared" si="26"/>
        <v>45</v>
      </c>
      <c r="L312" s="646">
        <f>IFERROR(IF(B312="funkcna poziadavka",VLOOKUP(G312,MODULY_CBA!$B$3:$E$23,4,0)*H312/SUMIFS($H$3:$H$199,$G$3:$G$199,G312,$B$3:$B$199,B312),),)</f>
        <v>0</v>
      </c>
      <c r="M312" s="382">
        <f>IFERROR(IF(B312="Funkcna poziadavka",VLOOKUP(G312,MODULY_CBA!$B$3:$E$23,3,0),),)</f>
        <v>0</v>
      </c>
      <c r="N312" s="382">
        <f>IFERROR(IF(B312="funkcna poziadavka",VLOOKUP(G312,MODULY_CBA!$B$3:$E$23,2,0),),)</f>
        <v>0</v>
      </c>
      <c r="O312" s="381">
        <f t="shared" si="27"/>
        <v>0</v>
      </c>
      <c r="P312" s="380">
        <f>IFERROR(O312*VLOOKUP(G312,MODULY_CBA!$B$3:$F$23,5,0),)</f>
        <v>0</v>
      </c>
      <c r="Q312" s="482">
        <f>IFERROR(VLOOKUP(G312,MODULY_CBA!$B$3:$I$23,6,0),"")</f>
        <v>0</v>
      </c>
      <c r="R312" s="385"/>
      <c r="S312" s="385"/>
      <c r="T312" s="385"/>
      <c r="U312" s="385"/>
      <c r="V312" s="385"/>
      <c r="W312" s="385"/>
      <c r="X312" s="385"/>
      <c r="Y312" s="385"/>
      <c r="Z312" s="385"/>
      <c r="AA312" s="385"/>
      <c r="AB312" s="385"/>
      <c r="AC312" s="385"/>
      <c r="AD312" s="385"/>
      <c r="AE312" s="385"/>
      <c r="AF312" s="377"/>
    </row>
    <row r="313" spans="1:32" ht="26">
      <c r="A313" s="404" t="s">
        <v>1441</v>
      </c>
      <c r="B313" s="404" t="s">
        <v>1158</v>
      </c>
      <c r="C313" s="535" t="s">
        <v>535</v>
      </c>
      <c r="D313" s="535" t="s">
        <v>1442</v>
      </c>
      <c r="E313" s="535" t="s">
        <v>1443</v>
      </c>
      <c r="F313" s="686" t="s">
        <v>489</v>
      </c>
      <c r="G313" s="688" t="s">
        <v>259</v>
      </c>
      <c r="H313" s="382">
        <v>3</v>
      </c>
      <c r="I313" s="644">
        <v>15</v>
      </c>
      <c r="J313" s="382">
        <f t="shared" si="25"/>
        <v>3</v>
      </c>
      <c r="K313" s="382">
        <f t="shared" si="26"/>
        <v>45</v>
      </c>
      <c r="L313" s="646">
        <f>IFERROR(IF(B313="funkcna poziadavka",VLOOKUP(G313,MODULY_CBA!$B$3:$E$23,4,0)*H313/SUMIFS($H$3:$H$199,$G$3:$G$199,G313,$B$3:$B$199,B313),),)</f>
        <v>0</v>
      </c>
      <c r="M313" s="382">
        <f>IFERROR(IF(B313="Funkcna poziadavka",VLOOKUP(G313,MODULY_CBA!$B$3:$E$23,3,0),),)</f>
        <v>0</v>
      </c>
      <c r="N313" s="382">
        <f>IFERROR(IF(B313="funkcna poziadavka",VLOOKUP(G313,MODULY_CBA!$B$3:$E$23,2,0),),)</f>
        <v>0</v>
      </c>
      <c r="O313" s="381">
        <f t="shared" si="27"/>
        <v>0</v>
      </c>
      <c r="P313" s="380">
        <f>IFERROR(O313*VLOOKUP(G313,MODULY_CBA!$B$3:$F$23,5,0),)</f>
        <v>0</v>
      </c>
      <c r="Q313" s="482" t="str">
        <f>IFERROR(VLOOKUP(G313,MODULY_CBA!$B$3:$I$23,6,0),"")</f>
        <v>Inkrement 2</v>
      </c>
      <c r="R313" s="385"/>
      <c r="S313" s="385"/>
      <c r="T313" s="385"/>
      <c r="U313" s="385"/>
      <c r="V313" s="385"/>
      <c r="W313" s="385"/>
      <c r="X313" s="385"/>
      <c r="Y313" s="385"/>
      <c r="Z313" s="385"/>
      <c r="AA313" s="385"/>
      <c r="AB313" s="385"/>
      <c r="AC313" s="385"/>
      <c r="AD313" s="385"/>
      <c r="AE313" s="385"/>
      <c r="AF313" s="377"/>
    </row>
    <row r="314" spans="1:32" ht="39">
      <c r="A314" s="404" t="s">
        <v>1444</v>
      </c>
      <c r="B314" s="404" t="s">
        <v>1158</v>
      </c>
      <c r="C314" s="535" t="s">
        <v>535</v>
      </c>
      <c r="D314" s="535" t="s">
        <v>1445</v>
      </c>
      <c r="E314" s="535" t="s">
        <v>1446</v>
      </c>
      <c r="F314" s="686" t="s">
        <v>489</v>
      </c>
      <c r="G314" s="386" t="s">
        <v>251</v>
      </c>
      <c r="H314" s="382">
        <v>3</v>
      </c>
      <c r="I314" s="644">
        <v>15</v>
      </c>
      <c r="J314" s="382">
        <f t="shared" si="25"/>
        <v>3</v>
      </c>
      <c r="K314" s="382">
        <f t="shared" si="26"/>
        <v>45</v>
      </c>
      <c r="L314" s="646">
        <f>IFERROR(IF(B314="funkcna poziadavka",VLOOKUP(G314,MODULY_CBA!$B$3:$E$23,4,0)*H314/SUMIFS($H$3:$H$199,$G$3:$G$199,G314,$B$3:$B$199,B314),),)</f>
        <v>0</v>
      </c>
      <c r="M314" s="382">
        <f>IFERROR(IF(B314="Funkcna poziadavka",VLOOKUP(G314,MODULY_CBA!$B$3:$E$23,3,0),),)</f>
        <v>0</v>
      </c>
      <c r="N314" s="382">
        <f>IFERROR(IF(B314="funkcna poziadavka",VLOOKUP(G314,MODULY_CBA!$B$3:$E$23,2,0),),)</f>
        <v>0</v>
      </c>
      <c r="O314" s="381">
        <f t="shared" si="27"/>
        <v>0</v>
      </c>
      <c r="P314" s="380">
        <f>IFERROR(O314*VLOOKUP(G314,MODULY_CBA!$B$3:$F$23,5,0),)</f>
        <v>0</v>
      </c>
      <c r="Q314" s="482" t="str">
        <f>IFERROR(VLOOKUP(G314,MODULY_CBA!$B$3:$I$23,6,0),"")</f>
        <v>Inkrement 3</v>
      </c>
      <c r="R314" s="385"/>
      <c r="S314" s="385"/>
      <c r="T314" s="385"/>
      <c r="U314" s="385"/>
      <c r="V314" s="385"/>
      <c r="W314" s="385"/>
      <c r="X314" s="385"/>
      <c r="Y314" s="385"/>
      <c r="Z314" s="385"/>
      <c r="AA314" s="385"/>
      <c r="AB314" s="385"/>
      <c r="AC314" s="385"/>
      <c r="AD314" s="385"/>
      <c r="AE314" s="385"/>
      <c r="AF314" s="377"/>
    </row>
    <row r="315" spans="1:32" ht="39">
      <c r="A315" s="404" t="s">
        <v>1447</v>
      </c>
      <c r="B315" s="404" t="s">
        <v>1158</v>
      </c>
      <c r="C315" s="535" t="s">
        <v>842</v>
      </c>
      <c r="D315" s="535" t="s">
        <v>1448</v>
      </c>
      <c r="E315" s="535" t="s">
        <v>1449</v>
      </c>
      <c r="F315" s="686" t="s">
        <v>489</v>
      </c>
      <c r="G315" s="386" t="s">
        <v>251</v>
      </c>
      <c r="H315" s="382">
        <v>3</v>
      </c>
      <c r="I315" s="644">
        <v>15</v>
      </c>
      <c r="J315" s="382">
        <f t="shared" si="25"/>
        <v>3</v>
      </c>
      <c r="K315" s="382">
        <f t="shared" si="26"/>
        <v>45</v>
      </c>
      <c r="L315" s="646">
        <f>IFERROR(IF(B315="funkcna poziadavka",VLOOKUP(G315,MODULY_CBA!$B$3:$E$23,4,0)*H315/SUMIFS($H$3:$H$199,$G$3:$G$199,G315,$B$3:$B$199,B315),),)</f>
        <v>0</v>
      </c>
      <c r="M315" s="382">
        <f>IFERROR(IF(B315="Funkcna poziadavka",VLOOKUP(G315,MODULY_CBA!$B$3:$E$23,3,0),),)</f>
        <v>0</v>
      </c>
      <c r="N315" s="382">
        <f>IFERROR(IF(B315="funkcna poziadavka",VLOOKUP(G315,MODULY_CBA!$B$3:$E$23,2,0),),)</f>
        <v>0</v>
      </c>
      <c r="O315" s="381">
        <f t="shared" si="27"/>
        <v>0</v>
      </c>
      <c r="P315" s="380">
        <f>IFERROR(O315*VLOOKUP(G315,MODULY_CBA!$B$3:$F$23,5,0),)</f>
        <v>0</v>
      </c>
      <c r="Q315" s="482" t="str">
        <f>IFERROR(VLOOKUP(G315,MODULY_CBA!$B$3:$I$23,6,0),"")</f>
        <v>Inkrement 3</v>
      </c>
      <c r="R315" s="385"/>
      <c r="S315" s="385"/>
      <c r="T315" s="385"/>
      <c r="U315" s="385"/>
      <c r="V315" s="385"/>
      <c r="W315" s="385"/>
      <c r="X315" s="385"/>
      <c r="Y315" s="385"/>
      <c r="Z315" s="385"/>
      <c r="AA315" s="385"/>
      <c r="AB315" s="385"/>
      <c r="AC315" s="385"/>
      <c r="AD315" s="385"/>
      <c r="AE315" s="385"/>
      <c r="AF315" s="377"/>
    </row>
    <row r="316" spans="1:32" ht="39">
      <c r="A316" s="404" t="s">
        <v>1450</v>
      </c>
      <c r="B316" s="404" t="s">
        <v>1158</v>
      </c>
      <c r="C316" s="535" t="s">
        <v>491</v>
      </c>
      <c r="D316" s="535" t="s">
        <v>1451</v>
      </c>
      <c r="E316" s="535" t="s">
        <v>1452</v>
      </c>
      <c r="F316" s="686" t="s">
        <v>489</v>
      </c>
      <c r="G316" s="386" t="s">
        <v>265</v>
      </c>
      <c r="H316" s="382">
        <v>3</v>
      </c>
      <c r="I316" s="644">
        <v>15</v>
      </c>
      <c r="J316" s="382">
        <f t="shared" si="25"/>
        <v>3</v>
      </c>
      <c r="K316" s="382">
        <f t="shared" si="26"/>
        <v>45</v>
      </c>
      <c r="L316" s="646">
        <f>IFERROR(IF(B316="funkcna poziadavka",VLOOKUP(G316,MODULY_CBA!$B$3:$E$23,4,0)*H316/SUMIFS($H$3:$H$199,$G$3:$G$199,G316,$B$3:$B$199,B316),),)</f>
        <v>0</v>
      </c>
      <c r="M316" s="382">
        <f>IFERROR(IF(B316="Funkcna poziadavka",VLOOKUP(G316,MODULY_CBA!$B$3:$E$23,3,0),),)</f>
        <v>0</v>
      </c>
      <c r="N316" s="382">
        <f>IFERROR(IF(B316="funkcna poziadavka",VLOOKUP(G316,MODULY_CBA!$B$3:$E$23,2,0),),)</f>
        <v>0</v>
      </c>
      <c r="O316" s="381">
        <f t="shared" si="27"/>
        <v>0</v>
      </c>
      <c r="P316" s="380">
        <f>IFERROR(O316*VLOOKUP(G316,MODULY_CBA!$B$3:$F$23,5,0),)</f>
        <v>0</v>
      </c>
      <c r="Q316" s="482" t="str">
        <f>IFERROR(VLOOKUP(G316,MODULY_CBA!$B$3:$I$23,6,0),"")</f>
        <v>Inkrement 3</v>
      </c>
      <c r="R316" s="385"/>
      <c r="S316" s="385"/>
      <c r="T316" s="385"/>
      <c r="U316" s="385"/>
      <c r="V316" s="385"/>
      <c r="W316" s="385"/>
      <c r="X316" s="385"/>
      <c r="Y316" s="385"/>
      <c r="Z316" s="385"/>
      <c r="AA316" s="385"/>
      <c r="AB316" s="385"/>
      <c r="AC316" s="385"/>
      <c r="AD316" s="385"/>
      <c r="AE316" s="385"/>
      <c r="AF316" s="377"/>
    </row>
    <row r="317" spans="1:32" ht="39">
      <c r="A317" s="404" t="s">
        <v>1453</v>
      </c>
      <c r="B317" s="404" t="s">
        <v>1158</v>
      </c>
      <c r="C317" s="535" t="s">
        <v>842</v>
      </c>
      <c r="D317" s="535" t="s">
        <v>1454</v>
      </c>
      <c r="E317" s="535" t="s">
        <v>1455</v>
      </c>
      <c r="F317" s="686" t="s">
        <v>489</v>
      </c>
      <c r="G317" s="386" t="s">
        <v>263</v>
      </c>
      <c r="H317" s="382">
        <v>3</v>
      </c>
      <c r="I317" s="644">
        <v>15</v>
      </c>
      <c r="J317" s="382">
        <f t="shared" si="25"/>
        <v>3</v>
      </c>
      <c r="K317" s="382">
        <f t="shared" si="26"/>
        <v>45</v>
      </c>
      <c r="L317" s="646">
        <f>IFERROR(IF(B317="funkcna poziadavka",VLOOKUP(G317,MODULY_CBA!$B$3:$E$23,4,0)*H317/SUMIFS($H$3:$H$199,$G$3:$G$199,G317,$B$3:$B$199,B317),),)</f>
        <v>0</v>
      </c>
      <c r="M317" s="382">
        <f>IFERROR(IF(B317="Funkcna poziadavka",VLOOKUP(G317,MODULY_CBA!$B$3:$E$23,3,0),),)</f>
        <v>0</v>
      </c>
      <c r="N317" s="382">
        <f>IFERROR(IF(B317="funkcna poziadavka",VLOOKUP(G317,MODULY_CBA!$B$3:$E$23,2,0),),)</f>
        <v>0</v>
      </c>
      <c r="O317" s="381">
        <f t="shared" si="27"/>
        <v>0</v>
      </c>
      <c r="P317" s="380">
        <f>IFERROR(O317*VLOOKUP(G317,MODULY_CBA!$B$3:$F$23,5,0),)</f>
        <v>0</v>
      </c>
      <c r="Q317" s="482" t="str">
        <f>IFERROR(VLOOKUP(G317,MODULY_CBA!$B$3:$I$23,6,0),"")</f>
        <v>Inkrement 1</v>
      </c>
      <c r="R317" s="385"/>
      <c r="S317" s="385"/>
      <c r="T317" s="385"/>
      <c r="U317" s="385"/>
      <c r="V317" s="385"/>
      <c r="W317" s="385"/>
      <c r="X317" s="385"/>
      <c r="Y317" s="385"/>
      <c r="Z317" s="385"/>
      <c r="AA317" s="385"/>
      <c r="AB317" s="385"/>
      <c r="AC317" s="385"/>
      <c r="AD317" s="385"/>
      <c r="AE317" s="385"/>
      <c r="AF317" s="377"/>
    </row>
    <row r="318" spans="1:32" ht="52">
      <c r="A318" s="404" t="s">
        <v>1456</v>
      </c>
      <c r="B318" s="404" t="s">
        <v>1158</v>
      </c>
      <c r="C318" s="535" t="s">
        <v>486</v>
      </c>
      <c r="D318" s="535" t="s">
        <v>1457</v>
      </c>
      <c r="E318" s="535" t="s">
        <v>1458</v>
      </c>
      <c r="F318" s="686" t="s">
        <v>489</v>
      </c>
      <c r="G318" s="386" t="s">
        <v>281</v>
      </c>
      <c r="H318" s="382">
        <v>3</v>
      </c>
      <c r="I318" s="644">
        <v>15</v>
      </c>
      <c r="J318" s="382">
        <f t="shared" si="25"/>
        <v>3</v>
      </c>
      <c r="K318" s="382">
        <f t="shared" si="26"/>
        <v>45</v>
      </c>
      <c r="L318" s="646">
        <f>IFERROR(IF(B318="funkcna poziadavka",VLOOKUP(G318,MODULY_CBA!$B$3:$E$23,4,0)*H318/SUMIFS($H$3:$H$199,$G$3:$G$199,G318,$B$3:$B$199,B318),),)</f>
        <v>0</v>
      </c>
      <c r="M318" s="382">
        <f>IFERROR(IF(B318="Funkcna poziadavka",VLOOKUP(G318,MODULY_CBA!$B$3:$E$23,3,0),),)</f>
        <v>0</v>
      </c>
      <c r="N318" s="382">
        <f>IFERROR(IF(B318="funkcna poziadavka",VLOOKUP(G318,MODULY_CBA!$B$3:$E$23,2,0),),)</f>
        <v>0</v>
      </c>
      <c r="O318" s="381">
        <f t="shared" si="27"/>
        <v>0</v>
      </c>
      <c r="P318" s="380">
        <f>IFERROR(O318*VLOOKUP(G318,MODULY_CBA!$B$3:$F$23,5,0),)</f>
        <v>0</v>
      </c>
      <c r="Q318" s="482">
        <f>IFERROR(VLOOKUP(G318,MODULY_CBA!$B$3:$I$23,6,0),"")</f>
        <v>0</v>
      </c>
      <c r="R318" s="385"/>
      <c r="S318" s="385"/>
      <c r="T318" s="385"/>
      <c r="U318" s="385"/>
      <c r="V318" s="385"/>
      <c r="W318" s="385"/>
      <c r="X318" s="385"/>
      <c r="Y318" s="385"/>
      <c r="Z318" s="385"/>
      <c r="AA318" s="385"/>
      <c r="AB318" s="385"/>
      <c r="AC318" s="385"/>
      <c r="AD318" s="385"/>
      <c r="AE318" s="385"/>
      <c r="AF318" s="377"/>
    </row>
    <row r="319" spans="1:32" ht="52">
      <c r="A319" s="404" t="s">
        <v>1459</v>
      </c>
      <c r="B319" s="404" t="s">
        <v>1158</v>
      </c>
      <c r="C319" s="535" t="s">
        <v>842</v>
      </c>
      <c r="D319" s="535" t="s">
        <v>1460</v>
      </c>
      <c r="E319" s="535" t="s">
        <v>1461</v>
      </c>
      <c r="F319" s="686" t="s">
        <v>489</v>
      </c>
      <c r="G319" s="386" t="s">
        <v>263</v>
      </c>
      <c r="H319" s="382">
        <v>3</v>
      </c>
      <c r="I319" s="644">
        <v>15</v>
      </c>
      <c r="J319" s="382">
        <f t="shared" si="25"/>
        <v>3</v>
      </c>
      <c r="K319" s="382">
        <f t="shared" si="26"/>
        <v>45</v>
      </c>
      <c r="L319" s="646">
        <f>IFERROR(IF(B319="funkcna poziadavka",VLOOKUP(G319,MODULY_CBA!$B$3:$E$23,4,0)*H319/SUMIFS($H$3:$H$199,$G$3:$G$199,G319,$B$3:$B$199,B319),),)</f>
        <v>0</v>
      </c>
      <c r="M319" s="382">
        <f>IFERROR(IF(B319="Funkcna poziadavka",VLOOKUP(G319,MODULY_CBA!$B$3:$E$23,3,0),),)</f>
        <v>0</v>
      </c>
      <c r="N319" s="382">
        <f>IFERROR(IF(B319="funkcna poziadavka",VLOOKUP(G319,MODULY_CBA!$B$3:$E$23,2,0),),)</f>
        <v>0</v>
      </c>
      <c r="O319" s="381">
        <f t="shared" si="27"/>
        <v>0</v>
      </c>
      <c r="P319" s="380">
        <f>IFERROR(O319*VLOOKUP(G319,MODULY_CBA!$B$3:$F$23,5,0),)</f>
        <v>0</v>
      </c>
      <c r="Q319" s="482" t="str">
        <f>IFERROR(VLOOKUP(G319,MODULY_CBA!$B$3:$I$23,6,0),"")</f>
        <v>Inkrement 1</v>
      </c>
      <c r="R319" s="385"/>
      <c r="S319" s="385"/>
      <c r="T319" s="385"/>
      <c r="U319" s="385"/>
      <c r="V319" s="385"/>
      <c r="W319" s="385"/>
      <c r="X319" s="385"/>
      <c r="Y319" s="385"/>
      <c r="Z319" s="385"/>
      <c r="AA319" s="385"/>
      <c r="AB319" s="385"/>
      <c r="AC319" s="385"/>
      <c r="AD319" s="385"/>
      <c r="AE319" s="385"/>
      <c r="AF319" s="377"/>
    </row>
    <row r="320" spans="1:32" ht="26">
      <c r="A320" s="404" t="s">
        <v>1462</v>
      </c>
      <c r="B320" s="404" t="s">
        <v>1158</v>
      </c>
      <c r="C320" s="535" t="s">
        <v>491</v>
      </c>
      <c r="D320" s="535" t="s">
        <v>1463</v>
      </c>
      <c r="E320" s="535" t="s">
        <v>1464</v>
      </c>
      <c r="F320" s="686" t="s">
        <v>489</v>
      </c>
      <c r="G320" s="386" t="s">
        <v>281</v>
      </c>
      <c r="H320" s="382">
        <v>3</v>
      </c>
      <c r="I320" s="644">
        <v>15</v>
      </c>
      <c r="J320" s="382">
        <f t="shared" si="25"/>
        <v>3</v>
      </c>
      <c r="K320" s="382">
        <f t="shared" si="26"/>
        <v>45</v>
      </c>
      <c r="L320" s="646">
        <f>IFERROR(IF(B320="funkcna poziadavka",VLOOKUP(G320,MODULY_CBA!$B$3:$E$23,4,0)*H320/SUMIFS($H$3:$H$199,$G$3:$G$199,G320,$B$3:$B$199,B320),),)</f>
        <v>0</v>
      </c>
      <c r="M320" s="382">
        <f>IFERROR(IF(B320="Funkcna poziadavka",VLOOKUP(G320,MODULY_CBA!$B$3:$E$23,3,0),),)</f>
        <v>0</v>
      </c>
      <c r="N320" s="382">
        <f>IFERROR(IF(B320="funkcna poziadavka",VLOOKUP(G320,MODULY_CBA!$B$3:$E$23,2,0),),)</f>
        <v>0</v>
      </c>
      <c r="O320" s="381">
        <f t="shared" si="27"/>
        <v>0</v>
      </c>
      <c r="P320" s="380">
        <f>IFERROR(O320*VLOOKUP(G320,MODULY_CBA!$B$3:$F$23,5,0),)</f>
        <v>0</v>
      </c>
      <c r="Q320" s="482">
        <f>IFERROR(VLOOKUP(G320,MODULY_CBA!$B$3:$I$23,6,0),"")</f>
        <v>0</v>
      </c>
      <c r="R320" s="385"/>
      <c r="S320" s="385"/>
      <c r="T320" s="385"/>
      <c r="U320" s="385"/>
      <c r="V320" s="385"/>
      <c r="W320" s="385"/>
      <c r="X320" s="385"/>
      <c r="Y320" s="385"/>
      <c r="Z320" s="385"/>
      <c r="AA320" s="385"/>
      <c r="AB320" s="385"/>
      <c r="AC320" s="385"/>
      <c r="AD320" s="385"/>
      <c r="AE320" s="385"/>
      <c r="AF320" s="377"/>
    </row>
    <row r="321" spans="1:32" ht="39">
      <c r="A321" s="404" t="s">
        <v>1465</v>
      </c>
      <c r="B321" s="404" t="s">
        <v>1158</v>
      </c>
      <c r="C321" s="535" t="s">
        <v>842</v>
      </c>
      <c r="D321" s="535" t="s">
        <v>1466</v>
      </c>
      <c r="E321" s="535" t="s">
        <v>1467</v>
      </c>
      <c r="F321" s="686" t="s">
        <v>489</v>
      </c>
      <c r="G321" s="386" t="s">
        <v>281</v>
      </c>
      <c r="H321" s="382">
        <v>3</v>
      </c>
      <c r="I321" s="644">
        <v>15</v>
      </c>
      <c r="J321" s="382">
        <f t="shared" si="25"/>
        <v>3</v>
      </c>
      <c r="K321" s="382">
        <f t="shared" si="26"/>
        <v>45</v>
      </c>
      <c r="L321" s="646">
        <f>IFERROR(IF(B321="funkcna poziadavka",VLOOKUP(G321,MODULY_CBA!$B$3:$E$23,4,0)*H321/SUMIFS($H$3:$H$199,$G$3:$G$199,G321,$B$3:$B$199,B321),),)</f>
        <v>0</v>
      </c>
      <c r="M321" s="382">
        <f>IFERROR(IF(B321="Funkcna poziadavka",VLOOKUP(G321,MODULY_CBA!$B$3:$E$23,3,0),),)</f>
        <v>0</v>
      </c>
      <c r="N321" s="382">
        <f>IFERROR(IF(B321="funkcna poziadavka",VLOOKUP(G321,MODULY_CBA!$B$3:$E$23,2,0),),)</f>
        <v>0</v>
      </c>
      <c r="O321" s="381">
        <f t="shared" si="27"/>
        <v>0</v>
      </c>
      <c r="P321" s="380">
        <f>IFERROR(O321*VLOOKUP(G321,MODULY_CBA!$B$3:$F$23,5,0),)</f>
        <v>0</v>
      </c>
      <c r="Q321" s="482">
        <f>IFERROR(VLOOKUP(G321,MODULY_CBA!$B$3:$I$23,6,0),"")</f>
        <v>0</v>
      </c>
      <c r="R321" s="385"/>
      <c r="S321" s="385"/>
      <c r="T321" s="385"/>
      <c r="U321" s="385"/>
      <c r="V321" s="385"/>
      <c r="W321" s="385"/>
      <c r="X321" s="385"/>
      <c r="Y321" s="385"/>
      <c r="Z321" s="385"/>
      <c r="AA321" s="385"/>
      <c r="AB321" s="385"/>
      <c r="AC321" s="385"/>
      <c r="AD321" s="385"/>
      <c r="AE321" s="385"/>
      <c r="AF321" s="377"/>
    </row>
    <row r="322" spans="1:32" ht="52">
      <c r="A322" s="404" t="s">
        <v>1468</v>
      </c>
      <c r="B322" s="404" t="s">
        <v>1158</v>
      </c>
      <c r="C322" s="535" t="s">
        <v>873</v>
      </c>
      <c r="D322" s="535" t="s">
        <v>1469</v>
      </c>
      <c r="E322" s="535" t="s">
        <v>1470</v>
      </c>
      <c r="F322" s="686" t="s">
        <v>489</v>
      </c>
      <c r="G322" s="386" t="s">
        <v>281</v>
      </c>
      <c r="H322" s="382">
        <v>3</v>
      </c>
      <c r="I322" s="644">
        <v>15</v>
      </c>
      <c r="J322" s="382">
        <f t="shared" si="25"/>
        <v>3</v>
      </c>
      <c r="K322" s="382">
        <f t="shared" si="26"/>
        <v>45</v>
      </c>
      <c r="L322" s="646">
        <f>IFERROR(IF(B322="funkcna poziadavka",VLOOKUP(G322,MODULY_CBA!$B$3:$E$23,4,0)*H322/SUMIFS($H$3:$H$199,$G$3:$G$199,G322,$B$3:$B$199,B322),),)</f>
        <v>0</v>
      </c>
      <c r="M322" s="382">
        <f>IFERROR(IF(B322="Funkcna poziadavka",VLOOKUP(G322,MODULY_CBA!$B$3:$E$23,3,0),),)</f>
        <v>0</v>
      </c>
      <c r="N322" s="382">
        <f>IFERROR(IF(B322="funkcna poziadavka",VLOOKUP(G322,MODULY_CBA!$B$3:$E$23,2,0),),)</f>
        <v>0</v>
      </c>
      <c r="O322" s="381">
        <f t="shared" si="27"/>
        <v>0</v>
      </c>
      <c r="P322" s="380">
        <f>IFERROR(O322*VLOOKUP(G322,MODULY_CBA!$B$3:$F$23,5,0),)</f>
        <v>0</v>
      </c>
      <c r="Q322" s="482">
        <f>IFERROR(VLOOKUP(G322,MODULY_CBA!$B$3:$I$23,6,0),"")</f>
        <v>0</v>
      </c>
      <c r="R322" s="385"/>
      <c r="S322" s="385"/>
      <c r="T322" s="385"/>
      <c r="U322" s="385"/>
      <c r="V322" s="385"/>
      <c r="W322" s="385"/>
      <c r="X322" s="385"/>
      <c r="Y322" s="385"/>
      <c r="Z322" s="385"/>
      <c r="AA322" s="385"/>
      <c r="AB322" s="385"/>
      <c r="AC322" s="385"/>
      <c r="AD322" s="385"/>
      <c r="AE322" s="385"/>
      <c r="AF322" s="377"/>
    </row>
    <row r="323" spans="1:32" ht="39">
      <c r="A323" s="404" t="s">
        <v>1471</v>
      </c>
      <c r="B323" s="404" t="s">
        <v>1158</v>
      </c>
      <c r="C323" s="535" t="s">
        <v>873</v>
      </c>
      <c r="D323" s="535" t="s">
        <v>1472</v>
      </c>
      <c r="E323" s="535" t="s">
        <v>1473</v>
      </c>
      <c r="F323" s="686" t="s">
        <v>489</v>
      </c>
      <c r="G323" s="386" t="s">
        <v>281</v>
      </c>
      <c r="H323" s="382">
        <v>3</v>
      </c>
      <c r="I323" s="644">
        <v>15</v>
      </c>
      <c r="J323" s="382">
        <f t="shared" si="25"/>
        <v>3</v>
      </c>
      <c r="K323" s="382">
        <f t="shared" si="26"/>
        <v>45</v>
      </c>
      <c r="L323" s="646">
        <f>IFERROR(IF(B323="funkcna poziadavka",VLOOKUP(G323,MODULY_CBA!$B$3:$E$23,4,0)*H323/SUMIFS($H$3:$H$199,$G$3:$G$199,G323,$B$3:$B$199,B323),),)</f>
        <v>0</v>
      </c>
      <c r="M323" s="382">
        <f>IFERROR(IF(B323="Funkcna poziadavka",VLOOKUP(G323,MODULY_CBA!$B$3:$E$23,3,0),),)</f>
        <v>0</v>
      </c>
      <c r="N323" s="382">
        <f>IFERROR(IF(B323="funkcna poziadavka",VLOOKUP(G323,MODULY_CBA!$B$3:$E$23,2,0),),)</f>
        <v>0</v>
      </c>
      <c r="O323" s="381">
        <f t="shared" si="27"/>
        <v>0</v>
      </c>
      <c r="P323" s="380">
        <f>IFERROR(O323*VLOOKUP(G323,MODULY_CBA!$B$3:$F$23,5,0),)</f>
        <v>0</v>
      </c>
      <c r="Q323" s="482">
        <f>IFERROR(VLOOKUP(G323,MODULY_CBA!$B$3:$I$23,6,0),"")</f>
        <v>0</v>
      </c>
      <c r="R323" s="385"/>
      <c r="S323" s="385"/>
      <c r="T323" s="385"/>
      <c r="U323" s="385"/>
      <c r="V323" s="385"/>
      <c r="W323" s="385"/>
      <c r="X323" s="385"/>
      <c r="Y323" s="385"/>
      <c r="Z323" s="385"/>
      <c r="AA323" s="385"/>
      <c r="AB323" s="385"/>
      <c r="AC323" s="385"/>
      <c r="AD323" s="385"/>
      <c r="AE323" s="385"/>
      <c r="AF323" s="377"/>
    </row>
    <row r="324" spans="1:32" ht="39">
      <c r="A324" s="404" t="s">
        <v>1474</v>
      </c>
      <c r="B324" s="404" t="s">
        <v>1158</v>
      </c>
      <c r="C324" s="535" t="s">
        <v>486</v>
      </c>
      <c r="D324" s="535" t="s">
        <v>1475</v>
      </c>
      <c r="E324" s="535" t="s">
        <v>1476</v>
      </c>
      <c r="F324" s="686" t="s">
        <v>489</v>
      </c>
      <c r="G324" s="386" t="s">
        <v>263</v>
      </c>
      <c r="H324" s="382">
        <v>3</v>
      </c>
      <c r="I324" s="644">
        <v>15</v>
      </c>
      <c r="J324" s="382">
        <f t="shared" si="25"/>
        <v>3</v>
      </c>
      <c r="K324" s="382">
        <f t="shared" si="26"/>
        <v>45</v>
      </c>
      <c r="L324" s="646">
        <f>IFERROR(IF(B324="funkcna poziadavka",VLOOKUP(G324,MODULY_CBA!$B$3:$E$23,4,0)*H324/SUMIFS($H$3:$H$199,$G$3:$G$199,G324,$B$3:$B$199,B324),),)</f>
        <v>0</v>
      </c>
      <c r="M324" s="382">
        <f>IFERROR(IF(B324="Funkcna poziadavka",VLOOKUP(G324,MODULY_CBA!$B$3:$E$23,3,0),),)</f>
        <v>0</v>
      </c>
      <c r="N324" s="382">
        <f>IFERROR(IF(B324="funkcna poziadavka",VLOOKUP(G324,MODULY_CBA!$B$3:$E$23,2,0),),)</f>
        <v>0</v>
      </c>
      <c r="O324" s="381">
        <f t="shared" si="27"/>
        <v>0</v>
      </c>
      <c r="P324" s="380">
        <f>IFERROR(O324*VLOOKUP(G324,MODULY_CBA!$B$3:$F$23,5,0),)</f>
        <v>0</v>
      </c>
      <c r="Q324" s="482" t="str">
        <f>IFERROR(VLOOKUP(G324,MODULY_CBA!$B$3:$I$23,6,0),"")</f>
        <v>Inkrement 1</v>
      </c>
      <c r="R324" s="385"/>
      <c r="S324" s="385"/>
      <c r="T324" s="385"/>
      <c r="U324" s="385"/>
      <c r="V324" s="385"/>
      <c r="W324" s="385"/>
      <c r="X324" s="385"/>
      <c r="Y324" s="385"/>
      <c r="Z324" s="385"/>
      <c r="AA324" s="385"/>
      <c r="AB324" s="385"/>
      <c r="AC324" s="385"/>
      <c r="AD324" s="385"/>
      <c r="AE324" s="385"/>
      <c r="AF324" s="377"/>
    </row>
    <row r="325" spans="1:32" ht="39">
      <c r="A325" s="404" t="s">
        <v>1477</v>
      </c>
      <c r="B325" s="404" t="s">
        <v>1158</v>
      </c>
      <c r="C325" s="535" t="s">
        <v>873</v>
      </c>
      <c r="D325" s="535" t="s">
        <v>1478</v>
      </c>
      <c r="E325" s="535" t="s">
        <v>1479</v>
      </c>
      <c r="F325" s="686" t="s">
        <v>489</v>
      </c>
      <c r="G325" s="386" t="s">
        <v>263</v>
      </c>
      <c r="H325" s="382">
        <v>3</v>
      </c>
      <c r="I325" s="644">
        <v>15</v>
      </c>
      <c r="J325" s="382">
        <f t="shared" si="25"/>
        <v>3</v>
      </c>
      <c r="K325" s="382">
        <f t="shared" si="26"/>
        <v>45</v>
      </c>
      <c r="L325" s="646">
        <f>IFERROR(IF(B325="funkcna poziadavka",VLOOKUP(G325,MODULY_CBA!$B$3:$E$23,4,0)*H325/SUMIFS($H$3:$H$199,$G$3:$G$199,G325,$B$3:$B$199,B325),),)</f>
        <v>0</v>
      </c>
      <c r="M325" s="382">
        <f>IFERROR(IF(B325="Funkcna poziadavka",VLOOKUP(G325,MODULY_CBA!$B$3:$E$23,3,0),),)</f>
        <v>0</v>
      </c>
      <c r="N325" s="382">
        <f>IFERROR(IF(B325="funkcna poziadavka",VLOOKUP(G325,MODULY_CBA!$B$3:$E$23,2,0),),)</f>
        <v>0</v>
      </c>
      <c r="O325" s="381">
        <f t="shared" si="27"/>
        <v>0</v>
      </c>
      <c r="P325" s="380">
        <f>IFERROR(O325*VLOOKUP(G325,MODULY_CBA!$B$3:$F$23,5,0),)</f>
        <v>0</v>
      </c>
      <c r="Q325" s="482" t="str">
        <f>IFERROR(VLOOKUP(G325,MODULY_CBA!$B$3:$I$23,6,0),"")</f>
        <v>Inkrement 1</v>
      </c>
      <c r="R325" s="385"/>
      <c r="S325" s="385"/>
      <c r="T325" s="385"/>
      <c r="U325" s="385"/>
      <c r="V325" s="385"/>
      <c r="W325" s="385"/>
      <c r="X325" s="385"/>
      <c r="Y325" s="385"/>
      <c r="Z325" s="385"/>
      <c r="AA325" s="385"/>
      <c r="AB325" s="385"/>
      <c r="AC325" s="385"/>
      <c r="AD325" s="385"/>
      <c r="AE325" s="385"/>
      <c r="AF325" s="377"/>
    </row>
    <row r="326" spans="1:32" ht="26">
      <c r="A326" s="404" t="s">
        <v>1480</v>
      </c>
      <c r="B326" s="404" t="s">
        <v>1158</v>
      </c>
      <c r="C326" s="535" t="s">
        <v>873</v>
      </c>
      <c r="D326" s="535" t="s">
        <v>1481</v>
      </c>
      <c r="E326" s="535" t="s">
        <v>1482</v>
      </c>
      <c r="F326" s="686" t="s">
        <v>489</v>
      </c>
      <c r="G326" s="386" t="s">
        <v>263</v>
      </c>
      <c r="H326" s="382">
        <v>3</v>
      </c>
      <c r="I326" s="644">
        <v>15</v>
      </c>
      <c r="J326" s="382">
        <f t="shared" si="25"/>
        <v>3</v>
      </c>
      <c r="K326" s="382">
        <f t="shared" si="26"/>
        <v>45</v>
      </c>
      <c r="L326" s="646">
        <f>IFERROR(IF(B326="funkcna poziadavka",VLOOKUP(G326,MODULY_CBA!$B$3:$E$23,4,0)*H326/SUMIFS($H$3:$H$199,$G$3:$G$199,G326,$B$3:$B$199,B326),),)</f>
        <v>0</v>
      </c>
      <c r="M326" s="382">
        <f>IFERROR(IF(B326="Funkcna poziadavka",VLOOKUP(G326,MODULY_CBA!$B$3:$E$23,3,0),),)</f>
        <v>0</v>
      </c>
      <c r="N326" s="382">
        <f>IFERROR(IF(B326="funkcna poziadavka",VLOOKUP(G326,MODULY_CBA!$B$3:$E$23,2,0),),)</f>
        <v>0</v>
      </c>
      <c r="O326" s="381">
        <f t="shared" si="27"/>
        <v>0</v>
      </c>
      <c r="P326" s="380">
        <f>IFERROR(O326*VLOOKUP(G326,MODULY_CBA!$B$3:$F$23,5,0),)</f>
        <v>0</v>
      </c>
      <c r="Q326" s="482" t="str">
        <f>IFERROR(VLOOKUP(G326,MODULY_CBA!$B$3:$I$23,6,0),"")</f>
        <v>Inkrement 1</v>
      </c>
      <c r="R326" s="385"/>
      <c r="S326" s="385"/>
      <c r="T326" s="385"/>
      <c r="U326" s="385"/>
      <c r="V326" s="385"/>
      <c r="W326" s="385"/>
      <c r="X326" s="385"/>
      <c r="Y326" s="385"/>
      <c r="Z326" s="385"/>
      <c r="AA326" s="385"/>
      <c r="AB326" s="385"/>
      <c r="AC326" s="385"/>
      <c r="AD326" s="385"/>
      <c r="AE326" s="385"/>
      <c r="AF326" s="377"/>
    </row>
    <row r="327" spans="1:32" ht="39">
      <c r="A327" s="404" t="s">
        <v>1483</v>
      </c>
      <c r="B327" s="404" t="s">
        <v>1158</v>
      </c>
      <c r="C327" s="535" t="s">
        <v>842</v>
      </c>
      <c r="D327" s="535" t="s">
        <v>1484</v>
      </c>
      <c r="E327" s="535" t="s">
        <v>1485</v>
      </c>
      <c r="F327" s="686" t="s">
        <v>489</v>
      </c>
      <c r="G327" s="386" t="s">
        <v>263</v>
      </c>
      <c r="H327" s="382">
        <v>3</v>
      </c>
      <c r="I327" s="644">
        <v>15</v>
      </c>
      <c r="J327" s="382">
        <f t="shared" si="25"/>
        <v>3</v>
      </c>
      <c r="K327" s="382">
        <f t="shared" si="26"/>
        <v>45</v>
      </c>
      <c r="L327" s="646">
        <f>IFERROR(IF(B327="funkcna poziadavka",VLOOKUP(G327,MODULY_CBA!$B$3:$E$23,4,0)*H327/SUMIFS($H$3:$H$199,$G$3:$G$199,G327,$B$3:$B$199,B327),),)</f>
        <v>0</v>
      </c>
      <c r="M327" s="382">
        <f>IFERROR(IF(B327="Funkcna poziadavka",VLOOKUP(G327,MODULY_CBA!$B$3:$E$23,3,0),),)</f>
        <v>0</v>
      </c>
      <c r="N327" s="382">
        <f>IFERROR(IF(B327="funkcna poziadavka",VLOOKUP(G327,MODULY_CBA!$B$3:$E$23,2,0),),)</f>
        <v>0</v>
      </c>
      <c r="O327" s="381">
        <f t="shared" si="27"/>
        <v>0</v>
      </c>
      <c r="P327" s="380">
        <f>IFERROR(O327*VLOOKUP(G327,MODULY_CBA!$B$3:$F$23,5,0),)</f>
        <v>0</v>
      </c>
      <c r="Q327" s="482" t="str">
        <f>IFERROR(VLOOKUP(G327,MODULY_CBA!$B$3:$I$23,6,0),"")</f>
        <v>Inkrement 1</v>
      </c>
      <c r="R327" s="385"/>
      <c r="S327" s="385"/>
      <c r="T327" s="385"/>
      <c r="U327" s="385"/>
      <c r="V327" s="385"/>
      <c r="W327" s="385"/>
      <c r="X327" s="385"/>
      <c r="Y327" s="385"/>
      <c r="Z327" s="385"/>
      <c r="AA327" s="385"/>
      <c r="AB327" s="385"/>
      <c r="AC327" s="385"/>
      <c r="AD327" s="385"/>
      <c r="AE327" s="385"/>
      <c r="AF327" s="377"/>
    </row>
    <row r="328" spans="1:32" ht="52">
      <c r="A328" s="404" t="s">
        <v>1486</v>
      </c>
      <c r="B328" s="404" t="s">
        <v>1158</v>
      </c>
      <c r="C328" s="535" t="s">
        <v>873</v>
      </c>
      <c r="D328" s="535" t="s">
        <v>1487</v>
      </c>
      <c r="E328" s="535" t="s">
        <v>1488</v>
      </c>
      <c r="F328" s="686" t="s">
        <v>489</v>
      </c>
      <c r="G328" s="386" t="s">
        <v>263</v>
      </c>
      <c r="H328" s="382">
        <v>3</v>
      </c>
      <c r="I328" s="644">
        <v>15</v>
      </c>
      <c r="J328" s="382">
        <f t="shared" si="25"/>
        <v>3</v>
      </c>
      <c r="K328" s="382">
        <f t="shared" si="26"/>
        <v>45</v>
      </c>
      <c r="L328" s="646">
        <f>IFERROR(IF(B328="funkcna poziadavka",VLOOKUP(G328,MODULY_CBA!$B$3:$E$23,4,0)*H328/SUMIFS($H$3:$H$199,$G$3:$G$199,G328,$B$3:$B$199,B328),),)</f>
        <v>0</v>
      </c>
      <c r="M328" s="382">
        <f>IFERROR(IF(B328="Funkcna poziadavka",VLOOKUP(G328,MODULY_CBA!$B$3:$E$23,3,0),),)</f>
        <v>0</v>
      </c>
      <c r="N328" s="382">
        <f>IFERROR(IF(B328="funkcna poziadavka",VLOOKUP(G328,MODULY_CBA!$B$3:$E$23,2,0),),)</f>
        <v>0</v>
      </c>
      <c r="O328" s="381">
        <f t="shared" si="27"/>
        <v>0</v>
      </c>
      <c r="P328" s="380">
        <f>IFERROR(O328*VLOOKUP(G328,MODULY_CBA!$B$3:$F$23,5,0),)</f>
        <v>0</v>
      </c>
      <c r="Q328" s="482" t="str">
        <f>IFERROR(VLOOKUP(G328,MODULY_CBA!$B$3:$I$23,6,0),"")</f>
        <v>Inkrement 1</v>
      </c>
      <c r="R328" s="385"/>
      <c r="S328" s="385"/>
      <c r="T328" s="385"/>
      <c r="U328" s="385"/>
      <c r="V328" s="385"/>
      <c r="W328" s="385"/>
      <c r="X328" s="385"/>
      <c r="Y328" s="385"/>
      <c r="Z328" s="385"/>
      <c r="AA328" s="385"/>
      <c r="AB328" s="385"/>
      <c r="AC328" s="385"/>
      <c r="AD328" s="385"/>
      <c r="AE328" s="385"/>
      <c r="AF328" s="377"/>
    </row>
    <row r="329" spans="1:32" ht="39">
      <c r="A329" s="404" t="s">
        <v>1489</v>
      </c>
      <c r="B329" s="404" t="s">
        <v>1158</v>
      </c>
      <c r="C329" s="535" t="s">
        <v>873</v>
      </c>
      <c r="D329" s="535" t="s">
        <v>1490</v>
      </c>
      <c r="E329" s="535" t="s">
        <v>1491</v>
      </c>
      <c r="F329" s="686" t="s">
        <v>489</v>
      </c>
      <c r="G329" s="386" t="s">
        <v>263</v>
      </c>
      <c r="H329" s="382">
        <v>3</v>
      </c>
      <c r="I329" s="644">
        <v>15</v>
      </c>
      <c r="J329" s="382">
        <f t="shared" si="25"/>
        <v>3</v>
      </c>
      <c r="K329" s="382">
        <f t="shared" si="26"/>
        <v>45</v>
      </c>
      <c r="L329" s="646">
        <f>IFERROR(IF(B329="funkcna poziadavka",VLOOKUP(G329,MODULY_CBA!$B$3:$E$23,4,0)*H329/SUMIFS($H$3:$H$199,$G$3:$G$199,G329,$B$3:$B$199,B329),),)</f>
        <v>0</v>
      </c>
      <c r="M329" s="382">
        <f>IFERROR(IF(B329="Funkcna poziadavka",VLOOKUP(G329,MODULY_CBA!$B$3:$E$23,3,0),),)</f>
        <v>0</v>
      </c>
      <c r="N329" s="382">
        <f>IFERROR(IF(B329="funkcna poziadavka",VLOOKUP(G329,MODULY_CBA!$B$3:$E$23,2,0),),)</f>
        <v>0</v>
      </c>
      <c r="O329" s="381">
        <f t="shared" si="27"/>
        <v>0</v>
      </c>
      <c r="P329" s="380">
        <f>IFERROR(O329*VLOOKUP(G329,MODULY_CBA!$B$3:$F$23,5,0),)</f>
        <v>0</v>
      </c>
      <c r="Q329" s="482" t="str">
        <f>IFERROR(VLOOKUP(G329,MODULY_CBA!$B$3:$I$23,6,0),"")</f>
        <v>Inkrement 1</v>
      </c>
      <c r="R329" s="385"/>
      <c r="S329" s="385"/>
      <c r="T329" s="385"/>
      <c r="U329" s="385"/>
      <c r="V329" s="385"/>
      <c r="W329" s="385"/>
      <c r="X329" s="385"/>
      <c r="Y329" s="385"/>
      <c r="Z329" s="385"/>
      <c r="AA329" s="385"/>
      <c r="AB329" s="385"/>
      <c r="AC329" s="385"/>
      <c r="AD329" s="385"/>
      <c r="AE329" s="385"/>
      <c r="AF329" s="377"/>
    </row>
    <row r="330" spans="1:32" ht="39">
      <c r="A330" s="404" t="s">
        <v>1492</v>
      </c>
      <c r="B330" s="404" t="s">
        <v>1158</v>
      </c>
      <c r="C330" s="535" t="s">
        <v>491</v>
      </c>
      <c r="D330" s="535" t="s">
        <v>1493</v>
      </c>
      <c r="E330" s="535" t="s">
        <v>1494</v>
      </c>
      <c r="F330" s="686" t="s">
        <v>489</v>
      </c>
      <c r="G330" s="386" t="s">
        <v>263</v>
      </c>
      <c r="H330" s="382">
        <v>3</v>
      </c>
      <c r="I330" s="644">
        <v>15</v>
      </c>
      <c r="J330" s="382">
        <f t="shared" si="25"/>
        <v>3</v>
      </c>
      <c r="K330" s="382">
        <f t="shared" si="26"/>
        <v>45</v>
      </c>
      <c r="L330" s="646">
        <f>IFERROR(IF(B330="funkcna poziadavka",VLOOKUP(G330,MODULY_CBA!$B$3:$E$23,4,0)*H330/SUMIFS($H$3:$H$199,$G$3:$G$199,G330,$B$3:$B$199,B330),),)</f>
        <v>0</v>
      </c>
      <c r="M330" s="382">
        <f>IFERROR(IF(B330="Funkcna poziadavka",VLOOKUP(G330,MODULY_CBA!$B$3:$E$23,3,0),),)</f>
        <v>0</v>
      </c>
      <c r="N330" s="382">
        <f>IFERROR(IF(B330="funkcna poziadavka",VLOOKUP(G330,MODULY_CBA!$B$3:$E$23,2,0),),)</f>
        <v>0</v>
      </c>
      <c r="O330" s="381">
        <f t="shared" si="27"/>
        <v>0</v>
      </c>
      <c r="P330" s="380">
        <f>IFERROR(O330*VLOOKUP(G330,MODULY_CBA!$B$3:$F$23,5,0),)</f>
        <v>0</v>
      </c>
      <c r="Q330" s="482" t="str">
        <f>IFERROR(VLOOKUP(G330,MODULY_CBA!$B$3:$I$23,6,0),"")</f>
        <v>Inkrement 1</v>
      </c>
      <c r="R330" s="385"/>
      <c r="S330" s="385"/>
      <c r="T330" s="385"/>
      <c r="U330" s="385"/>
      <c r="V330" s="385"/>
      <c r="W330" s="385"/>
      <c r="X330" s="385"/>
      <c r="Y330" s="385"/>
      <c r="Z330" s="385"/>
      <c r="AA330" s="385"/>
      <c r="AB330" s="385"/>
      <c r="AC330" s="385"/>
      <c r="AD330" s="385"/>
      <c r="AE330" s="385"/>
      <c r="AF330" s="377"/>
    </row>
    <row r="331" spans="1:32" ht="52">
      <c r="A331" s="404" t="s">
        <v>1495</v>
      </c>
      <c r="B331" s="404" t="s">
        <v>1158</v>
      </c>
      <c r="C331" s="535" t="s">
        <v>486</v>
      </c>
      <c r="D331" s="535" t="s">
        <v>1496</v>
      </c>
      <c r="E331" s="535" t="s">
        <v>1497</v>
      </c>
      <c r="F331" s="686" t="s">
        <v>489</v>
      </c>
      <c r="G331" s="386" t="s">
        <v>263</v>
      </c>
      <c r="H331" s="382">
        <v>3</v>
      </c>
      <c r="I331" s="644">
        <v>15</v>
      </c>
      <c r="J331" s="382">
        <f t="shared" si="25"/>
        <v>3</v>
      </c>
      <c r="K331" s="382">
        <f t="shared" si="26"/>
        <v>45</v>
      </c>
      <c r="L331" s="646">
        <f>IFERROR(IF(B331="funkcna poziadavka",VLOOKUP(G331,MODULY_CBA!$B$3:$E$23,4,0)*H331/SUMIFS($H$3:$H$199,$G$3:$G$199,G331,$B$3:$B$199,B331),),)</f>
        <v>0</v>
      </c>
      <c r="M331" s="382">
        <f>IFERROR(IF(B331="Funkcna poziadavka",VLOOKUP(G331,MODULY_CBA!$B$3:$E$23,3,0),),)</f>
        <v>0</v>
      </c>
      <c r="N331" s="382">
        <f>IFERROR(IF(B331="funkcna poziadavka",VLOOKUP(G331,MODULY_CBA!$B$3:$E$23,2,0),),)</f>
        <v>0</v>
      </c>
      <c r="O331" s="381">
        <f t="shared" si="27"/>
        <v>0</v>
      </c>
      <c r="P331" s="380">
        <f>IFERROR(O331*VLOOKUP(G331,MODULY_CBA!$B$3:$F$23,5,0),)</f>
        <v>0</v>
      </c>
      <c r="Q331" s="482" t="str">
        <f>IFERROR(VLOOKUP(G331,MODULY_CBA!$B$3:$I$23,6,0),"")</f>
        <v>Inkrement 1</v>
      </c>
      <c r="R331" s="385"/>
      <c r="S331" s="385"/>
      <c r="T331" s="385"/>
      <c r="U331" s="385"/>
      <c r="V331" s="385"/>
      <c r="W331" s="385"/>
      <c r="X331" s="385"/>
      <c r="Y331" s="385"/>
      <c r="Z331" s="385"/>
      <c r="AA331" s="385"/>
      <c r="AB331" s="385"/>
      <c r="AC331" s="385"/>
      <c r="AD331" s="385"/>
      <c r="AE331" s="385"/>
      <c r="AF331" s="377"/>
    </row>
    <row r="332" spans="1:32" ht="39">
      <c r="A332" s="404" t="s">
        <v>1498</v>
      </c>
      <c r="B332" s="404" t="s">
        <v>1158</v>
      </c>
      <c r="C332" s="535" t="s">
        <v>842</v>
      </c>
      <c r="D332" s="535" t="s">
        <v>1499</v>
      </c>
      <c r="E332" s="535" t="s">
        <v>1500</v>
      </c>
      <c r="F332" s="686" t="s">
        <v>489</v>
      </c>
      <c r="G332" s="386" t="s">
        <v>263</v>
      </c>
      <c r="H332" s="382">
        <v>3</v>
      </c>
      <c r="I332" s="644">
        <v>15</v>
      </c>
      <c r="J332" s="382">
        <f t="shared" si="25"/>
        <v>3</v>
      </c>
      <c r="K332" s="382">
        <f t="shared" si="26"/>
        <v>45</v>
      </c>
      <c r="L332" s="646">
        <f>IFERROR(IF(B332="funkcna poziadavka",VLOOKUP(G332,MODULY_CBA!$B$3:$E$23,4,0)*H332/SUMIFS($H$3:$H$199,$G$3:$G$199,G332,$B$3:$B$199,B332),),)</f>
        <v>0</v>
      </c>
      <c r="M332" s="382">
        <f>IFERROR(IF(B332="Funkcna poziadavka",VLOOKUP(G332,MODULY_CBA!$B$3:$E$23,3,0),),)</f>
        <v>0</v>
      </c>
      <c r="N332" s="382">
        <f>IFERROR(IF(B332="funkcna poziadavka",VLOOKUP(G332,MODULY_CBA!$B$3:$E$23,2,0),),)</f>
        <v>0</v>
      </c>
      <c r="O332" s="381">
        <f t="shared" si="27"/>
        <v>0</v>
      </c>
      <c r="P332" s="380">
        <f>IFERROR(O332*VLOOKUP(G332,MODULY_CBA!$B$3:$F$23,5,0),)</f>
        <v>0</v>
      </c>
      <c r="Q332" s="482" t="str">
        <f>IFERROR(VLOOKUP(G332,MODULY_CBA!$B$3:$I$23,6,0),"")</f>
        <v>Inkrement 1</v>
      </c>
      <c r="R332" s="385"/>
      <c r="S332" s="385"/>
      <c r="T332" s="385"/>
      <c r="U332" s="385"/>
      <c r="V332" s="385"/>
      <c r="W332" s="385"/>
      <c r="X332" s="385"/>
      <c r="Y332" s="385"/>
      <c r="Z332" s="385"/>
      <c r="AA332" s="385"/>
      <c r="AB332" s="385"/>
      <c r="AC332" s="385"/>
      <c r="AD332" s="385"/>
      <c r="AE332" s="385"/>
      <c r="AF332" s="377"/>
    </row>
    <row r="333" spans="1:32" ht="26">
      <c r="A333" s="404" t="s">
        <v>1501</v>
      </c>
      <c r="B333" s="404" t="s">
        <v>1158</v>
      </c>
      <c r="C333" s="535" t="s">
        <v>1031</v>
      </c>
      <c r="D333" s="535" t="s">
        <v>1502</v>
      </c>
      <c r="E333" s="535" t="s">
        <v>1503</v>
      </c>
      <c r="F333" s="686" t="s">
        <v>489</v>
      </c>
      <c r="G333" s="386" t="s">
        <v>263</v>
      </c>
      <c r="H333" s="382">
        <v>3</v>
      </c>
      <c r="I333" s="644">
        <v>15</v>
      </c>
      <c r="J333" s="382">
        <f t="shared" si="25"/>
        <v>3</v>
      </c>
      <c r="K333" s="382">
        <f t="shared" si="26"/>
        <v>45</v>
      </c>
      <c r="L333" s="646">
        <f>IFERROR(IF(B333="funkcna poziadavka",VLOOKUP(G333,MODULY_CBA!$B$3:$E$23,4,0)*H333/SUMIFS($H$3:$H$199,$G$3:$G$199,G333,$B$3:$B$199,B333),),)</f>
        <v>0</v>
      </c>
      <c r="M333" s="382">
        <f>IFERROR(IF(B333="Funkcna poziadavka",VLOOKUP(G333,MODULY_CBA!$B$3:$E$23,3,0),),)</f>
        <v>0</v>
      </c>
      <c r="N333" s="382">
        <f>IFERROR(IF(B333="funkcna poziadavka",VLOOKUP(G333,MODULY_CBA!$B$3:$E$23,2,0),),)</f>
        <v>0</v>
      </c>
      <c r="O333" s="381">
        <f t="shared" si="27"/>
        <v>0</v>
      </c>
      <c r="P333" s="380">
        <f>IFERROR(O333*VLOOKUP(G333,MODULY_CBA!$B$3:$F$23,5,0),)</f>
        <v>0</v>
      </c>
      <c r="Q333" s="482" t="str">
        <f>IFERROR(VLOOKUP(G333,MODULY_CBA!$B$3:$I$23,6,0),"")</f>
        <v>Inkrement 1</v>
      </c>
      <c r="R333" s="385"/>
      <c r="S333" s="385"/>
      <c r="T333" s="385"/>
      <c r="U333" s="385"/>
      <c r="V333" s="385"/>
      <c r="W333" s="385"/>
      <c r="X333" s="385"/>
      <c r="Y333" s="385"/>
      <c r="Z333" s="385"/>
      <c r="AA333" s="385"/>
      <c r="AB333" s="385"/>
      <c r="AC333" s="385"/>
      <c r="AD333" s="385"/>
      <c r="AE333" s="385"/>
      <c r="AF333" s="377"/>
    </row>
    <row r="334" spans="1:32" ht="39">
      <c r="A334" s="404" t="s">
        <v>1504</v>
      </c>
      <c r="B334" s="404" t="s">
        <v>1158</v>
      </c>
      <c r="C334" s="535" t="s">
        <v>842</v>
      </c>
      <c r="D334" s="535" t="s">
        <v>1505</v>
      </c>
      <c r="E334" s="535" t="s">
        <v>1506</v>
      </c>
      <c r="F334" s="686" t="s">
        <v>489</v>
      </c>
      <c r="G334" s="386" t="s">
        <v>281</v>
      </c>
      <c r="H334" s="382">
        <v>3</v>
      </c>
      <c r="I334" s="644">
        <v>15</v>
      </c>
      <c r="J334" s="382">
        <f t="shared" si="25"/>
        <v>3</v>
      </c>
      <c r="K334" s="382">
        <f t="shared" si="26"/>
        <v>45</v>
      </c>
      <c r="L334" s="646">
        <f>IFERROR(IF(B334="funkcna poziadavka",VLOOKUP(G334,MODULY_CBA!$B$3:$E$23,4,0)*H334/SUMIFS($H$3:$H$199,$G$3:$G$199,G334,$B$3:$B$199,B334),),)</f>
        <v>0</v>
      </c>
      <c r="M334" s="382">
        <f>IFERROR(IF(B334="Funkcna poziadavka",VLOOKUP(G334,MODULY_CBA!$B$3:$E$23,3,0),),)</f>
        <v>0</v>
      </c>
      <c r="N334" s="382">
        <f>IFERROR(IF(B334="funkcna poziadavka",VLOOKUP(G334,MODULY_CBA!$B$3:$E$23,2,0),),)</f>
        <v>0</v>
      </c>
      <c r="O334" s="381">
        <f t="shared" si="27"/>
        <v>0</v>
      </c>
      <c r="P334" s="380">
        <f>IFERROR(O334*VLOOKUP(G334,MODULY_CBA!$B$3:$F$23,5,0),)</f>
        <v>0</v>
      </c>
      <c r="Q334" s="482">
        <f>IFERROR(VLOOKUP(G334,MODULY_CBA!$B$3:$I$23,6,0),"")</f>
        <v>0</v>
      </c>
      <c r="R334" s="385"/>
      <c r="S334" s="385"/>
      <c r="T334" s="385"/>
      <c r="U334" s="385"/>
      <c r="V334" s="385"/>
      <c r="W334" s="385"/>
      <c r="X334" s="385"/>
      <c r="Y334" s="385"/>
      <c r="Z334" s="385"/>
      <c r="AA334" s="385"/>
      <c r="AB334" s="385"/>
      <c r="AC334" s="385"/>
      <c r="AD334" s="385"/>
      <c r="AE334" s="385"/>
      <c r="AF334" s="377"/>
    </row>
    <row r="335" spans="1:32" ht="39">
      <c r="A335" s="404" t="s">
        <v>1507</v>
      </c>
      <c r="B335" s="404" t="s">
        <v>1158</v>
      </c>
      <c r="C335" s="535" t="s">
        <v>842</v>
      </c>
      <c r="D335" s="535" t="s">
        <v>1508</v>
      </c>
      <c r="E335" s="535" t="s">
        <v>1509</v>
      </c>
      <c r="F335" s="686" t="s">
        <v>489</v>
      </c>
      <c r="G335" s="386" t="s">
        <v>269</v>
      </c>
      <c r="H335" s="382">
        <v>3</v>
      </c>
      <c r="I335" s="644">
        <v>15</v>
      </c>
      <c r="J335" s="382">
        <f t="shared" si="25"/>
        <v>3</v>
      </c>
      <c r="K335" s="382">
        <f t="shared" si="26"/>
        <v>45</v>
      </c>
      <c r="L335" s="646">
        <f>IFERROR(IF(B335="funkcna poziadavka",VLOOKUP(G335,MODULY_CBA!$B$3:$E$23,4,0)*H335/SUMIFS($H$3:$H$199,$G$3:$G$199,G335,$B$3:$B$199,B335),),)</f>
        <v>0</v>
      </c>
      <c r="M335" s="382">
        <f>IFERROR(IF(B335="Funkcna poziadavka",VLOOKUP(G335,MODULY_CBA!$B$3:$E$23,3,0),),)</f>
        <v>0</v>
      </c>
      <c r="N335" s="382">
        <f>IFERROR(IF(B335="funkcna poziadavka",VLOOKUP(G335,MODULY_CBA!$B$3:$E$23,2,0),),)</f>
        <v>0</v>
      </c>
      <c r="O335" s="381">
        <f t="shared" si="27"/>
        <v>0</v>
      </c>
      <c r="P335" s="380">
        <f>IFERROR(O335*VLOOKUP(G335,MODULY_CBA!$B$3:$F$23,5,0),)</f>
        <v>0</v>
      </c>
      <c r="Q335" s="482" t="str">
        <f>IFERROR(VLOOKUP(G335,MODULY_CBA!$B$3:$I$23,6,0),"")</f>
        <v>Inkrement 1</v>
      </c>
      <c r="R335" s="385"/>
      <c r="S335" s="385"/>
      <c r="T335" s="385"/>
      <c r="U335" s="385"/>
      <c r="V335" s="385"/>
      <c r="W335" s="385"/>
      <c r="X335" s="385"/>
      <c r="Y335" s="385"/>
      <c r="Z335" s="385"/>
      <c r="AA335" s="385"/>
      <c r="AB335" s="385"/>
      <c r="AC335" s="385"/>
      <c r="AD335" s="385"/>
      <c r="AE335" s="385"/>
      <c r="AF335" s="377"/>
    </row>
    <row r="336" spans="1:32" ht="39">
      <c r="A336" s="404" t="s">
        <v>1510</v>
      </c>
      <c r="B336" s="404" t="s">
        <v>1158</v>
      </c>
      <c r="C336" s="535" t="s">
        <v>842</v>
      </c>
      <c r="D336" s="535" t="s">
        <v>1511</v>
      </c>
      <c r="E336" s="535" t="s">
        <v>1512</v>
      </c>
      <c r="F336" s="686" t="s">
        <v>489</v>
      </c>
      <c r="G336" s="386" t="s">
        <v>263</v>
      </c>
      <c r="H336" s="382">
        <v>3</v>
      </c>
      <c r="I336" s="644">
        <v>15</v>
      </c>
      <c r="J336" s="382">
        <f t="shared" si="25"/>
        <v>3</v>
      </c>
      <c r="K336" s="382">
        <f t="shared" si="26"/>
        <v>45</v>
      </c>
      <c r="L336" s="646">
        <f>IFERROR(IF(B336="funkcna poziadavka",VLOOKUP(G336,MODULY_CBA!$B$3:$E$23,4,0)*H336/SUMIFS($H$3:$H$199,$G$3:$G$199,G336,$B$3:$B$199,B336),),)</f>
        <v>0</v>
      </c>
      <c r="M336" s="382">
        <f>IFERROR(IF(B336="Funkcna poziadavka",VLOOKUP(G336,MODULY_CBA!$B$3:$E$23,3,0),),)</f>
        <v>0</v>
      </c>
      <c r="N336" s="382">
        <f>IFERROR(IF(B336="funkcna poziadavka",VLOOKUP(G336,MODULY_CBA!$B$3:$E$23,2,0),),)</f>
        <v>0</v>
      </c>
      <c r="O336" s="381">
        <f t="shared" si="27"/>
        <v>0</v>
      </c>
      <c r="P336" s="380">
        <f>IFERROR(O336*VLOOKUP(G336,MODULY_CBA!$B$3:$F$23,5,0),)</f>
        <v>0</v>
      </c>
      <c r="Q336" s="482" t="str">
        <f>IFERROR(VLOOKUP(G336,MODULY_CBA!$B$3:$I$23,6,0),"")</f>
        <v>Inkrement 1</v>
      </c>
      <c r="R336" s="385"/>
      <c r="S336" s="385"/>
      <c r="T336" s="385"/>
      <c r="U336" s="385"/>
      <c r="V336" s="385"/>
      <c r="W336" s="385"/>
      <c r="X336" s="385"/>
      <c r="Y336" s="385"/>
      <c r="Z336" s="385"/>
      <c r="AA336" s="385"/>
      <c r="AB336" s="385"/>
      <c r="AC336" s="385"/>
      <c r="AD336" s="385"/>
      <c r="AE336" s="385"/>
      <c r="AF336" s="377"/>
    </row>
    <row r="337" spans="1:32" ht="26">
      <c r="A337" s="404" t="s">
        <v>1513</v>
      </c>
      <c r="B337" s="404" t="s">
        <v>1158</v>
      </c>
      <c r="C337" s="535" t="s">
        <v>842</v>
      </c>
      <c r="D337" s="535" t="s">
        <v>1514</v>
      </c>
      <c r="E337" s="535" t="s">
        <v>1515</v>
      </c>
      <c r="F337" s="686" t="s">
        <v>489</v>
      </c>
      <c r="G337" s="386" t="s">
        <v>263</v>
      </c>
      <c r="H337" s="382">
        <v>3</v>
      </c>
      <c r="I337" s="644">
        <v>15</v>
      </c>
      <c r="J337" s="382">
        <f t="shared" si="25"/>
        <v>3</v>
      </c>
      <c r="K337" s="382">
        <f t="shared" si="26"/>
        <v>45</v>
      </c>
      <c r="L337" s="646">
        <f>IFERROR(IF(B337="funkcna poziadavka",VLOOKUP(G337,MODULY_CBA!$B$3:$E$23,4,0)*H337/SUMIFS($H$3:$H$199,$G$3:$G$199,G337,$B$3:$B$199,B337),),)</f>
        <v>0</v>
      </c>
      <c r="M337" s="382">
        <f>IFERROR(IF(B337="Funkcna poziadavka",VLOOKUP(G337,MODULY_CBA!$B$3:$E$23,3,0),),)</f>
        <v>0</v>
      </c>
      <c r="N337" s="382">
        <f>IFERROR(IF(B337="funkcna poziadavka",VLOOKUP(G337,MODULY_CBA!$B$3:$E$23,2,0),),)</f>
        <v>0</v>
      </c>
      <c r="O337" s="381">
        <f t="shared" si="27"/>
        <v>0</v>
      </c>
      <c r="P337" s="380">
        <f>IFERROR(O337*VLOOKUP(G337,MODULY_CBA!$B$3:$F$23,5,0),)</f>
        <v>0</v>
      </c>
      <c r="Q337" s="482" t="str">
        <f>IFERROR(VLOOKUP(G337,MODULY_CBA!$B$3:$I$23,6,0),"")</f>
        <v>Inkrement 1</v>
      </c>
      <c r="R337" s="385"/>
      <c r="S337" s="385"/>
      <c r="T337" s="385"/>
      <c r="U337" s="385"/>
      <c r="V337" s="385"/>
      <c r="W337" s="385"/>
      <c r="X337" s="385"/>
      <c r="Y337" s="385"/>
      <c r="Z337" s="385"/>
      <c r="AA337" s="385"/>
      <c r="AB337" s="385"/>
      <c r="AC337" s="385"/>
      <c r="AD337" s="385"/>
      <c r="AE337" s="385"/>
      <c r="AF337" s="377"/>
    </row>
    <row r="338" spans="1:32" ht="39">
      <c r="A338" s="404" t="s">
        <v>1516</v>
      </c>
      <c r="B338" s="404" t="s">
        <v>1158</v>
      </c>
      <c r="C338" s="535" t="s">
        <v>842</v>
      </c>
      <c r="D338" s="535" t="s">
        <v>1517</v>
      </c>
      <c r="E338" s="535" t="s">
        <v>1518</v>
      </c>
      <c r="F338" s="686" t="s">
        <v>489</v>
      </c>
      <c r="G338" s="386" t="s">
        <v>263</v>
      </c>
      <c r="H338" s="382">
        <v>3</v>
      </c>
      <c r="I338" s="644">
        <v>15</v>
      </c>
      <c r="J338" s="382">
        <f t="shared" si="25"/>
        <v>3</v>
      </c>
      <c r="K338" s="382">
        <f t="shared" si="26"/>
        <v>45</v>
      </c>
      <c r="L338" s="646">
        <f>IFERROR(IF(B338="funkcna poziadavka",VLOOKUP(G338,MODULY_CBA!$B$3:$E$23,4,0)*H338/SUMIFS($H$3:$H$199,$G$3:$G$199,G338,$B$3:$B$199,B338),),)</f>
        <v>0</v>
      </c>
      <c r="M338" s="382">
        <f>IFERROR(IF(B338="Funkcna poziadavka",VLOOKUP(G338,MODULY_CBA!$B$3:$E$23,3,0),),)</f>
        <v>0</v>
      </c>
      <c r="N338" s="382">
        <f>IFERROR(IF(B338="funkcna poziadavka",VLOOKUP(G338,MODULY_CBA!$B$3:$E$23,2,0),),)</f>
        <v>0</v>
      </c>
      <c r="O338" s="381">
        <f t="shared" si="27"/>
        <v>0</v>
      </c>
      <c r="P338" s="380">
        <f>IFERROR(O338*VLOOKUP(G338,MODULY_CBA!$B$3:$F$23,5,0),)</f>
        <v>0</v>
      </c>
      <c r="Q338" s="482" t="str">
        <f>IFERROR(VLOOKUP(G338,MODULY_CBA!$B$3:$I$23,6,0),"")</f>
        <v>Inkrement 1</v>
      </c>
      <c r="R338" s="385"/>
      <c r="S338" s="385"/>
      <c r="T338" s="385"/>
      <c r="U338" s="385"/>
      <c r="V338" s="385"/>
      <c r="W338" s="385"/>
      <c r="X338" s="385"/>
      <c r="Y338" s="385"/>
      <c r="Z338" s="385"/>
      <c r="AA338" s="385"/>
      <c r="AB338" s="385"/>
      <c r="AC338" s="385"/>
      <c r="AD338" s="385"/>
      <c r="AE338" s="385"/>
      <c r="AF338" s="377"/>
    </row>
    <row r="339" spans="1:32" ht="26">
      <c r="A339" s="404" t="s">
        <v>1519</v>
      </c>
      <c r="B339" s="404" t="s">
        <v>1158</v>
      </c>
      <c r="C339" s="535" t="s">
        <v>842</v>
      </c>
      <c r="D339" s="535" t="s">
        <v>1520</v>
      </c>
      <c r="E339" s="535" t="s">
        <v>1521</v>
      </c>
      <c r="F339" s="686" t="s">
        <v>489</v>
      </c>
      <c r="G339" s="386" t="s">
        <v>277</v>
      </c>
      <c r="H339" s="382">
        <v>3</v>
      </c>
      <c r="I339" s="644">
        <v>15</v>
      </c>
      <c r="J339" s="382">
        <f t="shared" si="25"/>
        <v>3</v>
      </c>
      <c r="K339" s="382">
        <f t="shared" si="26"/>
        <v>45</v>
      </c>
      <c r="L339" s="646">
        <f>IFERROR(IF(B339="funkcna poziadavka",VLOOKUP(G339,MODULY_CBA!$B$3:$E$23,4,0)*H339/SUMIFS($H$3:$H$199,$G$3:$G$199,G339,$B$3:$B$199,B339),),)</f>
        <v>0</v>
      </c>
      <c r="M339" s="382">
        <f>IFERROR(IF(B339="Funkcna poziadavka",VLOOKUP(G339,MODULY_CBA!$B$3:$E$23,3,0),),)</f>
        <v>0</v>
      </c>
      <c r="N339" s="382">
        <f>IFERROR(IF(B339="funkcna poziadavka",VLOOKUP(G339,MODULY_CBA!$B$3:$E$23,2,0),),)</f>
        <v>0</v>
      </c>
      <c r="O339" s="381">
        <f t="shared" si="27"/>
        <v>0</v>
      </c>
      <c r="P339" s="380">
        <f>IFERROR(O339*VLOOKUP(G339,MODULY_CBA!$B$3:$F$23,5,0),)</f>
        <v>0</v>
      </c>
      <c r="Q339" s="482">
        <f>IFERROR(VLOOKUP(G339,MODULY_CBA!$B$3:$I$23,6,0),"")</f>
        <v>0</v>
      </c>
      <c r="R339" s="385"/>
      <c r="S339" s="385"/>
      <c r="T339" s="385"/>
      <c r="U339" s="385"/>
      <c r="V339" s="385"/>
      <c r="W339" s="385"/>
      <c r="X339" s="385"/>
      <c r="Y339" s="385"/>
      <c r="Z339" s="385"/>
      <c r="AA339" s="385"/>
      <c r="AB339" s="385"/>
      <c r="AC339" s="385"/>
      <c r="AD339" s="385"/>
      <c r="AE339" s="385"/>
      <c r="AF339" s="377"/>
    </row>
    <row r="340" spans="1:32" ht="26">
      <c r="A340" s="404" t="s">
        <v>1522</v>
      </c>
      <c r="B340" s="404" t="s">
        <v>1158</v>
      </c>
      <c r="C340" s="535" t="s">
        <v>842</v>
      </c>
      <c r="D340" s="535" t="s">
        <v>1523</v>
      </c>
      <c r="E340" s="535" t="s">
        <v>1524</v>
      </c>
      <c r="F340" s="686" t="s">
        <v>489</v>
      </c>
      <c r="G340" s="386" t="s">
        <v>277</v>
      </c>
      <c r="H340" s="382">
        <v>3</v>
      </c>
      <c r="I340" s="644">
        <v>15</v>
      </c>
      <c r="J340" s="382">
        <f t="shared" si="25"/>
        <v>3</v>
      </c>
      <c r="K340" s="382">
        <f t="shared" si="26"/>
        <v>45</v>
      </c>
      <c r="L340" s="646">
        <f>IFERROR(IF(B340="funkcna poziadavka",VLOOKUP(G340,MODULY_CBA!$B$3:$E$23,4,0)*H340/SUMIFS($H$3:$H$199,$G$3:$G$199,G340,$B$3:$B$199,B340),),)</f>
        <v>0</v>
      </c>
      <c r="M340" s="382">
        <f>IFERROR(IF(B340="Funkcna poziadavka",VLOOKUP(G340,MODULY_CBA!$B$3:$E$23,3,0),),)</f>
        <v>0</v>
      </c>
      <c r="N340" s="382">
        <f>IFERROR(IF(B340="funkcna poziadavka",VLOOKUP(G340,MODULY_CBA!$B$3:$E$23,2,0),),)</f>
        <v>0</v>
      </c>
      <c r="O340" s="381">
        <f t="shared" si="27"/>
        <v>0</v>
      </c>
      <c r="P340" s="380">
        <f>IFERROR(O340*VLOOKUP(G340,MODULY_CBA!$B$3:$F$23,5,0),)</f>
        <v>0</v>
      </c>
      <c r="Q340" s="482">
        <f>IFERROR(VLOOKUP(G340,MODULY_CBA!$B$3:$I$23,6,0),"")</f>
        <v>0</v>
      </c>
      <c r="R340" s="385"/>
      <c r="S340" s="385"/>
      <c r="T340" s="385"/>
      <c r="U340" s="385"/>
      <c r="V340" s="385"/>
      <c r="W340" s="385"/>
      <c r="X340" s="385"/>
      <c r="Y340" s="385"/>
      <c r="Z340" s="385"/>
      <c r="AA340" s="385"/>
      <c r="AB340" s="385"/>
      <c r="AC340" s="385"/>
      <c r="AD340" s="385"/>
      <c r="AE340" s="385"/>
      <c r="AF340" s="377"/>
    </row>
    <row r="341" spans="1:32" ht="39">
      <c r="A341" s="404" t="s">
        <v>1525</v>
      </c>
      <c r="B341" s="404" t="s">
        <v>1158</v>
      </c>
      <c r="C341" s="535" t="s">
        <v>491</v>
      </c>
      <c r="D341" s="535" t="s">
        <v>1526</v>
      </c>
      <c r="E341" s="535" t="s">
        <v>1527</v>
      </c>
      <c r="F341" s="686" t="s">
        <v>489</v>
      </c>
      <c r="G341" s="386" t="s">
        <v>251</v>
      </c>
      <c r="H341" s="382">
        <v>3</v>
      </c>
      <c r="I341" s="644">
        <v>15</v>
      </c>
      <c r="J341" s="382">
        <f t="shared" si="25"/>
        <v>3</v>
      </c>
      <c r="K341" s="382">
        <f t="shared" si="26"/>
        <v>45</v>
      </c>
      <c r="L341" s="646">
        <f>IFERROR(IF(B341="funkcna poziadavka",VLOOKUP(G341,MODULY_CBA!$B$3:$E$23,4,0)*H341/SUMIFS($H$3:$H$199,$G$3:$G$199,G341,$B$3:$B$199,B341),),)</f>
        <v>0</v>
      </c>
      <c r="M341" s="382">
        <f>IFERROR(IF(B341="Funkcna poziadavka",VLOOKUP(G341,MODULY_CBA!$B$3:$E$23,3,0),),)</f>
        <v>0</v>
      </c>
      <c r="N341" s="382">
        <f>IFERROR(IF(B341="funkcna poziadavka",VLOOKUP(G341,MODULY_CBA!$B$3:$E$23,2,0),),)</f>
        <v>0</v>
      </c>
      <c r="O341" s="381">
        <f t="shared" si="27"/>
        <v>0</v>
      </c>
      <c r="P341" s="380">
        <f>IFERROR(O341*VLOOKUP(G341,MODULY_CBA!$B$3:$F$23,5,0),)</f>
        <v>0</v>
      </c>
      <c r="Q341" s="482" t="str">
        <f>IFERROR(VLOOKUP(G341,MODULY_CBA!$B$3:$I$23,6,0),"")</f>
        <v>Inkrement 3</v>
      </c>
      <c r="R341" s="385"/>
      <c r="S341" s="385"/>
      <c r="T341" s="385"/>
      <c r="U341" s="385"/>
      <c r="V341" s="385"/>
      <c r="W341" s="385"/>
      <c r="X341" s="385"/>
      <c r="Y341" s="385"/>
      <c r="Z341" s="385"/>
      <c r="AA341" s="385"/>
      <c r="AB341" s="385"/>
      <c r="AC341" s="385"/>
      <c r="AD341" s="385"/>
      <c r="AE341" s="385"/>
      <c r="AF341" s="377"/>
    </row>
    <row r="342" spans="1:32" ht="39">
      <c r="A342" s="404" t="s">
        <v>1528</v>
      </c>
      <c r="B342" s="404" t="s">
        <v>1158</v>
      </c>
      <c r="C342" s="535" t="s">
        <v>491</v>
      </c>
      <c r="D342" s="535" t="s">
        <v>1529</v>
      </c>
      <c r="E342" s="535" t="s">
        <v>1530</v>
      </c>
      <c r="F342" s="686" t="s">
        <v>489</v>
      </c>
      <c r="G342" s="386" t="s">
        <v>251</v>
      </c>
      <c r="H342" s="382">
        <v>3</v>
      </c>
      <c r="I342" s="644">
        <v>15</v>
      </c>
      <c r="J342" s="382">
        <f t="shared" si="25"/>
        <v>3</v>
      </c>
      <c r="K342" s="382">
        <f t="shared" si="26"/>
        <v>45</v>
      </c>
      <c r="L342" s="646">
        <f>IFERROR(IF(B342="funkcna poziadavka",VLOOKUP(G342,MODULY_CBA!$B$3:$E$23,4,0)*H342/SUMIFS($H$3:$H$199,$G$3:$G$199,G342,$B$3:$B$199,B342),),)</f>
        <v>0</v>
      </c>
      <c r="M342" s="382">
        <f>IFERROR(IF(B342="Funkcna poziadavka",VLOOKUP(G342,MODULY_CBA!$B$3:$E$23,3,0),),)</f>
        <v>0</v>
      </c>
      <c r="N342" s="382">
        <f>IFERROR(IF(B342="funkcna poziadavka",VLOOKUP(G342,MODULY_CBA!$B$3:$E$23,2,0),),)</f>
        <v>0</v>
      </c>
      <c r="O342" s="381">
        <f t="shared" si="27"/>
        <v>0</v>
      </c>
      <c r="P342" s="380">
        <f>IFERROR(O342*VLOOKUP(G342,MODULY_CBA!$B$3:$F$23,5,0),)</f>
        <v>0</v>
      </c>
      <c r="Q342" s="482" t="str">
        <f>IFERROR(VLOOKUP(G342,MODULY_CBA!$B$3:$I$23,6,0),"")</f>
        <v>Inkrement 3</v>
      </c>
      <c r="R342" s="385"/>
      <c r="S342" s="385"/>
      <c r="T342" s="385"/>
      <c r="U342" s="385"/>
      <c r="V342" s="385"/>
      <c r="W342" s="385"/>
      <c r="X342" s="385"/>
      <c r="Y342" s="385"/>
      <c r="Z342" s="385"/>
      <c r="AA342" s="385"/>
      <c r="AB342" s="385"/>
      <c r="AC342" s="385"/>
      <c r="AD342" s="385"/>
      <c r="AE342" s="385"/>
      <c r="AF342" s="377"/>
    </row>
    <row r="343" spans="1:32" ht="39">
      <c r="A343" s="404" t="s">
        <v>1531</v>
      </c>
      <c r="B343" s="404" t="s">
        <v>1158</v>
      </c>
      <c r="C343" s="535" t="s">
        <v>842</v>
      </c>
      <c r="D343" s="535" t="s">
        <v>1532</v>
      </c>
      <c r="E343" s="535" t="s">
        <v>1533</v>
      </c>
      <c r="F343" s="686" t="s">
        <v>489</v>
      </c>
      <c r="G343" s="386" t="s">
        <v>275</v>
      </c>
      <c r="H343" s="382">
        <v>3</v>
      </c>
      <c r="I343" s="644">
        <v>15</v>
      </c>
      <c r="J343" s="382">
        <f t="shared" si="25"/>
        <v>3</v>
      </c>
      <c r="K343" s="382">
        <f t="shared" si="26"/>
        <v>45</v>
      </c>
      <c r="L343" s="646">
        <f>IFERROR(IF(B343="funkcna poziadavka",VLOOKUP(G343,MODULY_CBA!$B$3:$E$23,4,0)*H343/SUMIFS($H$3:$H$199,$G$3:$G$199,G343,$B$3:$B$199,B343),),)</f>
        <v>0</v>
      </c>
      <c r="M343" s="382">
        <f>IFERROR(IF(B343="Funkcna poziadavka",VLOOKUP(G343,MODULY_CBA!$B$3:$E$23,3,0),),)</f>
        <v>0</v>
      </c>
      <c r="N343" s="382">
        <f>IFERROR(IF(B343="funkcna poziadavka",VLOOKUP(G343,MODULY_CBA!$B$3:$E$23,2,0),),)</f>
        <v>0</v>
      </c>
      <c r="O343" s="381">
        <f t="shared" si="27"/>
        <v>0</v>
      </c>
      <c r="P343" s="380">
        <f>IFERROR(O343*VLOOKUP(G343,MODULY_CBA!$B$3:$F$23,5,0),)</f>
        <v>0</v>
      </c>
      <c r="Q343" s="482">
        <f>IFERROR(VLOOKUP(G343,MODULY_CBA!$B$3:$I$23,6,0),"")</f>
        <v>0</v>
      </c>
      <c r="R343" s="385"/>
      <c r="S343" s="385"/>
      <c r="T343" s="385"/>
      <c r="U343" s="385"/>
      <c r="V343" s="385"/>
      <c r="W343" s="385"/>
      <c r="X343" s="385"/>
      <c r="Y343" s="385"/>
      <c r="Z343" s="385"/>
      <c r="AA343" s="385"/>
      <c r="AB343" s="385"/>
      <c r="AC343" s="385"/>
      <c r="AD343" s="385"/>
      <c r="AE343" s="385"/>
      <c r="AF343" s="377"/>
    </row>
    <row r="344" spans="1:32" ht="39">
      <c r="A344" s="404" t="s">
        <v>1534</v>
      </c>
      <c r="B344" s="404" t="s">
        <v>1158</v>
      </c>
      <c r="C344" s="535" t="s">
        <v>842</v>
      </c>
      <c r="D344" s="535" t="s">
        <v>1535</v>
      </c>
      <c r="E344" s="535" t="s">
        <v>1536</v>
      </c>
      <c r="F344" s="686" t="s">
        <v>489</v>
      </c>
      <c r="G344" s="386" t="s">
        <v>275</v>
      </c>
      <c r="H344" s="382">
        <v>3</v>
      </c>
      <c r="I344" s="644">
        <v>15</v>
      </c>
      <c r="J344" s="382">
        <f t="shared" si="25"/>
        <v>3</v>
      </c>
      <c r="K344" s="382">
        <f t="shared" si="26"/>
        <v>45</v>
      </c>
      <c r="L344" s="646">
        <f>IFERROR(IF(B344="funkcna poziadavka",VLOOKUP(G344,MODULY_CBA!$B$3:$E$23,4,0)*H344/SUMIFS($H$3:$H$199,$G$3:$G$199,G344,$B$3:$B$199,B344),),)</f>
        <v>0</v>
      </c>
      <c r="M344" s="382">
        <f>IFERROR(IF(B344="Funkcna poziadavka",VLOOKUP(G344,MODULY_CBA!$B$3:$E$23,3,0),),)</f>
        <v>0</v>
      </c>
      <c r="N344" s="382">
        <f>IFERROR(IF(B344="funkcna poziadavka",VLOOKUP(G344,MODULY_CBA!$B$3:$E$23,2,0),),)</f>
        <v>0</v>
      </c>
      <c r="O344" s="381">
        <f t="shared" si="27"/>
        <v>0</v>
      </c>
      <c r="P344" s="380">
        <f>IFERROR(O344*VLOOKUP(G344,MODULY_CBA!$B$3:$F$23,5,0),)</f>
        <v>0</v>
      </c>
      <c r="Q344" s="482">
        <f>IFERROR(VLOOKUP(G344,MODULY_CBA!$B$3:$I$23,6,0),"")</f>
        <v>0</v>
      </c>
      <c r="R344" s="385"/>
      <c r="S344" s="385"/>
      <c r="T344" s="385"/>
      <c r="U344" s="385"/>
      <c r="V344" s="385"/>
      <c r="W344" s="385"/>
      <c r="X344" s="385"/>
      <c r="Y344" s="385"/>
      <c r="Z344" s="385"/>
      <c r="AA344" s="385"/>
      <c r="AB344" s="385"/>
      <c r="AC344" s="385"/>
      <c r="AD344" s="385"/>
      <c r="AE344" s="385"/>
      <c r="AF344" s="377"/>
    </row>
    <row r="345" spans="1:32" ht="39">
      <c r="A345" s="404" t="s">
        <v>1537</v>
      </c>
      <c r="B345" s="404" t="s">
        <v>1158</v>
      </c>
      <c r="C345" s="535" t="s">
        <v>842</v>
      </c>
      <c r="D345" s="535" t="s">
        <v>1538</v>
      </c>
      <c r="E345" s="535" t="s">
        <v>1539</v>
      </c>
      <c r="F345" s="686" t="s">
        <v>489</v>
      </c>
      <c r="G345" s="386" t="s">
        <v>281</v>
      </c>
      <c r="H345" s="382">
        <v>3</v>
      </c>
      <c r="I345" s="644">
        <v>15</v>
      </c>
      <c r="J345" s="382">
        <f t="shared" si="25"/>
        <v>3</v>
      </c>
      <c r="K345" s="382">
        <f t="shared" si="26"/>
        <v>45</v>
      </c>
      <c r="L345" s="646">
        <f>IFERROR(IF(B345="funkcna poziadavka",VLOOKUP(G345,MODULY_CBA!$B$3:$E$23,4,0)*H345/SUMIFS($H$3:$H$199,$G$3:$G$199,G345,$B$3:$B$199,B345),),)</f>
        <v>0</v>
      </c>
      <c r="M345" s="382">
        <f>IFERROR(IF(B345="Funkcna poziadavka",VLOOKUP(G345,MODULY_CBA!$B$3:$E$23,3,0),),)</f>
        <v>0</v>
      </c>
      <c r="N345" s="382">
        <f>IFERROR(IF(B345="funkcna poziadavka",VLOOKUP(G345,MODULY_CBA!$B$3:$E$23,2,0),),)</f>
        <v>0</v>
      </c>
      <c r="O345" s="381">
        <f t="shared" si="27"/>
        <v>0</v>
      </c>
      <c r="P345" s="380">
        <f>IFERROR(O345*VLOOKUP(G345,MODULY_CBA!$B$3:$F$23,5,0),)</f>
        <v>0</v>
      </c>
      <c r="Q345" s="482">
        <f>IFERROR(VLOOKUP(G345,MODULY_CBA!$B$3:$I$23,6,0),"")</f>
        <v>0</v>
      </c>
      <c r="R345" s="385"/>
      <c r="S345" s="385"/>
      <c r="T345" s="385"/>
      <c r="U345" s="385"/>
      <c r="V345" s="385"/>
      <c r="W345" s="385"/>
      <c r="X345" s="385"/>
      <c r="Y345" s="385"/>
      <c r="Z345" s="385"/>
      <c r="AA345" s="385"/>
      <c r="AB345" s="385"/>
      <c r="AC345" s="385"/>
      <c r="AD345" s="385"/>
      <c r="AE345" s="385"/>
      <c r="AF345" s="377"/>
    </row>
    <row r="346" spans="1:32" ht="39">
      <c r="A346" s="404" t="s">
        <v>1540</v>
      </c>
      <c r="B346" s="404" t="s">
        <v>1158</v>
      </c>
      <c r="C346" s="535" t="s">
        <v>486</v>
      </c>
      <c r="D346" s="535" t="s">
        <v>1541</v>
      </c>
      <c r="E346" s="535" t="s">
        <v>1542</v>
      </c>
      <c r="F346" s="686" t="s">
        <v>489</v>
      </c>
      <c r="G346" s="386" t="s">
        <v>281</v>
      </c>
      <c r="H346" s="382">
        <v>3</v>
      </c>
      <c r="I346" s="644">
        <v>15</v>
      </c>
      <c r="J346" s="382">
        <f t="shared" si="25"/>
        <v>3</v>
      </c>
      <c r="K346" s="382">
        <f t="shared" si="26"/>
        <v>45</v>
      </c>
      <c r="L346" s="646">
        <f>IFERROR(IF(B346="funkcna poziadavka",VLOOKUP(G346,MODULY_CBA!$B$3:$E$23,4,0)*H346/SUMIFS($H$3:$H$199,$G$3:$G$199,G346,$B$3:$B$199,B346),),)</f>
        <v>0</v>
      </c>
      <c r="M346" s="382">
        <f>IFERROR(IF(B346="Funkcna poziadavka",VLOOKUP(G346,MODULY_CBA!$B$3:$E$23,3,0),),)</f>
        <v>0</v>
      </c>
      <c r="N346" s="382">
        <f>IFERROR(IF(B346="funkcna poziadavka",VLOOKUP(G346,MODULY_CBA!$B$3:$E$23,2,0),),)</f>
        <v>0</v>
      </c>
      <c r="O346" s="381">
        <f t="shared" si="27"/>
        <v>0</v>
      </c>
      <c r="P346" s="380">
        <f>IFERROR(O346*VLOOKUP(G346,MODULY_CBA!$B$3:$F$23,5,0),)</f>
        <v>0</v>
      </c>
      <c r="Q346" s="482">
        <f>IFERROR(VLOOKUP(G346,MODULY_CBA!$B$3:$I$23,6,0),"")</f>
        <v>0</v>
      </c>
      <c r="R346" s="385"/>
      <c r="S346" s="385"/>
      <c r="T346" s="385"/>
      <c r="U346" s="385"/>
      <c r="V346" s="385"/>
      <c r="W346" s="385"/>
      <c r="X346" s="385"/>
      <c r="Y346" s="385"/>
      <c r="Z346" s="385"/>
      <c r="AA346" s="385"/>
      <c r="AB346" s="385"/>
      <c r="AC346" s="385"/>
      <c r="AD346" s="385"/>
      <c r="AE346" s="385"/>
      <c r="AF346" s="377"/>
    </row>
    <row r="347" spans="1:32" ht="39">
      <c r="A347" s="404" t="s">
        <v>1543</v>
      </c>
      <c r="B347" s="404" t="s">
        <v>1158</v>
      </c>
      <c r="C347" s="535" t="s">
        <v>486</v>
      </c>
      <c r="D347" s="535" t="s">
        <v>1544</v>
      </c>
      <c r="E347" s="535" t="s">
        <v>1545</v>
      </c>
      <c r="F347" s="686" t="s">
        <v>489</v>
      </c>
      <c r="G347" s="386" t="s">
        <v>281</v>
      </c>
      <c r="H347" s="382">
        <v>3</v>
      </c>
      <c r="I347" s="644">
        <v>15</v>
      </c>
      <c r="J347" s="382">
        <f t="shared" si="25"/>
        <v>3</v>
      </c>
      <c r="K347" s="382">
        <f t="shared" si="26"/>
        <v>45</v>
      </c>
      <c r="L347" s="646">
        <f>IFERROR(IF(B347="funkcna poziadavka",VLOOKUP(G347,MODULY_CBA!$B$3:$E$23,4,0)*H347/SUMIFS($H$3:$H$199,$G$3:$G$199,G347,$B$3:$B$199,B347),),)</f>
        <v>0</v>
      </c>
      <c r="M347" s="382">
        <f>IFERROR(IF(B347="Funkcna poziadavka",VLOOKUP(G347,MODULY_CBA!$B$3:$E$23,3,0),),)</f>
        <v>0</v>
      </c>
      <c r="N347" s="382">
        <f>IFERROR(IF(B347="funkcna poziadavka",VLOOKUP(G347,MODULY_CBA!$B$3:$E$23,2,0),),)</f>
        <v>0</v>
      </c>
      <c r="O347" s="381">
        <f t="shared" si="27"/>
        <v>0</v>
      </c>
      <c r="P347" s="380">
        <f>IFERROR(O347*VLOOKUP(G347,MODULY_CBA!$B$3:$F$23,5,0),)</f>
        <v>0</v>
      </c>
      <c r="Q347" s="482">
        <f>IFERROR(VLOOKUP(G347,MODULY_CBA!$B$3:$I$23,6,0),"")</f>
        <v>0</v>
      </c>
      <c r="R347" s="385"/>
      <c r="S347" s="385"/>
      <c r="T347" s="385"/>
      <c r="U347" s="385"/>
      <c r="V347" s="385"/>
      <c r="W347" s="385"/>
      <c r="X347" s="385"/>
      <c r="Y347" s="385"/>
      <c r="Z347" s="385"/>
      <c r="AA347" s="385"/>
      <c r="AB347" s="385"/>
      <c r="AC347" s="385"/>
      <c r="AD347" s="385"/>
      <c r="AE347" s="385"/>
      <c r="AF347" s="377"/>
    </row>
    <row r="348" spans="1:32" ht="39">
      <c r="A348" s="404" t="s">
        <v>1546</v>
      </c>
      <c r="B348" s="404" t="s">
        <v>1158</v>
      </c>
      <c r="C348" s="535" t="s">
        <v>491</v>
      </c>
      <c r="D348" s="535" t="s">
        <v>1547</v>
      </c>
      <c r="E348" s="535" t="s">
        <v>1548</v>
      </c>
      <c r="F348" s="686" t="s">
        <v>489</v>
      </c>
      <c r="G348" s="386" t="s">
        <v>251</v>
      </c>
      <c r="H348" s="382">
        <v>3</v>
      </c>
      <c r="I348" s="644">
        <v>15</v>
      </c>
      <c r="J348" s="382">
        <f t="shared" si="25"/>
        <v>3</v>
      </c>
      <c r="K348" s="382">
        <f t="shared" si="26"/>
        <v>45</v>
      </c>
      <c r="L348" s="646">
        <f>IFERROR(IF(B348="funkcna poziadavka",VLOOKUP(G348,MODULY_CBA!$B$3:$E$23,4,0)*H348/SUMIFS($H$3:$H$199,$G$3:$G$199,G348,$B$3:$B$199,B348),),)</f>
        <v>0</v>
      </c>
      <c r="M348" s="382">
        <f>IFERROR(IF(B348="Funkcna poziadavka",VLOOKUP(G348,MODULY_CBA!$B$3:$E$23,3,0),),)</f>
        <v>0</v>
      </c>
      <c r="N348" s="382">
        <f>IFERROR(IF(B348="funkcna poziadavka",VLOOKUP(G348,MODULY_CBA!$B$3:$E$23,2,0),),)</f>
        <v>0</v>
      </c>
      <c r="O348" s="381">
        <f t="shared" si="27"/>
        <v>0</v>
      </c>
      <c r="P348" s="380">
        <f>IFERROR(O348*VLOOKUP(G348,MODULY_CBA!$B$3:$F$23,5,0),)</f>
        <v>0</v>
      </c>
      <c r="Q348" s="482" t="str">
        <f>IFERROR(VLOOKUP(G348,MODULY_CBA!$B$3:$I$23,6,0),"")</f>
        <v>Inkrement 3</v>
      </c>
      <c r="R348" s="385"/>
      <c r="S348" s="385"/>
      <c r="T348" s="385"/>
      <c r="U348" s="385"/>
      <c r="V348" s="385"/>
      <c r="W348" s="385"/>
      <c r="X348" s="385"/>
      <c r="Y348" s="385"/>
      <c r="Z348" s="385"/>
      <c r="AA348" s="385"/>
      <c r="AB348" s="385"/>
      <c r="AC348" s="385"/>
      <c r="AD348" s="385"/>
      <c r="AE348" s="385"/>
      <c r="AF348" s="377"/>
    </row>
    <row r="349" spans="1:32" ht="26">
      <c r="A349" s="404" t="s">
        <v>1549</v>
      </c>
      <c r="B349" s="404" t="s">
        <v>1158</v>
      </c>
      <c r="C349" s="535" t="s">
        <v>491</v>
      </c>
      <c r="D349" s="535" t="s">
        <v>1550</v>
      </c>
      <c r="E349" s="535" t="s">
        <v>1551</v>
      </c>
      <c r="F349" s="686" t="s">
        <v>489</v>
      </c>
      <c r="G349" s="386" t="s">
        <v>251</v>
      </c>
      <c r="H349" s="382">
        <v>3</v>
      </c>
      <c r="I349" s="644">
        <v>15</v>
      </c>
      <c r="J349" s="382">
        <f t="shared" si="25"/>
        <v>3</v>
      </c>
      <c r="K349" s="382">
        <f t="shared" si="26"/>
        <v>45</v>
      </c>
      <c r="L349" s="646">
        <f>IFERROR(IF(B349="funkcna poziadavka",VLOOKUP(G349,MODULY_CBA!$B$3:$E$23,4,0)*H349/SUMIFS($H$3:$H$199,$G$3:$G$199,G349,$B$3:$B$199,B349),),)</f>
        <v>0</v>
      </c>
      <c r="M349" s="382">
        <f>IFERROR(IF(B349="Funkcna poziadavka",VLOOKUP(G349,MODULY_CBA!$B$3:$E$23,3,0),),)</f>
        <v>0</v>
      </c>
      <c r="N349" s="382">
        <f>IFERROR(IF(B349="funkcna poziadavka",VLOOKUP(G349,MODULY_CBA!$B$3:$E$23,2,0),),)</f>
        <v>0</v>
      </c>
      <c r="O349" s="381">
        <f t="shared" si="27"/>
        <v>0</v>
      </c>
      <c r="P349" s="380">
        <f>IFERROR(O349*VLOOKUP(G349,MODULY_CBA!$B$3:$F$23,5,0),)</f>
        <v>0</v>
      </c>
      <c r="Q349" s="482" t="str">
        <f>IFERROR(VLOOKUP(G349,MODULY_CBA!$B$3:$I$23,6,0),"")</f>
        <v>Inkrement 3</v>
      </c>
      <c r="R349" s="385"/>
      <c r="S349" s="385"/>
      <c r="T349" s="385"/>
      <c r="U349" s="385"/>
      <c r="V349" s="385"/>
      <c r="W349" s="385"/>
      <c r="X349" s="385"/>
      <c r="Y349" s="385"/>
      <c r="Z349" s="385"/>
      <c r="AA349" s="385"/>
      <c r="AB349" s="385"/>
      <c r="AC349" s="385"/>
      <c r="AD349" s="385"/>
      <c r="AE349" s="385"/>
      <c r="AF349" s="377"/>
    </row>
    <row r="350" spans="1:32" ht="39">
      <c r="A350" s="404" t="s">
        <v>1552</v>
      </c>
      <c r="B350" s="404" t="s">
        <v>1158</v>
      </c>
      <c r="C350" s="535" t="s">
        <v>873</v>
      </c>
      <c r="D350" s="535" t="s">
        <v>1553</v>
      </c>
      <c r="E350" s="535" t="s">
        <v>1554</v>
      </c>
      <c r="F350" s="686" t="s">
        <v>489</v>
      </c>
      <c r="G350" s="386" t="s">
        <v>281</v>
      </c>
      <c r="H350" s="382">
        <v>3</v>
      </c>
      <c r="I350" s="644">
        <v>15</v>
      </c>
      <c r="J350" s="382">
        <f t="shared" si="25"/>
        <v>3</v>
      </c>
      <c r="K350" s="382">
        <f t="shared" si="26"/>
        <v>45</v>
      </c>
      <c r="L350" s="646">
        <f>IFERROR(IF(B350="funkcna poziadavka",VLOOKUP(G350,MODULY_CBA!$B$3:$E$23,4,0)*H350/SUMIFS($H$3:$H$199,$G$3:$G$199,G350,$B$3:$B$199,B350),),)</f>
        <v>0</v>
      </c>
      <c r="M350" s="382">
        <f>IFERROR(IF(B350="Funkcna poziadavka",VLOOKUP(G350,MODULY_CBA!$B$3:$E$23,3,0),),)</f>
        <v>0</v>
      </c>
      <c r="N350" s="382">
        <f>IFERROR(IF(B350="funkcna poziadavka",VLOOKUP(G350,MODULY_CBA!$B$3:$E$23,2,0),),)</f>
        <v>0</v>
      </c>
      <c r="O350" s="381">
        <f t="shared" si="27"/>
        <v>0</v>
      </c>
      <c r="P350" s="380">
        <f>IFERROR(O350*VLOOKUP(G350,MODULY_CBA!$B$3:$F$23,5,0),)</f>
        <v>0</v>
      </c>
      <c r="Q350" s="482">
        <f>IFERROR(VLOOKUP(G350,MODULY_CBA!$B$3:$I$23,6,0),"")</f>
        <v>0</v>
      </c>
      <c r="R350" s="385"/>
      <c r="S350" s="385"/>
      <c r="T350" s="385"/>
      <c r="U350" s="385"/>
      <c r="V350" s="385"/>
      <c r="W350" s="385"/>
      <c r="X350" s="385"/>
      <c r="Y350" s="385"/>
      <c r="Z350" s="385"/>
      <c r="AA350" s="385"/>
      <c r="AB350" s="385"/>
      <c r="AC350" s="385"/>
      <c r="AD350" s="385"/>
      <c r="AE350" s="385"/>
      <c r="AF350" s="377"/>
    </row>
    <row r="351" spans="1:32" ht="26">
      <c r="A351" s="404" t="s">
        <v>1555</v>
      </c>
      <c r="B351" s="404" t="s">
        <v>1158</v>
      </c>
      <c r="C351" s="535" t="s">
        <v>873</v>
      </c>
      <c r="D351" s="535" t="s">
        <v>1556</v>
      </c>
      <c r="E351" s="535" t="s">
        <v>1557</v>
      </c>
      <c r="F351" s="686" t="s">
        <v>489</v>
      </c>
      <c r="G351" s="386" t="s">
        <v>263</v>
      </c>
      <c r="H351" s="382">
        <v>3</v>
      </c>
      <c r="I351" s="644">
        <v>15</v>
      </c>
      <c r="J351" s="382">
        <f t="shared" ref="J351:J414" si="28">IF(ISNUMBER(H351),H351,)</f>
        <v>3</v>
      </c>
      <c r="K351" s="382">
        <f t="shared" ref="K351:K414" si="29">H351*I351</f>
        <v>45</v>
      </c>
      <c r="L351" s="646">
        <f>IFERROR(IF(B351="funkcna poziadavka",VLOOKUP(G351,MODULY_CBA!$B$3:$E$23,4,0)*H351/SUMIFS($H$3:$H$199,$G$3:$G$199,G351,$B$3:$B$199,B351),),)</f>
        <v>0</v>
      </c>
      <c r="M351" s="382">
        <f>IFERROR(IF(B351="Funkcna poziadavka",VLOOKUP(G351,MODULY_CBA!$B$3:$E$23,3,0),),)</f>
        <v>0</v>
      </c>
      <c r="N351" s="382">
        <f>IFERROR(IF(B351="funkcna poziadavka",VLOOKUP(G351,MODULY_CBA!$B$3:$E$23,2,0),),)</f>
        <v>0</v>
      </c>
      <c r="O351" s="381">
        <f t="shared" ref="O351:O414" si="30">(K351+L351)*M351*N351</f>
        <v>0</v>
      </c>
      <c r="P351" s="380">
        <f>IFERROR(O351*VLOOKUP(G351,MODULY_CBA!$B$3:$F$23,5,0),)</f>
        <v>0</v>
      </c>
      <c r="Q351" s="482" t="str">
        <f>IFERROR(VLOOKUP(G351,MODULY_CBA!$B$3:$I$23,6,0),"")</f>
        <v>Inkrement 1</v>
      </c>
      <c r="R351" s="385"/>
      <c r="S351" s="385"/>
      <c r="T351" s="385"/>
      <c r="U351" s="385"/>
      <c r="V351" s="385"/>
      <c r="W351" s="385"/>
      <c r="X351" s="385"/>
      <c r="Y351" s="385"/>
      <c r="Z351" s="385"/>
      <c r="AA351" s="385"/>
      <c r="AB351" s="385"/>
      <c r="AC351" s="385"/>
      <c r="AD351" s="385"/>
      <c r="AE351" s="385"/>
      <c r="AF351" s="377"/>
    </row>
    <row r="352" spans="1:32" ht="26">
      <c r="A352" s="404" t="s">
        <v>1558</v>
      </c>
      <c r="B352" s="404" t="s">
        <v>1158</v>
      </c>
      <c r="C352" s="535" t="s">
        <v>873</v>
      </c>
      <c r="D352" s="535" t="s">
        <v>1559</v>
      </c>
      <c r="E352" s="535" t="s">
        <v>1560</v>
      </c>
      <c r="F352" s="686" t="s">
        <v>489</v>
      </c>
      <c r="G352" s="386" t="s">
        <v>275</v>
      </c>
      <c r="H352" s="382">
        <v>3</v>
      </c>
      <c r="I352" s="644">
        <v>15</v>
      </c>
      <c r="J352" s="382">
        <f t="shared" si="28"/>
        <v>3</v>
      </c>
      <c r="K352" s="382">
        <f t="shared" si="29"/>
        <v>45</v>
      </c>
      <c r="L352" s="646">
        <f>IFERROR(IF(B352="funkcna poziadavka",VLOOKUP(G352,MODULY_CBA!$B$3:$E$23,4,0)*H352/SUMIFS($H$3:$H$199,$G$3:$G$199,G352,$B$3:$B$199,B352),),)</f>
        <v>0</v>
      </c>
      <c r="M352" s="382">
        <f>IFERROR(IF(B352="Funkcna poziadavka",VLOOKUP(G352,MODULY_CBA!$B$3:$E$23,3,0),),)</f>
        <v>0</v>
      </c>
      <c r="N352" s="382">
        <f>IFERROR(IF(B352="funkcna poziadavka",VLOOKUP(G352,MODULY_CBA!$B$3:$E$23,2,0),),)</f>
        <v>0</v>
      </c>
      <c r="O352" s="381">
        <f t="shared" si="30"/>
        <v>0</v>
      </c>
      <c r="P352" s="380">
        <f>IFERROR(O352*VLOOKUP(G352,MODULY_CBA!$B$3:$F$23,5,0),)</f>
        <v>0</v>
      </c>
      <c r="Q352" s="482">
        <f>IFERROR(VLOOKUP(G352,MODULY_CBA!$B$3:$I$23,6,0),"")</f>
        <v>0</v>
      </c>
      <c r="R352" s="385"/>
      <c r="S352" s="385"/>
      <c r="T352" s="385"/>
      <c r="U352" s="385"/>
      <c r="V352" s="385"/>
      <c r="W352" s="385"/>
      <c r="X352" s="385"/>
      <c r="Y352" s="385"/>
      <c r="Z352" s="385"/>
      <c r="AA352" s="385"/>
      <c r="AB352" s="385"/>
      <c r="AC352" s="385"/>
      <c r="AD352" s="385"/>
      <c r="AE352" s="385"/>
      <c r="AF352" s="377"/>
    </row>
    <row r="353" spans="1:32" ht="39">
      <c r="A353" s="404" t="s">
        <v>1561</v>
      </c>
      <c r="B353" s="404" t="s">
        <v>1158</v>
      </c>
      <c r="C353" s="535" t="s">
        <v>873</v>
      </c>
      <c r="D353" s="535" t="s">
        <v>1562</v>
      </c>
      <c r="E353" s="535" t="s">
        <v>1563</v>
      </c>
      <c r="F353" s="686" t="s">
        <v>489</v>
      </c>
      <c r="G353" s="386" t="s">
        <v>281</v>
      </c>
      <c r="H353" s="382">
        <v>3</v>
      </c>
      <c r="I353" s="644">
        <v>15</v>
      </c>
      <c r="J353" s="382">
        <f t="shared" si="28"/>
        <v>3</v>
      </c>
      <c r="K353" s="382">
        <f t="shared" si="29"/>
        <v>45</v>
      </c>
      <c r="L353" s="646">
        <f>IFERROR(IF(B353="funkcna poziadavka",VLOOKUP(G353,MODULY_CBA!$B$3:$E$23,4,0)*H353/SUMIFS($H$3:$H$199,$G$3:$G$199,G353,$B$3:$B$199,B353),),)</f>
        <v>0</v>
      </c>
      <c r="M353" s="382">
        <f>IFERROR(IF(B353="Funkcna poziadavka",VLOOKUP(G353,MODULY_CBA!$B$3:$E$23,3,0),),)</f>
        <v>0</v>
      </c>
      <c r="N353" s="382">
        <f>IFERROR(IF(B353="funkcna poziadavka",VLOOKUP(G353,MODULY_CBA!$B$3:$E$23,2,0),),)</f>
        <v>0</v>
      </c>
      <c r="O353" s="381">
        <f t="shared" si="30"/>
        <v>0</v>
      </c>
      <c r="P353" s="380">
        <f>IFERROR(O353*VLOOKUP(G353,MODULY_CBA!$B$3:$F$23,5,0),)</f>
        <v>0</v>
      </c>
      <c r="Q353" s="482">
        <f>IFERROR(VLOOKUP(G353,MODULY_CBA!$B$3:$I$23,6,0),"")</f>
        <v>0</v>
      </c>
      <c r="R353" s="385"/>
      <c r="S353" s="385"/>
      <c r="T353" s="385"/>
      <c r="U353" s="385"/>
      <c r="V353" s="385"/>
      <c r="W353" s="385"/>
      <c r="X353" s="385"/>
      <c r="Y353" s="385"/>
      <c r="Z353" s="385"/>
      <c r="AA353" s="385"/>
      <c r="AB353" s="385"/>
      <c r="AC353" s="385"/>
      <c r="AD353" s="385"/>
      <c r="AE353" s="385"/>
      <c r="AF353" s="377"/>
    </row>
    <row r="354" spans="1:32" ht="39">
      <c r="A354" s="404" t="s">
        <v>1564</v>
      </c>
      <c r="B354" s="404" t="s">
        <v>1158</v>
      </c>
      <c r="C354" s="535" t="s">
        <v>873</v>
      </c>
      <c r="D354" s="535" t="s">
        <v>1565</v>
      </c>
      <c r="E354" s="535" t="s">
        <v>1566</v>
      </c>
      <c r="F354" s="686" t="s">
        <v>489</v>
      </c>
      <c r="G354" s="386" t="s">
        <v>275</v>
      </c>
      <c r="H354" s="382">
        <v>3</v>
      </c>
      <c r="I354" s="644">
        <v>15</v>
      </c>
      <c r="J354" s="382">
        <f t="shared" si="28"/>
        <v>3</v>
      </c>
      <c r="K354" s="382">
        <f t="shared" si="29"/>
        <v>45</v>
      </c>
      <c r="L354" s="646">
        <f>IFERROR(IF(B354="funkcna poziadavka",VLOOKUP(G354,MODULY_CBA!$B$3:$E$23,4,0)*H354/SUMIFS($H$3:$H$199,$G$3:$G$199,G354,$B$3:$B$199,B354),),)</f>
        <v>0</v>
      </c>
      <c r="M354" s="382">
        <f>IFERROR(IF(B354="Funkcna poziadavka",VLOOKUP(G354,MODULY_CBA!$B$3:$E$23,3,0),),)</f>
        <v>0</v>
      </c>
      <c r="N354" s="382">
        <f>IFERROR(IF(B354="funkcna poziadavka",VLOOKUP(G354,MODULY_CBA!$B$3:$E$23,2,0),),)</f>
        <v>0</v>
      </c>
      <c r="O354" s="381">
        <f t="shared" si="30"/>
        <v>0</v>
      </c>
      <c r="P354" s="380">
        <f>IFERROR(O354*VLOOKUP(G354,MODULY_CBA!$B$3:$F$23,5,0),)</f>
        <v>0</v>
      </c>
      <c r="Q354" s="482">
        <f>IFERROR(VLOOKUP(G354,MODULY_CBA!$B$3:$I$23,6,0),"")</f>
        <v>0</v>
      </c>
      <c r="R354" s="385"/>
      <c r="S354" s="385"/>
      <c r="T354" s="385"/>
      <c r="U354" s="385"/>
      <c r="V354" s="385"/>
      <c r="W354" s="385"/>
      <c r="X354" s="385"/>
      <c r="Y354" s="385"/>
      <c r="Z354" s="385"/>
      <c r="AA354" s="385"/>
      <c r="AB354" s="385"/>
      <c r="AC354" s="385"/>
      <c r="AD354" s="385"/>
      <c r="AE354" s="385"/>
      <c r="AF354" s="377"/>
    </row>
    <row r="355" spans="1:32" ht="39">
      <c r="A355" s="404" t="s">
        <v>1567</v>
      </c>
      <c r="B355" s="404" t="s">
        <v>1158</v>
      </c>
      <c r="C355" s="535" t="s">
        <v>873</v>
      </c>
      <c r="D355" s="535" t="s">
        <v>1568</v>
      </c>
      <c r="E355" s="535" t="s">
        <v>1569</v>
      </c>
      <c r="F355" s="686" t="s">
        <v>489</v>
      </c>
      <c r="G355" s="386" t="s">
        <v>275</v>
      </c>
      <c r="H355" s="382">
        <v>3</v>
      </c>
      <c r="I355" s="644">
        <v>15</v>
      </c>
      <c r="J355" s="382">
        <f t="shared" si="28"/>
        <v>3</v>
      </c>
      <c r="K355" s="382">
        <f t="shared" si="29"/>
        <v>45</v>
      </c>
      <c r="L355" s="646">
        <f>IFERROR(IF(B355="funkcna poziadavka",VLOOKUP(G355,MODULY_CBA!$B$3:$E$23,4,0)*H355/SUMIFS($H$3:$H$199,$G$3:$G$199,G355,$B$3:$B$199,B355),),)</f>
        <v>0</v>
      </c>
      <c r="M355" s="382">
        <f>IFERROR(IF(B355="Funkcna poziadavka",VLOOKUP(G355,MODULY_CBA!$B$3:$E$23,3,0),),)</f>
        <v>0</v>
      </c>
      <c r="N355" s="382">
        <f>IFERROR(IF(B355="funkcna poziadavka",VLOOKUP(G355,MODULY_CBA!$B$3:$E$23,2,0),),)</f>
        <v>0</v>
      </c>
      <c r="O355" s="381">
        <f t="shared" si="30"/>
        <v>0</v>
      </c>
      <c r="P355" s="380">
        <f>IFERROR(O355*VLOOKUP(G355,MODULY_CBA!$B$3:$F$23,5,0),)</f>
        <v>0</v>
      </c>
      <c r="Q355" s="482">
        <f>IFERROR(VLOOKUP(G355,MODULY_CBA!$B$3:$I$23,6,0),"")</f>
        <v>0</v>
      </c>
      <c r="R355" s="385"/>
      <c r="S355" s="385"/>
      <c r="T355" s="385"/>
      <c r="U355" s="385"/>
      <c r="V355" s="385"/>
      <c r="W355" s="385"/>
      <c r="X355" s="385"/>
      <c r="Y355" s="385"/>
      <c r="Z355" s="385"/>
      <c r="AA355" s="385"/>
      <c r="AB355" s="385"/>
      <c r="AC355" s="385"/>
      <c r="AD355" s="385"/>
      <c r="AE355" s="385"/>
      <c r="AF355" s="377"/>
    </row>
    <row r="356" spans="1:32" ht="39">
      <c r="A356" s="404" t="s">
        <v>1570</v>
      </c>
      <c r="B356" s="404" t="s">
        <v>1158</v>
      </c>
      <c r="C356" s="535" t="s">
        <v>842</v>
      </c>
      <c r="D356" s="535" t="s">
        <v>1571</v>
      </c>
      <c r="E356" s="535" t="s">
        <v>1572</v>
      </c>
      <c r="F356" s="686" t="s">
        <v>489</v>
      </c>
      <c r="G356" s="386" t="s">
        <v>275</v>
      </c>
      <c r="H356" s="382">
        <v>3</v>
      </c>
      <c r="I356" s="644">
        <v>15</v>
      </c>
      <c r="J356" s="382">
        <f t="shared" si="28"/>
        <v>3</v>
      </c>
      <c r="K356" s="382">
        <f t="shared" si="29"/>
        <v>45</v>
      </c>
      <c r="L356" s="646">
        <f>IFERROR(IF(B356="funkcna poziadavka",VLOOKUP(G356,MODULY_CBA!$B$3:$E$23,4,0)*H356/SUMIFS($H$3:$H$199,$G$3:$G$199,G356,$B$3:$B$199,B356),),)</f>
        <v>0</v>
      </c>
      <c r="M356" s="382">
        <f>IFERROR(IF(B356="Funkcna poziadavka",VLOOKUP(G356,MODULY_CBA!$B$3:$E$23,3,0),),)</f>
        <v>0</v>
      </c>
      <c r="N356" s="382">
        <f>IFERROR(IF(B356="funkcna poziadavka",VLOOKUP(G356,MODULY_CBA!$B$3:$E$23,2,0),),)</f>
        <v>0</v>
      </c>
      <c r="O356" s="381">
        <f t="shared" si="30"/>
        <v>0</v>
      </c>
      <c r="P356" s="380">
        <f>IFERROR(O356*VLOOKUP(G356,MODULY_CBA!$B$3:$F$23,5,0),)</f>
        <v>0</v>
      </c>
      <c r="Q356" s="482">
        <f>IFERROR(VLOOKUP(G356,MODULY_CBA!$B$3:$I$23,6,0),"")</f>
        <v>0</v>
      </c>
      <c r="R356" s="385"/>
      <c r="S356" s="385"/>
      <c r="T356" s="385"/>
      <c r="U356" s="385"/>
      <c r="V356" s="385"/>
      <c r="W356" s="385"/>
      <c r="X356" s="385"/>
      <c r="Y356" s="385"/>
      <c r="Z356" s="385"/>
      <c r="AA356" s="385"/>
      <c r="AB356" s="385"/>
      <c r="AC356" s="385"/>
      <c r="AD356" s="385"/>
      <c r="AE356" s="385"/>
      <c r="AF356" s="377"/>
    </row>
    <row r="357" spans="1:32" ht="39">
      <c r="A357" s="404" t="s">
        <v>1573</v>
      </c>
      <c r="B357" s="404" t="s">
        <v>1158</v>
      </c>
      <c r="C357" s="535" t="s">
        <v>873</v>
      </c>
      <c r="D357" s="535" t="s">
        <v>1574</v>
      </c>
      <c r="E357" s="535" t="s">
        <v>1575</v>
      </c>
      <c r="F357" s="686" t="s">
        <v>489</v>
      </c>
      <c r="G357" s="386" t="s">
        <v>275</v>
      </c>
      <c r="H357" s="382">
        <v>3</v>
      </c>
      <c r="I357" s="644">
        <v>15</v>
      </c>
      <c r="J357" s="382">
        <f t="shared" si="28"/>
        <v>3</v>
      </c>
      <c r="K357" s="382">
        <f t="shared" si="29"/>
        <v>45</v>
      </c>
      <c r="L357" s="646">
        <f>IFERROR(IF(B357="funkcna poziadavka",VLOOKUP(G357,MODULY_CBA!$B$3:$E$23,4,0)*H357/SUMIFS($H$3:$H$199,$G$3:$G$199,G357,$B$3:$B$199,B357),),)</f>
        <v>0</v>
      </c>
      <c r="M357" s="382">
        <f>IFERROR(IF(B357="Funkcna poziadavka",VLOOKUP(G357,MODULY_CBA!$B$3:$E$23,3,0),),)</f>
        <v>0</v>
      </c>
      <c r="N357" s="382">
        <f>IFERROR(IF(B357="funkcna poziadavka",VLOOKUP(G357,MODULY_CBA!$B$3:$E$23,2,0),),)</f>
        <v>0</v>
      </c>
      <c r="O357" s="381">
        <f t="shared" si="30"/>
        <v>0</v>
      </c>
      <c r="P357" s="380">
        <f>IFERROR(O357*VLOOKUP(G357,MODULY_CBA!$B$3:$F$23,5,0),)</f>
        <v>0</v>
      </c>
      <c r="Q357" s="482">
        <f>IFERROR(VLOOKUP(G357,MODULY_CBA!$B$3:$I$23,6,0),"")</f>
        <v>0</v>
      </c>
      <c r="R357" s="385"/>
      <c r="S357" s="385"/>
      <c r="T357" s="385"/>
      <c r="U357" s="385"/>
      <c r="V357" s="385"/>
      <c r="W357" s="385"/>
      <c r="X357" s="385"/>
      <c r="Y357" s="385"/>
      <c r="Z357" s="385"/>
      <c r="AA357" s="385"/>
      <c r="AB357" s="385"/>
      <c r="AC357" s="385"/>
      <c r="AD357" s="385"/>
      <c r="AE357" s="385"/>
      <c r="AF357" s="377"/>
    </row>
    <row r="358" spans="1:32" ht="26">
      <c r="A358" s="404" t="s">
        <v>1576</v>
      </c>
      <c r="B358" s="404" t="s">
        <v>1158</v>
      </c>
      <c r="C358" s="535" t="s">
        <v>1577</v>
      </c>
      <c r="D358" s="535" t="s">
        <v>1578</v>
      </c>
      <c r="E358" s="535" t="s">
        <v>1579</v>
      </c>
      <c r="F358" s="686" t="s">
        <v>489</v>
      </c>
      <c r="G358" s="386" t="s">
        <v>275</v>
      </c>
      <c r="H358" s="382">
        <v>3</v>
      </c>
      <c r="I358" s="644">
        <v>15</v>
      </c>
      <c r="J358" s="382">
        <f t="shared" si="28"/>
        <v>3</v>
      </c>
      <c r="K358" s="382">
        <f t="shared" si="29"/>
        <v>45</v>
      </c>
      <c r="L358" s="646">
        <f>IFERROR(IF(B358="funkcna poziadavka",VLOOKUP(G358,MODULY_CBA!$B$3:$E$23,4,0)*H358/SUMIFS($H$3:$H$199,$G$3:$G$199,G358,$B$3:$B$199,B358),),)</f>
        <v>0</v>
      </c>
      <c r="M358" s="382">
        <f>IFERROR(IF(B358="Funkcna poziadavka",VLOOKUP(G358,MODULY_CBA!$B$3:$E$23,3,0),),)</f>
        <v>0</v>
      </c>
      <c r="N358" s="382">
        <f>IFERROR(IF(B358="funkcna poziadavka",VLOOKUP(G358,MODULY_CBA!$B$3:$E$23,2,0),),)</f>
        <v>0</v>
      </c>
      <c r="O358" s="381">
        <f t="shared" si="30"/>
        <v>0</v>
      </c>
      <c r="P358" s="380">
        <f>IFERROR(O358*VLOOKUP(G358,MODULY_CBA!$B$3:$F$23,5,0),)</f>
        <v>0</v>
      </c>
      <c r="Q358" s="482">
        <f>IFERROR(VLOOKUP(G358,MODULY_CBA!$B$3:$I$23,6,0),"")</f>
        <v>0</v>
      </c>
      <c r="R358" s="385"/>
      <c r="S358" s="385"/>
      <c r="T358" s="385"/>
      <c r="U358" s="385"/>
      <c r="V358" s="385"/>
      <c r="W358" s="385"/>
      <c r="X358" s="385"/>
      <c r="Y358" s="385"/>
      <c r="Z358" s="385"/>
      <c r="AA358" s="385"/>
      <c r="AB358" s="385"/>
      <c r="AC358" s="385"/>
      <c r="AD358" s="385"/>
      <c r="AE358" s="385"/>
      <c r="AF358" s="377"/>
    </row>
    <row r="359" spans="1:32" ht="52">
      <c r="A359" s="404" t="s">
        <v>1580</v>
      </c>
      <c r="B359" s="404" t="s">
        <v>1158</v>
      </c>
      <c r="C359" s="535" t="s">
        <v>1577</v>
      </c>
      <c r="D359" s="535" t="s">
        <v>1581</v>
      </c>
      <c r="E359" s="535" t="s">
        <v>1582</v>
      </c>
      <c r="F359" s="686" t="s">
        <v>489</v>
      </c>
      <c r="G359" s="386" t="s">
        <v>275</v>
      </c>
      <c r="H359" s="382">
        <v>3</v>
      </c>
      <c r="I359" s="644">
        <v>15</v>
      </c>
      <c r="J359" s="382">
        <f t="shared" si="28"/>
        <v>3</v>
      </c>
      <c r="K359" s="382">
        <f t="shared" si="29"/>
        <v>45</v>
      </c>
      <c r="L359" s="646">
        <f>IFERROR(IF(B359="funkcna poziadavka",VLOOKUP(G359,MODULY_CBA!$B$3:$E$23,4,0)*H359/SUMIFS($H$3:$H$199,$G$3:$G$199,G359,$B$3:$B$199,B359),),)</f>
        <v>0</v>
      </c>
      <c r="M359" s="382">
        <f>IFERROR(IF(B359="Funkcna poziadavka",VLOOKUP(G359,MODULY_CBA!$B$3:$E$23,3,0),),)</f>
        <v>0</v>
      </c>
      <c r="N359" s="382">
        <f>IFERROR(IF(B359="funkcna poziadavka",VLOOKUP(G359,MODULY_CBA!$B$3:$E$23,2,0),),)</f>
        <v>0</v>
      </c>
      <c r="O359" s="381">
        <f t="shared" si="30"/>
        <v>0</v>
      </c>
      <c r="P359" s="380">
        <f>IFERROR(O359*VLOOKUP(G359,MODULY_CBA!$B$3:$F$23,5,0),)</f>
        <v>0</v>
      </c>
      <c r="Q359" s="482">
        <f>IFERROR(VLOOKUP(G359,MODULY_CBA!$B$3:$I$23,6,0),"")</f>
        <v>0</v>
      </c>
      <c r="R359" s="385"/>
      <c r="S359" s="385"/>
      <c r="T359" s="385"/>
      <c r="U359" s="385"/>
      <c r="V359" s="385"/>
      <c r="W359" s="385"/>
      <c r="X359" s="385"/>
      <c r="Y359" s="385"/>
      <c r="Z359" s="385"/>
      <c r="AA359" s="385"/>
      <c r="AB359" s="385"/>
      <c r="AC359" s="385"/>
      <c r="AD359" s="385"/>
      <c r="AE359" s="385"/>
      <c r="AF359" s="377"/>
    </row>
    <row r="360" spans="1:32" ht="39">
      <c r="A360" s="404" t="s">
        <v>1583</v>
      </c>
      <c r="B360" s="404" t="s">
        <v>1158</v>
      </c>
      <c r="C360" s="535" t="s">
        <v>842</v>
      </c>
      <c r="D360" s="535" t="s">
        <v>1584</v>
      </c>
      <c r="E360" s="535" t="s">
        <v>1585</v>
      </c>
      <c r="F360" s="686" t="s">
        <v>489</v>
      </c>
      <c r="G360" s="386" t="s">
        <v>281</v>
      </c>
      <c r="H360" s="382">
        <v>3</v>
      </c>
      <c r="I360" s="644">
        <v>15</v>
      </c>
      <c r="J360" s="382">
        <f t="shared" si="28"/>
        <v>3</v>
      </c>
      <c r="K360" s="382">
        <f t="shared" si="29"/>
        <v>45</v>
      </c>
      <c r="L360" s="646">
        <f>IFERROR(IF(B360="funkcna poziadavka",VLOOKUP(G360,MODULY_CBA!$B$3:$E$23,4,0)*H360/SUMIFS($H$3:$H$199,$G$3:$G$199,G360,$B$3:$B$199,B360),),)</f>
        <v>0</v>
      </c>
      <c r="M360" s="382">
        <f>IFERROR(IF(B360="Funkcna poziadavka",VLOOKUP(G360,MODULY_CBA!$B$3:$E$23,3,0),),)</f>
        <v>0</v>
      </c>
      <c r="N360" s="382">
        <f>IFERROR(IF(B360="funkcna poziadavka",VLOOKUP(G360,MODULY_CBA!$B$3:$E$23,2,0),),)</f>
        <v>0</v>
      </c>
      <c r="O360" s="381">
        <f t="shared" si="30"/>
        <v>0</v>
      </c>
      <c r="P360" s="380">
        <f>IFERROR(O360*VLOOKUP(G360,MODULY_CBA!$B$3:$F$23,5,0),)</f>
        <v>0</v>
      </c>
      <c r="Q360" s="482">
        <f>IFERROR(VLOOKUP(G360,MODULY_CBA!$B$3:$I$23,6,0),"")</f>
        <v>0</v>
      </c>
      <c r="R360" s="385"/>
      <c r="S360" s="385"/>
      <c r="T360" s="385"/>
      <c r="U360" s="385"/>
      <c r="V360" s="385"/>
      <c r="W360" s="385"/>
      <c r="X360" s="385"/>
      <c r="Y360" s="385"/>
      <c r="Z360" s="385"/>
      <c r="AA360" s="385"/>
      <c r="AB360" s="385"/>
      <c r="AC360" s="385"/>
      <c r="AD360" s="385"/>
      <c r="AE360" s="385"/>
      <c r="AF360" s="377"/>
    </row>
    <row r="361" spans="1:32" ht="39">
      <c r="A361" s="404" t="s">
        <v>1586</v>
      </c>
      <c r="B361" s="404" t="s">
        <v>1158</v>
      </c>
      <c r="C361" s="535" t="s">
        <v>486</v>
      </c>
      <c r="D361" s="535" t="s">
        <v>1587</v>
      </c>
      <c r="E361" s="535" t="s">
        <v>1588</v>
      </c>
      <c r="F361" s="686" t="s">
        <v>489</v>
      </c>
      <c r="G361" s="386" t="s">
        <v>281</v>
      </c>
      <c r="H361" s="382">
        <v>3</v>
      </c>
      <c r="I361" s="644">
        <v>15</v>
      </c>
      <c r="J361" s="382">
        <f t="shared" si="28"/>
        <v>3</v>
      </c>
      <c r="K361" s="382">
        <f t="shared" si="29"/>
        <v>45</v>
      </c>
      <c r="L361" s="646">
        <f>IFERROR(IF(B361="funkcna poziadavka",VLOOKUP(G361,MODULY_CBA!$B$3:$E$23,4,0)*H361/SUMIFS($H$3:$H$199,$G$3:$G$199,G361,$B$3:$B$199,B361),),)</f>
        <v>0</v>
      </c>
      <c r="M361" s="382">
        <f>IFERROR(IF(B361="Funkcna poziadavka",VLOOKUP(G361,MODULY_CBA!$B$3:$E$23,3,0),),)</f>
        <v>0</v>
      </c>
      <c r="N361" s="382">
        <f>IFERROR(IF(B361="funkcna poziadavka",VLOOKUP(G361,MODULY_CBA!$B$3:$E$23,2,0),),)</f>
        <v>0</v>
      </c>
      <c r="O361" s="381">
        <f t="shared" si="30"/>
        <v>0</v>
      </c>
      <c r="P361" s="380">
        <f>IFERROR(O361*VLOOKUP(G361,MODULY_CBA!$B$3:$F$23,5,0),)</f>
        <v>0</v>
      </c>
      <c r="Q361" s="482">
        <f>IFERROR(VLOOKUP(G361,MODULY_CBA!$B$3:$I$23,6,0),"")</f>
        <v>0</v>
      </c>
      <c r="R361" s="385"/>
      <c r="S361" s="385"/>
      <c r="T361" s="385"/>
      <c r="U361" s="385"/>
      <c r="V361" s="385"/>
      <c r="W361" s="385"/>
      <c r="X361" s="385"/>
      <c r="Y361" s="385"/>
      <c r="Z361" s="385"/>
      <c r="AA361" s="385"/>
      <c r="AB361" s="385"/>
      <c r="AC361" s="385"/>
      <c r="AD361" s="385"/>
      <c r="AE361" s="385"/>
      <c r="AF361" s="377"/>
    </row>
    <row r="362" spans="1:32" ht="39">
      <c r="A362" s="404" t="s">
        <v>1589</v>
      </c>
      <c r="B362" s="404" t="s">
        <v>1158</v>
      </c>
      <c r="C362" s="535" t="s">
        <v>1336</v>
      </c>
      <c r="D362" s="535" t="s">
        <v>1590</v>
      </c>
      <c r="E362" s="535" t="s">
        <v>1591</v>
      </c>
      <c r="F362" s="686" t="s">
        <v>489</v>
      </c>
      <c r="G362" s="386" t="s">
        <v>281</v>
      </c>
      <c r="H362" s="382">
        <v>3</v>
      </c>
      <c r="I362" s="644">
        <v>15</v>
      </c>
      <c r="J362" s="382">
        <f t="shared" si="28"/>
        <v>3</v>
      </c>
      <c r="K362" s="382">
        <f t="shared" si="29"/>
        <v>45</v>
      </c>
      <c r="L362" s="646">
        <f>IFERROR(IF(B362="funkcna poziadavka",VLOOKUP(G362,MODULY_CBA!$B$3:$E$23,4,0)*H362/SUMIFS($H$3:$H$199,$G$3:$G$199,G362,$B$3:$B$199,B362),),)</f>
        <v>0</v>
      </c>
      <c r="M362" s="382">
        <f>IFERROR(IF(B362="Funkcna poziadavka",VLOOKUP(G362,MODULY_CBA!$B$3:$E$23,3,0),),)</f>
        <v>0</v>
      </c>
      <c r="N362" s="382">
        <f>IFERROR(IF(B362="funkcna poziadavka",VLOOKUP(G362,MODULY_CBA!$B$3:$E$23,2,0),),)</f>
        <v>0</v>
      </c>
      <c r="O362" s="381">
        <f t="shared" si="30"/>
        <v>0</v>
      </c>
      <c r="P362" s="380">
        <f>IFERROR(O362*VLOOKUP(G362,MODULY_CBA!$B$3:$F$23,5,0),)</f>
        <v>0</v>
      </c>
      <c r="Q362" s="482">
        <f>IFERROR(VLOOKUP(G362,MODULY_CBA!$B$3:$I$23,6,0),"")</f>
        <v>0</v>
      </c>
      <c r="R362" s="385"/>
      <c r="S362" s="385"/>
      <c r="T362" s="385"/>
      <c r="U362" s="385"/>
      <c r="V362" s="385"/>
      <c r="W362" s="385"/>
      <c r="X362" s="385"/>
      <c r="Y362" s="385"/>
      <c r="Z362" s="385"/>
      <c r="AA362" s="385"/>
      <c r="AB362" s="385"/>
      <c r="AC362" s="385"/>
      <c r="AD362" s="385"/>
      <c r="AE362" s="385"/>
      <c r="AF362" s="377"/>
    </row>
    <row r="363" spans="1:32" ht="39">
      <c r="A363" s="404" t="s">
        <v>1592</v>
      </c>
      <c r="B363" s="404" t="s">
        <v>1158</v>
      </c>
      <c r="C363" s="535" t="s">
        <v>486</v>
      </c>
      <c r="D363" s="535" t="s">
        <v>1593</v>
      </c>
      <c r="E363" s="535" t="s">
        <v>1594</v>
      </c>
      <c r="F363" s="686" t="s">
        <v>489</v>
      </c>
      <c r="G363" s="386" t="s">
        <v>275</v>
      </c>
      <c r="H363" s="382">
        <v>3</v>
      </c>
      <c r="I363" s="644">
        <v>15</v>
      </c>
      <c r="J363" s="382">
        <f t="shared" si="28"/>
        <v>3</v>
      </c>
      <c r="K363" s="382">
        <f t="shared" si="29"/>
        <v>45</v>
      </c>
      <c r="L363" s="646">
        <f>IFERROR(IF(B363="funkcna poziadavka",VLOOKUP(G363,MODULY_CBA!$B$3:$E$23,4,0)*H363/SUMIFS($H$3:$H$199,$G$3:$G$199,G363,$B$3:$B$199,B363),),)</f>
        <v>0</v>
      </c>
      <c r="M363" s="382">
        <f>IFERROR(IF(B363="Funkcna poziadavka",VLOOKUP(G363,MODULY_CBA!$B$3:$E$23,3,0),),)</f>
        <v>0</v>
      </c>
      <c r="N363" s="382">
        <f>IFERROR(IF(B363="funkcna poziadavka",VLOOKUP(G363,MODULY_CBA!$B$3:$E$23,2,0),),)</f>
        <v>0</v>
      </c>
      <c r="O363" s="381">
        <f t="shared" si="30"/>
        <v>0</v>
      </c>
      <c r="P363" s="380">
        <f>IFERROR(O363*VLOOKUP(G363,MODULY_CBA!$B$3:$F$23,5,0),)</f>
        <v>0</v>
      </c>
      <c r="Q363" s="482">
        <f>IFERROR(VLOOKUP(G363,MODULY_CBA!$B$3:$I$23,6,0),"")</f>
        <v>0</v>
      </c>
      <c r="R363" s="385"/>
      <c r="S363" s="385"/>
      <c r="T363" s="385"/>
      <c r="U363" s="385"/>
      <c r="V363" s="385"/>
      <c r="W363" s="385"/>
      <c r="X363" s="385"/>
      <c r="Y363" s="385"/>
      <c r="Z363" s="385"/>
      <c r="AA363" s="385"/>
      <c r="AB363" s="385"/>
      <c r="AC363" s="385"/>
      <c r="AD363" s="385"/>
      <c r="AE363" s="385"/>
      <c r="AF363" s="377"/>
    </row>
    <row r="364" spans="1:32" ht="39">
      <c r="A364" s="404" t="s">
        <v>1595</v>
      </c>
      <c r="B364" s="404" t="s">
        <v>1158</v>
      </c>
      <c r="C364" s="535" t="s">
        <v>486</v>
      </c>
      <c r="D364" s="535" t="s">
        <v>1596</v>
      </c>
      <c r="E364" s="535" t="s">
        <v>1597</v>
      </c>
      <c r="F364" s="686" t="s">
        <v>489</v>
      </c>
      <c r="G364" s="386" t="s">
        <v>277</v>
      </c>
      <c r="H364" s="382">
        <v>3</v>
      </c>
      <c r="I364" s="644">
        <v>15</v>
      </c>
      <c r="J364" s="382">
        <f t="shared" si="28"/>
        <v>3</v>
      </c>
      <c r="K364" s="382">
        <f t="shared" si="29"/>
        <v>45</v>
      </c>
      <c r="L364" s="646">
        <f>IFERROR(IF(B364="funkcna poziadavka",VLOOKUP(G364,MODULY_CBA!$B$3:$E$23,4,0)*H364/SUMIFS($H$3:$H$199,$G$3:$G$199,G364,$B$3:$B$199,B364),),)</f>
        <v>0</v>
      </c>
      <c r="M364" s="382">
        <f>IFERROR(IF(B364="Funkcna poziadavka",VLOOKUP(G364,MODULY_CBA!$B$3:$E$23,3,0),),)</f>
        <v>0</v>
      </c>
      <c r="N364" s="382">
        <f>IFERROR(IF(B364="funkcna poziadavka",VLOOKUP(G364,MODULY_CBA!$B$3:$E$23,2,0),),)</f>
        <v>0</v>
      </c>
      <c r="O364" s="381">
        <f t="shared" si="30"/>
        <v>0</v>
      </c>
      <c r="P364" s="380">
        <f>IFERROR(O364*VLOOKUP(G364,MODULY_CBA!$B$3:$F$23,5,0),)</f>
        <v>0</v>
      </c>
      <c r="Q364" s="482">
        <f>IFERROR(VLOOKUP(G364,MODULY_CBA!$B$3:$I$23,6,0),"")</f>
        <v>0</v>
      </c>
      <c r="R364" s="385"/>
      <c r="S364" s="385"/>
      <c r="T364" s="385"/>
      <c r="U364" s="385"/>
      <c r="V364" s="385"/>
      <c r="W364" s="385"/>
      <c r="X364" s="385"/>
      <c r="Y364" s="385"/>
      <c r="Z364" s="385"/>
      <c r="AA364" s="385"/>
      <c r="AB364" s="385"/>
      <c r="AC364" s="385"/>
      <c r="AD364" s="385"/>
      <c r="AE364" s="385"/>
      <c r="AF364" s="377"/>
    </row>
    <row r="365" spans="1:32" ht="39">
      <c r="A365" s="404" t="s">
        <v>1598</v>
      </c>
      <c r="B365" s="404" t="s">
        <v>1158</v>
      </c>
      <c r="C365" s="535" t="s">
        <v>491</v>
      </c>
      <c r="D365" s="535" t="s">
        <v>1599</v>
      </c>
      <c r="E365" s="535" t="s">
        <v>1600</v>
      </c>
      <c r="F365" s="686" t="s">
        <v>489</v>
      </c>
      <c r="G365" s="386" t="s">
        <v>275</v>
      </c>
      <c r="H365" s="382">
        <v>3</v>
      </c>
      <c r="I365" s="644">
        <v>15</v>
      </c>
      <c r="J365" s="382">
        <f t="shared" si="28"/>
        <v>3</v>
      </c>
      <c r="K365" s="382">
        <f t="shared" si="29"/>
        <v>45</v>
      </c>
      <c r="L365" s="646">
        <f>IFERROR(IF(B365="funkcna poziadavka",VLOOKUP(G365,MODULY_CBA!$B$3:$E$23,4,0)*H365/SUMIFS($H$3:$H$199,$G$3:$G$199,G365,$B$3:$B$199,B365),),)</f>
        <v>0</v>
      </c>
      <c r="M365" s="382">
        <f>IFERROR(IF(B365="Funkcna poziadavka",VLOOKUP(G365,MODULY_CBA!$B$3:$E$23,3,0),),)</f>
        <v>0</v>
      </c>
      <c r="N365" s="382">
        <f>IFERROR(IF(B365="funkcna poziadavka",VLOOKUP(G365,MODULY_CBA!$B$3:$E$23,2,0),),)</f>
        <v>0</v>
      </c>
      <c r="O365" s="381">
        <f t="shared" si="30"/>
        <v>0</v>
      </c>
      <c r="P365" s="380">
        <f>IFERROR(O365*VLOOKUP(G365,MODULY_CBA!$B$3:$F$23,5,0),)</f>
        <v>0</v>
      </c>
      <c r="Q365" s="482">
        <f>IFERROR(VLOOKUP(G365,MODULY_CBA!$B$3:$I$23,6,0),"")</f>
        <v>0</v>
      </c>
      <c r="R365" s="385"/>
      <c r="S365" s="385"/>
      <c r="T365" s="385"/>
      <c r="U365" s="385"/>
      <c r="V365" s="385"/>
      <c r="W365" s="385"/>
      <c r="X365" s="385"/>
      <c r="Y365" s="385"/>
      <c r="Z365" s="385"/>
      <c r="AA365" s="385"/>
      <c r="AB365" s="385"/>
      <c r="AC365" s="385"/>
      <c r="AD365" s="385"/>
      <c r="AE365" s="385"/>
      <c r="AF365" s="377"/>
    </row>
    <row r="366" spans="1:32" ht="26">
      <c r="A366" s="404" t="s">
        <v>1601</v>
      </c>
      <c r="B366" s="404" t="s">
        <v>1158</v>
      </c>
      <c r="C366" s="535" t="s">
        <v>486</v>
      </c>
      <c r="D366" s="535" t="s">
        <v>1602</v>
      </c>
      <c r="E366" s="535" t="s">
        <v>1603</v>
      </c>
      <c r="F366" s="686" t="s">
        <v>489</v>
      </c>
      <c r="G366" s="386" t="s">
        <v>281</v>
      </c>
      <c r="H366" s="382">
        <v>3</v>
      </c>
      <c r="I366" s="644">
        <v>15</v>
      </c>
      <c r="J366" s="382">
        <f t="shared" si="28"/>
        <v>3</v>
      </c>
      <c r="K366" s="382">
        <f t="shared" si="29"/>
        <v>45</v>
      </c>
      <c r="L366" s="646">
        <f>IFERROR(IF(B366="funkcna poziadavka",VLOOKUP(G366,MODULY_CBA!$B$3:$E$23,4,0)*H366/SUMIFS($H$3:$H$199,$G$3:$G$199,G366,$B$3:$B$199,B366),),)</f>
        <v>0</v>
      </c>
      <c r="M366" s="382">
        <f>IFERROR(IF(B366="Funkcna poziadavka",VLOOKUP(G366,MODULY_CBA!$B$3:$E$23,3,0),),)</f>
        <v>0</v>
      </c>
      <c r="N366" s="382">
        <f>IFERROR(IF(B366="funkcna poziadavka",VLOOKUP(G366,MODULY_CBA!$B$3:$E$23,2,0),),)</f>
        <v>0</v>
      </c>
      <c r="O366" s="381">
        <f t="shared" si="30"/>
        <v>0</v>
      </c>
      <c r="P366" s="380">
        <f>IFERROR(O366*VLOOKUP(G366,MODULY_CBA!$B$3:$F$23,5,0),)</f>
        <v>0</v>
      </c>
      <c r="Q366" s="482">
        <f>IFERROR(VLOOKUP(G366,MODULY_CBA!$B$3:$I$23,6,0),"")</f>
        <v>0</v>
      </c>
      <c r="R366" s="385"/>
      <c r="S366" s="385"/>
      <c r="T366" s="385"/>
      <c r="U366" s="385"/>
      <c r="V366" s="385"/>
      <c r="W366" s="385"/>
      <c r="X366" s="385"/>
      <c r="Y366" s="385"/>
      <c r="Z366" s="385"/>
      <c r="AA366" s="385"/>
      <c r="AB366" s="385"/>
      <c r="AC366" s="385"/>
      <c r="AD366" s="385"/>
      <c r="AE366" s="385"/>
      <c r="AF366" s="377"/>
    </row>
    <row r="367" spans="1:32" ht="39">
      <c r="A367" s="404" t="s">
        <v>1604</v>
      </c>
      <c r="B367" s="404" t="s">
        <v>1158</v>
      </c>
      <c r="C367" s="535" t="s">
        <v>486</v>
      </c>
      <c r="D367" s="535" t="s">
        <v>1605</v>
      </c>
      <c r="E367" s="535" t="s">
        <v>1606</v>
      </c>
      <c r="F367" s="686" t="s">
        <v>489</v>
      </c>
      <c r="G367" s="386" t="s">
        <v>281</v>
      </c>
      <c r="H367" s="382">
        <v>3</v>
      </c>
      <c r="I367" s="644">
        <v>15</v>
      </c>
      <c r="J367" s="382">
        <f t="shared" si="28"/>
        <v>3</v>
      </c>
      <c r="K367" s="382">
        <f t="shared" si="29"/>
        <v>45</v>
      </c>
      <c r="L367" s="646">
        <f>IFERROR(IF(B367="funkcna poziadavka",VLOOKUP(G367,MODULY_CBA!$B$3:$E$23,4,0)*H367/SUMIFS($H$3:$H$199,$G$3:$G$199,G367,$B$3:$B$199,B367),),)</f>
        <v>0</v>
      </c>
      <c r="M367" s="382">
        <f>IFERROR(IF(B367="Funkcna poziadavka",VLOOKUP(G367,MODULY_CBA!$B$3:$E$23,3,0),),)</f>
        <v>0</v>
      </c>
      <c r="N367" s="382">
        <f>IFERROR(IF(B367="funkcna poziadavka",VLOOKUP(G367,MODULY_CBA!$B$3:$E$23,2,0),),)</f>
        <v>0</v>
      </c>
      <c r="O367" s="381">
        <f t="shared" si="30"/>
        <v>0</v>
      </c>
      <c r="P367" s="380">
        <f>IFERROR(O367*VLOOKUP(G367,MODULY_CBA!$B$3:$F$23,5,0),)</f>
        <v>0</v>
      </c>
      <c r="Q367" s="482">
        <f>IFERROR(VLOOKUP(G367,MODULY_CBA!$B$3:$I$23,6,0),"")</f>
        <v>0</v>
      </c>
      <c r="R367" s="385"/>
      <c r="S367" s="385"/>
      <c r="T367" s="385"/>
      <c r="U367" s="385"/>
      <c r="V367" s="385"/>
      <c r="W367" s="385"/>
      <c r="X367" s="385"/>
      <c r="Y367" s="385"/>
      <c r="Z367" s="385"/>
      <c r="AA367" s="385"/>
      <c r="AB367" s="385"/>
      <c r="AC367" s="385"/>
      <c r="AD367" s="385"/>
      <c r="AE367" s="385"/>
      <c r="AF367" s="377"/>
    </row>
    <row r="368" spans="1:32" ht="39">
      <c r="A368" s="404" t="s">
        <v>1607</v>
      </c>
      <c r="B368" s="404" t="s">
        <v>1158</v>
      </c>
      <c r="C368" s="535" t="s">
        <v>486</v>
      </c>
      <c r="D368" s="535" t="s">
        <v>1608</v>
      </c>
      <c r="E368" s="535" t="s">
        <v>1609</v>
      </c>
      <c r="F368" s="686" t="s">
        <v>489</v>
      </c>
      <c r="G368" s="386" t="s">
        <v>281</v>
      </c>
      <c r="H368" s="382">
        <v>3</v>
      </c>
      <c r="I368" s="644">
        <v>15</v>
      </c>
      <c r="J368" s="382">
        <f t="shared" si="28"/>
        <v>3</v>
      </c>
      <c r="K368" s="382">
        <f t="shared" si="29"/>
        <v>45</v>
      </c>
      <c r="L368" s="646">
        <f>IFERROR(IF(B368="funkcna poziadavka",VLOOKUP(G368,MODULY_CBA!$B$3:$E$23,4,0)*H368/SUMIFS($H$3:$H$199,$G$3:$G$199,G368,$B$3:$B$199,B368),),)</f>
        <v>0</v>
      </c>
      <c r="M368" s="382">
        <f>IFERROR(IF(B368="Funkcna poziadavka",VLOOKUP(G368,MODULY_CBA!$B$3:$E$23,3,0),),)</f>
        <v>0</v>
      </c>
      <c r="N368" s="382">
        <f>IFERROR(IF(B368="funkcna poziadavka",VLOOKUP(G368,MODULY_CBA!$B$3:$E$23,2,0),),)</f>
        <v>0</v>
      </c>
      <c r="O368" s="381">
        <f t="shared" si="30"/>
        <v>0</v>
      </c>
      <c r="P368" s="380">
        <f>IFERROR(O368*VLOOKUP(G368,MODULY_CBA!$B$3:$F$23,5,0),)</f>
        <v>0</v>
      </c>
      <c r="Q368" s="482">
        <f>IFERROR(VLOOKUP(G368,MODULY_CBA!$B$3:$I$23,6,0),"")</f>
        <v>0</v>
      </c>
      <c r="R368" s="385"/>
      <c r="S368" s="385"/>
      <c r="T368" s="385"/>
      <c r="U368" s="385"/>
      <c r="V368" s="385"/>
      <c r="W368" s="385"/>
      <c r="X368" s="385"/>
      <c r="Y368" s="385"/>
      <c r="Z368" s="385"/>
      <c r="AA368" s="385"/>
      <c r="AB368" s="385"/>
      <c r="AC368" s="385"/>
      <c r="AD368" s="385"/>
      <c r="AE368" s="385"/>
      <c r="AF368" s="377"/>
    </row>
    <row r="369" spans="1:32" ht="39">
      <c r="A369" s="404" t="s">
        <v>1610</v>
      </c>
      <c r="B369" s="404" t="s">
        <v>1158</v>
      </c>
      <c r="C369" s="535" t="s">
        <v>486</v>
      </c>
      <c r="D369" s="535" t="s">
        <v>1611</v>
      </c>
      <c r="E369" s="535" t="s">
        <v>1612</v>
      </c>
      <c r="F369" s="686" t="s">
        <v>489</v>
      </c>
      <c r="G369" s="386" t="s">
        <v>281</v>
      </c>
      <c r="H369" s="382">
        <v>3</v>
      </c>
      <c r="I369" s="644">
        <v>15</v>
      </c>
      <c r="J369" s="382">
        <f t="shared" si="28"/>
        <v>3</v>
      </c>
      <c r="K369" s="382">
        <f t="shared" si="29"/>
        <v>45</v>
      </c>
      <c r="L369" s="646">
        <f>IFERROR(IF(B369="funkcna poziadavka",VLOOKUP(G369,MODULY_CBA!$B$3:$E$23,4,0)*H369/SUMIFS($H$3:$H$199,$G$3:$G$199,G369,$B$3:$B$199,B369),),)</f>
        <v>0</v>
      </c>
      <c r="M369" s="382">
        <f>IFERROR(IF(B369="Funkcna poziadavka",VLOOKUP(G369,MODULY_CBA!$B$3:$E$23,3,0),),)</f>
        <v>0</v>
      </c>
      <c r="N369" s="382">
        <f>IFERROR(IF(B369="funkcna poziadavka",VLOOKUP(G369,MODULY_CBA!$B$3:$E$23,2,0),),)</f>
        <v>0</v>
      </c>
      <c r="O369" s="381">
        <f t="shared" si="30"/>
        <v>0</v>
      </c>
      <c r="P369" s="380">
        <f>IFERROR(O369*VLOOKUP(G369,MODULY_CBA!$B$3:$F$23,5,0),)</f>
        <v>0</v>
      </c>
      <c r="Q369" s="482">
        <f>IFERROR(VLOOKUP(G369,MODULY_CBA!$B$3:$I$23,6,0),"")</f>
        <v>0</v>
      </c>
      <c r="R369" s="385"/>
      <c r="S369" s="385"/>
      <c r="T369" s="385"/>
      <c r="U369" s="385"/>
      <c r="V369" s="385"/>
      <c r="W369" s="385"/>
      <c r="X369" s="385"/>
      <c r="Y369" s="385"/>
      <c r="Z369" s="385"/>
      <c r="AA369" s="385"/>
      <c r="AB369" s="385"/>
      <c r="AC369" s="385"/>
      <c r="AD369" s="385"/>
      <c r="AE369" s="385"/>
      <c r="AF369" s="377"/>
    </row>
    <row r="370" spans="1:32" ht="39">
      <c r="A370" s="404" t="s">
        <v>1613</v>
      </c>
      <c r="B370" s="404" t="s">
        <v>1158</v>
      </c>
      <c r="C370" s="535" t="s">
        <v>486</v>
      </c>
      <c r="D370" s="535" t="s">
        <v>1614</v>
      </c>
      <c r="E370" s="535" t="s">
        <v>1615</v>
      </c>
      <c r="F370" s="686" t="s">
        <v>489</v>
      </c>
      <c r="G370" s="386" t="s">
        <v>281</v>
      </c>
      <c r="H370" s="382">
        <v>3</v>
      </c>
      <c r="I370" s="644">
        <v>15</v>
      </c>
      <c r="J370" s="382">
        <f t="shared" si="28"/>
        <v>3</v>
      </c>
      <c r="K370" s="382">
        <f t="shared" si="29"/>
        <v>45</v>
      </c>
      <c r="L370" s="646">
        <f>IFERROR(IF(B370="funkcna poziadavka",VLOOKUP(G370,MODULY_CBA!$B$3:$E$23,4,0)*H370/SUMIFS($H$3:$H$199,$G$3:$G$199,G370,$B$3:$B$199,B370),),)</f>
        <v>0</v>
      </c>
      <c r="M370" s="382">
        <f>IFERROR(IF(B370="Funkcna poziadavka",VLOOKUP(G370,MODULY_CBA!$B$3:$E$23,3,0),),)</f>
        <v>0</v>
      </c>
      <c r="N370" s="382">
        <f>IFERROR(IF(B370="funkcna poziadavka",VLOOKUP(G370,MODULY_CBA!$B$3:$E$23,2,0),),)</f>
        <v>0</v>
      </c>
      <c r="O370" s="381">
        <f t="shared" si="30"/>
        <v>0</v>
      </c>
      <c r="P370" s="380">
        <f>IFERROR(O370*VLOOKUP(G370,MODULY_CBA!$B$3:$F$23,5,0),)</f>
        <v>0</v>
      </c>
      <c r="Q370" s="482">
        <f>IFERROR(VLOOKUP(G370,MODULY_CBA!$B$3:$I$23,6,0),"")</f>
        <v>0</v>
      </c>
      <c r="R370" s="385"/>
      <c r="S370" s="385"/>
      <c r="T370" s="385"/>
      <c r="U370" s="385"/>
      <c r="V370" s="385"/>
      <c r="W370" s="385"/>
      <c r="X370" s="385"/>
      <c r="Y370" s="385"/>
      <c r="Z370" s="385"/>
      <c r="AA370" s="385"/>
      <c r="AB370" s="385"/>
      <c r="AC370" s="385"/>
      <c r="AD370" s="385"/>
      <c r="AE370" s="385"/>
      <c r="AF370" s="377"/>
    </row>
    <row r="371" spans="1:32" ht="39">
      <c r="A371" s="404" t="s">
        <v>1616</v>
      </c>
      <c r="B371" s="404" t="s">
        <v>1158</v>
      </c>
      <c r="C371" s="535" t="s">
        <v>491</v>
      </c>
      <c r="D371" s="535" t="s">
        <v>1617</v>
      </c>
      <c r="E371" s="535" t="s">
        <v>1618</v>
      </c>
      <c r="F371" s="686" t="s">
        <v>489</v>
      </c>
      <c r="G371" s="386" t="s">
        <v>281</v>
      </c>
      <c r="H371" s="382">
        <v>3</v>
      </c>
      <c r="I371" s="644">
        <v>15</v>
      </c>
      <c r="J371" s="382">
        <f t="shared" si="28"/>
        <v>3</v>
      </c>
      <c r="K371" s="382">
        <f t="shared" si="29"/>
        <v>45</v>
      </c>
      <c r="L371" s="646">
        <f>IFERROR(IF(B371="funkcna poziadavka",VLOOKUP(G371,MODULY_CBA!$B$3:$E$23,4,0)*H371/SUMIFS($H$3:$H$199,$G$3:$G$199,G371,$B$3:$B$199,B371),),)</f>
        <v>0</v>
      </c>
      <c r="M371" s="382">
        <f>IFERROR(IF(B371="Funkcna poziadavka",VLOOKUP(G371,MODULY_CBA!$B$3:$E$23,3,0),),)</f>
        <v>0</v>
      </c>
      <c r="N371" s="382">
        <f>IFERROR(IF(B371="funkcna poziadavka",VLOOKUP(G371,MODULY_CBA!$B$3:$E$23,2,0),),)</f>
        <v>0</v>
      </c>
      <c r="O371" s="381">
        <f t="shared" si="30"/>
        <v>0</v>
      </c>
      <c r="P371" s="380">
        <f>IFERROR(O371*VLOOKUP(G371,MODULY_CBA!$B$3:$F$23,5,0),)</f>
        <v>0</v>
      </c>
      <c r="Q371" s="482">
        <f>IFERROR(VLOOKUP(G371,MODULY_CBA!$B$3:$I$23,6,0),"")</f>
        <v>0</v>
      </c>
      <c r="R371" s="385"/>
      <c r="S371" s="385"/>
      <c r="T371" s="385"/>
      <c r="U371" s="385"/>
      <c r="V371" s="385"/>
      <c r="W371" s="385"/>
      <c r="X371" s="385"/>
      <c r="Y371" s="385"/>
      <c r="Z371" s="385"/>
      <c r="AA371" s="385"/>
      <c r="AB371" s="385"/>
      <c r="AC371" s="385"/>
      <c r="AD371" s="385"/>
      <c r="AE371" s="385"/>
      <c r="AF371" s="377"/>
    </row>
    <row r="372" spans="1:32" ht="39">
      <c r="A372" s="404" t="s">
        <v>1619</v>
      </c>
      <c r="B372" s="404" t="s">
        <v>1158</v>
      </c>
      <c r="C372" s="535" t="s">
        <v>873</v>
      </c>
      <c r="D372" s="535" t="s">
        <v>1620</v>
      </c>
      <c r="E372" s="535" t="s">
        <v>1621</v>
      </c>
      <c r="F372" s="686" t="s">
        <v>489</v>
      </c>
      <c r="G372" s="386" t="s">
        <v>281</v>
      </c>
      <c r="H372" s="382">
        <v>3</v>
      </c>
      <c r="I372" s="644">
        <v>15</v>
      </c>
      <c r="J372" s="382">
        <f t="shared" si="28"/>
        <v>3</v>
      </c>
      <c r="K372" s="382">
        <f t="shared" si="29"/>
        <v>45</v>
      </c>
      <c r="L372" s="646">
        <f>IFERROR(IF(B372="funkcna poziadavka",VLOOKUP(G372,MODULY_CBA!$B$3:$E$23,4,0)*H372/SUMIFS($H$3:$H$199,$G$3:$G$199,G372,$B$3:$B$199,B372),),)</f>
        <v>0</v>
      </c>
      <c r="M372" s="382">
        <f>IFERROR(IF(B372="Funkcna poziadavka",VLOOKUP(G372,MODULY_CBA!$B$3:$E$23,3,0),),)</f>
        <v>0</v>
      </c>
      <c r="N372" s="382">
        <f>IFERROR(IF(B372="funkcna poziadavka",VLOOKUP(G372,MODULY_CBA!$B$3:$E$23,2,0),),)</f>
        <v>0</v>
      </c>
      <c r="O372" s="381">
        <f t="shared" si="30"/>
        <v>0</v>
      </c>
      <c r="P372" s="380">
        <f>IFERROR(O372*VLOOKUP(G372,MODULY_CBA!$B$3:$F$23,5,0),)</f>
        <v>0</v>
      </c>
      <c r="Q372" s="482">
        <f>IFERROR(VLOOKUP(G372,MODULY_CBA!$B$3:$I$23,6,0),"")</f>
        <v>0</v>
      </c>
      <c r="R372" s="385"/>
      <c r="S372" s="385"/>
      <c r="T372" s="385"/>
      <c r="U372" s="385"/>
      <c r="V372" s="385"/>
      <c r="W372" s="385"/>
      <c r="X372" s="385"/>
      <c r="Y372" s="385"/>
      <c r="Z372" s="385"/>
      <c r="AA372" s="385"/>
      <c r="AB372" s="385"/>
      <c r="AC372" s="385"/>
      <c r="AD372" s="385"/>
      <c r="AE372" s="385"/>
      <c r="AF372" s="377"/>
    </row>
    <row r="373" spans="1:32" ht="39">
      <c r="A373" s="404" t="s">
        <v>1622</v>
      </c>
      <c r="B373" s="404" t="s">
        <v>1158</v>
      </c>
      <c r="C373" s="535" t="s">
        <v>873</v>
      </c>
      <c r="D373" s="535" t="s">
        <v>1623</v>
      </c>
      <c r="E373" s="535" t="s">
        <v>1624</v>
      </c>
      <c r="F373" s="686" t="s">
        <v>489</v>
      </c>
      <c r="G373" s="386" t="s">
        <v>263</v>
      </c>
      <c r="H373" s="382">
        <v>3</v>
      </c>
      <c r="I373" s="644">
        <v>15</v>
      </c>
      <c r="J373" s="382">
        <f t="shared" si="28"/>
        <v>3</v>
      </c>
      <c r="K373" s="382">
        <f t="shared" si="29"/>
        <v>45</v>
      </c>
      <c r="L373" s="646">
        <f>IFERROR(IF(B373="funkcna poziadavka",VLOOKUP(G373,MODULY_CBA!$B$3:$E$23,4,0)*H373/SUMIFS($H$3:$H$199,$G$3:$G$199,G373,$B$3:$B$199,B373),),)</f>
        <v>0</v>
      </c>
      <c r="M373" s="382">
        <f>IFERROR(IF(B373="Funkcna poziadavka",VLOOKUP(G373,MODULY_CBA!$B$3:$E$23,3,0),),)</f>
        <v>0</v>
      </c>
      <c r="N373" s="382">
        <f>IFERROR(IF(B373="funkcna poziadavka",VLOOKUP(G373,MODULY_CBA!$B$3:$E$23,2,0),),)</f>
        <v>0</v>
      </c>
      <c r="O373" s="381">
        <f t="shared" si="30"/>
        <v>0</v>
      </c>
      <c r="P373" s="380">
        <f>IFERROR(O373*VLOOKUP(G373,MODULY_CBA!$B$3:$F$23,5,0),)</f>
        <v>0</v>
      </c>
      <c r="Q373" s="482" t="str">
        <f>IFERROR(VLOOKUP(G373,MODULY_CBA!$B$3:$I$23,6,0),"")</f>
        <v>Inkrement 1</v>
      </c>
      <c r="R373" s="385"/>
      <c r="S373" s="385"/>
      <c r="T373" s="385"/>
      <c r="U373" s="385"/>
      <c r="V373" s="385"/>
      <c r="W373" s="385"/>
      <c r="X373" s="385"/>
      <c r="Y373" s="385"/>
      <c r="Z373" s="385"/>
      <c r="AA373" s="385"/>
      <c r="AB373" s="385"/>
      <c r="AC373" s="385"/>
      <c r="AD373" s="385"/>
      <c r="AE373" s="385"/>
      <c r="AF373" s="377"/>
    </row>
    <row r="374" spans="1:32" ht="26">
      <c r="A374" s="404" t="s">
        <v>1625</v>
      </c>
      <c r="B374" s="404" t="s">
        <v>1158</v>
      </c>
      <c r="C374" s="535" t="s">
        <v>873</v>
      </c>
      <c r="D374" s="535" t="s">
        <v>1626</v>
      </c>
      <c r="E374" s="535" t="s">
        <v>1627</v>
      </c>
      <c r="F374" s="686" t="s">
        <v>489</v>
      </c>
      <c r="G374" s="386" t="s">
        <v>281</v>
      </c>
      <c r="H374" s="382">
        <v>3</v>
      </c>
      <c r="I374" s="644">
        <v>15</v>
      </c>
      <c r="J374" s="382">
        <f t="shared" si="28"/>
        <v>3</v>
      </c>
      <c r="K374" s="382">
        <f t="shared" si="29"/>
        <v>45</v>
      </c>
      <c r="L374" s="646">
        <f>IFERROR(IF(B374="funkcna poziadavka",VLOOKUP(G374,MODULY_CBA!$B$3:$E$23,4,0)*H374/SUMIFS($H$3:$H$199,$G$3:$G$199,G374,$B$3:$B$199,B374),),)</f>
        <v>0</v>
      </c>
      <c r="M374" s="382">
        <f>IFERROR(IF(B374="Funkcna poziadavka",VLOOKUP(G374,MODULY_CBA!$B$3:$E$23,3,0),),)</f>
        <v>0</v>
      </c>
      <c r="N374" s="382">
        <f>IFERROR(IF(B374="funkcna poziadavka",VLOOKUP(G374,MODULY_CBA!$B$3:$E$23,2,0),),)</f>
        <v>0</v>
      </c>
      <c r="O374" s="381">
        <f t="shared" si="30"/>
        <v>0</v>
      </c>
      <c r="P374" s="380">
        <f>IFERROR(O374*VLOOKUP(G374,MODULY_CBA!$B$3:$F$23,5,0),)</f>
        <v>0</v>
      </c>
      <c r="Q374" s="482">
        <f>IFERROR(VLOOKUP(G374,MODULY_CBA!$B$3:$I$23,6,0),"")</f>
        <v>0</v>
      </c>
      <c r="R374" s="385"/>
      <c r="S374" s="385"/>
      <c r="T374" s="385"/>
      <c r="U374" s="385"/>
      <c r="V374" s="385"/>
      <c r="W374" s="385"/>
      <c r="X374" s="385"/>
      <c r="Y374" s="385"/>
      <c r="Z374" s="385"/>
      <c r="AA374" s="385"/>
      <c r="AB374" s="385"/>
      <c r="AC374" s="385"/>
      <c r="AD374" s="385"/>
      <c r="AE374" s="385"/>
      <c r="AF374" s="377"/>
    </row>
    <row r="375" spans="1:32" ht="39">
      <c r="A375" s="404" t="s">
        <v>1628</v>
      </c>
      <c r="B375" s="404" t="s">
        <v>1158</v>
      </c>
      <c r="C375" s="535" t="s">
        <v>842</v>
      </c>
      <c r="D375" s="535" t="s">
        <v>1629</v>
      </c>
      <c r="E375" s="535" t="s">
        <v>1630</v>
      </c>
      <c r="F375" s="686" t="s">
        <v>489</v>
      </c>
      <c r="G375" s="386" t="s">
        <v>281</v>
      </c>
      <c r="H375" s="382">
        <v>3</v>
      </c>
      <c r="I375" s="644">
        <v>15</v>
      </c>
      <c r="J375" s="382">
        <f t="shared" si="28"/>
        <v>3</v>
      </c>
      <c r="K375" s="382">
        <f t="shared" si="29"/>
        <v>45</v>
      </c>
      <c r="L375" s="646">
        <f>IFERROR(IF(B375="funkcna poziadavka",VLOOKUP(G375,MODULY_CBA!$B$3:$E$23,4,0)*H375/SUMIFS($H$3:$H$199,$G$3:$G$199,G375,$B$3:$B$199,B375),),)</f>
        <v>0</v>
      </c>
      <c r="M375" s="382">
        <f>IFERROR(IF(B375="Funkcna poziadavka",VLOOKUP(G375,MODULY_CBA!$B$3:$E$23,3,0),),)</f>
        <v>0</v>
      </c>
      <c r="N375" s="382">
        <f>IFERROR(IF(B375="funkcna poziadavka",VLOOKUP(G375,MODULY_CBA!$B$3:$E$23,2,0),),)</f>
        <v>0</v>
      </c>
      <c r="O375" s="381">
        <f t="shared" si="30"/>
        <v>0</v>
      </c>
      <c r="P375" s="380">
        <f>IFERROR(O375*VLOOKUP(G375,MODULY_CBA!$B$3:$F$23,5,0),)</f>
        <v>0</v>
      </c>
      <c r="Q375" s="482">
        <f>IFERROR(VLOOKUP(G375,MODULY_CBA!$B$3:$I$23,6,0),"")</f>
        <v>0</v>
      </c>
      <c r="R375" s="385"/>
      <c r="S375" s="385"/>
      <c r="T375" s="385"/>
      <c r="U375" s="385"/>
      <c r="V375" s="385"/>
      <c r="W375" s="385"/>
      <c r="X375" s="385"/>
      <c r="Y375" s="385"/>
      <c r="Z375" s="385"/>
      <c r="AA375" s="385"/>
      <c r="AB375" s="385"/>
      <c r="AC375" s="385"/>
      <c r="AD375" s="385"/>
      <c r="AE375" s="385"/>
      <c r="AF375" s="377"/>
    </row>
    <row r="376" spans="1:32" ht="39">
      <c r="A376" s="404" t="s">
        <v>1631</v>
      </c>
      <c r="B376" s="404" t="s">
        <v>1158</v>
      </c>
      <c r="C376" s="535" t="s">
        <v>842</v>
      </c>
      <c r="D376" s="535" t="s">
        <v>1632</v>
      </c>
      <c r="E376" s="535" t="s">
        <v>1633</v>
      </c>
      <c r="F376" s="686" t="s">
        <v>489</v>
      </c>
      <c r="G376" s="386" t="s">
        <v>275</v>
      </c>
      <c r="H376" s="382">
        <v>3</v>
      </c>
      <c r="I376" s="644">
        <v>15</v>
      </c>
      <c r="J376" s="382">
        <f t="shared" si="28"/>
        <v>3</v>
      </c>
      <c r="K376" s="382">
        <f t="shared" si="29"/>
        <v>45</v>
      </c>
      <c r="L376" s="646">
        <f>IFERROR(IF(B376="funkcna poziadavka",VLOOKUP(G376,MODULY_CBA!$B$3:$E$23,4,0)*H376/SUMIFS($H$3:$H$199,$G$3:$G$199,G376,$B$3:$B$199,B376),),)</f>
        <v>0</v>
      </c>
      <c r="M376" s="382">
        <f>IFERROR(IF(B376="Funkcna poziadavka",VLOOKUP(G376,MODULY_CBA!$B$3:$E$23,3,0),),)</f>
        <v>0</v>
      </c>
      <c r="N376" s="382">
        <f>IFERROR(IF(B376="funkcna poziadavka",VLOOKUP(G376,MODULY_CBA!$B$3:$E$23,2,0),),)</f>
        <v>0</v>
      </c>
      <c r="O376" s="381">
        <f t="shared" si="30"/>
        <v>0</v>
      </c>
      <c r="P376" s="380">
        <f>IFERROR(O376*VLOOKUP(G376,MODULY_CBA!$B$3:$F$23,5,0),)</f>
        <v>0</v>
      </c>
      <c r="Q376" s="482">
        <f>IFERROR(VLOOKUP(G376,MODULY_CBA!$B$3:$I$23,6,0),"")</f>
        <v>0</v>
      </c>
      <c r="R376" s="385"/>
      <c r="S376" s="385"/>
      <c r="T376" s="385"/>
      <c r="U376" s="385"/>
      <c r="V376" s="385"/>
      <c r="W376" s="385"/>
      <c r="X376" s="385"/>
      <c r="Y376" s="385"/>
      <c r="Z376" s="385"/>
      <c r="AA376" s="385"/>
      <c r="AB376" s="385"/>
      <c r="AC376" s="385"/>
      <c r="AD376" s="385"/>
      <c r="AE376" s="385"/>
      <c r="AF376" s="377"/>
    </row>
    <row r="377" spans="1:32" ht="39">
      <c r="A377" s="404" t="s">
        <v>1634</v>
      </c>
      <c r="B377" s="404" t="s">
        <v>1158</v>
      </c>
      <c r="C377" s="535" t="s">
        <v>842</v>
      </c>
      <c r="D377" s="535" t="s">
        <v>1635</v>
      </c>
      <c r="E377" s="535" t="s">
        <v>1636</v>
      </c>
      <c r="F377" s="686" t="s">
        <v>489</v>
      </c>
      <c r="G377" s="386" t="s">
        <v>275</v>
      </c>
      <c r="H377" s="382">
        <v>3</v>
      </c>
      <c r="I377" s="644">
        <v>15</v>
      </c>
      <c r="J377" s="382">
        <f t="shared" si="28"/>
        <v>3</v>
      </c>
      <c r="K377" s="382">
        <f t="shared" si="29"/>
        <v>45</v>
      </c>
      <c r="L377" s="646">
        <f>IFERROR(IF(B377="funkcna poziadavka",VLOOKUP(G377,MODULY_CBA!$B$3:$E$23,4,0)*H377/SUMIFS($H$3:$H$199,$G$3:$G$199,G377,$B$3:$B$199,B377),),)</f>
        <v>0</v>
      </c>
      <c r="M377" s="382">
        <f>IFERROR(IF(B377="Funkcna poziadavka",VLOOKUP(G377,MODULY_CBA!$B$3:$E$23,3,0),),)</f>
        <v>0</v>
      </c>
      <c r="N377" s="382">
        <f>IFERROR(IF(B377="funkcna poziadavka",VLOOKUP(G377,MODULY_CBA!$B$3:$E$23,2,0),),)</f>
        <v>0</v>
      </c>
      <c r="O377" s="381">
        <f t="shared" si="30"/>
        <v>0</v>
      </c>
      <c r="P377" s="380">
        <f>IFERROR(O377*VLOOKUP(G377,MODULY_CBA!$B$3:$F$23,5,0),)</f>
        <v>0</v>
      </c>
      <c r="Q377" s="482">
        <f>IFERROR(VLOOKUP(G377,MODULY_CBA!$B$3:$I$23,6,0),"")</f>
        <v>0</v>
      </c>
      <c r="R377" s="385"/>
      <c r="S377" s="385"/>
      <c r="T377" s="385"/>
      <c r="U377" s="385"/>
      <c r="V377" s="385"/>
      <c r="W377" s="385"/>
      <c r="X377" s="385"/>
      <c r="Y377" s="385"/>
      <c r="Z377" s="385"/>
      <c r="AA377" s="385"/>
      <c r="AB377" s="385"/>
      <c r="AC377" s="385"/>
      <c r="AD377" s="385"/>
      <c r="AE377" s="385"/>
      <c r="AF377" s="377"/>
    </row>
    <row r="378" spans="1:32" ht="26">
      <c r="A378" s="404" t="s">
        <v>1637</v>
      </c>
      <c r="B378" s="404" t="s">
        <v>1158</v>
      </c>
      <c r="C378" s="535" t="s">
        <v>842</v>
      </c>
      <c r="D378" s="535" t="s">
        <v>1638</v>
      </c>
      <c r="E378" s="535" t="s">
        <v>1639</v>
      </c>
      <c r="F378" s="686" t="s">
        <v>489</v>
      </c>
      <c r="G378" s="386" t="s">
        <v>281</v>
      </c>
      <c r="H378" s="382">
        <v>3</v>
      </c>
      <c r="I378" s="644">
        <v>15</v>
      </c>
      <c r="J378" s="382">
        <f t="shared" si="28"/>
        <v>3</v>
      </c>
      <c r="K378" s="382">
        <f t="shared" si="29"/>
        <v>45</v>
      </c>
      <c r="L378" s="646">
        <f>IFERROR(IF(B378="funkcna poziadavka",VLOOKUP(G378,MODULY_CBA!$B$3:$E$23,4,0)*H378/SUMIFS($H$3:$H$199,$G$3:$G$199,G378,$B$3:$B$199,B378),),)</f>
        <v>0</v>
      </c>
      <c r="M378" s="382">
        <f>IFERROR(IF(B378="Funkcna poziadavka",VLOOKUP(G378,MODULY_CBA!$B$3:$E$23,3,0),),)</f>
        <v>0</v>
      </c>
      <c r="N378" s="382">
        <f>IFERROR(IF(B378="funkcna poziadavka",VLOOKUP(G378,MODULY_CBA!$B$3:$E$23,2,0),),)</f>
        <v>0</v>
      </c>
      <c r="O378" s="381">
        <f t="shared" si="30"/>
        <v>0</v>
      </c>
      <c r="P378" s="380">
        <f>IFERROR(O378*VLOOKUP(G378,MODULY_CBA!$B$3:$F$23,5,0),)</f>
        <v>0</v>
      </c>
      <c r="Q378" s="482">
        <f>IFERROR(VLOOKUP(G378,MODULY_CBA!$B$3:$I$23,6,0),"")</f>
        <v>0</v>
      </c>
      <c r="R378" s="385"/>
      <c r="S378" s="385"/>
      <c r="T378" s="385"/>
      <c r="U378" s="385"/>
      <c r="V378" s="385"/>
      <c r="W378" s="385"/>
      <c r="X378" s="385"/>
      <c r="Y378" s="385"/>
      <c r="Z378" s="385"/>
      <c r="AA378" s="385"/>
      <c r="AB378" s="385"/>
      <c r="AC378" s="385"/>
      <c r="AD378" s="385"/>
      <c r="AE378" s="385"/>
      <c r="AF378" s="377"/>
    </row>
    <row r="379" spans="1:32" ht="39">
      <c r="A379" s="404" t="s">
        <v>1640</v>
      </c>
      <c r="B379" s="404" t="s">
        <v>1158</v>
      </c>
      <c r="C379" s="535" t="s">
        <v>842</v>
      </c>
      <c r="D379" s="535" t="s">
        <v>1641</v>
      </c>
      <c r="E379" s="535" t="s">
        <v>1642</v>
      </c>
      <c r="F379" s="686" t="s">
        <v>489</v>
      </c>
      <c r="G379" s="386" t="s">
        <v>281</v>
      </c>
      <c r="H379" s="382">
        <v>3</v>
      </c>
      <c r="I379" s="644">
        <v>15</v>
      </c>
      <c r="J379" s="382">
        <f t="shared" si="28"/>
        <v>3</v>
      </c>
      <c r="K379" s="382">
        <f t="shared" si="29"/>
        <v>45</v>
      </c>
      <c r="L379" s="646">
        <f>IFERROR(IF(B379="funkcna poziadavka",VLOOKUP(G379,MODULY_CBA!$B$3:$E$23,4,0)*H379/SUMIFS($H$3:$H$199,$G$3:$G$199,G379,$B$3:$B$199,B379),),)</f>
        <v>0</v>
      </c>
      <c r="M379" s="382">
        <f>IFERROR(IF(B379="Funkcna poziadavka",VLOOKUP(G379,MODULY_CBA!$B$3:$E$23,3,0),),)</f>
        <v>0</v>
      </c>
      <c r="N379" s="382">
        <f>IFERROR(IF(B379="funkcna poziadavka",VLOOKUP(G379,MODULY_CBA!$B$3:$E$23,2,0),),)</f>
        <v>0</v>
      </c>
      <c r="O379" s="381">
        <f t="shared" si="30"/>
        <v>0</v>
      </c>
      <c r="P379" s="380">
        <f>IFERROR(O379*VLOOKUP(G379,MODULY_CBA!$B$3:$F$23,5,0),)</f>
        <v>0</v>
      </c>
      <c r="Q379" s="482">
        <f>IFERROR(VLOOKUP(G379,MODULY_CBA!$B$3:$I$23,6,0),"")</f>
        <v>0</v>
      </c>
      <c r="R379" s="385"/>
      <c r="S379" s="385"/>
      <c r="T379" s="385"/>
      <c r="U379" s="385"/>
      <c r="V379" s="385"/>
      <c r="W379" s="385"/>
      <c r="X379" s="385"/>
      <c r="Y379" s="385"/>
      <c r="Z379" s="385"/>
      <c r="AA379" s="385"/>
      <c r="AB379" s="385"/>
      <c r="AC379" s="385"/>
      <c r="AD379" s="385"/>
      <c r="AE379" s="385"/>
      <c r="AF379" s="377"/>
    </row>
    <row r="380" spans="1:32" ht="26">
      <c r="A380" s="404" t="s">
        <v>1643</v>
      </c>
      <c r="B380" s="404" t="s">
        <v>1158</v>
      </c>
      <c r="C380" s="535" t="s">
        <v>491</v>
      </c>
      <c r="D380" s="535" t="s">
        <v>1644</v>
      </c>
      <c r="E380" s="535" t="s">
        <v>1645</v>
      </c>
      <c r="F380" s="686" t="s">
        <v>489</v>
      </c>
      <c r="G380" s="386" t="s">
        <v>281</v>
      </c>
      <c r="H380" s="382">
        <v>3</v>
      </c>
      <c r="I380" s="644">
        <v>15</v>
      </c>
      <c r="J380" s="382">
        <f t="shared" si="28"/>
        <v>3</v>
      </c>
      <c r="K380" s="382">
        <f t="shared" si="29"/>
        <v>45</v>
      </c>
      <c r="L380" s="646">
        <f>IFERROR(IF(B380="funkcna poziadavka",VLOOKUP(G380,MODULY_CBA!$B$3:$E$23,4,0)*H380/SUMIFS($H$3:$H$199,$G$3:$G$199,G380,$B$3:$B$199,B380),),)</f>
        <v>0</v>
      </c>
      <c r="M380" s="382">
        <f>IFERROR(IF(B380="Funkcna poziadavka",VLOOKUP(G380,MODULY_CBA!$B$3:$E$23,3,0),),)</f>
        <v>0</v>
      </c>
      <c r="N380" s="382">
        <f>IFERROR(IF(B380="funkcna poziadavka",VLOOKUP(G380,MODULY_CBA!$B$3:$E$23,2,0),),)</f>
        <v>0</v>
      </c>
      <c r="O380" s="381">
        <f t="shared" si="30"/>
        <v>0</v>
      </c>
      <c r="P380" s="380">
        <f>IFERROR(O380*VLOOKUP(G380,MODULY_CBA!$B$3:$F$23,5,0),)</f>
        <v>0</v>
      </c>
      <c r="Q380" s="482">
        <f>IFERROR(VLOOKUP(G380,MODULY_CBA!$B$3:$I$23,6,0),"")</f>
        <v>0</v>
      </c>
      <c r="R380" s="385"/>
      <c r="S380" s="385"/>
      <c r="T380" s="385"/>
      <c r="U380" s="385"/>
      <c r="V380" s="385"/>
      <c r="W380" s="385"/>
      <c r="X380" s="385"/>
      <c r="Y380" s="385"/>
      <c r="Z380" s="385"/>
      <c r="AA380" s="385"/>
      <c r="AB380" s="385"/>
      <c r="AC380" s="385"/>
      <c r="AD380" s="385"/>
      <c r="AE380" s="385"/>
      <c r="AF380" s="377"/>
    </row>
    <row r="381" spans="1:32" ht="26">
      <c r="A381" s="404" t="s">
        <v>1646</v>
      </c>
      <c r="B381" s="404" t="s">
        <v>1158</v>
      </c>
      <c r="C381" s="535" t="s">
        <v>842</v>
      </c>
      <c r="D381" s="535" t="s">
        <v>1647</v>
      </c>
      <c r="E381" s="535" t="s">
        <v>1648</v>
      </c>
      <c r="F381" s="686" t="s">
        <v>489</v>
      </c>
      <c r="G381" s="386" t="s">
        <v>281</v>
      </c>
      <c r="H381" s="382">
        <v>3</v>
      </c>
      <c r="I381" s="644">
        <v>15</v>
      </c>
      <c r="J381" s="382">
        <f t="shared" si="28"/>
        <v>3</v>
      </c>
      <c r="K381" s="382">
        <f t="shared" si="29"/>
        <v>45</v>
      </c>
      <c r="L381" s="646">
        <f>IFERROR(IF(B381="funkcna poziadavka",VLOOKUP(G381,MODULY_CBA!$B$3:$E$23,4,0)*H381/SUMIFS($H$3:$H$199,$G$3:$G$199,G381,$B$3:$B$199,B381),),)</f>
        <v>0</v>
      </c>
      <c r="M381" s="382">
        <f>IFERROR(IF(B381="Funkcna poziadavka",VLOOKUP(G381,MODULY_CBA!$B$3:$E$23,3,0),),)</f>
        <v>0</v>
      </c>
      <c r="N381" s="382">
        <f>IFERROR(IF(B381="funkcna poziadavka",VLOOKUP(G381,MODULY_CBA!$B$3:$E$23,2,0),),)</f>
        <v>0</v>
      </c>
      <c r="O381" s="381">
        <f t="shared" si="30"/>
        <v>0</v>
      </c>
      <c r="P381" s="380">
        <f>IFERROR(O381*VLOOKUP(G381,MODULY_CBA!$B$3:$F$23,5,0),)</f>
        <v>0</v>
      </c>
      <c r="Q381" s="482">
        <f>IFERROR(VLOOKUP(G381,MODULY_CBA!$B$3:$I$23,6,0),"")</f>
        <v>0</v>
      </c>
      <c r="R381" s="385"/>
      <c r="S381" s="385"/>
      <c r="T381" s="385"/>
      <c r="U381" s="385"/>
      <c r="V381" s="385"/>
      <c r="W381" s="385"/>
      <c r="X381" s="385"/>
      <c r="Y381" s="385"/>
      <c r="Z381" s="385"/>
      <c r="AA381" s="385"/>
      <c r="AB381" s="385"/>
      <c r="AC381" s="385"/>
      <c r="AD381" s="385"/>
      <c r="AE381" s="385"/>
      <c r="AF381" s="377"/>
    </row>
    <row r="382" spans="1:32" ht="39">
      <c r="A382" s="404" t="s">
        <v>1649</v>
      </c>
      <c r="B382" s="404" t="s">
        <v>1158</v>
      </c>
      <c r="C382" s="535" t="s">
        <v>644</v>
      </c>
      <c r="D382" s="535" t="s">
        <v>1650</v>
      </c>
      <c r="E382" s="535" t="s">
        <v>1651</v>
      </c>
      <c r="F382" s="686" t="s">
        <v>489</v>
      </c>
      <c r="G382" s="386" t="s">
        <v>242</v>
      </c>
      <c r="H382" s="382">
        <v>3</v>
      </c>
      <c r="I382" s="644">
        <v>15</v>
      </c>
      <c r="J382" s="382">
        <f t="shared" si="28"/>
        <v>3</v>
      </c>
      <c r="K382" s="382">
        <f t="shared" si="29"/>
        <v>45</v>
      </c>
      <c r="L382" s="646">
        <f>IFERROR(IF(B382="funkcna poziadavka",VLOOKUP(G382,MODULY_CBA!$B$3:$E$23,4,0)*H382/SUMIFS($H$3:$H$199,$G$3:$G$199,G382,$B$3:$B$199,B382),),)</f>
        <v>0</v>
      </c>
      <c r="M382" s="382">
        <f>IFERROR(IF(B382="Funkcna poziadavka",VLOOKUP(G382,MODULY_CBA!$B$3:$E$23,3,0),),)</f>
        <v>0</v>
      </c>
      <c r="N382" s="382">
        <f>IFERROR(IF(B382="funkcna poziadavka",VLOOKUP(G382,MODULY_CBA!$B$3:$E$23,2,0),),)</f>
        <v>0</v>
      </c>
      <c r="O382" s="381">
        <f t="shared" si="30"/>
        <v>0</v>
      </c>
      <c r="P382" s="380">
        <f>IFERROR(O382*VLOOKUP(G382,MODULY_CBA!$B$3:$F$23,5,0),)</f>
        <v>0</v>
      </c>
      <c r="Q382" s="482" t="str">
        <f>IFERROR(VLOOKUP(G382,MODULY_CBA!$B$3:$I$23,6,0),"")</f>
        <v>Inkrement 2</v>
      </c>
      <c r="R382" s="385"/>
      <c r="S382" s="385"/>
      <c r="T382" s="385"/>
      <c r="U382" s="385"/>
      <c r="V382" s="385"/>
      <c r="W382" s="385"/>
      <c r="X382" s="385"/>
      <c r="Y382" s="385"/>
      <c r="Z382" s="385"/>
      <c r="AA382" s="385"/>
      <c r="AB382" s="385"/>
      <c r="AC382" s="385"/>
      <c r="AD382" s="385"/>
      <c r="AE382" s="385"/>
      <c r="AF382" s="377"/>
    </row>
    <row r="383" spans="1:32" ht="39">
      <c r="A383" s="404" t="s">
        <v>1652</v>
      </c>
      <c r="B383" s="404" t="s">
        <v>1158</v>
      </c>
      <c r="C383" s="535" t="s">
        <v>873</v>
      </c>
      <c r="D383" s="535" t="s">
        <v>1653</v>
      </c>
      <c r="E383" s="535" t="s">
        <v>1654</v>
      </c>
      <c r="F383" s="686" t="s">
        <v>489</v>
      </c>
      <c r="G383" s="386" t="s">
        <v>281</v>
      </c>
      <c r="H383" s="382">
        <v>3</v>
      </c>
      <c r="I383" s="644">
        <v>15</v>
      </c>
      <c r="J383" s="382">
        <f t="shared" si="28"/>
        <v>3</v>
      </c>
      <c r="K383" s="382">
        <f t="shared" si="29"/>
        <v>45</v>
      </c>
      <c r="L383" s="646">
        <f>IFERROR(IF(B383="funkcna poziadavka",VLOOKUP(G383,MODULY_CBA!$B$3:$E$23,4,0)*H383/SUMIFS($H$3:$H$199,$G$3:$G$199,G383,$B$3:$B$199,B383),),)</f>
        <v>0</v>
      </c>
      <c r="M383" s="382">
        <f>IFERROR(IF(B383="Funkcna poziadavka",VLOOKUP(G383,MODULY_CBA!$B$3:$E$23,3,0),),)</f>
        <v>0</v>
      </c>
      <c r="N383" s="382">
        <f>IFERROR(IF(B383="funkcna poziadavka",VLOOKUP(G383,MODULY_CBA!$B$3:$E$23,2,0),),)</f>
        <v>0</v>
      </c>
      <c r="O383" s="381">
        <f t="shared" si="30"/>
        <v>0</v>
      </c>
      <c r="P383" s="380">
        <f>IFERROR(O383*VLOOKUP(G383,MODULY_CBA!$B$3:$F$23,5,0),)</f>
        <v>0</v>
      </c>
      <c r="Q383" s="482">
        <f>IFERROR(VLOOKUP(G383,MODULY_CBA!$B$3:$I$23,6,0),"")</f>
        <v>0</v>
      </c>
      <c r="R383" s="385"/>
      <c r="S383" s="385"/>
      <c r="T383" s="385"/>
      <c r="U383" s="385"/>
      <c r="V383" s="385"/>
      <c r="W383" s="385"/>
      <c r="X383" s="385"/>
      <c r="Y383" s="385"/>
      <c r="Z383" s="385"/>
      <c r="AA383" s="385"/>
      <c r="AB383" s="385"/>
      <c r="AC383" s="385"/>
      <c r="AD383" s="385"/>
      <c r="AE383" s="385"/>
      <c r="AF383" s="377"/>
    </row>
    <row r="384" spans="1:32" ht="39">
      <c r="A384" s="404" t="s">
        <v>1655</v>
      </c>
      <c r="B384" s="404" t="s">
        <v>1158</v>
      </c>
      <c r="C384" s="535" t="s">
        <v>491</v>
      </c>
      <c r="D384" s="535" t="s">
        <v>1656</v>
      </c>
      <c r="E384" s="535" t="s">
        <v>1657</v>
      </c>
      <c r="F384" s="686" t="s">
        <v>489</v>
      </c>
      <c r="G384" s="386" t="s">
        <v>251</v>
      </c>
      <c r="H384" s="382">
        <v>3</v>
      </c>
      <c r="I384" s="644">
        <v>15</v>
      </c>
      <c r="J384" s="382">
        <f t="shared" si="28"/>
        <v>3</v>
      </c>
      <c r="K384" s="382">
        <f t="shared" si="29"/>
        <v>45</v>
      </c>
      <c r="L384" s="646">
        <f>IFERROR(IF(B384="funkcna poziadavka",VLOOKUP(G384,MODULY_CBA!$B$3:$E$23,4,0)*H384/SUMIFS($H$3:$H$199,$G$3:$G$199,G384,$B$3:$B$199,B384),),)</f>
        <v>0</v>
      </c>
      <c r="M384" s="382">
        <f>IFERROR(IF(B384="Funkcna poziadavka",VLOOKUP(G384,MODULY_CBA!$B$3:$E$23,3,0),),)</f>
        <v>0</v>
      </c>
      <c r="N384" s="382">
        <f>IFERROR(IF(B384="funkcna poziadavka",VLOOKUP(G384,MODULY_CBA!$B$3:$E$23,2,0),),)</f>
        <v>0</v>
      </c>
      <c r="O384" s="381">
        <f t="shared" si="30"/>
        <v>0</v>
      </c>
      <c r="P384" s="380">
        <f>IFERROR(O384*VLOOKUP(G384,MODULY_CBA!$B$3:$F$23,5,0),)</f>
        <v>0</v>
      </c>
      <c r="Q384" s="482" t="str">
        <f>IFERROR(VLOOKUP(G384,MODULY_CBA!$B$3:$I$23,6,0),"")</f>
        <v>Inkrement 3</v>
      </c>
      <c r="R384" s="385"/>
      <c r="S384" s="385"/>
      <c r="T384" s="385"/>
      <c r="U384" s="385"/>
      <c r="V384" s="385"/>
      <c r="W384" s="385"/>
      <c r="X384" s="385"/>
      <c r="Y384" s="385"/>
      <c r="Z384" s="385"/>
      <c r="AA384" s="385"/>
      <c r="AB384" s="385"/>
      <c r="AC384" s="385"/>
      <c r="AD384" s="385"/>
      <c r="AE384" s="385"/>
      <c r="AF384" s="377"/>
    </row>
    <row r="385" spans="1:32" ht="39">
      <c r="A385" s="404" t="s">
        <v>1658</v>
      </c>
      <c r="B385" s="404" t="s">
        <v>1158</v>
      </c>
      <c r="C385" s="535" t="s">
        <v>1336</v>
      </c>
      <c r="D385" s="535" t="s">
        <v>1659</v>
      </c>
      <c r="E385" s="535" t="s">
        <v>1660</v>
      </c>
      <c r="F385" s="686" t="s">
        <v>489</v>
      </c>
      <c r="G385" s="386" t="s">
        <v>277</v>
      </c>
      <c r="H385" s="382">
        <v>3</v>
      </c>
      <c r="I385" s="644">
        <v>15</v>
      </c>
      <c r="J385" s="382">
        <f t="shared" si="28"/>
        <v>3</v>
      </c>
      <c r="K385" s="382">
        <f t="shared" si="29"/>
        <v>45</v>
      </c>
      <c r="L385" s="646">
        <f>IFERROR(IF(B385="funkcna poziadavka",VLOOKUP(G385,MODULY_CBA!$B$3:$E$23,4,0)*H385/SUMIFS($H$3:$H$199,$G$3:$G$199,G385,$B$3:$B$199,B385),),)</f>
        <v>0</v>
      </c>
      <c r="M385" s="382">
        <f>IFERROR(IF(B385="Funkcna poziadavka",VLOOKUP(G385,MODULY_CBA!$B$3:$E$23,3,0),),)</f>
        <v>0</v>
      </c>
      <c r="N385" s="382">
        <f>IFERROR(IF(B385="funkcna poziadavka",VLOOKUP(G385,MODULY_CBA!$B$3:$E$23,2,0),),)</f>
        <v>0</v>
      </c>
      <c r="O385" s="381">
        <f t="shared" si="30"/>
        <v>0</v>
      </c>
      <c r="P385" s="380">
        <f>IFERROR(O385*VLOOKUP(G385,MODULY_CBA!$B$3:$F$23,5,0),)</f>
        <v>0</v>
      </c>
      <c r="Q385" s="482">
        <f>IFERROR(VLOOKUP(G385,MODULY_CBA!$B$3:$I$23,6,0),"")</f>
        <v>0</v>
      </c>
      <c r="R385" s="385"/>
      <c r="S385" s="385"/>
      <c r="T385" s="385"/>
      <c r="U385" s="385"/>
      <c r="V385" s="385"/>
      <c r="W385" s="385"/>
      <c r="X385" s="385"/>
      <c r="Y385" s="385"/>
      <c r="Z385" s="385"/>
      <c r="AA385" s="385"/>
      <c r="AB385" s="385"/>
      <c r="AC385" s="385"/>
      <c r="AD385" s="385"/>
      <c r="AE385" s="385"/>
      <c r="AF385" s="377"/>
    </row>
    <row r="386" spans="1:32" ht="26">
      <c r="A386" s="404" t="s">
        <v>1661</v>
      </c>
      <c r="B386" s="404" t="s">
        <v>1158</v>
      </c>
      <c r="C386" s="535" t="s">
        <v>873</v>
      </c>
      <c r="D386" s="535" t="s">
        <v>1662</v>
      </c>
      <c r="E386" s="535" t="s">
        <v>1663</v>
      </c>
      <c r="F386" s="686" t="s">
        <v>489</v>
      </c>
      <c r="G386" s="386" t="s">
        <v>275</v>
      </c>
      <c r="H386" s="382">
        <v>3</v>
      </c>
      <c r="I386" s="644">
        <v>15</v>
      </c>
      <c r="J386" s="382">
        <f t="shared" si="28"/>
        <v>3</v>
      </c>
      <c r="K386" s="382">
        <f t="shared" si="29"/>
        <v>45</v>
      </c>
      <c r="L386" s="646">
        <f>IFERROR(IF(B386="funkcna poziadavka",VLOOKUP(G386,MODULY_CBA!$B$3:$E$23,4,0)*H386/SUMIFS($H$3:$H$199,$G$3:$G$199,G386,$B$3:$B$199,B386),),)</f>
        <v>0</v>
      </c>
      <c r="M386" s="382">
        <f>IFERROR(IF(B386="Funkcna poziadavka",VLOOKUP(G386,MODULY_CBA!$B$3:$E$23,3,0),),)</f>
        <v>0</v>
      </c>
      <c r="N386" s="382">
        <f>IFERROR(IF(B386="funkcna poziadavka",VLOOKUP(G386,MODULY_CBA!$B$3:$E$23,2,0),),)</f>
        <v>0</v>
      </c>
      <c r="O386" s="381">
        <f t="shared" si="30"/>
        <v>0</v>
      </c>
      <c r="P386" s="380">
        <f>IFERROR(O386*VLOOKUP(G386,MODULY_CBA!$B$3:$F$23,5,0),)</f>
        <v>0</v>
      </c>
      <c r="Q386" s="482">
        <f>IFERROR(VLOOKUP(G386,MODULY_CBA!$B$3:$I$23,6,0),"")</f>
        <v>0</v>
      </c>
      <c r="R386" s="385"/>
      <c r="S386" s="385"/>
      <c r="T386" s="385"/>
      <c r="U386" s="385"/>
      <c r="V386" s="385"/>
      <c r="W386" s="385"/>
      <c r="X386" s="385"/>
      <c r="Y386" s="385"/>
      <c r="Z386" s="385"/>
      <c r="AA386" s="385"/>
      <c r="AB386" s="385"/>
      <c r="AC386" s="385"/>
      <c r="AD386" s="385"/>
      <c r="AE386" s="385"/>
      <c r="AF386" s="377"/>
    </row>
    <row r="387" spans="1:32" ht="91">
      <c r="A387" s="404" t="s">
        <v>1664</v>
      </c>
      <c r="B387" s="404" t="s">
        <v>1158</v>
      </c>
      <c r="C387" s="535" t="s">
        <v>491</v>
      </c>
      <c r="D387" s="535" t="s">
        <v>1665</v>
      </c>
      <c r="E387" s="535" t="s">
        <v>1666</v>
      </c>
      <c r="F387" s="686" t="s">
        <v>489</v>
      </c>
      <c r="G387" s="386" t="s">
        <v>251</v>
      </c>
      <c r="H387" s="382">
        <v>3</v>
      </c>
      <c r="I387" s="644">
        <v>15</v>
      </c>
      <c r="J387" s="382">
        <f t="shared" si="28"/>
        <v>3</v>
      </c>
      <c r="K387" s="382">
        <f t="shared" si="29"/>
        <v>45</v>
      </c>
      <c r="L387" s="646">
        <f>IFERROR(IF(B387="funkcna poziadavka",VLOOKUP(G387,MODULY_CBA!$B$3:$E$23,4,0)*H387/SUMIFS($H$3:$H$199,$G$3:$G$199,G387,$B$3:$B$199,B387),),)</f>
        <v>0</v>
      </c>
      <c r="M387" s="382">
        <f>IFERROR(IF(B387="Funkcna poziadavka",VLOOKUP(G387,MODULY_CBA!$B$3:$E$23,3,0),),)</f>
        <v>0</v>
      </c>
      <c r="N387" s="382">
        <f>IFERROR(IF(B387="funkcna poziadavka",VLOOKUP(G387,MODULY_CBA!$B$3:$E$23,2,0),),)</f>
        <v>0</v>
      </c>
      <c r="O387" s="381">
        <f t="shared" si="30"/>
        <v>0</v>
      </c>
      <c r="P387" s="380">
        <f>IFERROR(O387*VLOOKUP(G387,MODULY_CBA!$B$3:$F$23,5,0),)</f>
        <v>0</v>
      </c>
      <c r="Q387" s="482" t="str">
        <f>IFERROR(VLOOKUP(G387,MODULY_CBA!$B$3:$I$23,6,0),"")</f>
        <v>Inkrement 3</v>
      </c>
      <c r="R387" s="385"/>
      <c r="S387" s="385"/>
      <c r="T387" s="385"/>
      <c r="U387" s="385"/>
      <c r="V387" s="385"/>
      <c r="W387" s="385"/>
      <c r="X387" s="385"/>
      <c r="Y387" s="385"/>
      <c r="Z387" s="385"/>
      <c r="AA387" s="385"/>
      <c r="AB387" s="385"/>
      <c r="AC387" s="385"/>
      <c r="AD387" s="385"/>
      <c r="AE387" s="385"/>
      <c r="AF387" s="377"/>
    </row>
    <row r="388" spans="1:32" ht="39">
      <c r="A388" s="404" t="s">
        <v>1667</v>
      </c>
      <c r="B388" s="404" t="s">
        <v>1158</v>
      </c>
      <c r="C388" s="535" t="s">
        <v>491</v>
      </c>
      <c r="D388" s="535" t="s">
        <v>1668</v>
      </c>
      <c r="E388" s="535" t="s">
        <v>1669</v>
      </c>
      <c r="F388" s="686" t="s">
        <v>489</v>
      </c>
      <c r="G388" s="386" t="s">
        <v>251</v>
      </c>
      <c r="H388" s="382">
        <v>3</v>
      </c>
      <c r="I388" s="644">
        <v>15</v>
      </c>
      <c r="J388" s="382">
        <f t="shared" si="28"/>
        <v>3</v>
      </c>
      <c r="K388" s="382">
        <f t="shared" si="29"/>
        <v>45</v>
      </c>
      <c r="L388" s="646">
        <f>IFERROR(IF(B388="funkcna poziadavka",VLOOKUP(G388,MODULY_CBA!$B$3:$E$23,4,0)*H388/SUMIFS($H$3:$H$199,$G$3:$G$199,G388,$B$3:$B$199,B388),),)</f>
        <v>0</v>
      </c>
      <c r="M388" s="382">
        <f>IFERROR(IF(B388="Funkcna poziadavka",VLOOKUP(G388,MODULY_CBA!$B$3:$E$23,3,0),),)</f>
        <v>0</v>
      </c>
      <c r="N388" s="382">
        <f>IFERROR(IF(B388="funkcna poziadavka",VLOOKUP(G388,MODULY_CBA!$B$3:$E$23,2,0),),)</f>
        <v>0</v>
      </c>
      <c r="O388" s="381">
        <f t="shared" si="30"/>
        <v>0</v>
      </c>
      <c r="P388" s="380">
        <f>IFERROR(O388*VLOOKUP(G388,MODULY_CBA!$B$3:$F$23,5,0),)</f>
        <v>0</v>
      </c>
      <c r="Q388" s="482" t="str">
        <f>IFERROR(VLOOKUP(G388,MODULY_CBA!$B$3:$I$23,6,0),"")</f>
        <v>Inkrement 3</v>
      </c>
      <c r="R388" s="385"/>
      <c r="S388" s="385"/>
      <c r="T388" s="385"/>
      <c r="U388" s="385"/>
      <c r="V388" s="385"/>
      <c r="W388" s="385"/>
      <c r="X388" s="385"/>
      <c r="Y388" s="385"/>
      <c r="Z388" s="385"/>
      <c r="AA388" s="385"/>
      <c r="AB388" s="385"/>
      <c r="AC388" s="385"/>
      <c r="AD388" s="385"/>
      <c r="AE388" s="385"/>
      <c r="AF388" s="377"/>
    </row>
    <row r="389" spans="1:32" ht="39">
      <c r="A389" s="404" t="s">
        <v>1670</v>
      </c>
      <c r="B389" s="404" t="s">
        <v>1158</v>
      </c>
      <c r="C389" s="535" t="s">
        <v>486</v>
      </c>
      <c r="D389" s="535" t="s">
        <v>1671</v>
      </c>
      <c r="E389" s="535" t="s">
        <v>1672</v>
      </c>
      <c r="F389" s="686" t="s">
        <v>489</v>
      </c>
      <c r="G389" s="386" t="s">
        <v>281</v>
      </c>
      <c r="H389" s="382">
        <v>3</v>
      </c>
      <c r="I389" s="644">
        <v>15</v>
      </c>
      <c r="J389" s="382">
        <f t="shared" si="28"/>
        <v>3</v>
      </c>
      <c r="K389" s="382">
        <f t="shared" si="29"/>
        <v>45</v>
      </c>
      <c r="L389" s="646">
        <f>IFERROR(IF(B389="funkcna poziadavka",VLOOKUP(G389,MODULY_CBA!$B$3:$E$23,4,0)*H389/SUMIFS($H$3:$H$199,$G$3:$G$199,G389,$B$3:$B$199,B389),),)</f>
        <v>0</v>
      </c>
      <c r="M389" s="382">
        <f>IFERROR(IF(B389="Funkcna poziadavka",VLOOKUP(G389,MODULY_CBA!$B$3:$E$23,3,0),),)</f>
        <v>0</v>
      </c>
      <c r="N389" s="382">
        <f>IFERROR(IF(B389="funkcna poziadavka",VLOOKUP(G389,MODULY_CBA!$B$3:$E$23,2,0),),)</f>
        <v>0</v>
      </c>
      <c r="O389" s="381">
        <f t="shared" si="30"/>
        <v>0</v>
      </c>
      <c r="P389" s="380">
        <f>IFERROR(O389*VLOOKUP(G389,MODULY_CBA!$B$3:$F$23,5,0),)</f>
        <v>0</v>
      </c>
      <c r="Q389" s="482">
        <f>IFERROR(VLOOKUP(G389,MODULY_CBA!$B$3:$I$23,6,0),"")</f>
        <v>0</v>
      </c>
      <c r="R389" s="385"/>
      <c r="S389" s="385"/>
      <c r="T389" s="385"/>
      <c r="U389" s="385"/>
      <c r="V389" s="385"/>
      <c r="W389" s="385"/>
      <c r="X389" s="385"/>
      <c r="Y389" s="385"/>
      <c r="Z389" s="385"/>
      <c r="AA389" s="385"/>
      <c r="AB389" s="385"/>
      <c r="AC389" s="385"/>
      <c r="AD389" s="385"/>
      <c r="AE389" s="385"/>
      <c r="AF389" s="377"/>
    </row>
    <row r="390" spans="1:32" ht="39">
      <c r="A390" s="404" t="s">
        <v>1673</v>
      </c>
      <c r="B390" s="404" t="s">
        <v>1158</v>
      </c>
      <c r="C390" s="535" t="s">
        <v>486</v>
      </c>
      <c r="D390" s="535" t="s">
        <v>1674</v>
      </c>
      <c r="E390" s="535" t="s">
        <v>1675</v>
      </c>
      <c r="F390" s="686" t="s">
        <v>489</v>
      </c>
      <c r="G390" s="386" t="s">
        <v>281</v>
      </c>
      <c r="H390" s="382">
        <v>3</v>
      </c>
      <c r="I390" s="644">
        <v>15</v>
      </c>
      <c r="J390" s="382">
        <f t="shared" si="28"/>
        <v>3</v>
      </c>
      <c r="K390" s="382">
        <f t="shared" si="29"/>
        <v>45</v>
      </c>
      <c r="L390" s="646">
        <f>IFERROR(IF(B390="funkcna poziadavka",VLOOKUP(G390,MODULY_CBA!$B$3:$E$23,4,0)*H390/SUMIFS($H$3:$H$199,$G$3:$G$199,G390,$B$3:$B$199,B390),),)</f>
        <v>0</v>
      </c>
      <c r="M390" s="382">
        <f>IFERROR(IF(B390="Funkcna poziadavka",VLOOKUP(G390,MODULY_CBA!$B$3:$E$23,3,0),),)</f>
        <v>0</v>
      </c>
      <c r="N390" s="382">
        <f>IFERROR(IF(B390="funkcna poziadavka",VLOOKUP(G390,MODULY_CBA!$B$3:$E$23,2,0),),)</f>
        <v>0</v>
      </c>
      <c r="O390" s="381">
        <f t="shared" si="30"/>
        <v>0</v>
      </c>
      <c r="P390" s="380">
        <f>IFERROR(O390*VLOOKUP(G390,MODULY_CBA!$B$3:$F$23,5,0),)</f>
        <v>0</v>
      </c>
      <c r="Q390" s="482">
        <f>IFERROR(VLOOKUP(G390,MODULY_CBA!$B$3:$I$23,6,0),"")</f>
        <v>0</v>
      </c>
      <c r="R390" s="385"/>
      <c r="S390" s="385"/>
      <c r="T390" s="385"/>
      <c r="U390" s="385"/>
      <c r="V390" s="385"/>
      <c r="W390" s="385"/>
      <c r="X390" s="385"/>
      <c r="Y390" s="385"/>
      <c r="Z390" s="385"/>
      <c r="AA390" s="385"/>
      <c r="AB390" s="385"/>
      <c r="AC390" s="385"/>
      <c r="AD390" s="385"/>
      <c r="AE390" s="385"/>
      <c r="AF390" s="377"/>
    </row>
    <row r="391" spans="1:32" ht="39">
      <c r="A391" s="404" t="s">
        <v>1676</v>
      </c>
      <c r="B391" s="404" t="s">
        <v>1158</v>
      </c>
      <c r="C391" s="535" t="s">
        <v>486</v>
      </c>
      <c r="D391" s="535" t="s">
        <v>1677</v>
      </c>
      <c r="E391" s="535" t="s">
        <v>1678</v>
      </c>
      <c r="F391" s="686" t="s">
        <v>489</v>
      </c>
      <c r="G391" s="386" t="s">
        <v>281</v>
      </c>
      <c r="H391" s="382">
        <v>3</v>
      </c>
      <c r="I391" s="644">
        <v>15</v>
      </c>
      <c r="J391" s="382">
        <f t="shared" si="28"/>
        <v>3</v>
      </c>
      <c r="K391" s="382">
        <f t="shared" si="29"/>
        <v>45</v>
      </c>
      <c r="L391" s="646">
        <f>IFERROR(IF(B391="funkcna poziadavka",VLOOKUP(G391,MODULY_CBA!$B$3:$E$23,4,0)*H391/SUMIFS($H$3:$H$199,$G$3:$G$199,G391,$B$3:$B$199,B391),),)</f>
        <v>0</v>
      </c>
      <c r="M391" s="382">
        <f>IFERROR(IF(B391="Funkcna poziadavka",VLOOKUP(G391,MODULY_CBA!$B$3:$E$23,3,0),),)</f>
        <v>0</v>
      </c>
      <c r="N391" s="382">
        <f>IFERROR(IF(B391="funkcna poziadavka",VLOOKUP(G391,MODULY_CBA!$B$3:$E$23,2,0),),)</f>
        <v>0</v>
      </c>
      <c r="O391" s="381">
        <f t="shared" si="30"/>
        <v>0</v>
      </c>
      <c r="P391" s="380">
        <f>IFERROR(O391*VLOOKUP(G391,MODULY_CBA!$B$3:$F$23,5,0),)</f>
        <v>0</v>
      </c>
      <c r="Q391" s="482">
        <f>IFERROR(VLOOKUP(G391,MODULY_CBA!$B$3:$I$23,6,0),"")</f>
        <v>0</v>
      </c>
      <c r="R391" s="385"/>
      <c r="S391" s="385"/>
      <c r="T391" s="385"/>
      <c r="U391" s="385"/>
      <c r="V391" s="385"/>
      <c r="W391" s="385"/>
      <c r="X391" s="385"/>
      <c r="Y391" s="385"/>
      <c r="Z391" s="385"/>
      <c r="AA391" s="385"/>
      <c r="AB391" s="385"/>
      <c r="AC391" s="385"/>
      <c r="AD391" s="385"/>
      <c r="AE391" s="385"/>
      <c r="AF391" s="377"/>
    </row>
    <row r="392" spans="1:32" ht="39">
      <c r="A392" s="404" t="s">
        <v>1679</v>
      </c>
      <c r="B392" s="404" t="s">
        <v>1158</v>
      </c>
      <c r="C392" s="535" t="s">
        <v>486</v>
      </c>
      <c r="D392" s="535" t="s">
        <v>1680</v>
      </c>
      <c r="E392" s="535" t="s">
        <v>1681</v>
      </c>
      <c r="F392" s="686" t="s">
        <v>489</v>
      </c>
      <c r="G392" s="386" t="s">
        <v>281</v>
      </c>
      <c r="H392" s="382">
        <v>3</v>
      </c>
      <c r="I392" s="644">
        <v>15</v>
      </c>
      <c r="J392" s="382">
        <f t="shared" si="28"/>
        <v>3</v>
      </c>
      <c r="K392" s="382">
        <f t="shared" si="29"/>
        <v>45</v>
      </c>
      <c r="L392" s="646">
        <f>IFERROR(IF(B392="funkcna poziadavka",VLOOKUP(G392,MODULY_CBA!$B$3:$E$23,4,0)*H392/SUMIFS($H$3:$H$199,$G$3:$G$199,G392,$B$3:$B$199,B392),),)</f>
        <v>0</v>
      </c>
      <c r="M392" s="382">
        <f>IFERROR(IF(B392="Funkcna poziadavka",VLOOKUP(G392,MODULY_CBA!$B$3:$E$23,3,0),),)</f>
        <v>0</v>
      </c>
      <c r="N392" s="382">
        <f>IFERROR(IF(B392="funkcna poziadavka",VLOOKUP(G392,MODULY_CBA!$B$3:$E$23,2,0),),)</f>
        <v>0</v>
      </c>
      <c r="O392" s="381">
        <f t="shared" si="30"/>
        <v>0</v>
      </c>
      <c r="P392" s="380">
        <f>IFERROR(O392*VLOOKUP(G392,MODULY_CBA!$B$3:$F$23,5,0),)</f>
        <v>0</v>
      </c>
      <c r="Q392" s="482">
        <f>IFERROR(VLOOKUP(G392,MODULY_CBA!$B$3:$I$23,6,0),"")</f>
        <v>0</v>
      </c>
      <c r="R392" s="385"/>
      <c r="S392" s="385"/>
      <c r="T392" s="385"/>
      <c r="U392" s="385"/>
      <c r="V392" s="385"/>
      <c r="W392" s="385"/>
      <c r="X392" s="385"/>
      <c r="Y392" s="385"/>
      <c r="Z392" s="385"/>
      <c r="AA392" s="385"/>
      <c r="AB392" s="385"/>
      <c r="AC392" s="385"/>
      <c r="AD392" s="385"/>
      <c r="AE392" s="385"/>
      <c r="AF392" s="377"/>
    </row>
    <row r="393" spans="1:32" ht="39">
      <c r="A393" s="404" t="s">
        <v>1682</v>
      </c>
      <c r="B393" s="404" t="s">
        <v>1158</v>
      </c>
      <c r="C393" s="535" t="s">
        <v>842</v>
      </c>
      <c r="D393" s="535" t="s">
        <v>1683</v>
      </c>
      <c r="E393" s="535" t="s">
        <v>1684</v>
      </c>
      <c r="F393" s="686" t="s">
        <v>489</v>
      </c>
      <c r="G393" s="386" t="s">
        <v>281</v>
      </c>
      <c r="H393" s="382">
        <v>3</v>
      </c>
      <c r="I393" s="644">
        <v>15</v>
      </c>
      <c r="J393" s="382">
        <f t="shared" si="28"/>
        <v>3</v>
      </c>
      <c r="K393" s="382">
        <f t="shared" si="29"/>
        <v>45</v>
      </c>
      <c r="L393" s="646">
        <f>IFERROR(IF(B393="funkcna poziadavka",VLOOKUP(G393,MODULY_CBA!$B$3:$E$23,4,0)*H393/SUMIFS($H$3:$H$199,$G$3:$G$199,G393,$B$3:$B$199,B393),),)</f>
        <v>0</v>
      </c>
      <c r="M393" s="382">
        <f>IFERROR(IF(B393="Funkcna poziadavka",VLOOKUP(G393,MODULY_CBA!$B$3:$E$23,3,0),),)</f>
        <v>0</v>
      </c>
      <c r="N393" s="382">
        <f>IFERROR(IF(B393="funkcna poziadavka",VLOOKUP(G393,MODULY_CBA!$B$3:$E$23,2,0),),)</f>
        <v>0</v>
      </c>
      <c r="O393" s="381">
        <f t="shared" si="30"/>
        <v>0</v>
      </c>
      <c r="P393" s="380">
        <f>IFERROR(O393*VLOOKUP(G393,MODULY_CBA!$B$3:$F$23,5,0),)</f>
        <v>0</v>
      </c>
      <c r="Q393" s="482">
        <f>IFERROR(VLOOKUP(G393,MODULY_CBA!$B$3:$I$23,6,0),"")</f>
        <v>0</v>
      </c>
      <c r="R393" s="385"/>
      <c r="S393" s="385"/>
      <c r="T393" s="385"/>
      <c r="U393" s="385"/>
      <c r="V393" s="385"/>
      <c r="W393" s="385"/>
      <c r="X393" s="385"/>
      <c r="Y393" s="385"/>
      <c r="Z393" s="385"/>
      <c r="AA393" s="385"/>
      <c r="AB393" s="385"/>
      <c r="AC393" s="385"/>
      <c r="AD393" s="385"/>
      <c r="AE393" s="385"/>
      <c r="AF393" s="377"/>
    </row>
    <row r="394" spans="1:32" ht="26">
      <c r="A394" s="404" t="s">
        <v>1685</v>
      </c>
      <c r="B394" s="404" t="s">
        <v>1158</v>
      </c>
      <c r="C394" s="535" t="s">
        <v>486</v>
      </c>
      <c r="D394" s="535" t="s">
        <v>1686</v>
      </c>
      <c r="E394" s="535" t="s">
        <v>1687</v>
      </c>
      <c r="F394" s="686" t="s">
        <v>489</v>
      </c>
      <c r="G394" s="386" t="s">
        <v>277</v>
      </c>
      <c r="H394" s="382">
        <v>3</v>
      </c>
      <c r="I394" s="644">
        <v>15</v>
      </c>
      <c r="J394" s="382">
        <f t="shared" si="28"/>
        <v>3</v>
      </c>
      <c r="K394" s="382">
        <f t="shared" si="29"/>
        <v>45</v>
      </c>
      <c r="L394" s="646">
        <f>IFERROR(IF(B394="funkcna poziadavka",VLOOKUP(G394,MODULY_CBA!$B$3:$E$23,4,0)*H394/SUMIFS($H$3:$H$199,$G$3:$G$199,G394,$B$3:$B$199,B394),),)</f>
        <v>0</v>
      </c>
      <c r="M394" s="382">
        <f>IFERROR(IF(B394="Funkcna poziadavka",VLOOKUP(G394,MODULY_CBA!$B$3:$E$23,3,0),),)</f>
        <v>0</v>
      </c>
      <c r="N394" s="382">
        <f>IFERROR(IF(B394="funkcna poziadavka",VLOOKUP(G394,MODULY_CBA!$B$3:$E$23,2,0),),)</f>
        <v>0</v>
      </c>
      <c r="O394" s="381">
        <f t="shared" si="30"/>
        <v>0</v>
      </c>
      <c r="P394" s="380">
        <f>IFERROR(O394*VLOOKUP(G394,MODULY_CBA!$B$3:$F$23,5,0),)</f>
        <v>0</v>
      </c>
      <c r="Q394" s="482">
        <f>IFERROR(VLOOKUP(G394,MODULY_CBA!$B$3:$I$23,6,0),"")</f>
        <v>0</v>
      </c>
      <c r="R394" s="385"/>
      <c r="S394" s="385"/>
      <c r="T394" s="385"/>
      <c r="U394" s="385"/>
      <c r="V394" s="385"/>
      <c r="W394" s="385"/>
      <c r="X394" s="385"/>
      <c r="Y394" s="385"/>
      <c r="Z394" s="385"/>
      <c r="AA394" s="385"/>
      <c r="AB394" s="385"/>
      <c r="AC394" s="385"/>
      <c r="AD394" s="385"/>
      <c r="AE394" s="385"/>
      <c r="AF394" s="377"/>
    </row>
    <row r="395" spans="1:32" ht="26">
      <c r="A395" s="404" t="s">
        <v>1688</v>
      </c>
      <c r="B395" s="404" t="s">
        <v>1158</v>
      </c>
      <c r="C395" s="535" t="s">
        <v>486</v>
      </c>
      <c r="D395" s="535" t="s">
        <v>1689</v>
      </c>
      <c r="E395" s="535" t="s">
        <v>1690</v>
      </c>
      <c r="F395" s="686" t="s">
        <v>489</v>
      </c>
      <c r="G395" s="386" t="s">
        <v>281</v>
      </c>
      <c r="H395" s="382">
        <v>3</v>
      </c>
      <c r="I395" s="644">
        <v>15</v>
      </c>
      <c r="J395" s="382">
        <f t="shared" si="28"/>
        <v>3</v>
      </c>
      <c r="K395" s="382">
        <f t="shared" si="29"/>
        <v>45</v>
      </c>
      <c r="L395" s="646">
        <f>IFERROR(IF(B395="funkcna poziadavka",VLOOKUP(G395,MODULY_CBA!$B$3:$E$23,4,0)*H395/SUMIFS($H$3:$H$199,$G$3:$G$199,G395,$B$3:$B$199,B395),),)</f>
        <v>0</v>
      </c>
      <c r="M395" s="382">
        <f>IFERROR(IF(B395="Funkcna poziadavka",VLOOKUP(G395,MODULY_CBA!$B$3:$E$23,3,0),),)</f>
        <v>0</v>
      </c>
      <c r="N395" s="382">
        <f>IFERROR(IF(B395="funkcna poziadavka",VLOOKUP(G395,MODULY_CBA!$B$3:$E$23,2,0),),)</f>
        <v>0</v>
      </c>
      <c r="O395" s="381">
        <f t="shared" si="30"/>
        <v>0</v>
      </c>
      <c r="P395" s="380">
        <f>IFERROR(O395*VLOOKUP(G395,MODULY_CBA!$B$3:$F$23,5,0),)</f>
        <v>0</v>
      </c>
      <c r="Q395" s="482">
        <f>IFERROR(VLOOKUP(G395,MODULY_CBA!$B$3:$I$23,6,0),"")</f>
        <v>0</v>
      </c>
      <c r="R395" s="385"/>
      <c r="S395" s="385"/>
      <c r="T395" s="385"/>
      <c r="U395" s="385"/>
      <c r="V395" s="385"/>
      <c r="W395" s="385"/>
      <c r="X395" s="385"/>
      <c r="Y395" s="385"/>
      <c r="Z395" s="385"/>
      <c r="AA395" s="385"/>
      <c r="AB395" s="385"/>
      <c r="AC395" s="385"/>
      <c r="AD395" s="385"/>
      <c r="AE395" s="385"/>
      <c r="AF395" s="377"/>
    </row>
    <row r="396" spans="1:32" ht="26">
      <c r="A396" s="404" t="s">
        <v>1691</v>
      </c>
      <c r="B396" s="404" t="s">
        <v>1158</v>
      </c>
      <c r="C396" s="535" t="s">
        <v>486</v>
      </c>
      <c r="D396" s="535" t="s">
        <v>1692</v>
      </c>
      <c r="E396" s="535" t="s">
        <v>1693</v>
      </c>
      <c r="F396" s="686" t="s">
        <v>489</v>
      </c>
      <c r="G396" s="386" t="s">
        <v>248</v>
      </c>
      <c r="H396" s="382">
        <v>3</v>
      </c>
      <c r="I396" s="644">
        <v>15</v>
      </c>
      <c r="J396" s="382">
        <f t="shared" si="28"/>
        <v>3</v>
      </c>
      <c r="K396" s="382">
        <f t="shared" si="29"/>
        <v>45</v>
      </c>
      <c r="L396" s="646">
        <f>IFERROR(IF(B396="funkcna poziadavka",VLOOKUP(G396,MODULY_CBA!$B$3:$E$23,4,0)*H396/SUMIFS($H$3:$H$199,$G$3:$G$199,G396,$B$3:$B$199,B396),),)</f>
        <v>0</v>
      </c>
      <c r="M396" s="382">
        <f>IFERROR(IF(B396="Funkcna poziadavka",VLOOKUP(G396,MODULY_CBA!$B$3:$E$23,3,0),),)</f>
        <v>0</v>
      </c>
      <c r="N396" s="382">
        <f>IFERROR(IF(B396="funkcna poziadavka",VLOOKUP(G396,MODULY_CBA!$B$3:$E$23,2,0),),)</f>
        <v>0</v>
      </c>
      <c r="O396" s="381">
        <f t="shared" si="30"/>
        <v>0</v>
      </c>
      <c r="P396" s="380">
        <f>IFERROR(O396*VLOOKUP(G396,MODULY_CBA!$B$3:$F$23,5,0),)</f>
        <v>0</v>
      </c>
      <c r="Q396" s="482" t="str">
        <f>IFERROR(VLOOKUP(G396,MODULY_CBA!$B$3:$I$23,6,0),"")</f>
        <v>Inkrement 1</v>
      </c>
      <c r="R396" s="385"/>
      <c r="S396" s="385"/>
      <c r="T396" s="385"/>
      <c r="U396" s="385"/>
      <c r="V396" s="385"/>
      <c r="W396" s="385"/>
      <c r="X396" s="385"/>
      <c r="Y396" s="385"/>
      <c r="Z396" s="385"/>
      <c r="AA396" s="385"/>
      <c r="AB396" s="385"/>
      <c r="AC396" s="385"/>
      <c r="AD396" s="385"/>
      <c r="AE396" s="385"/>
      <c r="AF396" s="377"/>
    </row>
    <row r="397" spans="1:32" ht="39">
      <c r="A397" s="404" t="s">
        <v>1694</v>
      </c>
      <c r="B397" s="404" t="s">
        <v>1158</v>
      </c>
      <c r="C397" s="535" t="s">
        <v>486</v>
      </c>
      <c r="D397" s="535" t="s">
        <v>1695</v>
      </c>
      <c r="E397" s="535" t="s">
        <v>1696</v>
      </c>
      <c r="F397" s="686" t="s">
        <v>489</v>
      </c>
      <c r="G397" s="386" t="s">
        <v>269</v>
      </c>
      <c r="H397" s="382">
        <v>3</v>
      </c>
      <c r="I397" s="644">
        <v>15</v>
      </c>
      <c r="J397" s="382">
        <f t="shared" si="28"/>
        <v>3</v>
      </c>
      <c r="K397" s="382">
        <f t="shared" si="29"/>
        <v>45</v>
      </c>
      <c r="L397" s="646">
        <f>IFERROR(IF(B397="funkcna poziadavka",VLOOKUP(G397,MODULY_CBA!$B$3:$E$23,4,0)*H397/SUMIFS($H$3:$H$199,$G$3:$G$199,G397,$B$3:$B$199,B397),),)</f>
        <v>0</v>
      </c>
      <c r="M397" s="382">
        <f>IFERROR(IF(B397="Funkcna poziadavka",VLOOKUP(G397,MODULY_CBA!$B$3:$E$23,3,0),),)</f>
        <v>0</v>
      </c>
      <c r="N397" s="382">
        <f>IFERROR(IF(B397="funkcna poziadavka",VLOOKUP(G397,MODULY_CBA!$B$3:$E$23,2,0),),)</f>
        <v>0</v>
      </c>
      <c r="O397" s="381">
        <f t="shared" si="30"/>
        <v>0</v>
      </c>
      <c r="P397" s="380">
        <f>IFERROR(O397*VLOOKUP(G397,MODULY_CBA!$B$3:$F$23,5,0),)</f>
        <v>0</v>
      </c>
      <c r="Q397" s="482" t="str">
        <f>IFERROR(VLOOKUP(G397,MODULY_CBA!$B$3:$I$23,6,0),"")</f>
        <v>Inkrement 1</v>
      </c>
      <c r="R397" s="385"/>
      <c r="S397" s="385"/>
      <c r="T397" s="385"/>
      <c r="U397" s="385"/>
      <c r="V397" s="385"/>
      <c r="W397" s="385"/>
      <c r="X397" s="385"/>
      <c r="Y397" s="385"/>
      <c r="Z397" s="385"/>
      <c r="AA397" s="385"/>
      <c r="AB397" s="385"/>
      <c r="AC397" s="385"/>
      <c r="AD397" s="385"/>
      <c r="AE397" s="385"/>
      <c r="AF397" s="377"/>
    </row>
    <row r="398" spans="1:32" ht="26">
      <c r="A398" s="404" t="s">
        <v>1697</v>
      </c>
      <c r="B398" s="404" t="s">
        <v>1158</v>
      </c>
      <c r="C398" s="535" t="s">
        <v>486</v>
      </c>
      <c r="D398" s="535" t="s">
        <v>1698</v>
      </c>
      <c r="E398" s="535" t="s">
        <v>1699</v>
      </c>
      <c r="F398" s="686" t="s">
        <v>489</v>
      </c>
      <c r="G398" s="386" t="s">
        <v>281</v>
      </c>
      <c r="H398" s="382">
        <v>3</v>
      </c>
      <c r="I398" s="644">
        <v>15</v>
      </c>
      <c r="J398" s="382">
        <f t="shared" si="28"/>
        <v>3</v>
      </c>
      <c r="K398" s="382">
        <f t="shared" si="29"/>
        <v>45</v>
      </c>
      <c r="L398" s="646">
        <f>IFERROR(IF(B398="funkcna poziadavka",VLOOKUP(G398,MODULY_CBA!$B$3:$E$23,4,0)*H398/SUMIFS($H$3:$H$199,$G$3:$G$199,G398,$B$3:$B$199,B398),),)</f>
        <v>0</v>
      </c>
      <c r="M398" s="382">
        <f>IFERROR(IF(B398="Funkcna poziadavka",VLOOKUP(G398,MODULY_CBA!$B$3:$E$23,3,0),),)</f>
        <v>0</v>
      </c>
      <c r="N398" s="382">
        <f>IFERROR(IF(B398="funkcna poziadavka",VLOOKUP(G398,MODULY_CBA!$B$3:$E$23,2,0),),)</f>
        <v>0</v>
      </c>
      <c r="O398" s="381">
        <f t="shared" si="30"/>
        <v>0</v>
      </c>
      <c r="P398" s="380">
        <f>IFERROR(O398*VLOOKUP(G398,MODULY_CBA!$B$3:$F$23,5,0),)</f>
        <v>0</v>
      </c>
      <c r="Q398" s="482">
        <f>IFERROR(VLOOKUP(G398,MODULY_CBA!$B$3:$I$23,6,0),"")</f>
        <v>0</v>
      </c>
      <c r="R398" s="385"/>
      <c r="S398" s="385"/>
      <c r="T398" s="385"/>
      <c r="U398" s="385"/>
      <c r="V398" s="385"/>
      <c r="W398" s="385"/>
      <c r="X398" s="385"/>
      <c r="Y398" s="385"/>
      <c r="Z398" s="385"/>
      <c r="AA398" s="385"/>
      <c r="AB398" s="385"/>
      <c r="AC398" s="385"/>
      <c r="AD398" s="385"/>
      <c r="AE398" s="385"/>
      <c r="AF398" s="377"/>
    </row>
    <row r="399" spans="1:32" ht="39">
      <c r="A399" s="404" t="s">
        <v>1700</v>
      </c>
      <c r="B399" s="404" t="s">
        <v>1158</v>
      </c>
      <c r="C399" s="535" t="s">
        <v>486</v>
      </c>
      <c r="D399" s="535" t="s">
        <v>1701</v>
      </c>
      <c r="E399" s="535" t="s">
        <v>1702</v>
      </c>
      <c r="F399" s="686" t="s">
        <v>489</v>
      </c>
      <c r="G399" s="386" t="s">
        <v>281</v>
      </c>
      <c r="H399" s="382">
        <v>3</v>
      </c>
      <c r="I399" s="644">
        <v>15</v>
      </c>
      <c r="J399" s="382">
        <f t="shared" si="28"/>
        <v>3</v>
      </c>
      <c r="K399" s="382">
        <f t="shared" si="29"/>
        <v>45</v>
      </c>
      <c r="L399" s="646">
        <f>IFERROR(IF(B399="funkcna poziadavka",VLOOKUP(G399,MODULY_CBA!$B$3:$E$23,4,0)*H399/SUMIFS($H$3:$H$199,$G$3:$G$199,G399,$B$3:$B$199,B399),),)</f>
        <v>0</v>
      </c>
      <c r="M399" s="382">
        <f>IFERROR(IF(B399="Funkcna poziadavka",VLOOKUP(G399,MODULY_CBA!$B$3:$E$23,3,0),),)</f>
        <v>0</v>
      </c>
      <c r="N399" s="382">
        <f>IFERROR(IF(B399="funkcna poziadavka",VLOOKUP(G399,MODULY_CBA!$B$3:$E$23,2,0),),)</f>
        <v>0</v>
      </c>
      <c r="O399" s="381">
        <f t="shared" si="30"/>
        <v>0</v>
      </c>
      <c r="P399" s="380">
        <f>IFERROR(O399*VLOOKUP(G399,MODULY_CBA!$B$3:$F$23,5,0),)</f>
        <v>0</v>
      </c>
      <c r="Q399" s="482">
        <f>IFERROR(VLOOKUP(G399,MODULY_CBA!$B$3:$I$23,6,0),"")</f>
        <v>0</v>
      </c>
      <c r="R399" s="385"/>
      <c r="S399" s="385"/>
      <c r="T399" s="385"/>
      <c r="U399" s="385"/>
      <c r="V399" s="385"/>
      <c r="W399" s="385"/>
      <c r="X399" s="385"/>
      <c r="Y399" s="385"/>
      <c r="Z399" s="385"/>
      <c r="AA399" s="385"/>
      <c r="AB399" s="385"/>
      <c r="AC399" s="385"/>
      <c r="AD399" s="385"/>
      <c r="AE399" s="385"/>
      <c r="AF399" s="377"/>
    </row>
    <row r="400" spans="1:32" ht="39">
      <c r="A400" s="404" t="s">
        <v>1703</v>
      </c>
      <c r="B400" s="404" t="s">
        <v>1158</v>
      </c>
      <c r="C400" s="535" t="s">
        <v>873</v>
      </c>
      <c r="D400" s="535" t="s">
        <v>1704</v>
      </c>
      <c r="E400" s="535" t="s">
        <v>1705</v>
      </c>
      <c r="F400" s="686" t="s">
        <v>489</v>
      </c>
      <c r="G400" s="386" t="s">
        <v>281</v>
      </c>
      <c r="H400" s="382">
        <v>3</v>
      </c>
      <c r="I400" s="644">
        <v>15</v>
      </c>
      <c r="J400" s="382">
        <f t="shared" si="28"/>
        <v>3</v>
      </c>
      <c r="K400" s="382">
        <f t="shared" si="29"/>
        <v>45</v>
      </c>
      <c r="L400" s="646">
        <f>IFERROR(IF(B400="funkcna poziadavka",VLOOKUP(G400,MODULY_CBA!$B$3:$E$23,4,0)*H400/SUMIFS($H$3:$H$199,$G$3:$G$199,G400,$B$3:$B$199,B400),),)</f>
        <v>0</v>
      </c>
      <c r="M400" s="382">
        <f>IFERROR(IF(B400="Funkcna poziadavka",VLOOKUP(G400,MODULY_CBA!$B$3:$E$23,3,0),),)</f>
        <v>0</v>
      </c>
      <c r="N400" s="382">
        <f>IFERROR(IF(B400="funkcna poziadavka",VLOOKUP(G400,MODULY_CBA!$B$3:$E$23,2,0),),)</f>
        <v>0</v>
      </c>
      <c r="O400" s="381">
        <f t="shared" si="30"/>
        <v>0</v>
      </c>
      <c r="P400" s="380">
        <f>IFERROR(O400*VLOOKUP(G400,MODULY_CBA!$B$3:$F$23,5,0),)</f>
        <v>0</v>
      </c>
    </row>
    <row r="401" spans="1:16" ht="39">
      <c r="A401" s="404" t="s">
        <v>1706</v>
      </c>
      <c r="B401" s="404" t="s">
        <v>1158</v>
      </c>
      <c r="C401" s="535" t="s">
        <v>873</v>
      </c>
      <c r="D401" s="535" t="s">
        <v>1707</v>
      </c>
      <c r="E401" s="535" t="s">
        <v>1708</v>
      </c>
      <c r="F401" s="686" t="s">
        <v>489</v>
      </c>
      <c r="G401" s="386" t="s">
        <v>281</v>
      </c>
      <c r="H401" s="382">
        <v>3</v>
      </c>
      <c r="I401" s="644">
        <v>15</v>
      </c>
      <c r="J401" s="382">
        <f t="shared" si="28"/>
        <v>3</v>
      </c>
      <c r="K401" s="382">
        <f t="shared" si="29"/>
        <v>45</v>
      </c>
      <c r="L401" s="646">
        <f>IFERROR(IF(B401="funkcna poziadavka",VLOOKUP(G401,MODULY_CBA!$B$3:$E$23,4,0)*H401/SUMIFS($H$3:$H$199,$G$3:$G$199,G401,$B$3:$B$199,B401),),)</f>
        <v>0</v>
      </c>
      <c r="M401" s="382">
        <f>IFERROR(IF(B401="Funkcna poziadavka",VLOOKUP(G401,MODULY_CBA!$B$3:$E$23,3,0),),)</f>
        <v>0</v>
      </c>
      <c r="N401" s="382">
        <f>IFERROR(IF(B401="funkcna poziadavka",VLOOKUP(G401,MODULY_CBA!$B$3:$E$23,2,0),),)</f>
        <v>0</v>
      </c>
      <c r="O401" s="381">
        <f t="shared" si="30"/>
        <v>0</v>
      </c>
      <c r="P401" s="380">
        <f>IFERROR(O401*VLOOKUP(G401,MODULY_CBA!$B$3:$F$23,5,0),)</f>
        <v>0</v>
      </c>
    </row>
    <row r="402" spans="1:16" ht="39">
      <c r="A402" s="404" t="s">
        <v>1709</v>
      </c>
      <c r="B402" s="404" t="s">
        <v>1158</v>
      </c>
      <c r="C402" s="535" t="s">
        <v>873</v>
      </c>
      <c r="D402" s="535" t="s">
        <v>1710</v>
      </c>
      <c r="E402" s="535" t="s">
        <v>1711</v>
      </c>
      <c r="F402" s="686" t="s">
        <v>489</v>
      </c>
      <c r="G402" s="386" t="s">
        <v>263</v>
      </c>
      <c r="H402" s="382">
        <v>3</v>
      </c>
      <c r="I402" s="644">
        <v>15</v>
      </c>
      <c r="J402" s="382">
        <f t="shared" si="28"/>
        <v>3</v>
      </c>
      <c r="K402" s="382">
        <f t="shared" si="29"/>
        <v>45</v>
      </c>
      <c r="L402" s="646">
        <f>IFERROR(IF(B402="funkcna poziadavka",VLOOKUP(G402,MODULY_CBA!$B$3:$E$23,4,0)*H402/SUMIFS($H$3:$H$199,$G$3:$G$199,G402,$B$3:$B$199,B402),),)</f>
        <v>0</v>
      </c>
      <c r="M402" s="382">
        <f>IFERROR(IF(B402="Funkcna poziadavka",VLOOKUP(G402,MODULY_CBA!$B$3:$E$23,3,0),),)</f>
        <v>0</v>
      </c>
      <c r="N402" s="382">
        <f>IFERROR(IF(B402="funkcna poziadavka",VLOOKUP(G402,MODULY_CBA!$B$3:$E$23,2,0),),)</f>
        <v>0</v>
      </c>
      <c r="O402" s="381">
        <f t="shared" si="30"/>
        <v>0</v>
      </c>
      <c r="P402" s="380">
        <f>IFERROR(O402*VLOOKUP(G402,MODULY_CBA!$B$3:$F$23,5,0),)</f>
        <v>0</v>
      </c>
    </row>
    <row r="403" spans="1:16" ht="39">
      <c r="A403" s="404" t="s">
        <v>1712</v>
      </c>
      <c r="B403" s="404" t="s">
        <v>1158</v>
      </c>
      <c r="C403" s="535" t="s">
        <v>873</v>
      </c>
      <c r="D403" s="535" t="s">
        <v>1713</v>
      </c>
      <c r="E403" s="535" t="s">
        <v>1714</v>
      </c>
      <c r="F403" s="686" t="s">
        <v>489</v>
      </c>
      <c r="G403" s="386" t="s">
        <v>263</v>
      </c>
      <c r="H403" s="382">
        <v>3</v>
      </c>
      <c r="I403" s="644">
        <v>15</v>
      </c>
      <c r="J403" s="382">
        <f t="shared" si="28"/>
        <v>3</v>
      </c>
      <c r="K403" s="382">
        <f t="shared" si="29"/>
        <v>45</v>
      </c>
      <c r="L403" s="646">
        <f>IFERROR(IF(B403="funkcna poziadavka",VLOOKUP(G403,MODULY_CBA!$B$3:$E$23,4,0)*H403/SUMIFS($H$3:$H$199,$G$3:$G$199,G403,$B$3:$B$199,B403),),)</f>
        <v>0</v>
      </c>
      <c r="M403" s="382">
        <f>IFERROR(IF(B403="Funkcna poziadavka",VLOOKUP(G403,MODULY_CBA!$B$3:$E$23,3,0),),)</f>
        <v>0</v>
      </c>
      <c r="N403" s="382">
        <f>IFERROR(IF(B403="funkcna poziadavka",VLOOKUP(G403,MODULY_CBA!$B$3:$E$23,2,0),),)</f>
        <v>0</v>
      </c>
      <c r="O403" s="381">
        <f t="shared" si="30"/>
        <v>0</v>
      </c>
      <c r="P403" s="380">
        <f>IFERROR(O403*VLOOKUP(G403,MODULY_CBA!$B$3:$F$23,5,0),)</f>
        <v>0</v>
      </c>
    </row>
    <row r="404" spans="1:16" ht="39">
      <c r="A404" s="404" t="s">
        <v>1715</v>
      </c>
      <c r="B404" s="404" t="s">
        <v>1158</v>
      </c>
      <c r="C404" s="535" t="s">
        <v>873</v>
      </c>
      <c r="D404" s="535" t="s">
        <v>1716</v>
      </c>
      <c r="E404" s="535" t="s">
        <v>1717</v>
      </c>
      <c r="F404" s="686" t="s">
        <v>489</v>
      </c>
      <c r="G404" s="386" t="s">
        <v>263</v>
      </c>
      <c r="H404" s="382">
        <v>3</v>
      </c>
      <c r="I404" s="644">
        <v>15</v>
      </c>
      <c r="J404" s="382">
        <f t="shared" si="28"/>
        <v>3</v>
      </c>
      <c r="K404" s="382">
        <f t="shared" si="29"/>
        <v>45</v>
      </c>
      <c r="L404" s="646">
        <f>IFERROR(IF(B404="funkcna poziadavka",VLOOKUP(G404,MODULY_CBA!$B$3:$E$23,4,0)*H404/SUMIFS($H$3:$H$199,$G$3:$G$199,G404,$B$3:$B$199,B404),),)</f>
        <v>0</v>
      </c>
      <c r="M404" s="382">
        <f>IFERROR(IF(B404="Funkcna poziadavka",VLOOKUP(G404,MODULY_CBA!$B$3:$E$23,3,0),),)</f>
        <v>0</v>
      </c>
      <c r="N404" s="382">
        <f>IFERROR(IF(B404="funkcna poziadavka",VLOOKUP(G404,MODULY_CBA!$B$3:$E$23,2,0),),)</f>
        <v>0</v>
      </c>
      <c r="O404" s="381">
        <f t="shared" si="30"/>
        <v>0</v>
      </c>
      <c r="P404" s="380">
        <f>IFERROR(O404*VLOOKUP(G404,MODULY_CBA!$B$3:$F$23,5,0),)</f>
        <v>0</v>
      </c>
    </row>
    <row r="405" spans="1:16" ht="26">
      <c r="A405" s="404" t="s">
        <v>1718</v>
      </c>
      <c r="B405" s="404" t="s">
        <v>1158</v>
      </c>
      <c r="C405" s="535" t="s">
        <v>873</v>
      </c>
      <c r="D405" s="535" t="s">
        <v>1719</v>
      </c>
      <c r="E405" s="535" t="s">
        <v>1720</v>
      </c>
      <c r="F405" s="686" t="s">
        <v>489</v>
      </c>
      <c r="G405" s="386" t="s">
        <v>281</v>
      </c>
      <c r="H405" s="382">
        <v>3</v>
      </c>
      <c r="I405" s="644">
        <v>15</v>
      </c>
      <c r="J405" s="382">
        <f t="shared" si="28"/>
        <v>3</v>
      </c>
      <c r="K405" s="382">
        <f t="shared" si="29"/>
        <v>45</v>
      </c>
      <c r="L405" s="646">
        <f>IFERROR(IF(B405="funkcna poziadavka",VLOOKUP(G405,MODULY_CBA!$B$3:$E$23,4,0)*H405/SUMIFS($H$3:$H$199,$G$3:$G$199,G405,$B$3:$B$199,B405),),)</f>
        <v>0</v>
      </c>
      <c r="M405" s="382">
        <f>IFERROR(IF(B405="Funkcna poziadavka",VLOOKUP(G405,MODULY_CBA!$B$3:$E$23,3,0),),)</f>
        <v>0</v>
      </c>
      <c r="N405" s="382">
        <f>IFERROR(IF(B405="funkcna poziadavka",VLOOKUP(G405,MODULY_CBA!$B$3:$E$23,2,0),),)</f>
        <v>0</v>
      </c>
      <c r="O405" s="381">
        <f t="shared" si="30"/>
        <v>0</v>
      </c>
      <c r="P405" s="380">
        <f>IFERROR(O405*VLOOKUP(G405,MODULY_CBA!$B$3:$F$23,5,0),)</f>
        <v>0</v>
      </c>
    </row>
    <row r="406" spans="1:16" ht="39">
      <c r="A406" s="404" t="s">
        <v>1721</v>
      </c>
      <c r="B406" s="404" t="s">
        <v>1158</v>
      </c>
      <c r="C406" s="535" t="s">
        <v>873</v>
      </c>
      <c r="D406" s="535" t="s">
        <v>1722</v>
      </c>
      <c r="E406" s="535" t="s">
        <v>1723</v>
      </c>
      <c r="F406" s="686" t="s">
        <v>489</v>
      </c>
      <c r="G406" s="386" t="s">
        <v>263</v>
      </c>
      <c r="H406" s="382">
        <v>3</v>
      </c>
      <c r="I406" s="644">
        <v>15</v>
      </c>
      <c r="J406" s="382">
        <f t="shared" si="28"/>
        <v>3</v>
      </c>
      <c r="K406" s="382">
        <f t="shared" si="29"/>
        <v>45</v>
      </c>
      <c r="L406" s="646">
        <f>IFERROR(IF(B406="funkcna poziadavka",VLOOKUP(G406,MODULY_CBA!$B$3:$E$23,4,0)*H406/SUMIFS($H$3:$H$199,$G$3:$G$199,G406,$B$3:$B$199,B406),),)</f>
        <v>0</v>
      </c>
      <c r="M406" s="382">
        <f>IFERROR(IF(B406="Funkcna poziadavka",VLOOKUP(G406,MODULY_CBA!$B$3:$E$23,3,0),),)</f>
        <v>0</v>
      </c>
      <c r="N406" s="382">
        <f>IFERROR(IF(B406="funkcna poziadavka",VLOOKUP(G406,MODULY_CBA!$B$3:$E$23,2,0),),)</f>
        <v>0</v>
      </c>
      <c r="O406" s="381">
        <f t="shared" si="30"/>
        <v>0</v>
      </c>
      <c r="P406" s="380">
        <f>IFERROR(O406*VLOOKUP(G406,MODULY_CBA!$B$3:$F$23,5,0),)</f>
        <v>0</v>
      </c>
    </row>
    <row r="407" spans="1:16" ht="26">
      <c r="A407" s="404" t="s">
        <v>1724</v>
      </c>
      <c r="B407" s="404" t="s">
        <v>1158</v>
      </c>
      <c r="C407" s="535" t="s">
        <v>873</v>
      </c>
      <c r="D407" s="535" t="s">
        <v>1725</v>
      </c>
      <c r="E407" s="535" t="s">
        <v>1726</v>
      </c>
      <c r="F407" s="686" t="s">
        <v>489</v>
      </c>
      <c r="G407" s="386" t="s">
        <v>263</v>
      </c>
      <c r="H407" s="382">
        <v>3</v>
      </c>
      <c r="I407" s="644">
        <v>15</v>
      </c>
      <c r="J407" s="382">
        <f t="shared" si="28"/>
        <v>3</v>
      </c>
      <c r="K407" s="382">
        <f t="shared" si="29"/>
        <v>45</v>
      </c>
      <c r="L407" s="646">
        <f>IFERROR(IF(B407="funkcna poziadavka",VLOOKUP(G407,MODULY_CBA!$B$3:$E$23,4,0)*H407/SUMIFS($H$3:$H$199,$G$3:$G$199,G407,$B$3:$B$199,B407),),)</f>
        <v>0</v>
      </c>
      <c r="M407" s="382">
        <f>IFERROR(IF(B407="Funkcna poziadavka",VLOOKUP(G407,MODULY_CBA!$B$3:$E$23,3,0),),)</f>
        <v>0</v>
      </c>
      <c r="N407" s="382">
        <f>IFERROR(IF(B407="funkcna poziadavka",VLOOKUP(G407,MODULY_CBA!$B$3:$E$23,2,0),),)</f>
        <v>0</v>
      </c>
      <c r="O407" s="381">
        <f t="shared" si="30"/>
        <v>0</v>
      </c>
      <c r="P407" s="380">
        <f>IFERROR(O407*VLOOKUP(G407,MODULY_CBA!$B$3:$F$23,5,0),)</f>
        <v>0</v>
      </c>
    </row>
    <row r="408" spans="1:16" ht="39">
      <c r="A408" s="404" t="s">
        <v>1727</v>
      </c>
      <c r="B408" s="404" t="s">
        <v>1158</v>
      </c>
      <c r="C408" s="535" t="s">
        <v>842</v>
      </c>
      <c r="D408" s="535" t="s">
        <v>1728</v>
      </c>
      <c r="E408" s="535" t="s">
        <v>1729</v>
      </c>
      <c r="F408" s="686" t="s">
        <v>489</v>
      </c>
      <c r="G408" s="386" t="s">
        <v>281</v>
      </c>
      <c r="H408" s="382">
        <v>3</v>
      </c>
      <c r="I408" s="644">
        <v>15</v>
      </c>
      <c r="J408" s="382">
        <f t="shared" si="28"/>
        <v>3</v>
      </c>
      <c r="K408" s="382">
        <f t="shared" si="29"/>
        <v>45</v>
      </c>
      <c r="L408" s="646">
        <f>IFERROR(IF(B408="funkcna poziadavka",VLOOKUP(G408,MODULY_CBA!$B$3:$E$23,4,0)*H408/SUMIFS($H$3:$H$199,$G$3:$G$199,G408,$B$3:$B$199,B408),),)</f>
        <v>0</v>
      </c>
      <c r="M408" s="382">
        <f>IFERROR(IF(B408="Funkcna poziadavka",VLOOKUP(G408,MODULY_CBA!$B$3:$E$23,3,0),),)</f>
        <v>0</v>
      </c>
      <c r="N408" s="382">
        <f>IFERROR(IF(B408="funkcna poziadavka",VLOOKUP(G408,MODULY_CBA!$B$3:$E$23,2,0),),)</f>
        <v>0</v>
      </c>
      <c r="O408" s="381">
        <f t="shared" si="30"/>
        <v>0</v>
      </c>
      <c r="P408" s="380">
        <f>IFERROR(O408*VLOOKUP(G408,MODULY_CBA!$B$3:$F$23,5,0),)</f>
        <v>0</v>
      </c>
    </row>
    <row r="409" spans="1:16" ht="39">
      <c r="A409" s="404" t="s">
        <v>1730</v>
      </c>
      <c r="B409" s="404" t="s">
        <v>1158</v>
      </c>
      <c r="C409" s="535" t="s">
        <v>1336</v>
      </c>
      <c r="D409" s="535" t="s">
        <v>1731</v>
      </c>
      <c r="E409" s="535" t="s">
        <v>1732</v>
      </c>
      <c r="F409" s="686" t="s">
        <v>489</v>
      </c>
      <c r="G409" s="386" t="s">
        <v>281</v>
      </c>
      <c r="H409" s="382">
        <v>3</v>
      </c>
      <c r="I409" s="644">
        <v>15</v>
      </c>
      <c r="J409" s="382">
        <f t="shared" si="28"/>
        <v>3</v>
      </c>
      <c r="K409" s="382">
        <f t="shared" si="29"/>
        <v>45</v>
      </c>
      <c r="L409" s="646">
        <f>IFERROR(IF(B409="funkcna poziadavka",VLOOKUP(G409,MODULY_CBA!$B$3:$E$23,4,0)*H409/SUMIFS($H$3:$H$199,$G$3:$G$199,G409,$B$3:$B$199,B409),),)</f>
        <v>0</v>
      </c>
      <c r="M409" s="382">
        <f>IFERROR(IF(B409="Funkcna poziadavka",VLOOKUP(G409,MODULY_CBA!$B$3:$E$23,3,0),),)</f>
        <v>0</v>
      </c>
      <c r="N409" s="382">
        <f>IFERROR(IF(B409="funkcna poziadavka",VLOOKUP(G409,MODULY_CBA!$B$3:$E$23,2,0),),)</f>
        <v>0</v>
      </c>
      <c r="O409" s="381">
        <f t="shared" si="30"/>
        <v>0</v>
      </c>
      <c r="P409" s="380">
        <f>IFERROR(O409*VLOOKUP(G409,MODULY_CBA!$B$3:$F$23,5,0),)</f>
        <v>0</v>
      </c>
    </row>
    <row r="410" spans="1:16" ht="39">
      <c r="A410" s="404" t="s">
        <v>1733</v>
      </c>
      <c r="B410" s="404" t="s">
        <v>1158</v>
      </c>
      <c r="C410" s="535" t="s">
        <v>873</v>
      </c>
      <c r="D410" s="535" t="s">
        <v>1734</v>
      </c>
      <c r="E410" s="535" t="s">
        <v>1735</v>
      </c>
      <c r="F410" s="686" t="s">
        <v>489</v>
      </c>
      <c r="G410" s="386" t="s">
        <v>281</v>
      </c>
      <c r="H410" s="382">
        <v>3</v>
      </c>
      <c r="I410" s="644">
        <v>15</v>
      </c>
      <c r="J410" s="382">
        <f t="shared" si="28"/>
        <v>3</v>
      </c>
      <c r="K410" s="382">
        <f t="shared" si="29"/>
        <v>45</v>
      </c>
      <c r="L410" s="646">
        <f>IFERROR(IF(B410="funkcna poziadavka",VLOOKUP(G410,MODULY_CBA!$B$3:$E$23,4,0)*H410/SUMIFS($H$3:$H$199,$G$3:$G$199,G410,$B$3:$B$199,B410),),)</f>
        <v>0</v>
      </c>
      <c r="M410" s="382">
        <f>IFERROR(IF(B410="Funkcna poziadavka",VLOOKUP(G410,MODULY_CBA!$B$3:$E$23,3,0),),)</f>
        <v>0</v>
      </c>
      <c r="N410" s="382">
        <f>IFERROR(IF(B410="funkcna poziadavka",VLOOKUP(G410,MODULY_CBA!$B$3:$E$23,2,0),),)</f>
        <v>0</v>
      </c>
      <c r="O410" s="381">
        <f t="shared" si="30"/>
        <v>0</v>
      </c>
      <c r="P410" s="380">
        <f>IFERROR(O410*VLOOKUP(G410,MODULY_CBA!$B$3:$F$23,5,0),)</f>
        <v>0</v>
      </c>
    </row>
    <row r="411" spans="1:16" ht="39">
      <c r="A411" s="404" t="s">
        <v>1736</v>
      </c>
      <c r="B411" s="404" t="s">
        <v>1158</v>
      </c>
      <c r="C411" s="535" t="s">
        <v>1177</v>
      </c>
      <c r="D411" s="535" t="s">
        <v>1737</v>
      </c>
      <c r="E411" s="535" t="s">
        <v>1738</v>
      </c>
      <c r="F411" s="686" t="s">
        <v>489</v>
      </c>
      <c r="G411" s="386" t="s">
        <v>281</v>
      </c>
      <c r="H411" s="382">
        <v>3</v>
      </c>
      <c r="I411" s="644">
        <v>15</v>
      </c>
      <c r="J411" s="382">
        <f t="shared" si="28"/>
        <v>3</v>
      </c>
      <c r="K411" s="382">
        <f t="shared" si="29"/>
        <v>45</v>
      </c>
      <c r="L411" s="646">
        <f>IFERROR(IF(B411="funkcna poziadavka",VLOOKUP(G411,MODULY_CBA!$B$3:$E$23,4,0)*H411/SUMIFS($H$3:$H$199,$G$3:$G$199,G411,$B$3:$B$199,B411),),)</f>
        <v>0</v>
      </c>
      <c r="M411" s="382">
        <f>IFERROR(IF(B411="Funkcna poziadavka",VLOOKUP(G411,MODULY_CBA!$B$3:$E$23,3,0),),)</f>
        <v>0</v>
      </c>
      <c r="N411" s="382">
        <f>IFERROR(IF(B411="funkcna poziadavka",VLOOKUP(G411,MODULY_CBA!$B$3:$E$23,2,0),),)</f>
        <v>0</v>
      </c>
      <c r="O411" s="381">
        <f t="shared" si="30"/>
        <v>0</v>
      </c>
      <c r="P411" s="380">
        <f>IFERROR(O411*VLOOKUP(G411,MODULY_CBA!$B$3:$F$23,5,0),)</f>
        <v>0</v>
      </c>
    </row>
    <row r="412" spans="1:16" ht="39">
      <c r="A412" s="404" t="s">
        <v>1739</v>
      </c>
      <c r="B412" s="404" t="s">
        <v>1158</v>
      </c>
      <c r="C412" s="535" t="s">
        <v>1177</v>
      </c>
      <c r="D412" s="535" t="s">
        <v>1740</v>
      </c>
      <c r="E412" s="535" t="s">
        <v>1741</v>
      </c>
      <c r="F412" s="686" t="s">
        <v>489</v>
      </c>
      <c r="G412" s="386" t="s">
        <v>275</v>
      </c>
      <c r="H412" s="382">
        <v>3</v>
      </c>
      <c r="I412" s="644">
        <v>15</v>
      </c>
      <c r="J412" s="382">
        <f t="shared" si="28"/>
        <v>3</v>
      </c>
      <c r="K412" s="382">
        <f t="shared" si="29"/>
        <v>45</v>
      </c>
      <c r="L412" s="646">
        <f>IFERROR(IF(B412="funkcna poziadavka",VLOOKUP(G412,MODULY_CBA!$B$3:$E$23,4,0)*H412/SUMIFS($H$3:$H$199,$G$3:$G$199,G412,$B$3:$B$199,B412),),)</f>
        <v>0</v>
      </c>
      <c r="M412" s="382">
        <f>IFERROR(IF(B412="Funkcna poziadavka",VLOOKUP(G412,MODULY_CBA!$B$3:$E$23,3,0),),)</f>
        <v>0</v>
      </c>
      <c r="N412" s="382">
        <f>IFERROR(IF(B412="funkcna poziadavka",VLOOKUP(G412,MODULY_CBA!$B$3:$E$23,2,0),),)</f>
        <v>0</v>
      </c>
      <c r="O412" s="381">
        <f t="shared" si="30"/>
        <v>0</v>
      </c>
      <c r="P412" s="380">
        <f>IFERROR(O412*VLOOKUP(G412,MODULY_CBA!$B$3:$F$23,5,0),)</f>
        <v>0</v>
      </c>
    </row>
    <row r="413" spans="1:16" ht="39">
      <c r="A413" s="404" t="s">
        <v>1742</v>
      </c>
      <c r="B413" s="404" t="s">
        <v>1158</v>
      </c>
      <c r="C413" s="535" t="s">
        <v>1177</v>
      </c>
      <c r="D413" s="535" t="s">
        <v>1743</v>
      </c>
      <c r="E413" s="535" t="s">
        <v>1744</v>
      </c>
      <c r="F413" s="686" t="s">
        <v>489</v>
      </c>
      <c r="G413" s="386" t="s">
        <v>277</v>
      </c>
      <c r="H413" s="382">
        <v>3</v>
      </c>
      <c r="I413" s="644">
        <v>15</v>
      </c>
      <c r="J413" s="382">
        <f t="shared" si="28"/>
        <v>3</v>
      </c>
      <c r="K413" s="382">
        <f t="shared" si="29"/>
        <v>45</v>
      </c>
      <c r="L413" s="646">
        <f>IFERROR(IF(B413="funkcna poziadavka",VLOOKUP(G413,MODULY_CBA!$B$3:$E$23,4,0)*H413/SUMIFS($H$3:$H$199,$G$3:$G$199,G413,$B$3:$B$199,B413),),)</f>
        <v>0</v>
      </c>
      <c r="M413" s="382">
        <f>IFERROR(IF(B413="Funkcna poziadavka",VLOOKUP(G413,MODULY_CBA!$B$3:$E$23,3,0),),)</f>
        <v>0</v>
      </c>
      <c r="N413" s="382">
        <f>IFERROR(IF(B413="funkcna poziadavka",VLOOKUP(G413,MODULY_CBA!$B$3:$E$23,2,0),),)</f>
        <v>0</v>
      </c>
      <c r="O413" s="381">
        <f t="shared" si="30"/>
        <v>0</v>
      </c>
      <c r="P413" s="380">
        <f>IFERROR(O413*VLOOKUP(G413,MODULY_CBA!$B$3:$F$23,5,0),)</f>
        <v>0</v>
      </c>
    </row>
    <row r="414" spans="1:16" ht="39">
      <c r="A414" s="404" t="s">
        <v>1745</v>
      </c>
      <c r="B414" s="404" t="s">
        <v>1158</v>
      </c>
      <c r="C414" s="535" t="s">
        <v>842</v>
      </c>
      <c r="D414" s="535" t="s">
        <v>1746</v>
      </c>
      <c r="E414" s="535" t="s">
        <v>1747</v>
      </c>
      <c r="F414" s="686" t="s">
        <v>489</v>
      </c>
      <c r="G414" s="386" t="s">
        <v>277</v>
      </c>
      <c r="H414" s="382">
        <v>3</v>
      </c>
      <c r="I414" s="644">
        <v>15</v>
      </c>
      <c r="J414" s="382">
        <f t="shared" si="28"/>
        <v>3</v>
      </c>
      <c r="K414" s="382">
        <f t="shared" si="29"/>
        <v>45</v>
      </c>
      <c r="L414" s="646">
        <f>IFERROR(IF(B414="funkcna poziadavka",VLOOKUP(G414,MODULY_CBA!$B$3:$E$23,4,0)*H414/SUMIFS($H$3:$H$199,$G$3:$G$199,G414,$B$3:$B$199,B414),),)</f>
        <v>0</v>
      </c>
      <c r="M414" s="382">
        <f>IFERROR(IF(B414="Funkcna poziadavka",VLOOKUP(G414,MODULY_CBA!$B$3:$E$23,3,0),),)</f>
        <v>0</v>
      </c>
      <c r="N414" s="382">
        <f>IFERROR(IF(B414="funkcna poziadavka",VLOOKUP(G414,MODULY_CBA!$B$3:$E$23,2,0),),)</f>
        <v>0</v>
      </c>
      <c r="O414" s="381">
        <f t="shared" si="30"/>
        <v>0</v>
      </c>
      <c r="P414" s="380">
        <f>IFERROR(O414*VLOOKUP(G414,MODULY_CBA!$B$3:$F$23,5,0),)</f>
        <v>0</v>
      </c>
    </row>
    <row r="415" spans="1:16" ht="39">
      <c r="A415" s="404" t="s">
        <v>1748</v>
      </c>
      <c r="B415" s="404" t="s">
        <v>1158</v>
      </c>
      <c r="C415" s="535" t="s">
        <v>1242</v>
      </c>
      <c r="D415" s="535" t="s">
        <v>1749</v>
      </c>
      <c r="E415" s="535" t="s">
        <v>1750</v>
      </c>
      <c r="F415" s="686" t="s">
        <v>489</v>
      </c>
      <c r="G415" s="386" t="s">
        <v>275</v>
      </c>
      <c r="H415" s="382">
        <v>3</v>
      </c>
      <c r="I415" s="644">
        <v>15</v>
      </c>
      <c r="J415" s="382">
        <f t="shared" ref="J415:J448" si="31">IF(ISNUMBER(H415),H415,)</f>
        <v>3</v>
      </c>
      <c r="K415" s="382">
        <f t="shared" ref="K415:K448" si="32">H415*I415</f>
        <v>45</v>
      </c>
      <c r="L415" s="646">
        <f>IFERROR(IF(B415="funkcna poziadavka",VLOOKUP(G415,MODULY_CBA!$B$3:$E$23,4,0)*H415/SUMIFS($H$3:$H$199,$G$3:$G$199,G415,$B$3:$B$199,B415),),)</f>
        <v>0</v>
      </c>
      <c r="M415" s="382">
        <f>IFERROR(IF(B415="Funkcna poziadavka",VLOOKUP(G415,MODULY_CBA!$B$3:$E$23,3,0),),)</f>
        <v>0</v>
      </c>
      <c r="N415" s="382">
        <f>IFERROR(IF(B415="funkcna poziadavka",VLOOKUP(G415,MODULY_CBA!$B$3:$E$23,2,0),),)</f>
        <v>0</v>
      </c>
      <c r="O415" s="381">
        <f t="shared" ref="O415:O448" si="33">(K415+L415)*M415*N415</f>
        <v>0</v>
      </c>
      <c r="P415" s="380">
        <f>IFERROR(O415*VLOOKUP(G415,MODULY_CBA!$B$3:$F$23,5,0),)</f>
        <v>0</v>
      </c>
    </row>
    <row r="416" spans="1:16" ht="39">
      <c r="A416" s="404" t="s">
        <v>1751</v>
      </c>
      <c r="B416" s="404" t="s">
        <v>1158</v>
      </c>
      <c r="C416" s="535" t="s">
        <v>1177</v>
      </c>
      <c r="D416" s="535" t="s">
        <v>1752</v>
      </c>
      <c r="E416" s="535" t="s">
        <v>1753</v>
      </c>
      <c r="F416" s="686" t="s">
        <v>489</v>
      </c>
      <c r="G416" s="386" t="s">
        <v>279</v>
      </c>
      <c r="H416" s="382">
        <v>3</v>
      </c>
      <c r="I416" s="644">
        <v>15</v>
      </c>
      <c r="J416" s="382">
        <f t="shared" si="31"/>
        <v>3</v>
      </c>
      <c r="K416" s="382">
        <f t="shared" si="32"/>
        <v>45</v>
      </c>
      <c r="L416" s="646">
        <f>IFERROR(IF(B416="funkcna poziadavka",VLOOKUP(G416,MODULY_CBA!$B$3:$E$23,4,0)*H416/SUMIFS($H$3:$H$199,$G$3:$G$199,G416,$B$3:$B$199,B416),),)</f>
        <v>0</v>
      </c>
      <c r="M416" s="382">
        <f>IFERROR(IF(B416="Funkcna poziadavka",VLOOKUP(G416,MODULY_CBA!$B$3:$E$23,3,0),),)</f>
        <v>0</v>
      </c>
      <c r="N416" s="382">
        <f>IFERROR(IF(B416="funkcna poziadavka",VLOOKUP(G416,MODULY_CBA!$B$3:$E$23,2,0),),)</f>
        <v>0</v>
      </c>
      <c r="O416" s="381">
        <f t="shared" si="33"/>
        <v>0</v>
      </c>
      <c r="P416" s="380">
        <f>IFERROR(O416*VLOOKUP(G416,MODULY_CBA!$B$3:$F$23,5,0),)</f>
        <v>0</v>
      </c>
    </row>
    <row r="417" spans="1:16" ht="39">
      <c r="A417" s="404" t="s">
        <v>1754</v>
      </c>
      <c r="B417" s="404" t="s">
        <v>1158</v>
      </c>
      <c r="C417" s="535" t="s">
        <v>1177</v>
      </c>
      <c r="D417" s="535" t="s">
        <v>1755</v>
      </c>
      <c r="E417" s="535" t="s">
        <v>1756</v>
      </c>
      <c r="F417" s="686" t="s">
        <v>489</v>
      </c>
      <c r="G417" s="386" t="s">
        <v>277</v>
      </c>
      <c r="H417" s="382">
        <v>3</v>
      </c>
      <c r="I417" s="644">
        <v>15</v>
      </c>
      <c r="J417" s="382">
        <f t="shared" si="31"/>
        <v>3</v>
      </c>
      <c r="K417" s="382">
        <f t="shared" si="32"/>
        <v>45</v>
      </c>
      <c r="L417" s="646">
        <f>IFERROR(IF(B417="funkcna poziadavka",VLOOKUP(G417,MODULY_CBA!$B$3:$E$23,4,0)*H417/SUMIFS($H$3:$H$199,$G$3:$G$199,G417,$B$3:$B$199,B417),),)</f>
        <v>0</v>
      </c>
      <c r="M417" s="382">
        <f>IFERROR(IF(B417="Funkcna poziadavka",VLOOKUP(G417,MODULY_CBA!$B$3:$E$23,3,0),),)</f>
        <v>0</v>
      </c>
      <c r="N417" s="382">
        <f>IFERROR(IF(B417="funkcna poziadavka",VLOOKUP(G417,MODULY_CBA!$B$3:$E$23,2,0),),)</f>
        <v>0</v>
      </c>
      <c r="O417" s="381">
        <f t="shared" si="33"/>
        <v>0</v>
      </c>
      <c r="P417" s="380">
        <f>IFERROR(O417*VLOOKUP(G417,MODULY_CBA!$B$3:$F$23,5,0),)</f>
        <v>0</v>
      </c>
    </row>
    <row r="418" spans="1:16" ht="39">
      <c r="A418" s="404" t="s">
        <v>1757</v>
      </c>
      <c r="B418" s="404" t="s">
        <v>1158</v>
      </c>
      <c r="C418" s="535" t="s">
        <v>1159</v>
      </c>
      <c r="D418" s="535" t="s">
        <v>1758</v>
      </c>
      <c r="E418" s="535" t="s">
        <v>1759</v>
      </c>
      <c r="F418" s="686" t="s">
        <v>489</v>
      </c>
      <c r="G418" s="386" t="s">
        <v>279</v>
      </c>
      <c r="H418" s="382">
        <v>3</v>
      </c>
      <c r="I418" s="644">
        <v>15</v>
      </c>
      <c r="J418" s="382">
        <f t="shared" si="31"/>
        <v>3</v>
      </c>
      <c r="K418" s="382">
        <f t="shared" si="32"/>
        <v>45</v>
      </c>
      <c r="L418" s="646">
        <f>IFERROR(IF(B418="funkcna poziadavka",VLOOKUP(G418,MODULY_CBA!$B$3:$E$23,4,0)*H418/SUMIFS($H$3:$H$199,$G$3:$G$199,G418,$B$3:$B$199,B418),),)</f>
        <v>0</v>
      </c>
      <c r="M418" s="382">
        <f>IFERROR(IF(B418="Funkcna poziadavka",VLOOKUP(G418,MODULY_CBA!$B$3:$E$23,3,0),),)</f>
        <v>0</v>
      </c>
      <c r="N418" s="382">
        <f>IFERROR(IF(B418="funkcna poziadavka",VLOOKUP(G418,MODULY_CBA!$B$3:$E$23,2,0),),)</f>
        <v>0</v>
      </c>
      <c r="O418" s="381">
        <f t="shared" si="33"/>
        <v>0</v>
      </c>
      <c r="P418" s="380">
        <f>IFERROR(O418*VLOOKUP(G418,MODULY_CBA!$B$3:$F$23,5,0),)</f>
        <v>0</v>
      </c>
    </row>
    <row r="419" spans="1:16" ht="39">
      <c r="A419" s="404" t="s">
        <v>1760</v>
      </c>
      <c r="B419" s="404" t="s">
        <v>1158</v>
      </c>
      <c r="C419" s="535" t="s">
        <v>486</v>
      </c>
      <c r="D419" s="535" t="s">
        <v>1761</v>
      </c>
      <c r="E419" s="535" t="s">
        <v>1762</v>
      </c>
      <c r="F419" s="686" t="s">
        <v>489</v>
      </c>
      <c r="G419" s="386" t="s">
        <v>281</v>
      </c>
      <c r="H419" s="382">
        <v>3</v>
      </c>
      <c r="I419" s="644">
        <v>15</v>
      </c>
      <c r="J419" s="382">
        <f t="shared" si="31"/>
        <v>3</v>
      </c>
      <c r="K419" s="382">
        <f t="shared" si="32"/>
        <v>45</v>
      </c>
      <c r="L419" s="646">
        <f>IFERROR(IF(B419="funkcna poziadavka",VLOOKUP(G419,MODULY_CBA!$B$3:$E$23,4,0)*H419/SUMIFS($H$3:$H$199,$G$3:$G$199,G419,$B$3:$B$199,B419),),)</f>
        <v>0</v>
      </c>
      <c r="M419" s="382">
        <f>IFERROR(IF(B419="Funkcna poziadavka",VLOOKUP(G419,MODULY_CBA!$B$3:$E$23,3,0),),)</f>
        <v>0</v>
      </c>
      <c r="N419" s="382">
        <f>IFERROR(IF(B419="funkcna poziadavka",VLOOKUP(G419,MODULY_CBA!$B$3:$E$23,2,0),),)</f>
        <v>0</v>
      </c>
      <c r="O419" s="381">
        <f t="shared" si="33"/>
        <v>0</v>
      </c>
      <c r="P419" s="380">
        <f>IFERROR(O419*VLOOKUP(G419,MODULY_CBA!$B$3:$F$23,5,0),)</f>
        <v>0</v>
      </c>
    </row>
    <row r="420" spans="1:16" ht="26">
      <c r="A420" s="404" t="s">
        <v>1763</v>
      </c>
      <c r="B420" s="404" t="s">
        <v>1158</v>
      </c>
      <c r="C420" s="535" t="s">
        <v>486</v>
      </c>
      <c r="D420" s="535" t="s">
        <v>1764</v>
      </c>
      <c r="E420" s="535" t="s">
        <v>1765</v>
      </c>
      <c r="F420" s="686" t="s">
        <v>489</v>
      </c>
      <c r="G420" s="386" t="s">
        <v>281</v>
      </c>
      <c r="H420" s="382">
        <v>3</v>
      </c>
      <c r="I420" s="644">
        <v>15</v>
      </c>
      <c r="J420" s="382">
        <f t="shared" si="31"/>
        <v>3</v>
      </c>
      <c r="K420" s="382">
        <f t="shared" si="32"/>
        <v>45</v>
      </c>
      <c r="L420" s="646">
        <f>IFERROR(IF(B420="funkcna poziadavka",VLOOKUP(G420,MODULY_CBA!$B$3:$E$23,4,0)*H420/SUMIFS($H$3:$H$199,$G$3:$G$199,G420,$B$3:$B$199,B420),),)</f>
        <v>0</v>
      </c>
      <c r="M420" s="382">
        <f>IFERROR(IF(B420="Funkcna poziadavka",VLOOKUP(G420,MODULY_CBA!$B$3:$E$23,3,0),),)</f>
        <v>0</v>
      </c>
      <c r="N420" s="382">
        <f>IFERROR(IF(B420="funkcna poziadavka",VLOOKUP(G420,MODULY_CBA!$B$3:$E$23,2,0),),)</f>
        <v>0</v>
      </c>
      <c r="O420" s="381">
        <f t="shared" si="33"/>
        <v>0</v>
      </c>
      <c r="P420" s="380">
        <f>IFERROR(O420*VLOOKUP(G420,MODULY_CBA!$B$3:$F$23,5,0),)</f>
        <v>0</v>
      </c>
    </row>
    <row r="421" spans="1:16" ht="26">
      <c r="A421" s="404" t="s">
        <v>1766</v>
      </c>
      <c r="B421" s="404" t="s">
        <v>1158</v>
      </c>
      <c r="C421" s="535" t="s">
        <v>1336</v>
      </c>
      <c r="D421" s="535" t="s">
        <v>1767</v>
      </c>
      <c r="E421" s="535" t="s">
        <v>1768</v>
      </c>
      <c r="F421" s="686" t="s">
        <v>489</v>
      </c>
      <c r="G421" s="386" t="s">
        <v>275</v>
      </c>
      <c r="H421" s="382">
        <v>3</v>
      </c>
      <c r="I421" s="644">
        <v>15</v>
      </c>
      <c r="J421" s="382">
        <f t="shared" si="31"/>
        <v>3</v>
      </c>
      <c r="K421" s="382">
        <f t="shared" si="32"/>
        <v>45</v>
      </c>
      <c r="L421" s="646">
        <f>IFERROR(IF(B421="funkcna poziadavka",VLOOKUP(G421,MODULY_CBA!$B$3:$E$23,4,0)*H421/SUMIFS($H$3:$H$199,$G$3:$G$199,G421,$B$3:$B$199,B421),),)</f>
        <v>0</v>
      </c>
      <c r="M421" s="382">
        <f>IFERROR(IF(B421="Funkcna poziadavka",VLOOKUP(G421,MODULY_CBA!$B$3:$E$23,3,0),),)</f>
        <v>0</v>
      </c>
      <c r="N421" s="382">
        <f>IFERROR(IF(B421="funkcna poziadavka",VLOOKUP(G421,MODULY_CBA!$B$3:$E$23,2,0),),)</f>
        <v>0</v>
      </c>
      <c r="O421" s="381">
        <f t="shared" si="33"/>
        <v>0</v>
      </c>
      <c r="P421" s="380">
        <f>IFERROR(O421*VLOOKUP(G421,MODULY_CBA!$B$3:$F$23,5,0),)</f>
        <v>0</v>
      </c>
    </row>
    <row r="422" spans="1:16" ht="26">
      <c r="A422" s="404" t="s">
        <v>1769</v>
      </c>
      <c r="B422" s="404" t="s">
        <v>1158</v>
      </c>
      <c r="C422" s="535" t="s">
        <v>1336</v>
      </c>
      <c r="D422" s="535" t="s">
        <v>1770</v>
      </c>
      <c r="E422" s="535" t="s">
        <v>1771</v>
      </c>
      <c r="F422" s="686" t="s">
        <v>489</v>
      </c>
      <c r="G422" s="386" t="s">
        <v>275</v>
      </c>
      <c r="H422" s="382">
        <v>3</v>
      </c>
      <c r="I422" s="644">
        <v>15</v>
      </c>
      <c r="J422" s="382">
        <f t="shared" si="31"/>
        <v>3</v>
      </c>
      <c r="K422" s="382">
        <f t="shared" si="32"/>
        <v>45</v>
      </c>
      <c r="L422" s="646">
        <f>IFERROR(IF(B422="funkcna poziadavka",VLOOKUP(G422,MODULY_CBA!$B$3:$E$23,4,0)*H422/SUMIFS($H$3:$H$199,$G$3:$G$199,G422,$B$3:$B$199,B422),),)</f>
        <v>0</v>
      </c>
      <c r="M422" s="382">
        <f>IFERROR(IF(B422="Funkcna poziadavka",VLOOKUP(G422,MODULY_CBA!$B$3:$E$23,3,0),),)</f>
        <v>0</v>
      </c>
      <c r="N422" s="382">
        <f>IFERROR(IF(B422="funkcna poziadavka",VLOOKUP(G422,MODULY_CBA!$B$3:$E$23,2,0),),)</f>
        <v>0</v>
      </c>
      <c r="O422" s="381">
        <f t="shared" si="33"/>
        <v>0</v>
      </c>
      <c r="P422" s="380">
        <f>IFERROR(O422*VLOOKUP(G422,MODULY_CBA!$B$3:$F$23,5,0),)</f>
        <v>0</v>
      </c>
    </row>
    <row r="423" spans="1:16" ht="39">
      <c r="A423" s="404" t="s">
        <v>1772</v>
      </c>
      <c r="B423" s="404" t="s">
        <v>1158</v>
      </c>
      <c r="C423" s="535" t="s">
        <v>842</v>
      </c>
      <c r="D423" s="535" t="s">
        <v>1773</v>
      </c>
      <c r="E423" s="535" t="s">
        <v>1774</v>
      </c>
      <c r="F423" s="686" t="s">
        <v>489</v>
      </c>
      <c r="G423" s="386" t="s">
        <v>275</v>
      </c>
      <c r="H423" s="382">
        <v>3</v>
      </c>
      <c r="I423" s="644">
        <v>15</v>
      </c>
      <c r="J423" s="382">
        <f t="shared" si="31"/>
        <v>3</v>
      </c>
      <c r="K423" s="382">
        <f t="shared" si="32"/>
        <v>45</v>
      </c>
      <c r="L423" s="646">
        <f>IFERROR(IF(B423="funkcna poziadavka",VLOOKUP(G423,MODULY_CBA!$B$3:$E$23,4,0)*H423/SUMIFS($H$3:$H$199,$G$3:$G$199,G423,$B$3:$B$199,B423),),)</f>
        <v>0</v>
      </c>
      <c r="M423" s="382">
        <f>IFERROR(IF(B423="Funkcna poziadavka",VLOOKUP(G423,MODULY_CBA!$B$3:$E$23,3,0),),)</f>
        <v>0</v>
      </c>
      <c r="N423" s="382">
        <f>IFERROR(IF(B423="funkcna poziadavka",VLOOKUP(G423,MODULY_CBA!$B$3:$E$23,2,0),),)</f>
        <v>0</v>
      </c>
      <c r="O423" s="381">
        <f t="shared" si="33"/>
        <v>0</v>
      </c>
      <c r="P423" s="380">
        <f>IFERROR(O423*VLOOKUP(G423,MODULY_CBA!$B$3:$F$23,5,0),)</f>
        <v>0</v>
      </c>
    </row>
    <row r="424" spans="1:16" ht="39">
      <c r="A424" s="404" t="s">
        <v>1775</v>
      </c>
      <c r="B424" s="404" t="s">
        <v>1158</v>
      </c>
      <c r="C424" s="535" t="s">
        <v>1242</v>
      </c>
      <c r="D424" s="535" t="s">
        <v>1776</v>
      </c>
      <c r="E424" s="535" t="s">
        <v>1777</v>
      </c>
      <c r="F424" s="686" t="s">
        <v>489</v>
      </c>
      <c r="G424" s="386" t="s">
        <v>277</v>
      </c>
      <c r="H424" s="382">
        <v>3</v>
      </c>
      <c r="I424" s="644">
        <v>15</v>
      </c>
      <c r="J424" s="382">
        <f t="shared" si="31"/>
        <v>3</v>
      </c>
      <c r="K424" s="382">
        <f t="shared" si="32"/>
        <v>45</v>
      </c>
      <c r="L424" s="646">
        <f>IFERROR(IF(B424="funkcna poziadavka",VLOOKUP(G424,MODULY_CBA!$B$3:$E$23,4,0)*H424/SUMIFS($H$3:$H$199,$G$3:$G$199,G424,$B$3:$B$199,B424),),)</f>
        <v>0</v>
      </c>
      <c r="M424" s="382">
        <f>IFERROR(IF(B424="Funkcna poziadavka",VLOOKUP(G424,MODULY_CBA!$B$3:$E$23,3,0),),)</f>
        <v>0</v>
      </c>
      <c r="N424" s="382">
        <f>IFERROR(IF(B424="funkcna poziadavka",VLOOKUP(G424,MODULY_CBA!$B$3:$E$23,2,0),),)</f>
        <v>0</v>
      </c>
      <c r="O424" s="381">
        <f t="shared" si="33"/>
        <v>0</v>
      </c>
      <c r="P424" s="380">
        <f>IFERROR(O424*VLOOKUP(G424,MODULY_CBA!$B$3:$F$23,5,0),)</f>
        <v>0</v>
      </c>
    </row>
    <row r="425" spans="1:16" ht="39">
      <c r="A425" s="404" t="s">
        <v>1778</v>
      </c>
      <c r="B425" s="404" t="s">
        <v>1158</v>
      </c>
      <c r="C425" s="535" t="s">
        <v>1242</v>
      </c>
      <c r="D425" s="535" t="s">
        <v>1779</v>
      </c>
      <c r="E425" s="535" t="s">
        <v>1780</v>
      </c>
      <c r="F425" s="686" t="s">
        <v>489</v>
      </c>
      <c r="G425" s="386" t="s">
        <v>277</v>
      </c>
      <c r="H425" s="382">
        <v>3</v>
      </c>
      <c r="I425" s="644">
        <v>15</v>
      </c>
      <c r="J425" s="382">
        <f t="shared" si="31"/>
        <v>3</v>
      </c>
      <c r="K425" s="382">
        <f t="shared" si="32"/>
        <v>45</v>
      </c>
      <c r="L425" s="646">
        <f>IFERROR(IF(B425="funkcna poziadavka",VLOOKUP(G425,MODULY_CBA!$B$3:$E$23,4,0)*H425/SUMIFS($H$3:$H$199,$G$3:$G$199,G425,$B$3:$B$199,B425),),)</f>
        <v>0</v>
      </c>
      <c r="M425" s="382">
        <f>IFERROR(IF(B425="Funkcna poziadavka",VLOOKUP(G425,MODULY_CBA!$B$3:$E$23,3,0),),)</f>
        <v>0</v>
      </c>
      <c r="N425" s="382">
        <f>IFERROR(IF(B425="funkcna poziadavka",VLOOKUP(G425,MODULY_CBA!$B$3:$E$23,2,0),),)</f>
        <v>0</v>
      </c>
      <c r="O425" s="381">
        <f t="shared" si="33"/>
        <v>0</v>
      </c>
      <c r="P425" s="380">
        <f>IFERROR(O425*VLOOKUP(G425,MODULY_CBA!$B$3:$F$23,5,0),)</f>
        <v>0</v>
      </c>
    </row>
    <row r="426" spans="1:16" ht="39">
      <c r="A426" s="404" t="s">
        <v>1781</v>
      </c>
      <c r="B426" s="404" t="s">
        <v>1158</v>
      </c>
      <c r="C426" s="535" t="s">
        <v>486</v>
      </c>
      <c r="D426" s="535" t="s">
        <v>1782</v>
      </c>
      <c r="E426" s="535" t="s">
        <v>1783</v>
      </c>
      <c r="F426" s="686" t="s">
        <v>489</v>
      </c>
      <c r="G426" s="386" t="s">
        <v>277</v>
      </c>
      <c r="H426" s="382">
        <v>3</v>
      </c>
      <c r="I426" s="644">
        <v>15</v>
      </c>
      <c r="J426" s="382">
        <f t="shared" si="31"/>
        <v>3</v>
      </c>
      <c r="K426" s="382">
        <f t="shared" si="32"/>
        <v>45</v>
      </c>
      <c r="L426" s="646">
        <f>IFERROR(IF(B426="funkcna poziadavka",VLOOKUP(G426,MODULY_CBA!$B$3:$E$23,4,0)*H426/SUMIFS($H$3:$H$199,$G$3:$G$199,G426,$B$3:$B$199,B426),),)</f>
        <v>0</v>
      </c>
      <c r="M426" s="382">
        <f>IFERROR(IF(B426="Funkcna poziadavka",VLOOKUP(G426,MODULY_CBA!$B$3:$E$23,3,0),),)</f>
        <v>0</v>
      </c>
      <c r="N426" s="382">
        <f>IFERROR(IF(B426="funkcna poziadavka",VLOOKUP(G426,MODULY_CBA!$B$3:$E$23,2,0),),)</f>
        <v>0</v>
      </c>
      <c r="O426" s="381">
        <f t="shared" si="33"/>
        <v>0</v>
      </c>
      <c r="P426" s="380">
        <f>IFERROR(O426*VLOOKUP(G426,MODULY_CBA!$B$3:$F$23,5,0),)</f>
        <v>0</v>
      </c>
    </row>
    <row r="427" spans="1:16" ht="26">
      <c r="A427" s="404" t="s">
        <v>1784</v>
      </c>
      <c r="B427" s="404" t="s">
        <v>1158</v>
      </c>
      <c r="C427" s="535" t="s">
        <v>486</v>
      </c>
      <c r="D427" s="535" t="s">
        <v>1785</v>
      </c>
      <c r="E427" s="535" t="s">
        <v>1786</v>
      </c>
      <c r="F427" s="686" t="s">
        <v>489</v>
      </c>
      <c r="G427" s="386" t="s">
        <v>281</v>
      </c>
      <c r="H427" s="382">
        <v>3</v>
      </c>
      <c r="I427" s="644">
        <v>15</v>
      </c>
      <c r="J427" s="382">
        <f t="shared" si="31"/>
        <v>3</v>
      </c>
      <c r="K427" s="382">
        <f t="shared" si="32"/>
        <v>45</v>
      </c>
      <c r="L427" s="646">
        <f>IFERROR(IF(B427="funkcna poziadavka",VLOOKUP(G427,MODULY_CBA!$B$3:$E$23,4,0)*H427/SUMIFS($H$3:$H$199,$G$3:$G$199,G427,$B$3:$B$199,B427),),)</f>
        <v>0</v>
      </c>
      <c r="M427" s="382">
        <f>IFERROR(IF(B427="Funkcna poziadavka",VLOOKUP(G427,MODULY_CBA!$B$3:$E$23,3,0),),)</f>
        <v>0</v>
      </c>
      <c r="N427" s="382">
        <f>IFERROR(IF(B427="funkcna poziadavka",VLOOKUP(G427,MODULY_CBA!$B$3:$E$23,2,0),),)</f>
        <v>0</v>
      </c>
      <c r="O427" s="381">
        <f t="shared" si="33"/>
        <v>0</v>
      </c>
      <c r="P427" s="380">
        <f>IFERROR(O427*VLOOKUP(G427,MODULY_CBA!$B$3:$F$23,5,0),)</f>
        <v>0</v>
      </c>
    </row>
    <row r="428" spans="1:16" ht="26">
      <c r="A428" s="404" t="s">
        <v>1787</v>
      </c>
      <c r="B428" s="404" t="s">
        <v>1158</v>
      </c>
      <c r="C428" s="535" t="s">
        <v>486</v>
      </c>
      <c r="D428" s="535" t="s">
        <v>1788</v>
      </c>
      <c r="E428" s="535" t="s">
        <v>1789</v>
      </c>
      <c r="F428" s="686" t="s">
        <v>489</v>
      </c>
      <c r="G428" s="386" t="s">
        <v>281</v>
      </c>
      <c r="H428" s="382">
        <v>3</v>
      </c>
      <c r="I428" s="644">
        <v>15</v>
      </c>
      <c r="J428" s="382">
        <f t="shared" si="31"/>
        <v>3</v>
      </c>
      <c r="K428" s="382">
        <f t="shared" si="32"/>
        <v>45</v>
      </c>
      <c r="L428" s="646">
        <f>IFERROR(IF(B428="funkcna poziadavka",VLOOKUP(G428,MODULY_CBA!$B$3:$E$23,4,0)*H428/SUMIFS($H$3:$H$199,$G$3:$G$199,G428,$B$3:$B$199,B428),),)</f>
        <v>0</v>
      </c>
      <c r="M428" s="382">
        <f>IFERROR(IF(B428="Funkcna poziadavka",VLOOKUP(G428,MODULY_CBA!$B$3:$E$23,3,0),),)</f>
        <v>0</v>
      </c>
      <c r="N428" s="382">
        <f>IFERROR(IF(B428="funkcna poziadavka",VLOOKUP(G428,MODULY_CBA!$B$3:$E$23,2,0),),)</f>
        <v>0</v>
      </c>
      <c r="O428" s="381">
        <f t="shared" si="33"/>
        <v>0</v>
      </c>
      <c r="P428" s="380">
        <f>IFERROR(O428*VLOOKUP(G428,MODULY_CBA!$B$3:$F$23,5,0),)</f>
        <v>0</v>
      </c>
    </row>
    <row r="429" spans="1:16" ht="26">
      <c r="A429" s="404" t="s">
        <v>1790</v>
      </c>
      <c r="B429" s="404" t="s">
        <v>1158</v>
      </c>
      <c r="C429" s="535" t="s">
        <v>486</v>
      </c>
      <c r="D429" s="535" t="s">
        <v>1791</v>
      </c>
      <c r="E429" s="535" t="s">
        <v>1792</v>
      </c>
      <c r="F429" s="686" t="s">
        <v>489</v>
      </c>
      <c r="G429" s="386" t="s">
        <v>275</v>
      </c>
      <c r="H429" s="382">
        <v>3</v>
      </c>
      <c r="I429" s="644">
        <v>15</v>
      </c>
      <c r="J429" s="382">
        <f t="shared" si="31"/>
        <v>3</v>
      </c>
      <c r="K429" s="382">
        <f t="shared" si="32"/>
        <v>45</v>
      </c>
      <c r="L429" s="646">
        <f>IFERROR(IF(B429="funkcna poziadavka",VLOOKUP(G429,MODULY_CBA!$B$3:$E$23,4,0)*H429/SUMIFS($H$3:$H$199,$G$3:$G$199,G429,$B$3:$B$199,B429),),)</f>
        <v>0</v>
      </c>
      <c r="M429" s="382">
        <f>IFERROR(IF(B429="Funkcna poziadavka",VLOOKUP(G429,MODULY_CBA!$B$3:$E$23,3,0),),)</f>
        <v>0</v>
      </c>
      <c r="N429" s="382">
        <f>IFERROR(IF(B429="funkcna poziadavka",VLOOKUP(G429,MODULY_CBA!$B$3:$E$23,2,0),),)</f>
        <v>0</v>
      </c>
      <c r="O429" s="381">
        <f t="shared" si="33"/>
        <v>0</v>
      </c>
      <c r="P429" s="380">
        <f>IFERROR(O429*VLOOKUP(G429,MODULY_CBA!$B$3:$F$23,5,0),)</f>
        <v>0</v>
      </c>
    </row>
    <row r="430" spans="1:16" ht="39">
      <c r="A430" s="404" t="s">
        <v>1793</v>
      </c>
      <c r="B430" s="404" t="s">
        <v>1158</v>
      </c>
      <c r="C430" s="535" t="s">
        <v>486</v>
      </c>
      <c r="D430" s="535" t="s">
        <v>1794</v>
      </c>
      <c r="E430" s="535" t="s">
        <v>1795</v>
      </c>
      <c r="F430" s="686" t="s">
        <v>489</v>
      </c>
      <c r="G430" s="386" t="s">
        <v>275</v>
      </c>
      <c r="H430" s="382">
        <v>3</v>
      </c>
      <c r="I430" s="644">
        <v>15</v>
      </c>
      <c r="J430" s="382">
        <f t="shared" si="31"/>
        <v>3</v>
      </c>
      <c r="K430" s="382">
        <f t="shared" si="32"/>
        <v>45</v>
      </c>
      <c r="L430" s="646">
        <f>IFERROR(IF(B430="funkcna poziadavka",VLOOKUP(G430,MODULY_CBA!$B$3:$E$23,4,0)*H430/SUMIFS($H$3:$H$199,$G$3:$G$199,G430,$B$3:$B$199,B430),),)</f>
        <v>0</v>
      </c>
      <c r="M430" s="382">
        <f>IFERROR(IF(B430="Funkcna poziadavka",VLOOKUP(G430,MODULY_CBA!$B$3:$E$23,3,0),),)</f>
        <v>0</v>
      </c>
      <c r="N430" s="382">
        <f>IFERROR(IF(B430="funkcna poziadavka",VLOOKUP(G430,MODULY_CBA!$B$3:$E$23,2,0),),)</f>
        <v>0</v>
      </c>
      <c r="O430" s="381">
        <f t="shared" si="33"/>
        <v>0</v>
      </c>
      <c r="P430" s="380">
        <f>IFERROR(O430*VLOOKUP(G430,MODULY_CBA!$B$3:$F$23,5,0),)</f>
        <v>0</v>
      </c>
    </row>
    <row r="431" spans="1:16" ht="26">
      <c r="A431" s="404" t="s">
        <v>1796</v>
      </c>
      <c r="B431" s="404" t="s">
        <v>1158</v>
      </c>
      <c r="C431" s="535" t="s">
        <v>486</v>
      </c>
      <c r="D431" s="535" t="s">
        <v>1797</v>
      </c>
      <c r="E431" s="535" t="s">
        <v>1798</v>
      </c>
      <c r="F431" s="686" t="s">
        <v>489</v>
      </c>
      <c r="G431" s="386" t="s">
        <v>281</v>
      </c>
      <c r="H431" s="382">
        <v>3</v>
      </c>
      <c r="I431" s="644">
        <v>15</v>
      </c>
      <c r="J431" s="382">
        <f t="shared" si="31"/>
        <v>3</v>
      </c>
      <c r="K431" s="382">
        <f t="shared" si="32"/>
        <v>45</v>
      </c>
      <c r="L431" s="646">
        <f>IFERROR(IF(B431="funkcna poziadavka",VLOOKUP(G431,MODULY_CBA!$B$3:$E$23,4,0)*H431/SUMIFS($H$3:$H$199,$G$3:$G$199,G431,$B$3:$B$199,B431),),)</f>
        <v>0</v>
      </c>
      <c r="M431" s="382">
        <f>IFERROR(IF(B431="Funkcna poziadavka",VLOOKUP(G431,MODULY_CBA!$B$3:$E$23,3,0),),)</f>
        <v>0</v>
      </c>
      <c r="N431" s="382">
        <f>IFERROR(IF(B431="funkcna poziadavka",VLOOKUP(G431,MODULY_CBA!$B$3:$E$23,2,0),),)</f>
        <v>0</v>
      </c>
      <c r="O431" s="381">
        <f t="shared" si="33"/>
        <v>0</v>
      </c>
      <c r="P431" s="380">
        <f>IFERROR(O431*VLOOKUP(G431,MODULY_CBA!$B$3:$F$23,5,0),)</f>
        <v>0</v>
      </c>
    </row>
    <row r="432" spans="1:16" ht="26">
      <c r="A432" s="404" t="s">
        <v>1799</v>
      </c>
      <c r="B432" s="404" t="s">
        <v>1158</v>
      </c>
      <c r="C432" s="535" t="s">
        <v>1336</v>
      </c>
      <c r="D432" s="535" t="s">
        <v>1800</v>
      </c>
      <c r="E432" s="535" t="s">
        <v>1801</v>
      </c>
      <c r="F432" s="686" t="s">
        <v>489</v>
      </c>
      <c r="G432" s="386" t="s">
        <v>277</v>
      </c>
      <c r="H432" s="382">
        <v>3</v>
      </c>
      <c r="I432" s="644">
        <v>15</v>
      </c>
      <c r="J432" s="382">
        <f t="shared" si="31"/>
        <v>3</v>
      </c>
      <c r="K432" s="382">
        <f t="shared" si="32"/>
        <v>45</v>
      </c>
      <c r="L432" s="646">
        <f>IFERROR(IF(B432="funkcna poziadavka",VLOOKUP(G432,MODULY_CBA!$B$3:$E$23,4,0)*H432/SUMIFS($H$3:$H$199,$G$3:$G$199,G432,$B$3:$B$199,B432),),)</f>
        <v>0</v>
      </c>
      <c r="M432" s="382">
        <f>IFERROR(IF(B432="Funkcna poziadavka",VLOOKUP(G432,MODULY_CBA!$B$3:$E$23,3,0),),)</f>
        <v>0</v>
      </c>
      <c r="N432" s="382">
        <f>IFERROR(IF(B432="funkcna poziadavka",VLOOKUP(G432,MODULY_CBA!$B$3:$E$23,2,0),),)</f>
        <v>0</v>
      </c>
      <c r="O432" s="381">
        <f t="shared" si="33"/>
        <v>0</v>
      </c>
      <c r="P432" s="380">
        <f>IFERROR(O432*VLOOKUP(G432,MODULY_CBA!$B$3:$F$23,5,0),)</f>
        <v>0</v>
      </c>
    </row>
    <row r="433" spans="1:16" ht="26">
      <c r="A433" s="404" t="s">
        <v>1802</v>
      </c>
      <c r="B433" s="404" t="s">
        <v>1158</v>
      </c>
      <c r="C433" s="535" t="s">
        <v>1336</v>
      </c>
      <c r="D433" s="535" t="s">
        <v>1803</v>
      </c>
      <c r="E433" s="535" t="s">
        <v>1804</v>
      </c>
      <c r="F433" s="686" t="s">
        <v>489</v>
      </c>
      <c r="G433" s="386" t="s">
        <v>277</v>
      </c>
      <c r="H433" s="382">
        <v>3</v>
      </c>
      <c r="I433" s="644">
        <v>15</v>
      </c>
      <c r="J433" s="382">
        <f t="shared" si="31"/>
        <v>3</v>
      </c>
      <c r="K433" s="382">
        <f t="shared" si="32"/>
        <v>45</v>
      </c>
      <c r="L433" s="646">
        <f>IFERROR(IF(B433="funkcna poziadavka",VLOOKUP(G433,MODULY_CBA!$B$3:$E$23,4,0)*H433/SUMIFS($H$3:$H$199,$G$3:$G$199,G433,$B$3:$B$199,B433),),)</f>
        <v>0</v>
      </c>
      <c r="M433" s="382">
        <f>IFERROR(IF(B433="Funkcna poziadavka",VLOOKUP(G433,MODULY_CBA!$B$3:$E$23,3,0),),)</f>
        <v>0</v>
      </c>
      <c r="N433" s="382">
        <f>IFERROR(IF(B433="funkcna poziadavka",VLOOKUP(G433,MODULY_CBA!$B$3:$E$23,2,0),),)</f>
        <v>0</v>
      </c>
      <c r="O433" s="381">
        <f t="shared" si="33"/>
        <v>0</v>
      </c>
      <c r="P433" s="380">
        <f>IFERROR(O433*VLOOKUP(G433,MODULY_CBA!$B$3:$F$23,5,0),)</f>
        <v>0</v>
      </c>
    </row>
    <row r="434" spans="1:16" ht="26">
      <c r="A434" s="404" t="s">
        <v>1805</v>
      </c>
      <c r="B434" s="404" t="s">
        <v>1158</v>
      </c>
      <c r="C434" s="535" t="s">
        <v>1242</v>
      </c>
      <c r="D434" s="535" t="s">
        <v>1806</v>
      </c>
      <c r="E434" s="535" t="s">
        <v>1807</v>
      </c>
      <c r="F434" s="686" t="s">
        <v>489</v>
      </c>
      <c r="G434" s="386" t="s">
        <v>277</v>
      </c>
      <c r="H434" s="382">
        <v>3</v>
      </c>
      <c r="I434" s="644">
        <v>15</v>
      </c>
      <c r="J434" s="382">
        <f t="shared" si="31"/>
        <v>3</v>
      </c>
      <c r="K434" s="382">
        <f t="shared" si="32"/>
        <v>45</v>
      </c>
      <c r="L434" s="646">
        <f>IFERROR(IF(B434="funkcna poziadavka",VLOOKUP(G434,MODULY_CBA!$B$3:$E$23,4,0)*H434/SUMIFS($H$3:$H$199,$G$3:$G$199,G434,$B$3:$B$199,B434),),)</f>
        <v>0</v>
      </c>
      <c r="M434" s="382">
        <f>IFERROR(IF(B434="Funkcna poziadavka",VLOOKUP(G434,MODULY_CBA!$B$3:$E$23,3,0),),)</f>
        <v>0</v>
      </c>
      <c r="N434" s="382">
        <f>IFERROR(IF(B434="funkcna poziadavka",VLOOKUP(G434,MODULY_CBA!$B$3:$E$23,2,0),),)</f>
        <v>0</v>
      </c>
      <c r="O434" s="381">
        <f t="shared" si="33"/>
        <v>0</v>
      </c>
      <c r="P434" s="380">
        <f>IFERROR(O434*VLOOKUP(G434,MODULY_CBA!$B$3:$F$23,5,0),)</f>
        <v>0</v>
      </c>
    </row>
    <row r="435" spans="1:16" ht="26">
      <c r="A435" s="404" t="s">
        <v>1808</v>
      </c>
      <c r="B435" s="404" t="s">
        <v>1158</v>
      </c>
      <c r="C435" s="535" t="s">
        <v>1242</v>
      </c>
      <c r="D435" s="535" t="s">
        <v>1809</v>
      </c>
      <c r="E435" s="535" t="s">
        <v>1810</v>
      </c>
      <c r="F435" s="686" t="s">
        <v>489</v>
      </c>
      <c r="G435" s="386" t="s">
        <v>277</v>
      </c>
      <c r="H435" s="382">
        <v>3</v>
      </c>
      <c r="I435" s="644">
        <v>15</v>
      </c>
      <c r="J435" s="382">
        <f t="shared" si="31"/>
        <v>3</v>
      </c>
      <c r="K435" s="382">
        <f t="shared" si="32"/>
        <v>45</v>
      </c>
      <c r="L435" s="646">
        <f>IFERROR(IF(B435="funkcna poziadavka",VLOOKUP(G435,MODULY_CBA!$B$3:$E$23,4,0)*H435/SUMIFS($H$3:$H$199,$G$3:$G$199,G435,$B$3:$B$199,B435),),)</f>
        <v>0</v>
      </c>
      <c r="M435" s="382">
        <f>IFERROR(IF(B435="Funkcna poziadavka",VLOOKUP(G435,MODULY_CBA!$B$3:$E$23,3,0),),)</f>
        <v>0</v>
      </c>
      <c r="N435" s="382">
        <f>IFERROR(IF(B435="funkcna poziadavka",VLOOKUP(G435,MODULY_CBA!$B$3:$E$23,2,0),),)</f>
        <v>0</v>
      </c>
      <c r="O435" s="381">
        <f t="shared" si="33"/>
        <v>0</v>
      </c>
      <c r="P435" s="380">
        <f>IFERROR(O435*VLOOKUP(G435,MODULY_CBA!$B$3:$F$23,5,0),)</f>
        <v>0</v>
      </c>
    </row>
    <row r="436" spans="1:16" ht="39">
      <c r="A436" s="404" t="s">
        <v>1811</v>
      </c>
      <c r="B436" s="404" t="s">
        <v>1158</v>
      </c>
      <c r="C436" s="535" t="s">
        <v>486</v>
      </c>
      <c r="D436" s="535" t="s">
        <v>1812</v>
      </c>
      <c r="E436" s="535" t="s">
        <v>1813</v>
      </c>
      <c r="F436" s="686" t="s">
        <v>489</v>
      </c>
      <c r="G436" s="386" t="s">
        <v>281</v>
      </c>
      <c r="H436" s="382">
        <v>3</v>
      </c>
      <c r="I436" s="644">
        <v>15</v>
      </c>
      <c r="J436" s="382">
        <f t="shared" si="31"/>
        <v>3</v>
      </c>
      <c r="K436" s="382">
        <f t="shared" si="32"/>
        <v>45</v>
      </c>
      <c r="L436" s="646">
        <f>IFERROR(IF(B436="funkcna poziadavka",VLOOKUP(G436,MODULY_CBA!$B$3:$E$23,4,0)*H436/SUMIFS($H$3:$H$199,$G$3:$G$199,G436,$B$3:$B$199,B436),),)</f>
        <v>0</v>
      </c>
      <c r="M436" s="382">
        <f>IFERROR(IF(B436="Funkcna poziadavka",VLOOKUP(G436,MODULY_CBA!$B$3:$E$23,3,0),),)</f>
        <v>0</v>
      </c>
      <c r="N436" s="382">
        <f>IFERROR(IF(B436="funkcna poziadavka",VLOOKUP(G436,MODULY_CBA!$B$3:$E$23,2,0),),)</f>
        <v>0</v>
      </c>
      <c r="O436" s="381">
        <f t="shared" si="33"/>
        <v>0</v>
      </c>
      <c r="P436" s="380">
        <f>IFERROR(O436*VLOOKUP(G436,MODULY_CBA!$B$3:$F$23,5,0),)</f>
        <v>0</v>
      </c>
    </row>
    <row r="437" spans="1:16" ht="39">
      <c r="A437" s="404" t="s">
        <v>1814</v>
      </c>
      <c r="B437" s="404" t="s">
        <v>1158</v>
      </c>
      <c r="C437" s="535" t="s">
        <v>491</v>
      </c>
      <c r="D437" s="535" t="s">
        <v>1815</v>
      </c>
      <c r="E437" s="535" t="s">
        <v>1816</v>
      </c>
      <c r="F437" s="686" t="s">
        <v>489</v>
      </c>
      <c r="G437" s="386" t="s">
        <v>281</v>
      </c>
      <c r="H437" s="382">
        <v>3</v>
      </c>
      <c r="I437" s="644">
        <v>15</v>
      </c>
      <c r="J437" s="382">
        <f t="shared" si="31"/>
        <v>3</v>
      </c>
      <c r="K437" s="382">
        <f t="shared" si="32"/>
        <v>45</v>
      </c>
      <c r="L437" s="646">
        <f>IFERROR(IF(B437="funkcna poziadavka",VLOOKUP(G437,MODULY_CBA!$B$3:$E$23,4,0)*H437/SUMIFS($H$3:$H$199,$G$3:$G$199,G437,$B$3:$B$199,B437),),)</f>
        <v>0</v>
      </c>
      <c r="M437" s="382">
        <f>IFERROR(IF(B437="Funkcna poziadavka",VLOOKUP(G437,MODULY_CBA!$B$3:$E$23,3,0),),)</f>
        <v>0</v>
      </c>
      <c r="N437" s="382">
        <f>IFERROR(IF(B437="funkcna poziadavka",VLOOKUP(G437,MODULY_CBA!$B$3:$E$23,2,0),),)</f>
        <v>0</v>
      </c>
      <c r="O437" s="381">
        <f t="shared" si="33"/>
        <v>0</v>
      </c>
      <c r="P437" s="380">
        <f>IFERROR(O437*VLOOKUP(G437,MODULY_CBA!$B$3:$F$23,5,0),)</f>
        <v>0</v>
      </c>
    </row>
    <row r="438" spans="1:16" ht="39">
      <c r="A438" s="404" t="s">
        <v>1817</v>
      </c>
      <c r="B438" s="404" t="s">
        <v>1158</v>
      </c>
      <c r="C438" s="535" t="s">
        <v>486</v>
      </c>
      <c r="D438" s="535" t="s">
        <v>1818</v>
      </c>
      <c r="E438" s="535" t="s">
        <v>1819</v>
      </c>
      <c r="F438" s="686" t="s">
        <v>489</v>
      </c>
      <c r="G438" s="386" t="s">
        <v>281</v>
      </c>
      <c r="H438" s="382">
        <v>3</v>
      </c>
      <c r="I438" s="644">
        <v>15</v>
      </c>
      <c r="J438" s="382">
        <f t="shared" si="31"/>
        <v>3</v>
      </c>
      <c r="K438" s="382">
        <f t="shared" si="32"/>
        <v>45</v>
      </c>
      <c r="L438" s="646">
        <f>IFERROR(IF(B438="funkcna poziadavka",VLOOKUP(G438,MODULY_CBA!$B$3:$E$23,4,0)*H438/SUMIFS($H$3:$H$199,$G$3:$G$199,G438,$B$3:$B$199,B438),),)</f>
        <v>0</v>
      </c>
      <c r="M438" s="382">
        <f>IFERROR(IF(B438="Funkcna poziadavka",VLOOKUP(G438,MODULY_CBA!$B$3:$E$23,3,0),),)</f>
        <v>0</v>
      </c>
      <c r="N438" s="382">
        <f>IFERROR(IF(B438="funkcna poziadavka",VLOOKUP(G438,MODULY_CBA!$B$3:$E$23,2,0),),)</f>
        <v>0</v>
      </c>
      <c r="O438" s="381">
        <f t="shared" si="33"/>
        <v>0</v>
      </c>
      <c r="P438" s="380">
        <f>IFERROR(O438*VLOOKUP(G438,MODULY_CBA!$B$3:$F$23,5,0),)</f>
        <v>0</v>
      </c>
    </row>
    <row r="439" spans="1:16" ht="39">
      <c r="A439" s="404" t="s">
        <v>1820</v>
      </c>
      <c r="B439" s="689" t="s">
        <v>1158</v>
      </c>
      <c r="C439" s="535" t="s">
        <v>486</v>
      </c>
      <c r="D439" s="535" t="s">
        <v>1821</v>
      </c>
      <c r="E439" s="535" t="s">
        <v>1822</v>
      </c>
      <c r="F439" s="686" t="s">
        <v>489</v>
      </c>
      <c r="G439" s="386" t="s">
        <v>281</v>
      </c>
      <c r="H439" s="382">
        <v>3</v>
      </c>
      <c r="I439" s="644">
        <v>15</v>
      </c>
      <c r="J439" s="382">
        <f t="shared" si="31"/>
        <v>3</v>
      </c>
      <c r="K439" s="382">
        <f t="shared" si="32"/>
        <v>45</v>
      </c>
      <c r="L439" s="646">
        <f>IFERROR(IF(B439="funkcna poziadavka",VLOOKUP(G439,MODULY_CBA!$B$3:$E$23,4,0)*H439/SUMIFS($H$3:$H$199,$G$3:$G$199,G439,$B$3:$B$199,B439),),)</f>
        <v>0</v>
      </c>
      <c r="M439" s="382">
        <f>IFERROR(IF(B439="Funkcna poziadavka",VLOOKUP(G439,MODULY_CBA!$B$3:$E$23,3,0),),)</f>
        <v>0</v>
      </c>
      <c r="N439" s="382">
        <f>IFERROR(IF(B439="funkcna poziadavka",VLOOKUP(G439,MODULY_CBA!$B$3:$E$23,2,0),),)</f>
        <v>0</v>
      </c>
      <c r="O439" s="381">
        <f t="shared" si="33"/>
        <v>0</v>
      </c>
      <c r="P439" s="380">
        <f>IFERROR(O439*VLOOKUP(G439,MODULY_CBA!$B$3:$F$23,5,0),)</f>
        <v>0</v>
      </c>
    </row>
    <row r="440" spans="1:16" ht="26">
      <c r="A440" s="404" t="s">
        <v>1823</v>
      </c>
      <c r="B440" s="404" t="s">
        <v>1158</v>
      </c>
      <c r="C440" s="535" t="s">
        <v>486</v>
      </c>
      <c r="D440" s="535" t="s">
        <v>1824</v>
      </c>
      <c r="E440" s="535" t="s">
        <v>1825</v>
      </c>
      <c r="F440" s="686" t="s">
        <v>489</v>
      </c>
      <c r="G440" s="386" t="s">
        <v>248</v>
      </c>
      <c r="H440" s="382">
        <v>3</v>
      </c>
      <c r="I440" s="644">
        <v>15</v>
      </c>
      <c r="J440" s="382">
        <f t="shared" si="31"/>
        <v>3</v>
      </c>
      <c r="K440" s="382">
        <f t="shared" si="32"/>
        <v>45</v>
      </c>
      <c r="L440" s="646">
        <f>IFERROR(IF(B440="funkcna poziadavka",VLOOKUP(G440,MODULY_CBA!$B$3:$E$23,4,0)*H440/SUMIFS($H$3:$H$199,$G$3:$G$199,G440,$B$3:$B$199,B440),),)</f>
        <v>0</v>
      </c>
      <c r="M440" s="382">
        <f>IFERROR(IF(B440="Funkcna poziadavka",VLOOKUP(G440,MODULY_CBA!$B$3:$E$23,3,0),),)</f>
        <v>0</v>
      </c>
      <c r="N440" s="382">
        <f>IFERROR(IF(B440="funkcna poziadavka",VLOOKUP(G440,MODULY_CBA!$B$3:$E$23,2,0),),)</f>
        <v>0</v>
      </c>
      <c r="O440" s="381">
        <f t="shared" si="33"/>
        <v>0</v>
      </c>
      <c r="P440" s="380">
        <f>IFERROR(O440*VLOOKUP(G440,MODULY_CBA!$B$3:$F$23,5,0),)</f>
        <v>0</v>
      </c>
    </row>
    <row r="441" spans="1:16" ht="39">
      <c r="A441" s="404" t="s">
        <v>1826</v>
      </c>
      <c r="B441" s="404" t="s">
        <v>1158</v>
      </c>
      <c r="C441" s="535" t="s">
        <v>486</v>
      </c>
      <c r="D441" s="535" t="s">
        <v>1827</v>
      </c>
      <c r="E441" s="535" t="s">
        <v>1828</v>
      </c>
      <c r="F441" s="686" t="s">
        <v>489</v>
      </c>
      <c r="G441" s="386" t="s">
        <v>281</v>
      </c>
      <c r="H441" s="382">
        <v>3</v>
      </c>
      <c r="I441" s="644">
        <v>15</v>
      </c>
      <c r="J441" s="382">
        <f t="shared" si="31"/>
        <v>3</v>
      </c>
      <c r="K441" s="382">
        <f t="shared" si="32"/>
        <v>45</v>
      </c>
      <c r="L441" s="646">
        <f>IFERROR(IF(B441="funkcna poziadavka",VLOOKUP(G441,MODULY_CBA!$B$3:$E$23,4,0)*H441/SUMIFS($H$3:$H$199,$G$3:$G$199,G441,$B$3:$B$199,B441),),)</f>
        <v>0</v>
      </c>
      <c r="M441" s="382">
        <f>IFERROR(IF(B441="Funkcna poziadavka",VLOOKUP(G441,MODULY_CBA!$B$3:$E$23,3,0),),)</f>
        <v>0</v>
      </c>
      <c r="N441" s="382">
        <f>IFERROR(IF(B441="funkcna poziadavka",VLOOKUP(G441,MODULY_CBA!$B$3:$E$23,2,0),),)</f>
        <v>0</v>
      </c>
      <c r="O441" s="381">
        <f t="shared" si="33"/>
        <v>0</v>
      </c>
      <c r="P441" s="380">
        <f>IFERROR(O441*VLOOKUP(G441,MODULY_CBA!$B$3:$F$23,5,0),)</f>
        <v>0</v>
      </c>
    </row>
    <row r="442" spans="1:16" ht="39">
      <c r="A442" s="404" t="s">
        <v>1829</v>
      </c>
      <c r="B442" s="404" t="s">
        <v>1158</v>
      </c>
      <c r="C442" s="535" t="s">
        <v>486</v>
      </c>
      <c r="D442" s="535" t="s">
        <v>1830</v>
      </c>
      <c r="E442" s="535" t="s">
        <v>1831</v>
      </c>
      <c r="F442" s="686" t="s">
        <v>489</v>
      </c>
      <c r="G442" s="386" t="s">
        <v>281</v>
      </c>
      <c r="H442" s="382">
        <v>3</v>
      </c>
      <c r="I442" s="644">
        <v>15</v>
      </c>
      <c r="J442" s="382">
        <f t="shared" si="31"/>
        <v>3</v>
      </c>
      <c r="K442" s="382">
        <f t="shared" si="32"/>
        <v>45</v>
      </c>
      <c r="L442" s="646">
        <f>IFERROR(IF(B442="funkcna poziadavka",VLOOKUP(G442,MODULY_CBA!$B$3:$E$23,4,0)*H442/SUMIFS($H$3:$H$199,$G$3:$G$199,G442,$B$3:$B$199,B442),),)</f>
        <v>0</v>
      </c>
      <c r="M442" s="382">
        <f>IFERROR(IF(B442="Funkcna poziadavka",VLOOKUP(G442,MODULY_CBA!$B$3:$E$23,3,0),),)</f>
        <v>0</v>
      </c>
      <c r="N442" s="382">
        <f>IFERROR(IF(B442="funkcna poziadavka",VLOOKUP(G442,MODULY_CBA!$B$3:$E$23,2,0),),)</f>
        <v>0</v>
      </c>
      <c r="O442" s="381">
        <f t="shared" si="33"/>
        <v>0</v>
      </c>
      <c r="P442" s="380">
        <f>IFERROR(O442*VLOOKUP(G442,MODULY_CBA!$B$3:$F$23,5,0),)</f>
        <v>0</v>
      </c>
    </row>
    <row r="443" spans="1:16" ht="39">
      <c r="A443" s="404" t="s">
        <v>1832</v>
      </c>
      <c r="B443" s="404" t="s">
        <v>1158</v>
      </c>
      <c r="C443" s="535" t="s">
        <v>535</v>
      </c>
      <c r="D443" s="535" t="s">
        <v>1833</v>
      </c>
      <c r="E443" s="535" t="s">
        <v>1834</v>
      </c>
      <c r="F443" s="686" t="s">
        <v>489</v>
      </c>
      <c r="G443" s="386" t="s">
        <v>253</v>
      </c>
      <c r="H443" s="382">
        <v>3</v>
      </c>
      <c r="I443" s="644">
        <v>15</v>
      </c>
      <c r="J443" s="382">
        <f t="shared" si="31"/>
        <v>3</v>
      </c>
      <c r="K443" s="382">
        <f t="shared" si="32"/>
        <v>45</v>
      </c>
      <c r="L443" s="646">
        <f>IFERROR(IF(B443="funkcna poziadavka",VLOOKUP(G443,MODULY_CBA!$B$3:$E$23,4,0)*H443/SUMIFS($H$3:$H$199,$G$3:$G$199,G443,$B$3:$B$199,B443),),)</f>
        <v>0</v>
      </c>
      <c r="M443" s="382">
        <f>IFERROR(IF(B443="Funkcna poziadavka",VLOOKUP(G443,MODULY_CBA!$B$3:$E$23,3,0),),)</f>
        <v>0</v>
      </c>
      <c r="N443" s="382">
        <f>IFERROR(IF(B443="funkcna poziadavka",VLOOKUP(G443,MODULY_CBA!$B$3:$E$23,2,0),),)</f>
        <v>0</v>
      </c>
      <c r="O443" s="381">
        <f t="shared" si="33"/>
        <v>0</v>
      </c>
      <c r="P443" s="380">
        <f>IFERROR(O443*VLOOKUP(G443,MODULY_CBA!$B$3:$F$23,5,0),)</f>
        <v>0</v>
      </c>
    </row>
    <row r="444" spans="1:16" ht="39">
      <c r="A444" s="404" t="s">
        <v>1835</v>
      </c>
      <c r="B444" s="404" t="s">
        <v>1158</v>
      </c>
      <c r="C444" s="535" t="s">
        <v>535</v>
      </c>
      <c r="D444" s="535" t="s">
        <v>1836</v>
      </c>
      <c r="E444" s="535" t="s">
        <v>1837</v>
      </c>
      <c r="F444" s="686" t="s">
        <v>489</v>
      </c>
      <c r="G444" s="386" t="s">
        <v>251</v>
      </c>
      <c r="H444" s="382">
        <v>3</v>
      </c>
      <c r="I444" s="644">
        <v>15</v>
      </c>
      <c r="J444" s="382">
        <f t="shared" si="31"/>
        <v>3</v>
      </c>
      <c r="K444" s="382">
        <f t="shared" si="32"/>
        <v>45</v>
      </c>
      <c r="L444" s="646">
        <f>IFERROR(IF(B444="funkcna poziadavka",VLOOKUP(G444,MODULY_CBA!$B$3:$E$23,4,0)*H444/SUMIFS($H$3:$H$199,$G$3:$G$199,G444,$B$3:$B$199,B444),),)</f>
        <v>0</v>
      </c>
      <c r="M444" s="382">
        <f>IFERROR(IF(B444="Funkcna poziadavka",VLOOKUP(G444,MODULY_CBA!$B$3:$E$23,3,0),),)</f>
        <v>0</v>
      </c>
      <c r="N444" s="382">
        <f>IFERROR(IF(B444="funkcna poziadavka",VLOOKUP(G444,MODULY_CBA!$B$3:$E$23,2,0),),)</f>
        <v>0</v>
      </c>
      <c r="O444" s="381">
        <f t="shared" si="33"/>
        <v>0</v>
      </c>
      <c r="P444" s="380">
        <f>IFERROR(O444*VLOOKUP(G444,MODULY_CBA!$B$3:$F$23,5,0),)</f>
        <v>0</v>
      </c>
    </row>
    <row r="445" spans="1:16" ht="39">
      <c r="A445" s="404" t="s">
        <v>1838</v>
      </c>
      <c r="B445" s="404" t="s">
        <v>1158</v>
      </c>
      <c r="C445" s="535" t="s">
        <v>491</v>
      </c>
      <c r="D445" s="535" t="s">
        <v>1839</v>
      </c>
      <c r="E445" s="535" t="s">
        <v>1840</v>
      </c>
      <c r="F445" s="686" t="s">
        <v>489</v>
      </c>
      <c r="G445" s="386" t="s">
        <v>251</v>
      </c>
      <c r="H445" s="382">
        <v>3</v>
      </c>
      <c r="I445" s="644">
        <v>15</v>
      </c>
      <c r="J445" s="382">
        <f t="shared" si="31"/>
        <v>3</v>
      </c>
      <c r="K445" s="382">
        <f t="shared" si="32"/>
        <v>45</v>
      </c>
      <c r="L445" s="646">
        <f>IFERROR(IF(B445="funkcna poziadavka",VLOOKUP(G445,MODULY_CBA!$B$3:$E$23,4,0)*H445/SUMIFS($H$3:$H$199,$G$3:$G$199,G445,$B$3:$B$199,B445),),)</f>
        <v>0</v>
      </c>
      <c r="M445" s="382">
        <f>IFERROR(IF(B445="Funkcna poziadavka",VLOOKUP(G445,MODULY_CBA!$B$3:$E$23,3,0),),)</f>
        <v>0</v>
      </c>
      <c r="N445" s="382">
        <f>IFERROR(IF(B445="funkcna poziadavka",VLOOKUP(G445,MODULY_CBA!$B$3:$E$23,2,0),),)</f>
        <v>0</v>
      </c>
      <c r="O445" s="381">
        <f t="shared" si="33"/>
        <v>0</v>
      </c>
      <c r="P445" s="380">
        <f>IFERROR(O445*VLOOKUP(G445,MODULY_CBA!$B$3:$F$23,5,0),)</f>
        <v>0</v>
      </c>
    </row>
    <row r="446" spans="1:16" ht="39">
      <c r="A446" s="404" t="s">
        <v>1841</v>
      </c>
      <c r="B446" s="404" t="s">
        <v>1158</v>
      </c>
      <c r="C446" s="535" t="s">
        <v>535</v>
      </c>
      <c r="D446" s="535" t="s">
        <v>1842</v>
      </c>
      <c r="E446" s="535" t="s">
        <v>1843</v>
      </c>
      <c r="F446" s="686" t="s">
        <v>489</v>
      </c>
      <c r="G446" s="386" t="s">
        <v>253</v>
      </c>
      <c r="H446" s="382">
        <v>3</v>
      </c>
      <c r="I446" s="644">
        <v>15</v>
      </c>
      <c r="J446" s="382">
        <f t="shared" si="31"/>
        <v>3</v>
      </c>
      <c r="K446" s="382">
        <f t="shared" si="32"/>
        <v>45</v>
      </c>
      <c r="L446" s="646">
        <f>IFERROR(IF(B446="funkcna poziadavka",VLOOKUP(G446,MODULY_CBA!$B$3:$E$23,4,0)*H446/SUMIFS($H$3:$H$199,$G$3:$G$199,G446,$B$3:$B$199,B446),),)</f>
        <v>0</v>
      </c>
      <c r="M446" s="382">
        <f>IFERROR(IF(B446="Funkcna poziadavka",VLOOKUP(G446,MODULY_CBA!$B$3:$E$23,3,0),),)</f>
        <v>0</v>
      </c>
      <c r="N446" s="382">
        <f>IFERROR(IF(B446="funkcna poziadavka",VLOOKUP(G446,MODULY_CBA!$B$3:$E$23,2,0),),)</f>
        <v>0</v>
      </c>
      <c r="O446" s="381">
        <f t="shared" si="33"/>
        <v>0</v>
      </c>
      <c r="P446" s="380">
        <f>IFERROR(O446*VLOOKUP(G446,MODULY_CBA!$B$3:$F$23,5,0),)</f>
        <v>0</v>
      </c>
    </row>
    <row r="447" spans="1:16" ht="52">
      <c r="A447" s="404" t="s">
        <v>1844</v>
      </c>
      <c r="B447" s="404" t="s">
        <v>1158</v>
      </c>
      <c r="C447" s="535" t="s">
        <v>842</v>
      </c>
      <c r="D447" s="535" t="s">
        <v>1845</v>
      </c>
      <c r="E447" s="535" t="s">
        <v>1846</v>
      </c>
      <c r="F447" s="686" t="s">
        <v>489</v>
      </c>
      <c r="G447" s="386" t="s">
        <v>267</v>
      </c>
      <c r="H447" s="382">
        <v>3</v>
      </c>
      <c r="I447" s="644">
        <v>15</v>
      </c>
      <c r="J447" s="382">
        <f t="shared" si="31"/>
        <v>3</v>
      </c>
      <c r="K447" s="382">
        <f t="shared" si="32"/>
        <v>45</v>
      </c>
      <c r="L447" s="646">
        <f>IFERROR(IF(B447="funkcna poziadavka",VLOOKUP(G447,MODULY_CBA!$B$3:$E$23,4,0)*H447/SUMIFS($H$3:$H$199,$G$3:$G$199,G447,$B$3:$B$199,B447),),)</f>
        <v>0</v>
      </c>
      <c r="M447" s="382">
        <f>IFERROR(IF(B447="Funkcna poziadavka",VLOOKUP(G447,MODULY_CBA!$B$3:$E$23,3,0),),)</f>
        <v>0</v>
      </c>
      <c r="N447" s="382">
        <f>IFERROR(IF(B447="funkcna poziadavka",VLOOKUP(G447,MODULY_CBA!$B$3:$E$23,2,0),),)</f>
        <v>0</v>
      </c>
      <c r="O447" s="381">
        <f t="shared" si="33"/>
        <v>0</v>
      </c>
      <c r="P447" s="380">
        <f>IFERROR(O447*VLOOKUP(G447,MODULY_CBA!$B$3:$F$23,5,0),)</f>
        <v>0</v>
      </c>
    </row>
    <row r="448" spans="1:16" ht="39">
      <c r="A448" s="404" t="s">
        <v>1847</v>
      </c>
      <c r="B448" s="404" t="s">
        <v>1158</v>
      </c>
      <c r="C448" s="535" t="s">
        <v>842</v>
      </c>
      <c r="D448" s="535" t="s">
        <v>1848</v>
      </c>
      <c r="E448" s="535" t="s">
        <v>1849</v>
      </c>
      <c r="F448" s="686" t="s">
        <v>489</v>
      </c>
      <c r="G448" s="386" t="s">
        <v>267</v>
      </c>
      <c r="H448" s="382">
        <v>3</v>
      </c>
      <c r="I448" s="644">
        <v>15</v>
      </c>
      <c r="J448" s="382">
        <f t="shared" si="31"/>
        <v>3</v>
      </c>
      <c r="K448" s="382">
        <f t="shared" si="32"/>
        <v>45</v>
      </c>
      <c r="L448" s="646">
        <f>IFERROR(IF(B448="funkcna poziadavka",VLOOKUP(G448,MODULY_CBA!$B$3:$E$23,4,0)*H448/SUMIFS($H$3:$H$199,$G$3:$G$199,G448,$B$3:$B$199,B448),),)</f>
        <v>0</v>
      </c>
      <c r="M448" s="382">
        <f>IFERROR(IF(B448="Funkcna poziadavka",VLOOKUP(G448,MODULY_CBA!$B$3:$E$23,3,0),),)</f>
        <v>0</v>
      </c>
      <c r="N448" s="382">
        <f>IFERROR(IF(B448="funkcna poziadavka",VLOOKUP(G448,MODULY_CBA!$B$3:$E$23,2,0),),)</f>
        <v>0</v>
      </c>
      <c r="O448" s="381">
        <f t="shared" si="33"/>
        <v>0</v>
      </c>
      <c r="P448" s="380">
        <f>IFERROR(O448*VLOOKUP(G448,MODULY_CBA!$B$3:$F$23,5,0),)</f>
        <v>0</v>
      </c>
    </row>
  </sheetData>
  <autoFilter ref="A2:AE399" xr:uid="{00000000-0009-0000-0000-00000B000000}"/>
  <mergeCells count="4">
    <mergeCell ref="T1:V1"/>
    <mergeCell ref="W1:AC1"/>
    <mergeCell ref="AD1:AE1"/>
    <mergeCell ref="A1:S1"/>
  </mergeCells>
  <phoneticPr fontId="56" type="noConversion"/>
  <conditionalFormatting sqref="H3:I448">
    <cfRule type="expression" dxfId="17" priority="1">
      <formula>$B3="Funkcna poziadavka"</formula>
    </cfRule>
  </conditionalFormatting>
  <conditionalFormatting sqref="J3:P448">
    <cfRule type="expression" dxfId="16" priority="2">
      <formula>$B3="funkcna poziadavka"</formula>
    </cfRule>
  </conditionalFormatting>
  <dataValidations count="3">
    <dataValidation type="list" allowBlank="1" showInputMessage="1" showErrorMessage="1" sqref="I3:I448" xr:uid="{00000000-0002-0000-0B00-000000000000}">
      <formula1>"5,10,15"</formula1>
    </dataValidation>
    <dataValidation type="list" allowBlank="1" showInputMessage="1" showErrorMessage="1" sqref="G449:G1048576" xr:uid="{00000000-0002-0000-0B00-000001000000}">
      <formula1>Moduly_2</formula1>
    </dataValidation>
    <dataValidation type="list" allowBlank="1" showInputMessage="1" showErrorMessage="1" sqref="B221:B448 B110 B113 B117:B118 B148 B172 B194 B213" xr:uid="{00000000-0002-0000-0B00-000002000000}">
      <formula1>"Funkcna poziadavka, Ne-Funkcna poziadavka, Technicka poziadavka"</formula1>
    </dataValidation>
  </dataValidations>
  <pageMargins left="0.7" right="0.7" top="0.75" bottom="0.75" header="0.3" footer="0.3"/>
  <pageSetup paperSize="9" orientation="portrait" horizontalDpi="4294967293" verticalDpi="12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árok27">
    <tabColor rgb="FFFFC000"/>
  </sheetPr>
  <dimension ref="A1:G17"/>
  <sheetViews>
    <sheetView workbookViewId="0">
      <pane xSplit="2" ySplit="4" topLeftCell="D11" activePane="bottomRight" state="frozen"/>
      <selection pane="topRight" activeCell="C1" sqref="C1"/>
      <selection pane="bottomLeft" activeCell="A5" sqref="A5"/>
      <selection pane="bottomRight" activeCell="F16" sqref="F16"/>
    </sheetView>
  </sheetViews>
  <sheetFormatPr defaultColWidth="8.81640625" defaultRowHeight="13"/>
  <cols>
    <col min="1" max="1" width="40" style="410" customWidth="1"/>
    <col min="2" max="2" width="11.1796875" style="410" customWidth="1"/>
    <col min="3" max="3" width="11.1796875" style="410" hidden="1" customWidth="1"/>
    <col min="4" max="4" width="55.453125" style="410" customWidth="1"/>
    <col min="5" max="7" width="10.81640625" style="410" customWidth="1"/>
    <col min="8" max="16384" width="8.81640625" style="410"/>
  </cols>
  <sheetData>
    <row r="1" spans="1:7" ht="13.5" thickBot="1">
      <c r="A1" s="610" t="s">
        <v>1850</v>
      </c>
      <c r="B1" s="609">
        <f>SUM(G5:G17)</f>
        <v>54</v>
      </c>
      <c r="C1" s="609"/>
    </row>
    <row r="2" spans="1:7" ht="13.5" thickBot="1">
      <c r="A2" s="610" t="s">
        <v>228</v>
      </c>
      <c r="B2" s="613">
        <f>0.6 + (0.01*B1)</f>
        <v>1.1400000000000001</v>
      </c>
      <c r="C2" s="614"/>
    </row>
    <row r="4" spans="1:7" s="622" customFormat="1">
      <c r="A4" s="618" t="s">
        <v>208</v>
      </c>
      <c r="B4" s="619" t="s">
        <v>1851</v>
      </c>
      <c r="C4" s="618" t="s">
        <v>1852</v>
      </c>
      <c r="D4" s="618" t="s">
        <v>1853</v>
      </c>
      <c r="E4" s="620" t="s">
        <v>1854</v>
      </c>
      <c r="F4" s="621" t="s">
        <v>283</v>
      </c>
      <c r="G4" s="621" t="s">
        <v>1855</v>
      </c>
    </row>
    <row r="5" spans="1:7" ht="36" customHeight="1">
      <c r="A5" s="605" t="s">
        <v>1856</v>
      </c>
      <c r="B5" s="604" t="s">
        <v>284</v>
      </c>
      <c r="C5" s="604">
        <v>1</v>
      </c>
      <c r="D5" s="616" t="str">
        <f>HLOOKUP(F5,Parametre_ECF_TCF!$B$1:$G$14,TCF_v02!C5+1,0)</f>
        <v>Aplikačné spracovanie je distribuované a údaje sa prenášajú oboma smermi.</v>
      </c>
      <c r="E5" s="606">
        <v>1</v>
      </c>
      <c r="F5" s="607">
        <v>4</v>
      </c>
      <c r="G5" s="608">
        <f>E5*F5</f>
        <v>4</v>
      </c>
    </row>
    <row r="6" spans="1:7" ht="78">
      <c r="A6" s="605" t="s">
        <v>1857</v>
      </c>
      <c r="B6" s="604" t="s">
        <v>291</v>
      </c>
      <c r="C6" s="604">
        <v>2</v>
      </c>
      <c r="D6" s="616" t="str">
        <f>HLOOKUP(F6,Parametre_ECF_TCF!$B$1:$G$14,TCF_v02!C6+1,0)</f>
        <v>Čas odozvy a prenosové rýchlosti sú kritické počas komerčných hodín. Nie je potrebný žiadny špeciálny dizajn pre použitie jadra procesora. Požiadavky týkajúce sa lehôt na komunikáciu s prepojenými systémami sú obmedzujúce. 
Zároveň sú výkonnostné požiadavky dostatočne obmedzujúce na to, aby sa pri ich návrhu vyžadovali úlohy spojené s analýzou výkonu.</v>
      </c>
      <c r="E6" s="606">
        <v>1</v>
      </c>
      <c r="F6" s="607">
        <v>4</v>
      </c>
      <c r="G6" s="608">
        <f t="shared" ref="G6:G17" si="0">E6*F6</f>
        <v>4</v>
      </c>
    </row>
    <row r="7" spans="1:7" ht="182">
      <c r="A7" s="605" t="s">
        <v>1858</v>
      </c>
      <c r="B7" s="604" t="s">
        <v>298</v>
      </c>
      <c r="C7" s="604">
        <v>3</v>
      </c>
      <c r="D7" s="616" t="str">
        <f>HLOOKUP(F7,Parametre_ECF_TCF!$B$1:$G$14,TCF_v02!C7+1,0)</f>
        <v>Aplikácia vyžaduje 6 alebo viac z nižšie uvedených položiek a požiadavky na efektivitu používateľa sú také silné, že dizajn musí obsahovať funkcie na minimalizáciu písania, maximalizáciu predvolených nastavení, použitie šablón atď.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v>
      </c>
      <c r="E7" s="606">
        <v>1</v>
      </c>
      <c r="F7" s="607">
        <v>4</v>
      </c>
      <c r="G7" s="608">
        <f t="shared" si="0"/>
        <v>4</v>
      </c>
    </row>
    <row r="8" spans="1:7" ht="156">
      <c r="A8" s="605" t="s">
        <v>1859</v>
      </c>
      <c r="B8" s="604" t="s">
        <v>305</v>
      </c>
      <c r="C8" s="604">
        <v>4</v>
      </c>
      <c r="D8" s="616" t="str">
        <f>HLOOKUP(F8,Parametre_ECF_TCF!$B$1:$G$14,TCF_v02!C8+1,0)</f>
        <v>Z možností uvedených nižsie sú potrebné 4: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v>
      </c>
      <c r="E8" s="606">
        <v>1</v>
      </c>
      <c r="F8" s="607">
        <v>4</v>
      </c>
      <c r="G8" s="608">
        <f t="shared" si="0"/>
        <v>4</v>
      </c>
    </row>
    <row r="9" spans="1:7" ht="26">
      <c r="A9" s="605" t="s">
        <v>1860</v>
      </c>
      <c r="B9" s="604" t="s">
        <v>312</v>
      </c>
      <c r="C9" s="604">
        <v>5</v>
      </c>
      <c r="D9" s="616" t="str">
        <f>HLOOKUP(F9,Parametre_ECF_TCF!$B$1:$G$14,TCF_v02!C9+1,0)</f>
        <v>10% alebo viac aplikácie musí brať do úvahy viac, ako potrebuje používateľ.</v>
      </c>
      <c r="E9" s="606">
        <v>1</v>
      </c>
      <c r="F9" s="607">
        <v>3</v>
      </c>
      <c r="G9" s="608">
        <f t="shared" si="0"/>
        <v>3</v>
      </c>
    </row>
    <row r="10" spans="1:7" ht="65">
      <c r="A10" s="605" t="s">
        <v>1861</v>
      </c>
      <c r="B10" s="604" t="s">
        <v>319</v>
      </c>
      <c r="C10" s="604">
        <v>6</v>
      </c>
      <c r="D10" s="616" t="str">
        <f>HLOOKUP(F10,Parametre_ECF_TCF!$B$1:$G$14,TCF_v02!C10+1,0)</f>
        <v>Musia byť poskytnuté a otestované požiadavky stanovené klientom na prevod a inštaláciu údajov a príručky na prevod a inštaláciu. Dopad konverzie v projekte sa nepovažuje za dôležitý.
Zároveň musia byť poskytnuté a vyskúšané nástroje na automatickú konverziu a inštaláciu.</v>
      </c>
      <c r="E10" s="606">
        <v>0.5</v>
      </c>
      <c r="F10" s="607">
        <v>4</v>
      </c>
      <c r="G10" s="608">
        <f t="shared" si="0"/>
        <v>2</v>
      </c>
    </row>
    <row r="11" spans="1:7" ht="130">
      <c r="A11" s="605" t="s">
        <v>1862</v>
      </c>
      <c r="B11" s="604" t="s">
        <v>326</v>
      </c>
      <c r="C11" s="604">
        <v>7</v>
      </c>
      <c r="D11" s="616" t="str">
        <f>HLOOKUP(F11,Parametre_ECF_TCF!$B$1:$G$14,TCF_v02!C11+1,0)</f>
        <v>Pre systém platia 4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v>
      </c>
      <c r="E11" s="606">
        <v>0.5</v>
      </c>
      <c r="F11" s="607">
        <v>4</v>
      </c>
      <c r="G11" s="608">
        <f t="shared" si="0"/>
        <v>2</v>
      </c>
    </row>
    <row r="12" spans="1:7" ht="102.75" customHeight="1">
      <c r="A12" s="605" t="s">
        <v>1863</v>
      </c>
      <c r="B12" s="604" t="s">
        <v>333</v>
      </c>
      <c r="C12" s="604">
        <v>8</v>
      </c>
      <c r="D12" s="616" t="str">
        <f>HLOOKUP(F12,Parametre_ECF_TCF!$B$1:$G$14,TCF_v02!C12+1,0)</f>
        <v>Návrh musí:
 - brať do úvahy potrebu fungovania systému na rôznych platformách, ale aplikácia musí byť navrhnutá tak, aby fungovala iba v identických hardvérových a softvérových prostrediach.
Zároveň musí byť vypracovaná a otestovaná dokumentácia a plán údržby na podporu prevádzky na viacerých platformách
 - ALEBO zohľadňovať potrebu systému pracovať na rôznych platformách, ale aplikácia musí byť navrhnutá tak, aby fungovala iba v podobných hardvérových a softvérových prostrediach
Zároveň 2 musí byť vypracovaná a otestovaná dokumentácia a plán údržby na podporu prevádzky na viacerých platformách</v>
      </c>
      <c r="E12" s="606">
        <v>2</v>
      </c>
      <c r="F12" s="607">
        <v>4</v>
      </c>
      <c r="G12" s="608">
        <f t="shared" si="0"/>
        <v>8</v>
      </c>
    </row>
    <row r="13" spans="1:7" ht="234">
      <c r="A13" s="605" t="s">
        <v>1864</v>
      </c>
      <c r="B13" s="604" t="s">
        <v>340</v>
      </c>
      <c r="C13" s="604">
        <v>9</v>
      </c>
      <c r="D13" s="616" t="str">
        <f>HLOOKUP(F13,Parametre_ECF_TCF!$B$1:$G$14,TCF_v02!C13+1,0)</f>
        <v>Z nasledovných možností musia byť splnených 5 alebo viac: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v>
      </c>
      <c r="E13" s="606">
        <v>1</v>
      </c>
      <c r="F13" s="607">
        <v>5</v>
      </c>
      <c r="G13" s="608">
        <f t="shared" si="0"/>
        <v>5</v>
      </c>
    </row>
    <row r="14" spans="1:7" ht="48.75" customHeight="1">
      <c r="A14" s="605" t="s">
        <v>1865</v>
      </c>
      <c r="B14" s="604" t="s">
        <v>346</v>
      </c>
      <c r="C14" s="604">
        <v>10</v>
      </c>
      <c r="D14" s="616" t="str">
        <f>HLOOKUP(F14,Parametre_ECF_TCF!$B$1:$G$14,TCF_v02!C14+1,0)</f>
        <v>Súčasný prístup k údajom sa očakáva neustále a zároveň, si táto situácia vynúti úlohy analýzy výkonu a zablokovanie riešenia počas návrhu.
Pričom budú potrebné na kontrolu prístupu aj špeciálne nástroje.</v>
      </c>
      <c r="E14" s="606">
        <v>1</v>
      </c>
      <c r="F14" s="607">
        <v>5</v>
      </c>
      <c r="G14" s="608">
        <f t="shared" si="0"/>
        <v>5</v>
      </c>
    </row>
    <row r="15" spans="1:7" ht="91">
      <c r="A15" s="605" t="s">
        <v>1866</v>
      </c>
      <c r="B15" s="604" t="s">
        <v>353</v>
      </c>
      <c r="C15" s="604">
        <v>11</v>
      </c>
      <c r="D15" s="616" t="str">
        <f>HLOOKUP(F15,Parametre_ECF_TCF!$B$1:$G$14,TCF_v02!C15+1,0)</f>
        <v>Pri návrhu sa musí brať do úvahy potreba bezpečnosti.
Aplikácia musí byť navrhnutá tak, aby k nej mali prístup iba autorizovaní používatelia.
Zároveň bude kontrolovaný a kontrolovaný prístup do systému.
Rovnako bude potrebné vypracovať a otestovať bezpečnostný plán na podporu riadenia prístupu k aplikácii ako aj vypracovať a otestovať bezpečnostný plán, ktorý podporí sluch.</v>
      </c>
      <c r="E15" s="606">
        <v>1</v>
      </c>
      <c r="F15" s="607">
        <v>5</v>
      </c>
      <c r="G15" s="608">
        <f t="shared" si="0"/>
        <v>5</v>
      </c>
    </row>
    <row r="16" spans="1:7" ht="36" customHeight="1">
      <c r="A16" s="605" t="s">
        <v>1867</v>
      </c>
      <c r="B16" s="604" t="s">
        <v>360</v>
      </c>
      <c r="C16" s="604">
        <v>12</v>
      </c>
      <c r="D16" s="616" t="str">
        <f>HLOOKUP(F16,Parametre_ECF_TCF!$B$1:$G$14,TCF_v02!C16+1,0)</f>
        <v>V aplikácii sa použije pôvodný kód, ktorý je potrebné opraviť alebo je mu ťažko porozumieť.</v>
      </c>
      <c r="E16" s="606">
        <v>1</v>
      </c>
      <c r="F16" s="607">
        <v>4</v>
      </c>
      <c r="G16" s="608">
        <f t="shared" si="0"/>
        <v>4</v>
      </c>
    </row>
    <row r="17" spans="1:7" ht="40.4" customHeight="1">
      <c r="A17" s="605" t="s">
        <v>1868</v>
      </c>
      <c r="B17" s="604" t="s">
        <v>367</v>
      </c>
      <c r="C17" s="604">
        <v>13</v>
      </c>
      <c r="D17" s="616" t="str">
        <f>HLOOKUP(F17,Parametre_ECF_TCF!$B$1:$G$14,TCF_v02!C17+1,0)</f>
        <v>Pre prechodnú fázu musí byť vypracovaný a vykonaný podrobný plán výcviku.</v>
      </c>
      <c r="E17" s="606">
        <v>1</v>
      </c>
      <c r="F17" s="607">
        <v>4</v>
      </c>
      <c r="G17" s="608">
        <f t="shared" si="0"/>
        <v>4</v>
      </c>
    </row>
  </sheetData>
  <conditionalFormatting sqref="F5:G17">
    <cfRule type="expression" dxfId="15" priority="1">
      <formula>#REF!="NIE"</formula>
    </cfRule>
    <cfRule type="expression" dxfId="14" priority="2">
      <formula>#REF!="ANO"</formula>
    </cfRule>
  </conditionalFormatting>
  <dataValidations count="1">
    <dataValidation type="list" allowBlank="1" showInputMessage="1" showErrorMessage="1" sqref="F5:F17" xr:uid="{00000000-0002-0000-0C00-000000000000}">
      <formula1>"0,1,2,3,4,5"</formula1>
    </dataValidation>
  </dataValidations>
  <pageMargins left="0.7" right="0.7" top="0.75" bottom="0.75" header="0.3" footer="0.3"/>
  <pageSetup paperSize="9" orientation="portrait" horizontalDpi="4294967293"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árok28">
    <tabColor rgb="FFFFC000"/>
  </sheetPr>
  <dimension ref="A1:G12"/>
  <sheetViews>
    <sheetView workbookViewId="0">
      <pane ySplit="4" topLeftCell="A5" activePane="bottomLeft" state="frozen"/>
      <selection pane="bottomLeft" activeCell="F11" sqref="F11"/>
    </sheetView>
  </sheetViews>
  <sheetFormatPr defaultColWidth="8.81640625" defaultRowHeight="13"/>
  <cols>
    <col min="1" max="1" width="40" style="410" customWidth="1"/>
    <col min="2" max="2" width="11.1796875" style="410" customWidth="1"/>
    <col min="3" max="3" width="10.81640625" style="410" hidden="1" customWidth="1"/>
    <col min="4" max="4" width="55.7265625" style="410" customWidth="1"/>
    <col min="5" max="7" width="10.7265625" style="410" customWidth="1"/>
    <col min="8" max="16384" width="8.81640625" style="410"/>
  </cols>
  <sheetData>
    <row r="1" spans="1:7" ht="13.5" thickBot="1">
      <c r="A1" s="610" t="s">
        <v>1850</v>
      </c>
      <c r="B1" s="609">
        <f>SUM(G5:G12)</f>
        <v>10.5</v>
      </c>
      <c r="C1" s="609"/>
    </row>
    <row r="2" spans="1:7" ht="13.5" thickBot="1">
      <c r="A2" s="610" t="s">
        <v>228</v>
      </c>
      <c r="B2" s="613">
        <f>1.4 + (-0.03*B1)</f>
        <v>1.085</v>
      </c>
      <c r="C2" s="614"/>
    </row>
    <row r="4" spans="1:7" s="622" customFormat="1">
      <c r="A4" s="618" t="s">
        <v>208</v>
      </c>
      <c r="B4" s="619" t="s">
        <v>1851</v>
      </c>
      <c r="C4" s="618" t="s">
        <v>1852</v>
      </c>
      <c r="D4" s="618" t="s">
        <v>1853</v>
      </c>
      <c r="E4" s="620" t="s">
        <v>1854</v>
      </c>
      <c r="F4" s="621" t="s">
        <v>283</v>
      </c>
      <c r="G4" s="621" t="s">
        <v>1855</v>
      </c>
    </row>
    <row r="5" spans="1:7" ht="45.65" customHeight="1">
      <c r="A5" s="612" t="s">
        <v>1869</v>
      </c>
      <c r="B5" s="611" t="s">
        <v>374</v>
      </c>
      <c r="C5" s="611">
        <v>1</v>
      </c>
      <c r="D5" s="616" t="str">
        <f>HLOOKUP(F5,Parametre_ECF_TCF!$B$1:$G$50,ECF_v02!C5+14,0)</f>
        <v>Niekoľko členov tímu využilo postup vo viac ako jednom projekte.</v>
      </c>
      <c r="E5" s="606">
        <v>1.5</v>
      </c>
      <c r="F5" s="607">
        <v>3</v>
      </c>
      <c r="G5" s="608">
        <f>E5*F5</f>
        <v>4.5</v>
      </c>
    </row>
    <row r="6" spans="1:7" ht="45.65" customHeight="1">
      <c r="A6" s="612" t="s">
        <v>1870</v>
      </c>
      <c r="B6" s="604" t="s">
        <v>381</v>
      </c>
      <c r="C6" s="604">
        <v>2</v>
      </c>
      <c r="D6" s="616" t="str">
        <f>HLOOKUP(F6,Parametre_ECF_TCF!$B$1:$G$50,ECF_v02!C6+14,0)</f>
        <v>Väčšina členov tímu má 18 až 24 mesiacov skúseností s projektmi v rovnakej oblasti.</v>
      </c>
      <c r="E6" s="606">
        <v>0.5</v>
      </c>
      <c r="F6" s="607">
        <v>3</v>
      </c>
      <c r="G6" s="608">
        <f t="shared" ref="G6:G12" si="0">E6*F6</f>
        <v>1.5</v>
      </c>
    </row>
    <row r="7" spans="1:7" ht="45.65" customHeight="1">
      <c r="A7" s="612" t="s">
        <v>1871</v>
      </c>
      <c r="B7" s="604" t="s">
        <v>388</v>
      </c>
      <c r="C7" s="604">
        <v>3</v>
      </c>
      <c r="D7" s="616" t="str">
        <f>HLOOKUP(F7,Parametre_ECF_TCF!$B$1:$G$50,ECF_v02!C7+14,0)</f>
        <v>Väčšina členov tímu má 12 až 18 mesiacov skúseností s objektovo orientovanými technikami.</v>
      </c>
      <c r="E7" s="606">
        <v>1</v>
      </c>
      <c r="F7" s="607">
        <v>2</v>
      </c>
      <c r="G7" s="608">
        <f t="shared" si="0"/>
        <v>2</v>
      </c>
    </row>
    <row r="8" spans="1:7" ht="45.65" customHeight="1">
      <c r="A8" s="612" t="s">
        <v>1872</v>
      </c>
      <c r="B8" s="604" t="s">
        <v>395</v>
      </c>
      <c r="C8" s="604">
        <v>4</v>
      </c>
      <c r="D8" s="616" t="str">
        <f>HLOOKUP(F8,Parametre_ECF_TCF!$B$1:$G$50,ECF_v02!C8+14,0)</f>
        <v>Vedúci analytik má asi dvojročné skúsenosti s podobnými projektmi.</v>
      </c>
      <c r="E8" s="606">
        <v>0.5</v>
      </c>
      <c r="F8" s="607">
        <v>3</v>
      </c>
      <c r="G8" s="608">
        <f t="shared" si="0"/>
        <v>1.5</v>
      </c>
    </row>
    <row r="9" spans="1:7" ht="45.65" customHeight="1">
      <c r="A9" s="612" t="s">
        <v>1873</v>
      </c>
      <c r="B9" s="604" t="s">
        <v>402</v>
      </c>
      <c r="C9" s="604">
        <v>5</v>
      </c>
      <c r="D9" s="616" t="str">
        <f>HLOOKUP(F9,Parametre_ECF_TCF!$B$1:$G$50,ECF_v02!C9+14,0)</f>
        <v>Tím má malú motiváciu. Na udržanie produktivity sú z času na čas potrebné zásahy manažmentu.</v>
      </c>
      <c r="E9" s="606">
        <v>1</v>
      </c>
      <c r="F9" s="607">
        <v>2</v>
      </c>
      <c r="G9" s="608">
        <f t="shared" si="0"/>
        <v>2</v>
      </c>
    </row>
    <row r="10" spans="1:7" ht="45.65" customHeight="1">
      <c r="A10" s="612" t="s">
        <v>1874</v>
      </c>
      <c r="B10" s="604" t="s">
        <v>409</v>
      </c>
      <c r="C10" s="604">
        <v>6</v>
      </c>
      <c r="D10" s="616" t="str">
        <f>HLOOKUP(F10,Parametre_ECF_TCF!$B$1:$G$50,ECF_v02!C10+14,0)</f>
        <v>Požiadavky boli v minulosti pomerne stabilné. Klienti požiadali o zmeny sekundárnych funkcionalít s určitou pravidelnosťou. Zmeny hlavných funkcií boli žiadané zriedka.</v>
      </c>
      <c r="E10" s="606">
        <v>2</v>
      </c>
      <c r="F10" s="607">
        <v>3</v>
      </c>
      <c r="G10" s="608">
        <f t="shared" si="0"/>
        <v>6</v>
      </c>
    </row>
    <row r="11" spans="1:7" ht="45.65" customHeight="1">
      <c r="A11" s="612" t="s">
        <v>1875</v>
      </c>
      <c r="B11" s="604" t="s">
        <v>416</v>
      </c>
      <c r="C11" s="604">
        <v>7</v>
      </c>
      <c r="D11" s="616" t="str">
        <f>HLOOKUP(F11,Parametre_ECF_TCF!$B$1:$G$50,ECF_v02!C11+14,0)</f>
        <v>Až 60% tímu je na čiastočný úväzok.</v>
      </c>
      <c r="E11" s="606">
        <v>-1</v>
      </c>
      <c r="F11" s="607">
        <v>4</v>
      </c>
      <c r="G11" s="608">
        <f t="shared" si="0"/>
        <v>-4</v>
      </c>
    </row>
    <row r="12" spans="1:7" ht="45.65" customHeight="1">
      <c r="A12" s="612" t="s">
        <v>1876</v>
      </c>
      <c r="B12" s="604" t="s">
        <v>423</v>
      </c>
      <c r="C12" s="615">
        <v>8</v>
      </c>
      <c r="D12" s="616" t="str">
        <f>HLOOKUP(F12,Parametre_ECF_TCF!$B$1:$G$50,ECF_v02!C12+14,0)</f>
        <v>Väčšina členov tímu má najmenej 18 mesiacov skúseností s programovaním.</v>
      </c>
      <c r="E12" s="606">
        <v>-1</v>
      </c>
      <c r="F12" s="607">
        <v>3</v>
      </c>
      <c r="G12" s="608">
        <f t="shared" si="0"/>
        <v>-3</v>
      </c>
    </row>
  </sheetData>
  <phoneticPr fontId="56" type="noConversion"/>
  <conditionalFormatting sqref="F5:G12">
    <cfRule type="expression" dxfId="13" priority="1">
      <formula>#REF!="NIE"</formula>
    </cfRule>
    <cfRule type="expression" dxfId="12" priority="2">
      <formula>#REF!="ANO"</formula>
    </cfRule>
  </conditionalFormatting>
  <dataValidations count="1">
    <dataValidation type="list" allowBlank="1" showInputMessage="1" showErrorMessage="1" sqref="F5:F12" xr:uid="{00000000-0002-0000-0D00-000000000000}">
      <formula1>"0,1,2,3,4,5"</formula1>
    </dataValidation>
  </dataValidations>
  <pageMargins left="0.7" right="0.7" top="0.75" bottom="0.75" header="0.3" footer="0.3"/>
  <pageSetup paperSize="9" orientation="portrait" horizontalDpi="1200" verticalDpi="12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árok29">
    <tabColor rgb="FFFFC000"/>
  </sheetPr>
  <dimension ref="A1:Q26"/>
  <sheetViews>
    <sheetView workbookViewId="0">
      <pane xSplit="2" ySplit="5" topLeftCell="C6" activePane="bottomRight" state="frozen"/>
      <selection pane="topRight" activeCell="I3" sqref="I3"/>
      <selection pane="bottomLeft" activeCell="I3" sqref="I3"/>
      <selection pane="bottomRight" activeCell="C4" sqref="C4"/>
    </sheetView>
  </sheetViews>
  <sheetFormatPr defaultColWidth="8.81640625" defaultRowHeight="13"/>
  <cols>
    <col min="1" max="1" width="26.26953125" style="410" customWidth="1"/>
    <col min="2" max="2" width="13.26953125" style="410" bestFit="1" customWidth="1"/>
    <col min="3" max="16" width="11.7265625" style="410" customWidth="1"/>
    <col min="17" max="16384" width="8.81640625" style="410"/>
  </cols>
  <sheetData>
    <row r="1" spans="1:17">
      <c r="A1" s="821" t="s">
        <v>227</v>
      </c>
      <c r="B1" s="421" t="s">
        <v>1877</v>
      </c>
      <c r="C1" s="425" t="s">
        <v>1878</v>
      </c>
      <c r="D1" s="425" t="s">
        <v>1878</v>
      </c>
      <c r="E1" s="425" t="s">
        <v>1878</v>
      </c>
      <c r="F1" s="425" t="s">
        <v>1878</v>
      </c>
      <c r="G1" s="425" t="s">
        <v>1878</v>
      </c>
      <c r="H1" s="425" t="s">
        <v>1878</v>
      </c>
      <c r="I1" s="425" t="s">
        <v>1878</v>
      </c>
      <c r="J1" s="425" t="s">
        <v>1878</v>
      </c>
      <c r="K1" s="425" t="s">
        <v>1878</v>
      </c>
      <c r="L1" s="425" t="s">
        <v>1878</v>
      </c>
      <c r="M1" s="425" t="s">
        <v>1878</v>
      </c>
      <c r="N1" s="425" t="s">
        <v>1878</v>
      </c>
      <c r="O1" s="425" t="s">
        <v>1878</v>
      </c>
      <c r="P1" s="425" t="s">
        <v>1878</v>
      </c>
      <c r="Q1" s="418"/>
    </row>
    <row r="2" spans="1:17" ht="52">
      <c r="A2" s="821"/>
      <c r="B2" s="421" t="s">
        <v>1879</v>
      </c>
      <c r="C2" s="424" t="s">
        <v>1880</v>
      </c>
      <c r="D2" s="424" t="s">
        <v>1881</v>
      </c>
      <c r="E2" s="424" t="s">
        <v>1882</v>
      </c>
      <c r="F2" s="424" t="s">
        <v>1883</v>
      </c>
      <c r="G2" s="424"/>
      <c r="H2" s="424"/>
      <c r="I2" s="424"/>
      <c r="J2" s="424"/>
      <c r="K2" s="424"/>
      <c r="L2" s="424"/>
      <c r="M2" s="424"/>
      <c r="N2" s="424"/>
      <c r="O2" s="424"/>
      <c r="P2" s="424"/>
      <c r="Q2" s="418"/>
    </row>
    <row r="3" spans="1:17">
      <c r="A3" s="821"/>
      <c r="B3" s="421" t="s">
        <v>1884</v>
      </c>
      <c r="C3" s="423">
        <v>3</v>
      </c>
      <c r="D3" s="423">
        <v>3</v>
      </c>
      <c r="E3" s="423">
        <v>3</v>
      </c>
      <c r="F3" s="423">
        <v>3</v>
      </c>
      <c r="G3" s="423"/>
      <c r="H3" s="423"/>
      <c r="I3" s="423"/>
      <c r="J3" s="423"/>
      <c r="K3" s="423"/>
      <c r="L3" s="423"/>
      <c r="M3" s="423"/>
      <c r="N3" s="423"/>
      <c r="O3" s="423"/>
      <c r="P3" s="423"/>
      <c r="Q3" s="418"/>
    </row>
    <row r="4" spans="1:17">
      <c r="A4" s="821"/>
      <c r="B4" s="421" t="s">
        <v>1885</v>
      </c>
      <c r="C4" s="423">
        <v>2</v>
      </c>
      <c r="D4" s="423">
        <v>2</v>
      </c>
      <c r="E4" s="423">
        <v>5</v>
      </c>
      <c r="F4" s="423">
        <v>2</v>
      </c>
      <c r="G4" s="423"/>
      <c r="H4" s="415"/>
      <c r="I4" s="415"/>
      <c r="J4" s="415"/>
      <c r="K4" s="415"/>
      <c r="L4" s="415"/>
      <c r="M4" s="415"/>
      <c r="N4" s="415"/>
      <c r="O4" s="415"/>
      <c r="P4" s="422"/>
      <c r="Q4" s="418"/>
    </row>
    <row r="5" spans="1:17">
      <c r="A5" s="821"/>
      <c r="B5" s="421" t="s">
        <v>1886</v>
      </c>
      <c r="C5" s="420">
        <f t="shared" ref="C5:P5" si="0">C3*C4</f>
        <v>6</v>
      </c>
      <c r="D5" s="420">
        <f t="shared" si="0"/>
        <v>6</v>
      </c>
      <c r="E5" s="420">
        <f t="shared" si="0"/>
        <v>15</v>
      </c>
      <c r="F5" s="420">
        <f t="shared" si="0"/>
        <v>6</v>
      </c>
      <c r="G5" s="420">
        <f t="shared" si="0"/>
        <v>0</v>
      </c>
      <c r="H5" s="420">
        <f t="shared" si="0"/>
        <v>0</v>
      </c>
      <c r="I5" s="420">
        <f t="shared" si="0"/>
        <v>0</v>
      </c>
      <c r="J5" s="420">
        <f t="shared" si="0"/>
        <v>0</v>
      </c>
      <c r="K5" s="420">
        <f t="shared" si="0"/>
        <v>0</v>
      </c>
      <c r="L5" s="420">
        <f t="shared" si="0"/>
        <v>0</v>
      </c>
      <c r="M5" s="420">
        <f t="shared" si="0"/>
        <v>0</v>
      </c>
      <c r="N5" s="420">
        <f t="shared" si="0"/>
        <v>0</v>
      </c>
      <c r="O5" s="420">
        <f t="shared" si="0"/>
        <v>0</v>
      </c>
      <c r="P5" s="420">
        <f t="shared" si="0"/>
        <v>0</v>
      </c>
      <c r="Q5" s="418"/>
    </row>
    <row r="6" spans="1:17" ht="39">
      <c r="A6" s="681" t="str">
        <f>IF(ISBLANK(MODULY_CBA!B3),"",MODULY_CBA!B3)</f>
        <v>Grafické rozhranie agendového systému -  správa podaní a konaní</v>
      </c>
      <c r="B6" s="419">
        <f t="shared" ref="B6:B26" si="1">SUM(C6*C$5,D6*D$5,E6*E$5,F6*F$5,G6*G$5,H6*H$5,I6*I$5,J6*J$5,K6*K$5,L6*L$5,M6*M$5,N6*N$5,O6*O$5,P6*P$5)</f>
        <v>33</v>
      </c>
      <c r="C6" s="483">
        <v>1</v>
      </c>
      <c r="D6" s="483">
        <v>1</v>
      </c>
      <c r="E6" s="483">
        <v>1</v>
      </c>
      <c r="F6" s="483">
        <v>1</v>
      </c>
      <c r="G6" s="483"/>
      <c r="H6" s="483"/>
      <c r="I6" s="483"/>
      <c r="J6" s="483"/>
      <c r="K6" s="483"/>
      <c r="L6" s="483"/>
      <c r="M6" s="483"/>
      <c r="N6" s="483"/>
      <c r="O6" s="483"/>
      <c r="P6" s="483"/>
      <c r="Q6" s="418"/>
    </row>
    <row r="7" spans="1:17" ht="39">
      <c r="A7" s="681" t="str">
        <f>IF(ISBLANK(MODULY_CBA!B4),"",MODULY_CBA!B4)</f>
        <v>Grafické rozhranie agendového systému - poskytovanie udajov a platby</v>
      </c>
      <c r="B7" s="419">
        <f t="shared" si="1"/>
        <v>33</v>
      </c>
      <c r="C7" s="483">
        <v>1</v>
      </c>
      <c r="D7" s="483">
        <v>1</v>
      </c>
      <c r="E7" s="483">
        <v>1</v>
      </c>
      <c r="F7" s="483">
        <v>1</v>
      </c>
      <c r="G7" s="483"/>
      <c r="H7" s="483"/>
      <c r="I7" s="483"/>
      <c r="J7" s="483"/>
      <c r="K7" s="483"/>
      <c r="L7" s="483"/>
      <c r="M7" s="483"/>
      <c r="N7" s="483"/>
      <c r="O7" s="483"/>
      <c r="P7" s="483"/>
      <c r="Q7" s="418"/>
    </row>
    <row r="8" spans="1:17" ht="26">
      <c r="A8" s="681" t="str">
        <f>IF(ISBLANK(MODULY_CBA!B5),"",MODULY_CBA!B5)</f>
        <v>Grafické rozhranie agendového systému - správa údajov katastra</v>
      </c>
      <c r="B8" s="419">
        <f t="shared" si="1"/>
        <v>33</v>
      </c>
      <c r="C8" s="483">
        <v>1</v>
      </c>
      <c r="D8" s="483">
        <v>1</v>
      </c>
      <c r="E8" s="483">
        <v>1</v>
      </c>
      <c r="F8" s="483">
        <v>1</v>
      </c>
      <c r="G8" s="483"/>
      <c r="H8" s="483"/>
      <c r="I8" s="483"/>
      <c r="J8" s="483"/>
      <c r="K8" s="483"/>
      <c r="L8" s="483"/>
      <c r="M8" s="483"/>
      <c r="N8" s="483"/>
      <c r="O8" s="483"/>
      <c r="P8" s="483"/>
      <c r="Q8" s="418"/>
    </row>
    <row r="9" spans="1:17" ht="26">
      <c r="A9" s="681" t="str">
        <f>IF(ISBLANK(MODULY_CBA!B6),"",MODULY_CBA!B6)</f>
        <v>Integračné služby - poskytovanie udajov a platby</v>
      </c>
      <c r="B9" s="419">
        <f t="shared" si="1"/>
        <v>33</v>
      </c>
      <c r="C9" s="483">
        <v>1</v>
      </c>
      <c r="D9" s="483">
        <v>1</v>
      </c>
      <c r="E9" s="483">
        <v>1</v>
      </c>
      <c r="F9" s="483">
        <v>1</v>
      </c>
      <c r="G9" s="483"/>
      <c r="H9" s="483"/>
      <c r="I9" s="483"/>
      <c r="J9" s="483"/>
      <c r="K9" s="483"/>
      <c r="L9" s="483"/>
      <c r="M9" s="483"/>
      <c r="N9" s="483"/>
      <c r="O9" s="483"/>
      <c r="P9" s="483"/>
      <c r="Q9" s="418"/>
    </row>
    <row r="10" spans="1:17" ht="26">
      <c r="A10" s="681" t="str">
        <f>IF(ISBLANK(MODULY_CBA!B7),"",MODULY_CBA!B7)</f>
        <v xml:space="preserve">Integračné služby - správa podaní a konaní </v>
      </c>
      <c r="B10" s="419">
        <f t="shared" si="1"/>
        <v>33</v>
      </c>
      <c r="C10" s="483">
        <v>1</v>
      </c>
      <c r="D10" s="483">
        <v>1</v>
      </c>
      <c r="E10" s="483">
        <v>1</v>
      </c>
      <c r="F10" s="483">
        <v>1</v>
      </c>
      <c r="G10" s="483"/>
      <c r="H10" s="483"/>
      <c r="I10" s="483"/>
      <c r="J10" s="483"/>
      <c r="K10" s="483"/>
      <c r="L10" s="483"/>
      <c r="M10" s="483"/>
      <c r="N10" s="483"/>
      <c r="O10" s="483"/>
      <c r="P10" s="483"/>
      <c r="Q10" s="418"/>
    </row>
    <row r="11" spans="1:17" ht="26">
      <c r="A11" s="681" t="str">
        <f>IF(ISBLANK(MODULY_CBA!B8),"",MODULY_CBA!B8)</f>
        <v>Integračné služby - správa údajov katastra</v>
      </c>
      <c r="B11" s="419">
        <f t="shared" si="1"/>
        <v>33</v>
      </c>
      <c r="C11" s="483">
        <v>1</v>
      </c>
      <c r="D11" s="483">
        <v>1</v>
      </c>
      <c r="E11" s="483">
        <v>1</v>
      </c>
      <c r="F11" s="483">
        <v>1</v>
      </c>
      <c r="G11" s="483"/>
      <c r="H11" s="483"/>
      <c r="I11" s="483"/>
      <c r="J11" s="483"/>
      <c r="K11" s="483"/>
      <c r="L11" s="483"/>
      <c r="M11" s="483"/>
      <c r="N11" s="483"/>
      <c r="O11" s="483"/>
      <c r="P11" s="483"/>
      <c r="Q11" s="418"/>
    </row>
    <row r="12" spans="1:17">
      <c r="A12" s="681" t="str">
        <f>IF(ISBLANK(MODULY_CBA!B9),"",MODULY_CBA!B9)</f>
        <v xml:space="preserve">Registratúrne stredisko - Platby </v>
      </c>
      <c r="B12" s="419">
        <f t="shared" si="1"/>
        <v>33</v>
      </c>
      <c r="C12" s="483">
        <v>1</v>
      </c>
      <c r="D12" s="483">
        <v>1</v>
      </c>
      <c r="E12" s="483">
        <v>1</v>
      </c>
      <c r="F12" s="483">
        <v>1</v>
      </c>
      <c r="G12" s="483"/>
      <c r="H12" s="483"/>
      <c r="I12" s="483"/>
      <c r="J12" s="483"/>
      <c r="K12" s="483"/>
      <c r="L12" s="483"/>
      <c r="M12" s="483"/>
      <c r="N12" s="483"/>
      <c r="O12" s="483"/>
      <c r="P12" s="483"/>
      <c r="Q12" s="418"/>
    </row>
    <row r="13" spans="1:17" ht="26">
      <c r="A13" s="681" t="str">
        <f>IF(ISBLANK(MODULY_CBA!B10),"",MODULY_CBA!B10)</f>
        <v>Registratúrne stredisko - Podania a konania</v>
      </c>
      <c r="B13" s="419">
        <f t="shared" si="1"/>
        <v>33</v>
      </c>
      <c r="C13" s="483">
        <v>1</v>
      </c>
      <c r="D13" s="483">
        <v>1</v>
      </c>
      <c r="E13" s="483">
        <v>1</v>
      </c>
      <c r="F13" s="483">
        <v>1</v>
      </c>
      <c r="G13" s="483"/>
      <c r="H13" s="483"/>
      <c r="I13" s="483"/>
      <c r="J13" s="483"/>
      <c r="K13" s="483"/>
      <c r="L13" s="483"/>
      <c r="M13" s="483"/>
      <c r="N13" s="483"/>
      <c r="O13" s="483"/>
      <c r="P13" s="483"/>
      <c r="Q13" s="418"/>
    </row>
    <row r="14" spans="1:17" ht="26">
      <c r="A14" s="681" t="str">
        <f>IF(ISBLANK(MODULY_CBA!B11),"",MODULY_CBA!B11)</f>
        <v xml:space="preserve">Registratúrne stredisko - Poskytovanie údajov  </v>
      </c>
      <c r="B14" s="419">
        <f t="shared" si="1"/>
        <v>33</v>
      </c>
      <c r="C14" s="483">
        <v>1</v>
      </c>
      <c r="D14" s="483">
        <v>1</v>
      </c>
      <c r="E14" s="483">
        <v>1</v>
      </c>
      <c r="F14" s="483">
        <v>1</v>
      </c>
      <c r="G14" s="483"/>
      <c r="H14" s="483"/>
      <c r="I14" s="483"/>
      <c r="J14" s="483"/>
      <c r="K14" s="483"/>
      <c r="L14" s="483"/>
      <c r="M14" s="483"/>
      <c r="N14" s="483"/>
      <c r="O14" s="483"/>
      <c r="P14" s="483"/>
      <c r="Q14" s="418"/>
    </row>
    <row r="15" spans="1:17">
      <c r="A15" s="681" t="str">
        <f>IF(ISBLANK(MODULY_CBA!B12),"",MODULY_CBA!B12)</f>
        <v>Stredisko katastrálneho operátu</v>
      </c>
      <c r="B15" s="419">
        <f t="shared" si="1"/>
        <v>33</v>
      </c>
      <c r="C15" s="483">
        <v>1</v>
      </c>
      <c r="D15" s="483">
        <v>1</v>
      </c>
      <c r="E15" s="483">
        <v>1</v>
      </c>
      <c r="F15" s="483">
        <v>1</v>
      </c>
      <c r="G15" s="483"/>
      <c r="H15" s="483"/>
      <c r="I15" s="483"/>
      <c r="J15" s="483"/>
      <c r="K15" s="483"/>
      <c r="L15" s="483"/>
      <c r="M15" s="483"/>
      <c r="N15" s="483"/>
      <c r="O15" s="483"/>
      <c r="P15" s="483"/>
      <c r="Q15" s="418"/>
    </row>
    <row r="16" spans="1:17" ht="26">
      <c r="A16" s="681" t="str">
        <f>IF(ISBLANK(MODULY_CBA!B13),"",MODULY_CBA!B13)</f>
        <v>Stredisko podporných služieb - poskytovanie udajov a platby</v>
      </c>
      <c r="B16" s="419">
        <f t="shared" si="1"/>
        <v>33</v>
      </c>
      <c r="C16" s="483">
        <v>1</v>
      </c>
      <c r="D16" s="483">
        <v>1</v>
      </c>
      <c r="E16" s="483">
        <v>1</v>
      </c>
      <c r="F16" s="483">
        <v>1</v>
      </c>
      <c r="G16" s="483"/>
      <c r="H16" s="483"/>
      <c r="I16" s="483"/>
      <c r="J16" s="483"/>
      <c r="K16" s="483"/>
      <c r="L16" s="483"/>
      <c r="M16" s="483"/>
      <c r="N16" s="483"/>
      <c r="O16" s="483"/>
      <c r="P16" s="483"/>
      <c r="Q16" s="418"/>
    </row>
    <row r="17" spans="1:17" ht="26">
      <c r="A17" s="681" t="str">
        <f>IF(ISBLANK(MODULY_CBA!B14),"",MODULY_CBA!B14)</f>
        <v>Stredisko podporných služieb - správa podaní a konaní</v>
      </c>
      <c r="B17" s="419">
        <f t="shared" si="1"/>
        <v>33</v>
      </c>
      <c r="C17" s="483">
        <v>1</v>
      </c>
      <c r="D17" s="483">
        <v>1</v>
      </c>
      <c r="E17" s="483">
        <v>1</v>
      </c>
      <c r="F17" s="483">
        <v>1</v>
      </c>
      <c r="G17" s="483"/>
      <c r="H17" s="483"/>
      <c r="I17" s="483"/>
      <c r="J17" s="483"/>
      <c r="K17" s="483"/>
      <c r="L17" s="483"/>
      <c r="M17" s="483"/>
      <c r="N17" s="483"/>
      <c r="O17" s="483"/>
      <c r="P17" s="483"/>
      <c r="Q17" s="418"/>
    </row>
    <row r="18" spans="1:17" ht="26">
      <c r="A18" s="681" t="str">
        <f>IF(ISBLANK(MODULY_CBA!B15),"",MODULY_CBA!B15)</f>
        <v>Stredisko podporných služieb - správa údajov katastra</v>
      </c>
      <c r="B18" s="419">
        <f t="shared" si="1"/>
        <v>33</v>
      </c>
      <c r="C18" s="483">
        <v>1</v>
      </c>
      <c r="D18" s="483">
        <v>1</v>
      </c>
      <c r="E18" s="483">
        <v>1</v>
      </c>
      <c r="F18" s="483">
        <v>1</v>
      </c>
      <c r="G18" s="483"/>
      <c r="H18" s="483"/>
      <c r="I18" s="483"/>
      <c r="J18" s="483"/>
      <c r="K18" s="483"/>
      <c r="L18" s="483"/>
      <c r="M18" s="483"/>
      <c r="N18" s="483"/>
      <c r="O18" s="483"/>
      <c r="P18" s="483"/>
      <c r="Q18" s="418"/>
    </row>
    <row r="19" spans="1:17">
      <c r="A19" s="419" t="str">
        <f>IF(ISBLANK(MODULY_CBA!B16),"",MODULY_CBA!B16)</f>
        <v>Grafické rozhranie agendového systému -  prototypové data</v>
      </c>
      <c r="B19" s="419">
        <f t="shared" si="1"/>
        <v>0</v>
      </c>
      <c r="C19" s="483"/>
      <c r="D19" s="483"/>
      <c r="E19" s="483"/>
      <c r="F19" s="483"/>
      <c r="G19" s="483"/>
      <c r="H19" s="483"/>
      <c r="I19" s="483"/>
      <c r="J19" s="483"/>
      <c r="K19" s="483"/>
      <c r="L19" s="483"/>
      <c r="M19" s="483"/>
      <c r="N19" s="483"/>
      <c r="O19" s="483"/>
      <c r="P19" s="483"/>
      <c r="Q19" s="418"/>
    </row>
    <row r="20" spans="1:17">
      <c r="A20" s="419" t="str">
        <f>IF(ISBLANK(MODULY_CBA!B17),"",MODULY_CBA!B17)</f>
        <v/>
      </c>
      <c r="B20" s="419">
        <f t="shared" si="1"/>
        <v>0</v>
      </c>
      <c r="C20" s="483"/>
      <c r="D20" s="483"/>
      <c r="E20" s="483"/>
      <c r="F20" s="483"/>
      <c r="G20" s="483"/>
      <c r="H20" s="483"/>
      <c r="I20" s="483"/>
      <c r="J20" s="483"/>
      <c r="K20" s="483"/>
      <c r="L20" s="483"/>
      <c r="M20" s="483"/>
      <c r="N20" s="483"/>
      <c r="O20" s="483"/>
      <c r="P20" s="483"/>
      <c r="Q20" s="418"/>
    </row>
    <row r="21" spans="1:17">
      <c r="A21" s="419" t="str">
        <f>IF(ISBLANK(MODULY_CBA!B18),"",MODULY_CBA!B18)</f>
        <v/>
      </c>
      <c r="B21" s="419">
        <f t="shared" si="1"/>
        <v>0</v>
      </c>
      <c r="C21" s="483"/>
      <c r="D21" s="483"/>
      <c r="E21" s="483"/>
      <c r="F21" s="483"/>
      <c r="G21" s="483"/>
      <c r="H21" s="483"/>
      <c r="I21" s="483"/>
      <c r="J21" s="483"/>
      <c r="K21" s="483"/>
      <c r="L21" s="483"/>
      <c r="M21" s="483"/>
      <c r="N21" s="483"/>
      <c r="O21" s="483"/>
      <c r="P21" s="483"/>
      <c r="Q21" s="418"/>
    </row>
    <row r="22" spans="1:17">
      <c r="A22" s="419" t="str">
        <f>IF(ISBLANK(MODULY_CBA!B19),"",MODULY_CBA!B19)</f>
        <v>Technologické vybavenie</v>
      </c>
      <c r="B22" s="419">
        <f t="shared" si="1"/>
        <v>0</v>
      </c>
      <c r="C22" s="483"/>
      <c r="D22" s="483"/>
      <c r="E22" s="483"/>
      <c r="F22" s="483"/>
      <c r="G22" s="483"/>
      <c r="H22" s="483"/>
      <c r="I22" s="483"/>
      <c r="J22" s="483"/>
      <c r="K22" s="483"/>
      <c r="L22" s="483"/>
      <c r="M22" s="483"/>
      <c r="N22" s="483"/>
      <c r="O22" s="483"/>
      <c r="P22" s="483"/>
      <c r="Q22" s="418"/>
    </row>
    <row r="23" spans="1:17">
      <c r="A23" s="419" t="str">
        <f>IF(ISBLANK(MODULY_CBA!B20),"",MODULY_CBA!B20)</f>
        <v>Aplikačno-platformové vybavenie</v>
      </c>
      <c r="B23" s="419">
        <f t="shared" si="1"/>
        <v>0</v>
      </c>
      <c r="C23" s="483"/>
      <c r="D23" s="483"/>
      <c r="E23" s="483"/>
      <c r="F23" s="483"/>
      <c r="G23" s="483"/>
      <c r="H23" s="483"/>
      <c r="I23" s="483"/>
      <c r="J23" s="483"/>
      <c r="K23" s="483"/>
      <c r="L23" s="483"/>
      <c r="M23" s="483"/>
      <c r="N23" s="483"/>
      <c r="O23" s="483"/>
      <c r="P23" s="483"/>
      <c r="Q23" s="418"/>
    </row>
    <row r="24" spans="1:17">
      <c r="A24" s="419" t="str">
        <f>IF(ISBLANK(MODULY_CBA!B21),"",MODULY_CBA!B21)</f>
        <v>Dokumentácia riešenia</v>
      </c>
      <c r="B24" s="419">
        <f t="shared" si="1"/>
        <v>0</v>
      </c>
      <c r="C24" s="483"/>
      <c r="D24" s="483"/>
      <c r="E24" s="483"/>
      <c r="F24" s="483"/>
      <c r="G24" s="483"/>
      <c r="H24" s="483"/>
      <c r="I24" s="483"/>
      <c r="J24" s="483"/>
      <c r="K24" s="483"/>
      <c r="L24" s="483"/>
      <c r="M24" s="483"/>
      <c r="N24" s="483"/>
      <c r="O24" s="483"/>
      <c r="P24" s="483"/>
      <c r="Q24" s="418"/>
    </row>
    <row r="25" spans="1:17">
      <c r="A25" s="419" t="str">
        <f>IF(ISBLANK(MODULY_CBA!B22),"",MODULY_CBA!B22)</f>
        <v>ISKN 2.0</v>
      </c>
      <c r="B25" s="419">
        <f t="shared" si="1"/>
        <v>0</v>
      </c>
      <c r="C25" s="483"/>
      <c r="D25" s="483"/>
      <c r="E25" s="483"/>
      <c r="F25" s="483"/>
      <c r="G25" s="483"/>
      <c r="H25" s="483"/>
      <c r="I25" s="483"/>
      <c r="J25" s="483"/>
      <c r="K25" s="483"/>
      <c r="L25" s="483"/>
      <c r="M25" s="483"/>
      <c r="N25" s="483"/>
      <c r="O25" s="483"/>
      <c r="P25" s="483"/>
      <c r="Q25" s="418"/>
    </row>
    <row r="26" spans="1:17">
      <c r="A26" s="419" t="str">
        <f>IF(ISBLANK(MODULY_CBA!B23),"",MODULY_CBA!B23)</f>
        <v/>
      </c>
      <c r="B26" s="419">
        <f t="shared" si="1"/>
        <v>0</v>
      </c>
      <c r="C26" s="483"/>
      <c r="D26" s="483"/>
      <c r="E26" s="483"/>
      <c r="F26" s="483"/>
      <c r="G26" s="483"/>
      <c r="H26" s="483"/>
      <c r="I26" s="483"/>
      <c r="J26" s="483"/>
      <c r="K26" s="483"/>
      <c r="L26" s="483"/>
      <c r="M26" s="483"/>
      <c r="N26" s="483"/>
      <c r="O26" s="483"/>
      <c r="P26" s="483"/>
      <c r="Q26" s="418"/>
    </row>
  </sheetData>
  <mergeCells count="1">
    <mergeCell ref="A1:A5"/>
  </mergeCells>
  <dataValidations count="2">
    <dataValidation type="list" allowBlank="1" showInputMessage="1" showErrorMessage="1" sqref="C2:P2" xr:uid="{00000000-0002-0000-0E00-000000000000}">
      <formula1>Subjekt</formula1>
    </dataValidation>
    <dataValidation type="list" allowBlank="1" showInputMessage="1" showErrorMessage="1" sqref="C3:P3" xr:uid="{00000000-0002-0000-0E00-000001000000}">
      <formula1>"1,2,3"</formula1>
    </dataValidation>
  </dataValidations>
  <pageMargins left="0.7" right="0.7" top="0.75" bottom="0.75" header="0.3" footer="0.3"/>
  <pageSetup paperSize="9" orientation="portrait" horizontalDpi="1200"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árok18">
    <tabColor rgb="FF00B050"/>
  </sheetPr>
  <dimension ref="A1:X64"/>
  <sheetViews>
    <sheetView zoomScale="87" zoomScaleNormal="100" workbookViewId="0">
      <pane ySplit="3" topLeftCell="A44" activePane="bottomLeft" state="frozen"/>
      <selection activeCell="J3" sqref="J3:J11"/>
      <selection pane="bottomLeft" activeCell="A5" sqref="A5"/>
    </sheetView>
  </sheetViews>
  <sheetFormatPr defaultColWidth="8.81640625" defaultRowHeight="14.5"/>
  <cols>
    <col min="1" max="1" width="31.453125" style="365" customWidth="1"/>
    <col min="2" max="2" width="10.7265625" style="365" customWidth="1"/>
    <col min="3" max="3" width="10.7265625" style="365" hidden="1" customWidth="1"/>
    <col min="4" max="4" width="10.7265625" style="365" customWidth="1"/>
    <col min="5" max="5" width="15.453125" style="365" customWidth="1"/>
    <col min="6" max="6" width="28.26953125" style="365" customWidth="1"/>
    <col min="7" max="7" width="28.26953125" style="365" hidden="1" customWidth="1"/>
    <col min="8" max="8" width="28.26953125" style="365" customWidth="1"/>
    <col min="9" max="9" width="13.1796875" style="365" bestFit="1" customWidth="1"/>
    <col min="10" max="10" width="11.26953125" style="365" customWidth="1"/>
    <col min="11" max="11" width="10.81640625" style="365" bestFit="1" customWidth="1"/>
    <col min="12" max="12" width="10" style="365" customWidth="1"/>
    <col min="13" max="13" width="16.453125" style="365" bestFit="1" customWidth="1"/>
    <col min="14" max="14" width="10.26953125" style="365" bestFit="1" customWidth="1"/>
    <col min="15" max="16" width="8.81640625" style="365"/>
    <col min="17" max="17" width="43.1796875" style="365" customWidth="1"/>
    <col min="18" max="18" width="16.1796875" style="365" customWidth="1"/>
    <col min="19" max="19" width="13.7265625" style="365" customWidth="1"/>
    <col min="20" max="20" width="12.26953125" style="365" bestFit="1" customWidth="1"/>
    <col min="21" max="23" width="12.26953125" style="365" customWidth="1"/>
    <col min="24" max="24" width="20.1796875" style="365" customWidth="1"/>
    <col min="25" max="16384" width="8.81640625" style="365"/>
  </cols>
  <sheetData>
    <row r="1" spans="1:24">
      <c r="F1" s="822" t="s">
        <v>1887</v>
      </c>
      <c r="G1" s="822"/>
      <c r="H1" s="822"/>
      <c r="I1" s="822"/>
      <c r="J1" s="822"/>
      <c r="K1" s="442">
        <f>SUM(K4:K33)</f>
        <v>44684</v>
      </c>
      <c r="M1" s="444">
        <f>SUM(M4:M39)</f>
        <v>21065789</v>
      </c>
    </row>
    <row r="2" spans="1:24">
      <c r="D2" s="443">
        <f>SUM(D3:D39)</f>
        <v>46208.999999999993</v>
      </c>
      <c r="F2" s="823" t="s">
        <v>1888</v>
      </c>
      <c r="G2" s="823"/>
      <c r="H2" s="823"/>
      <c r="I2" s="823"/>
      <c r="J2" s="823"/>
      <c r="K2" s="442">
        <f>SUM(K41:K64)</f>
        <v>0</v>
      </c>
      <c r="M2" s="444">
        <f>SUM(M41:M64)</f>
        <v>0</v>
      </c>
    </row>
    <row r="3" spans="1:24" s="481" customFormat="1" ht="58">
      <c r="A3" s="479" t="s">
        <v>1889</v>
      </c>
      <c r="B3" s="480" t="s">
        <v>1890</v>
      </c>
      <c r="C3" s="480" t="s">
        <v>1891</v>
      </c>
      <c r="D3" s="480" t="s">
        <v>1892</v>
      </c>
      <c r="E3" s="480" t="s">
        <v>1893</v>
      </c>
      <c r="F3" s="480" t="s">
        <v>1894</v>
      </c>
      <c r="G3" s="480" t="s">
        <v>1895</v>
      </c>
      <c r="H3" s="480" t="s">
        <v>1896</v>
      </c>
      <c r="I3" s="480" t="s">
        <v>1897</v>
      </c>
      <c r="J3" s="480" t="s">
        <v>1898</v>
      </c>
      <c r="K3" s="480" t="s">
        <v>1899</v>
      </c>
      <c r="L3" s="480" t="s">
        <v>1900</v>
      </c>
      <c r="M3" s="480" t="s">
        <v>1901</v>
      </c>
      <c r="Q3" s="478" t="s">
        <v>1902</v>
      </c>
      <c r="R3" s="478" t="s">
        <v>1903</v>
      </c>
      <c r="S3" s="478" t="s">
        <v>1904</v>
      </c>
      <c r="T3" s="478" t="s">
        <v>1905</v>
      </c>
      <c r="U3" s="478" t="s">
        <v>1906</v>
      </c>
      <c r="V3" s="478" t="s">
        <v>1907</v>
      </c>
      <c r="W3" s="478" t="s">
        <v>1908</v>
      </c>
      <c r="X3" s="478" t="s">
        <v>1909</v>
      </c>
    </row>
    <row r="4" spans="1:24">
      <c r="A4" s="370" t="s">
        <v>1910</v>
      </c>
      <c r="B4" s="553">
        <v>0.25</v>
      </c>
      <c r="C4" s="552">
        <f>SUM(K4:K15)/$K$1</f>
        <v>0.25850416256378123</v>
      </c>
      <c r="D4" s="484">
        <f>B4*SUM(MODULY_CBA!$J$3:$J$23)</f>
        <v>11552.25</v>
      </c>
      <c r="E4" s="485">
        <f>IFERROR(SUM(M4:M15)/SUM(K4:K15),0)</f>
        <v>455.89161111592068</v>
      </c>
      <c r="F4" s="551" t="s">
        <v>1911</v>
      </c>
      <c r="G4" s="551" t="str">
        <f>IFERROR(VLOOKUP(F4,ISCO_Prevodnik!$A$10:$B$21,2,0),"")</f>
        <v>IT_architekt</v>
      </c>
      <c r="H4" s="551" t="s">
        <v>1912</v>
      </c>
      <c r="I4" s="551">
        <f>IFERROR(VLOOKUP(H4,ISCO_Prevodnik!$E$10:$F$31,2,0),"")</f>
        <v>2511002</v>
      </c>
      <c r="J4" s="552">
        <v>0.1</v>
      </c>
      <c r="K4" s="484">
        <f>ROUND(J4*$D$4,0)</f>
        <v>1155</v>
      </c>
      <c r="L4" s="492">
        <f>IFERROR(VLOOKUP(F4,$Q$4:$R$27,2,0),0)</f>
        <v>525</v>
      </c>
      <c r="M4" s="486">
        <f>K4*L4</f>
        <v>606375</v>
      </c>
      <c r="N4" s="509"/>
      <c r="Q4" s="433" t="s">
        <v>1911</v>
      </c>
      <c r="R4" s="554">
        <v>525</v>
      </c>
      <c r="S4" s="504">
        <v>525</v>
      </c>
      <c r="T4" s="434">
        <v>0.1</v>
      </c>
      <c r="U4" s="436">
        <f>SUMIF($F$4:$F$64,Q4,$K$4:$K$64)</f>
        <v>4621</v>
      </c>
      <c r="V4" s="434">
        <f t="shared" ref="V4:V15" si="0">IF(U4=0,0%,U4/SUM($U$4:$U$15))</f>
        <v>0.10000432825484765</v>
      </c>
      <c r="W4" s="434" t="str">
        <f t="shared" ref="W4:W15" si="1">IFERROR(IF(U4/SUM($U$4:$U$15)&gt;T4,"NAD","OK"),"")</f>
        <v>NAD</v>
      </c>
      <c r="X4" s="435"/>
    </row>
    <row r="5" spans="1:24">
      <c r="A5" s="367"/>
      <c r="B5" s="367"/>
      <c r="C5" s="367"/>
      <c r="D5" s="367"/>
      <c r="E5" s="367"/>
      <c r="F5" s="551" t="s">
        <v>1913</v>
      </c>
      <c r="G5" s="551" t="str">
        <f>IFERROR(VLOOKUP(F5,ISCO_Prevodnik!$A$10:$B$21,2,0),"")</f>
        <v>IT_tester</v>
      </c>
      <c r="H5" s="551" t="s">
        <v>1913</v>
      </c>
      <c r="I5" s="551">
        <f>IFERROR(VLOOKUP(H5,ISCO_Prevodnik!$E$10:$F$31,2,0),"")</f>
        <v>2519001</v>
      </c>
      <c r="J5" s="552">
        <v>0.1</v>
      </c>
      <c r="K5" s="484">
        <f t="shared" ref="K5:K15" si="2">ROUND(J5*$D$4,0)</f>
        <v>1155</v>
      </c>
      <c r="L5" s="492">
        <f t="shared" ref="L5:L39" si="3">IFERROR(VLOOKUP(F5,$Q$4:$R$27,2,0),0)</f>
        <v>377</v>
      </c>
      <c r="M5" s="486">
        <f>K5*L5</f>
        <v>435435</v>
      </c>
      <c r="Q5" s="433" t="s">
        <v>1913</v>
      </c>
      <c r="R5" s="554">
        <v>377</v>
      </c>
      <c r="S5" s="504">
        <v>377</v>
      </c>
      <c r="T5" s="434">
        <v>0.15</v>
      </c>
      <c r="U5" s="436">
        <f t="shared" ref="U5:U27" si="4">SUMIF($F$4:$F$64,Q5,$K$4:$K$64)</f>
        <v>4621</v>
      </c>
      <c r="V5" s="434">
        <f t="shared" si="0"/>
        <v>0.10000432825484765</v>
      </c>
      <c r="W5" s="434" t="str">
        <f t="shared" si="1"/>
        <v>OK</v>
      </c>
      <c r="X5" s="435"/>
    </row>
    <row r="6" spans="1:24">
      <c r="A6" s="367"/>
      <c r="B6" s="367"/>
      <c r="C6" s="367"/>
      <c r="D6" s="367"/>
      <c r="E6" s="367"/>
      <c r="F6" s="551" t="s">
        <v>1914</v>
      </c>
      <c r="G6" s="551" t="str">
        <f>IFERROR(VLOOKUP(F6,ISCO_Prevodnik!$A$10:$B$21,2,0),"")</f>
        <v>IT_programator</v>
      </c>
      <c r="H6" s="551" t="s">
        <v>1915</v>
      </c>
      <c r="I6" s="551">
        <f>IFERROR(VLOOKUP(H6,ISCO_Prevodnik!$E$10:$F$31,2,0),"")</f>
        <v>2512001</v>
      </c>
      <c r="J6" s="552">
        <v>0.35</v>
      </c>
      <c r="K6" s="484">
        <f t="shared" si="2"/>
        <v>4043</v>
      </c>
      <c r="L6" s="492">
        <f t="shared" si="3"/>
        <v>420</v>
      </c>
      <c r="M6" s="486">
        <f t="shared" ref="M6:M33" si="5">K6*L6</f>
        <v>1698060</v>
      </c>
      <c r="Q6" s="433" t="s">
        <v>1914</v>
      </c>
      <c r="R6" s="554">
        <v>420</v>
      </c>
      <c r="S6" s="508">
        <v>420</v>
      </c>
      <c r="T6" s="434">
        <v>0.6</v>
      </c>
      <c r="U6" s="436">
        <f t="shared" si="4"/>
        <v>16173</v>
      </c>
      <c r="V6" s="434">
        <f t="shared" si="0"/>
        <v>0.35000432825484762</v>
      </c>
      <c r="W6" s="434" t="str">
        <f t="shared" si="1"/>
        <v>OK</v>
      </c>
      <c r="X6" s="435"/>
    </row>
    <row r="7" spans="1:24">
      <c r="A7" s="367"/>
      <c r="B7" s="367"/>
      <c r="C7" s="367"/>
      <c r="D7" s="367"/>
      <c r="E7" s="367"/>
      <c r="F7" s="551" t="s">
        <v>1916</v>
      </c>
      <c r="G7" s="551" t="str">
        <f>IFERROR(VLOOKUP(F7,ISCO_Prevodnik!$A$10:$B$21,2,0),"")</f>
        <v>Projektovy_manazer</v>
      </c>
      <c r="H7" s="551" t="s">
        <v>1917</v>
      </c>
      <c r="I7" s="551">
        <f>IFERROR(VLOOKUP(H7,ISCO_Prevodnik!$E$10:$F$31,2,0),"")</f>
        <v>1330001</v>
      </c>
      <c r="J7" s="552">
        <v>0.04</v>
      </c>
      <c r="K7" s="484">
        <f t="shared" si="2"/>
        <v>462</v>
      </c>
      <c r="L7" s="492">
        <f t="shared" si="3"/>
        <v>539</v>
      </c>
      <c r="M7" s="486">
        <f t="shared" si="5"/>
        <v>249018</v>
      </c>
      <c r="Q7" s="433" t="s">
        <v>1916</v>
      </c>
      <c r="R7" s="554">
        <v>539</v>
      </c>
      <c r="S7" s="508">
        <v>539</v>
      </c>
      <c r="T7" s="434">
        <v>0.04</v>
      </c>
      <c r="U7" s="436">
        <f t="shared" si="4"/>
        <v>1848</v>
      </c>
      <c r="V7" s="434">
        <f t="shared" si="0"/>
        <v>3.9993074792243767E-2</v>
      </c>
      <c r="W7" s="434" t="str">
        <f t="shared" si="1"/>
        <v>OK</v>
      </c>
      <c r="X7" s="435"/>
    </row>
    <row r="8" spans="1:24">
      <c r="A8" s="367"/>
      <c r="B8" s="367"/>
      <c r="C8" s="367"/>
      <c r="D8" s="367"/>
      <c r="E8" s="367"/>
      <c r="F8" s="551" t="s">
        <v>1918</v>
      </c>
      <c r="G8" s="551" t="str">
        <f>IFERROR(VLOOKUP(F8,ISCO_Prevodnik!$A$10:$B$21,2,0),"")</f>
        <v>IT_analytik</v>
      </c>
      <c r="H8" s="551" t="s">
        <v>1919</v>
      </c>
      <c r="I8" s="551">
        <f>IFERROR(VLOOKUP(H8,ISCO_Prevodnik!$E$10:$F$31,2,0),"")</f>
        <v>2511003</v>
      </c>
      <c r="J8" s="552">
        <v>0.15</v>
      </c>
      <c r="K8" s="484">
        <f t="shared" si="2"/>
        <v>1733</v>
      </c>
      <c r="L8" s="492">
        <f t="shared" si="3"/>
        <v>529</v>
      </c>
      <c r="M8" s="486">
        <f t="shared" si="5"/>
        <v>916757</v>
      </c>
      <c r="Q8" s="433" t="s">
        <v>1918</v>
      </c>
      <c r="R8" s="554">
        <v>529</v>
      </c>
      <c r="S8" s="508">
        <v>529</v>
      </c>
      <c r="T8" s="434">
        <v>0.5</v>
      </c>
      <c r="U8" s="436">
        <f t="shared" si="4"/>
        <v>6932</v>
      </c>
      <c r="V8" s="434">
        <f t="shared" si="0"/>
        <v>0.15001731301939059</v>
      </c>
      <c r="W8" s="434" t="str">
        <f t="shared" si="1"/>
        <v>OK</v>
      </c>
      <c r="X8" s="435"/>
    </row>
    <row r="9" spans="1:24">
      <c r="A9" s="367"/>
      <c r="B9" s="367"/>
      <c r="C9" s="367"/>
      <c r="D9" s="367"/>
      <c r="E9" s="367"/>
      <c r="F9" s="551" t="s">
        <v>1920</v>
      </c>
      <c r="G9" s="551" t="str">
        <f>IFERROR(VLOOKUP(F9,ISCO_Prevodnik!$A$10:$B$21,2,0),"")</f>
        <v>Kvalita</v>
      </c>
      <c r="H9" s="551" t="s">
        <v>1921</v>
      </c>
      <c r="I9" s="551">
        <f>IFERROR(VLOOKUP(H9,ISCO_Prevodnik!$E$10:$F$31,2,0),"")</f>
        <v>2421002</v>
      </c>
      <c r="J9" s="552">
        <v>0.04</v>
      </c>
      <c r="K9" s="484">
        <f t="shared" si="2"/>
        <v>462</v>
      </c>
      <c r="L9" s="492">
        <f t="shared" si="3"/>
        <v>520</v>
      </c>
      <c r="M9" s="486">
        <f t="shared" si="5"/>
        <v>240240</v>
      </c>
      <c r="Q9" s="433" t="s">
        <v>1920</v>
      </c>
      <c r="R9" s="554">
        <v>520</v>
      </c>
      <c r="S9" s="508">
        <v>520</v>
      </c>
      <c r="T9" s="434">
        <v>0.05</v>
      </c>
      <c r="U9" s="436">
        <f t="shared" si="4"/>
        <v>1848</v>
      </c>
      <c r="V9" s="434">
        <f t="shared" si="0"/>
        <v>3.9993074792243767E-2</v>
      </c>
      <c r="W9" s="434" t="str">
        <f t="shared" si="1"/>
        <v>OK</v>
      </c>
      <c r="X9" s="435"/>
    </row>
    <row r="10" spans="1:24">
      <c r="A10" s="367"/>
      <c r="B10" s="367"/>
      <c r="C10" s="367"/>
      <c r="D10" s="367"/>
      <c r="E10" s="367"/>
      <c r="F10" s="551" t="s">
        <v>1922</v>
      </c>
      <c r="G10" s="551" t="str">
        <f>IFERROR(VLOOKUP(F10,ISCO_Prevodnik!$A$10:$B$21,2,0),"")</f>
        <v>Bezpecnost</v>
      </c>
      <c r="H10" s="551" t="s">
        <v>1923</v>
      </c>
      <c r="I10" s="551">
        <f>IFERROR(VLOOKUP(H10,ISCO_Prevodnik!$E$10:$F$31,2,0),"")</f>
        <v>2529001</v>
      </c>
      <c r="J10" s="552">
        <v>0.04</v>
      </c>
      <c r="K10" s="484">
        <f t="shared" si="2"/>
        <v>462</v>
      </c>
      <c r="L10" s="492">
        <f t="shared" si="3"/>
        <v>472</v>
      </c>
      <c r="M10" s="486">
        <f t="shared" ref="M10:M15" si="6">K10*L10</f>
        <v>218064</v>
      </c>
      <c r="Q10" s="433" t="s">
        <v>1922</v>
      </c>
      <c r="R10" s="554">
        <v>472</v>
      </c>
      <c r="S10" s="508">
        <v>472</v>
      </c>
      <c r="T10" s="434">
        <v>0.1</v>
      </c>
      <c r="U10" s="436">
        <f t="shared" si="4"/>
        <v>1848</v>
      </c>
      <c r="V10" s="434">
        <f t="shared" si="0"/>
        <v>3.9993074792243767E-2</v>
      </c>
      <c r="W10" s="434" t="str">
        <f t="shared" si="1"/>
        <v>OK</v>
      </c>
      <c r="X10" s="435"/>
    </row>
    <row r="11" spans="1:24">
      <c r="A11" s="367"/>
      <c r="B11" s="367"/>
      <c r="C11" s="367"/>
      <c r="D11" s="367"/>
      <c r="E11" s="367"/>
      <c r="F11" s="551" t="s">
        <v>1924</v>
      </c>
      <c r="G11" s="551" t="str">
        <f>IFERROR(VLOOKUP(F11,ISCO_Prevodnik!$A$10:$B$21,2,0),"")</f>
        <v>Infrastrutkura</v>
      </c>
      <c r="H11" s="551" t="s">
        <v>1925</v>
      </c>
      <c r="I11" s="551">
        <f>IFERROR(VLOOKUP(H11,ISCO_Prevodnik!$E$10:$F$31,2,0),"")</f>
        <v>2523000</v>
      </c>
      <c r="J11" s="552">
        <v>0.04</v>
      </c>
      <c r="K11" s="484">
        <f t="shared" si="2"/>
        <v>462</v>
      </c>
      <c r="L11" s="492">
        <f t="shared" si="3"/>
        <v>425</v>
      </c>
      <c r="M11" s="486">
        <f t="shared" si="6"/>
        <v>196350</v>
      </c>
      <c r="Q11" s="433" t="s">
        <v>1924</v>
      </c>
      <c r="R11" s="554">
        <v>425</v>
      </c>
      <c r="S11" s="508">
        <v>425</v>
      </c>
      <c r="T11" s="434">
        <v>0.3</v>
      </c>
      <c r="U11" s="436">
        <f t="shared" si="4"/>
        <v>1848</v>
      </c>
      <c r="V11" s="434">
        <f t="shared" si="0"/>
        <v>3.9993074792243767E-2</v>
      </c>
      <c r="W11" s="434" t="str">
        <f t="shared" si="1"/>
        <v>OK</v>
      </c>
      <c r="X11" s="435"/>
    </row>
    <row r="12" spans="1:24">
      <c r="A12" s="367"/>
      <c r="B12" s="367"/>
      <c r="C12" s="367"/>
      <c r="D12" s="367"/>
      <c r="E12" s="367"/>
      <c r="F12" s="551" t="s">
        <v>1926</v>
      </c>
      <c r="G12" s="551" t="str">
        <f>IFERROR(VLOOKUP(F12,ISCO_Prevodnik!$A$10:$B$21,2,0),"")</f>
        <v>Databazy</v>
      </c>
      <c r="H12" s="551" t="s">
        <v>1927</v>
      </c>
      <c r="I12" s="551">
        <f>IFERROR(VLOOKUP(H12,ISCO_Prevodnik!$E$10:$F$31,2,0),"")</f>
        <v>2521001</v>
      </c>
      <c r="J12" s="552">
        <v>0.1</v>
      </c>
      <c r="K12" s="484">
        <f t="shared" si="2"/>
        <v>1155</v>
      </c>
      <c r="L12" s="492">
        <f t="shared" si="3"/>
        <v>451</v>
      </c>
      <c r="M12" s="486">
        <f t="shared" si="6"/>
        <v>520905</v>
      </c>
      <c r="Q12" s="433" t="s">
        <v>1926</v>
      </c>
      <c r="R12" s="554">
        <v>451</v>
      </c>
      <c r="S12" s="508">
        <v>451</v>
      </c>
      <c r="T12" s="434">
        <v>0.15</v>
      </c>
      <c r="U12" s="436">
        <f t="shared" si="4"/>
        <v>4621</v>
      </c>
      <c r="V12" s="434">
        <f t="shared" si="0"/>
        <v>0.10000432825484765</v>
      </c>
      <c r="W12" s="434" t="str">
        <f t="shared" si="1"/>
        <v>OK</v>
      </c>
      <c r="X12" s="435"/>
    </row>
    <row r="13" spans="1:24">
      <c r="A13" s="367"/>
      <c r="B13" s="367"/>
      <c r="C13" s="367"/>
      <c r="D13" s="367"/>
      <c r="E13" s="367"/>
      <c r="F13" s="551" t="s">
        <v>1928</v>
      </c>
      <c r="G13" s="551" t="str">
        <f>IFERROR(VLOOKUP(F13,ISCO_Prevodnik!$A$10:$B$21,2,0),"")</f>
        <v>Skolenie</v>
      </c>
      <c r="H13" s="551"/>
      <c r="I13" s="551" t="str">
        <f>IFERROR(VLOOKUP(H13,ISCO_Prevodnik!$E$10:$F$31,2,0),"")</f>
        <v/>
      </c>
      <c r="J13" s="552">
        <v>0.04</v>
      </c>
      <c r="K13" s="484">
        <f t="shared" si="2"/>
        <v>462</v>
      </c>
      <c r="L13" s="492">
        <f t="shared" si="3"/>
        <v>400</v>
      </c>
      <c r="M13" s="486">
        <f t="shared" si="6"/>
        <v>184800</v>
      </c>
      <c r="Q13" s="433" t="s">
        <v>1928</v>
      </c>
      <c r="R13" s="554">
        <v>400</v>
      </c>
      <c r="S13" s="508">
        <v>400</v>
      </c>
      <c r="T13" s="434">
        <v>0.05</v>
      </c>
      <c r="U13" s="436">
        <f t="shared" si="4"/>
        <v>1848</v>
      </c>
      <c r="V13" s="434">
        <f t="shared" si="0"/>
        <v>3.9993074792243767E-2</v>
      </c>
      <c r="W13" s="434" t="str">
        <f t="shared" si="1"/>
        <v>OK</v>
      </c>
      <c r="X13" s="435"/>
    </row>
    <row r="14" spans="1:24">
      <c r="A14" s="367"/>
      <c r="B14" s="367"/>
      <c r="C14" s="367"/>
      <c r="D14" s="367"/>
      <c r="E14" s="367"/>
      <c r="F14" s="551"/>
      <c r="G14" s="551" t="str">
        <f>IFERROR(VLOOKUP(F14,ISCO_Prevodnik!$A$10:$B$21,2,0),"")</f>
        <v/>
      </c>
      <c r="H14" s="551"/>
      <c r="I14" s="551" t="str">
        <f>IFERROR(VLOOKUP(H14,ISCO_Prevodnik!$E$10:$F$31,2,0),"")</f>
        <v/>
      </c>
      <c r="J14" s="552"/>
      <c r="K14" s="484">
        <f t="shared" si="2"/>
        <v>0</v>
      </c>
      <c r="L14" s="492">
        <f t="shared" si="3"/>
        <v>0</v>
      </c>
      <c r="M14" s="486">
        <f t="shared" si="6"/>
        <v>0</v>
      </c>
      <c r="Q14" s="433" t="s">
        <v>1929</v>
      </c>
      <c r="R14" s="554">
        <v>488</v>
      </c>
      <c r="S14" s="508">
        <v>488</v>
      </c>
      <c r="T14" s="434">
        <v>0.5</v>
      </c>
      <c r="U14" s="436">
        <f t="shared" si="4"/>
        <v>0</v>
      </c>
      <c r="V14" s="434">
        <f t="shared" si="0"/>
        <v>0</v>
      </c>
      <c r="W14" s="434" t="str">
        <f t="shared" si="1"/>
        <v>OK</v>
      </c>
      <c r="X14" s="435"/>
    </row>
    <row r="15" spans="1:24">
      <c r="A15" s="367"/>
      <c r="B15" s="367"/>
      <c r="C15" s="367"/>
      <c r="D15" s="367"/>
      <c r="E15" s="367"/>
      <c r="F15" s="551"/>
      <c r="G15" s="551" t="str">
        <f>IFERROR(VLOOKUP(F15,ISCO_Prevodnik!$A$10:$B$21,2,0),"")</f>
        <v/>
      </c>
      <c r="H15" s="551"/>
      <c r="I15" s="551" t="str">
        <f>IFERROR(VLOOKUP(H15,ISCO_Prevodnik!$E$10:$F$31,2,0),"")</f>
        <v/>
      </c>
      <c r="J15" s="552"/>
      <c r="K15" s="484">
        <f t="shared" si="2"/>
        <v>0</v>
      </c>
      <c r="L15" s="492">
        <f t="shared" si="3"/>
        <v>0</v>
      </c>
      <c r="M15" s="486">
        <f t="shared" si="6"/>
        <v>0</v>
      </c>
      <c r="Q15" s="433" t="s">
        <v>1930</v>
      </c>
      <c r="R15" s="554">
        <v>400</v>
      </c>
      <c r="S15" s="508">
        <v>400</v>
      </c>
      <c r="T15" s="434">
        <v>0.2</v>
      </c>
      <c r="U15" s="436">
        <f t="shared" si="4"/>
        <v>0</v>
      </c>
      <c r="V15" s="434">
        <f t="shared" si="0"/>
        <v>0</v>
      </c>
      <c r="W15" s="434" t="str">
        <f t="shared" si="1"/>
        <v>OK</v>
      </c>
      <c r="X15" s="435"/>
    </row>
    <row r="16" spans="1:24">
      <c r="A16" s="370" t="s">
        <v>1931</v>
      </c>
      <c r="B16" s="553">
        <v>0.6</v>
      </c>
      <c r="C16" s="552">
        <f>SUM(K16:K27)/$K$1</f>
        <v>0.62051293527884699</v>
      </c>
      <c r="D16" s="484">
        <f>B16*SUM(MODULY_CBA!$J$3:$J$23)</f>
        <v>27725.399999999998</v>
      </c>
      <c r="E16" s="639">
        <f>IFERROR(SUM(M16:M27)/SUM(K16:K27),0)</f>
        <v>455.89007104987917</v>
      </c>
      <c r="F16" s="551" t="s">
        <v>1911</v>
      </c>
      <c r="G16" s="551" t="str">
        <f>IFERROR(VLOOKUP(F16,ISCO_Prevodnik!$A$10:$B$21,2,0),"")</f>
        <v>IT_architekt</v>
      </c>
      <c r="H16" s="551" t="s">
        <v>1912</v>
      </c>
      <c r="I16" s="551">
        <f>IFERROR(VLOOKUP(H16,ISCO_Prevodnik!$E$10:$F$31,2,0),"")</f>
        <v>2511002</v>
      </c>
      <c r="J16" s="552">
        <v>0.1</v>
      </c>
      <c r="K16" s="484">
        <f>ROUND(J16*$D$16,0)</f>
        <v>2773</v>
      </c>
      <c r="L16" s="492">
        <f t="shared" si="3"/>
        <v>525</v>
      </c>
      <c r="M16" s="486">
        <f t="shared" si="5"/>
        <v>1455825</v>
      </c>
      <c r="N16" s="509"/>
      <c r="Q16" s="642" t="s">
        <v>1932</v>
      </c>
      <c r="R16" s="554"/>
      <c r="S16" s="508" t="s">
        <v>153</v>
      </c>
      <c r="T16" s="434" t="s">
        <v>153</v>
      </c>
      <c r="U16" s="436">
        <f t="shared" si="4"/>
        <v>0</v>
      </c>
      <c r="V16" s="434" t="s">
        <v>153</v>
      </c>
      <c r="W16" s="434" t="s">
        <v>153</v>
      </c>
      <c r="X16" s="435"/>
    </row>
    <row r="17" spans="1:24">
      <c r="A17" s="367"/>
      <c r="B17" s="367"/>
      <c r="C17" s="367"/>
      <c r="D17" s="367"/>
      <c r="E17" s="367"/>
      <c r="F17" s="551" t="s">
        <v>1913</v>
      </c>
      <c r="G17" s="551" t="str">
        <f>IFERROR(VLOOKUP(F17,ISCO_Prevodnik!$A$10:$B$21,2,0),"")</f>
        <v>IT_tester</v>
      </c>
      <c r="H17" s="551" t="s">
        <v>1913</v>
      </c>
      <c r="I17" s="551">
        <f>IFERROR(VLOOKUP(H17,ISCO_Prevodnik!$E$10:$F$31,2,0),"")</f>
        <v>2519001</v>
      </c>
      <c r="J17" s="552">
        <v>0.1</v>
      </c>
      <c r="K17" s="484">
        <f t="shared" ref="K17:K27" si="7">ROUND(J17*$D$16,0)</f>
        <v>2773</v>
      </c>
      <c r="L17" s="492">
        <f t="shared" si="3"/>
        <v>377</v>
      </c>
      <c r="M17" s="486">
        <f t="shared" si="5"/>
        <v>1045421</v>
      </c>
      <c r="Q17" s="642" t="s">
        <v>1933</v>
      </c>
      <c r="R17" s="554"/>
      <c r="S17" s="508" t="s">
        <v>153</v>
      </c>
      <c r="T17" s="434" t="s">
        <v>153</v>
      </c>
      <c r="U17" s="436">
        <f t="shared" si="4"/>
        <v>0</v>
      </c>
      <c r="V17" s="434" t="s">
        <v>153</v>
      </c>
      <c r="W17" s="434" t="s">
        <v>153</v>
      </c>
      <c r="X17" s="435"/>
    </row>
    <row r="18" spans="1:24">
      <c r="A18" s="367"/>
      <c r="B18" s="367"/>
      <c r="C18" s="367"/>
      <c r="D18" s="367"/>
      <c r="E18" s="367"/>
      <c r="F18" s="551" t="s">
        <v>1914</v>
      </c>
      <c r="G18" s="551" t="str">
        <f>IFERROR(VLOOKUP(F18,ISCO_Prevodnik!$A$10:$B$21,2,0),"")</f>
        <v>IT_programator</v>
      </c>
      <c r="H18" s="551" t="s">
        <v>1915</v>
      </c>
      <c r="I18" s="551">
        <f>IFERROR(VLOOKUP(H18,ISCO_Prevodnik!$E$10:$F$31,2,0),"")</f>
        <v>2512001</v>
      </c>
      <c r="J18" s="552">
        <v>0.35</v>
      </c>
      <c r="K18" s="484">
        <f t="shared" si="7"/>
        <v>9704</v>
      </c>
      <c r="L18" s="492">
        <f t="shared" si="3"/>
        <v>420</v>
      </c>
      <c r="M18" s="486">
        <f t="shared" si="5"/>
        <v>4075680</v>
      </c>
      <c r="Q18" s="642" t="s">
        <v>1934</v>
      </c>
      <c r="R18" s="554"/>
      <c r="S18" s="508" t="s">
        <v>153</v>
      </c>
      <c r="T18" s="434" t="s">
        <v>153</v>
      </c>
      <c r="U18" s="436">
        <f t="shared" si="4"/>
        <v>0</v>
      </c>
      <c r="V18" s="434" t="s">
        <v>153</v>
      </c>
      <c r="W18" s="434" t="s">
        <v>153</v>
      </c>
      <c r="X18" s="435"/>
    </row>
    <row r="19" spans="1:24">
      <c r="A19" s="367"/>
      <c r="B19" s="367"/>
      <c r="C19" s="367"/>
      <c r="D19" s="367"/>
      <c r="E19" s="367"/>
      <c r="F19" s="551" t="s">
        <v>1916</v>
      </c>
      <c r="G19" s="551" t="str">
        <f>IFERROR(VLOOKUP(F19,ISCO_Prevodnik!$A$10:$B$21,2,0),"")</f>
        <v>Projektovy_manazer</v>
      </c>
      <c r="H19" s="551" t="s">
        <v>1917</v>
      </c>
      <c r="I19" s="551">
        <f>IFERROR(VLOOKUP(H19,ISCO_Prevodnik!$E$10:$F$31,2,0),"")</f>
        <v>1330001</v>
      </c>
      <c r="J19" s="552">
        <v>0.04</v>
      </c>
      <c r="K19" s="484">
        <f t="shared" si="7"/>
        <v>1109</v>
      </c>
      <c r="L19" s="492">
        <f t="shared" si="3"/>
        <v>539</v>
      </c>
      <c r="M19" s="486">
        <f t="shared" si="5"/>
        <v>597751</v>
      </c>
      <c r="Q19" s="642" t="s">
        <v>1935</v>
      </c>
      <c r="R19" s="554"/>
      <c r="S19" s="508" t="s">
        <v>153</v>
      </c>
      <c r="T19" s="434" t="s">
        <v>153</v>
      </c>
      <c r="U19" s="436">
        <f t="shared" si="4"/>
        <v>0</v>
      </c>
      <c r="V19" s="434" t="s">
        <v>153</v>
      </c>
      <c r="W19" s="434" t="s">
        <v>153</v>
      </c>
      <c r="X19" s="435"/>
    </row>
    <row r="20" spans="1:24">
      <c r="A20" s="367"/>
      <c r="B20" s="367"/>
      <c r="C20" s="367"/>
      <c r="D20" s="367"/>
      <c r="E20" s="367"/>
      <c r="F20" s="551" t="s">
        <v>1918</v>
      </c>
      <c r="G20" s="551" t="str">
        <f>IFERROR(VLOOKUP(F20,ISCO_Prevodnik!$A$10:$B$21,2,0),"")</f>
        <v>IT_analytik</v>
      </c>
      <c r="H20" s="551" t="s">
        <v>1919</v>
      </c>
      <c r="I20" s="551">
        <f>IFERROR(VLOOKUP(H20,ISCO_Prevodnik!$E$10:$F$31,2,0),"")</f>
        <v>2511003</v>
      </c>
      <c r="J20" s="552">
        <v>0.15</v>
      </c>
      <c r="K20" s="484">
        <f t="shared" si="7"/>
        <v>4159</v>
      </c>
      <c r="L20" s="492">
        <f t="shared" si="3"/>
        <v>529</v>
      </c>
      <c r="M20" s="486">
        <f t="shared" si="5"/>
        <v>2200111</v>
      </c>
      <c r="Q20" s="642" t="s">
        <v>1936</v>
      </c>
      <c r="R20" s="554"/>
      <c r="S20" s="508" t="s">
        <v>153</v>
      </c>
      <c r="T20" s="434" t="s">
        <v>153</v>
      </c>
      <c r="U20" s="436">
        <f t="shared" si="4"/>
        <v>0</v>
      </c>
      <c r="V20" s="434" t="s">
        <v>153</v>
      </c>
      <c r="W20" s="434" t="s">
        <v>153</v>
      </c>
      <c r="X20" s="435"/>
    </row>
    <row r="21" spans="1:24">
      <c r="A21" s="367"/>
      <c r="B21" s="367"/>
      <c r="C21" s="367"/>
      <c r="D21" s="367"/>
      <c r="E21" s="367"/>
      <c r="F21" s="551" t="s">
        <v>1920</v>
      </c>
      <c r="G21" s="551" t="str">
        <f>IFERROR(VLOOKUP(F21,ISCO_Prevodnik!$A$10:$B$21,2,0),"")</f>
        <v>Kvalita</v>
      </c>
      <c r="H21" s="551" t="s">
        <v>1921</v>
      </c>
      <c r="I21" s="551">
        <f>IFERROR(VLOOKUP(H21,ISCO_Prevodnik!$E$10:$F$31,2,0),"")</f>
        <v>2421002</v>
      </c>
      <c r="J21" s="552">
        <v>0.04</v>
      </c>
      <c r="K21" s="484">
        <f t="shared" si="7"/>
        <v>1109</v>
      </c>
      <c r="L21" s="492">
        <f t="shared" si="3"/>
        <v>520</v>
      </c>
      <c r="M21" s="486">
        <f t="shared" si="5"/>
        <v>576680</v>
      </c>
      <c r="Q21" s="642" t="s">
        <v>1937</v>
      </c>
      <c r="R21" s="554"/>
      <c r="S21" s="508" t="s">
        <v>153</v>
      </c>
      <c r="T21" s="434" t="s">
        <v>153</v>
      </c>
      <c r="U21" s="436">
        <f t="shared" si="4"/>
        <v>0</v>
      </c>
      <c r="V21" s="434" t="s">
        <v>153</v>
      </c>
      <c r="W21" s="434" t="s">
        <v>153</v>
      </c>
      <c r="X21" s="435"/>
    </row>
    <row r="22" spans="1:24">
      <c r="A22" s="367"/>
      <c r="B22" s="601"/>
      <c r="C22" s="601"/>
      <c r="D22" s="602"/>
      <c r="E22" s="603"/>
      <c r="F22" s="551" t="s">
        <v>1922</v>
      </c>
      <c r="G22" s="551" t="str">
        <f>IFERROR(VLOOKUP(F22,ISCO_Prevodnik!$A$10:$B$21,2,0),"")</f>
        <v>Bezpecnost</v>
      </c>
      <c r="H22" s="551" t="s">
        <v>1923</v>
      </c>
      <c r="I22" s="551">
        <f>IFERROR(VLOOKUP(H22,ISCO_Prevodnik!$E$10:$F$31,2,0),"")</f>
        <v>2529001</v>
      </c>
      <c r="J22" s="552">
        <v>0.04</v>
      </c>
      <c r="K22" s="484">
        <f t="shared" si="7"/>
        <v>1109</v>
      </c>
      <c r="L22" s="492">
        <f t="shared" si="3"/>
        <v>472</v>
      </c>
      <c r="M22" s="486">
        <f t="shared" si="5"/>
        <v>523448</v>
      </c>
      <c r="Q22" s="625"/>
      <c r="R22" s="554"/>
      <c r="S22" s="508" t="s">
        <v>153</v>
      </c>
      <c r="T22" s="434" t="s">
        <v>153</v>
      </c>
      <c r="U22" s="436">
        <f t="shared" si="4"/>
        <v>0</v>
      </c>
      <c r="V22" s="434" t="s">
        <v>153</v>
      </c>
      <c r="W22" s="434" t="s">
        <v>153</v>
      </c>
      <c r="X22" s="435"/>
    </row>
    <row r="23" spans="1:24">
      <c r="A23" s="367"/>
      <c r="B23" s="367"/>
      <c r="C23" s="367"/>
      <c r="D23" s="367"/>
      <c r="E23" s="367"/>
      <c r="F23" s="551" t="s">
        <v>1924</v>
      </c>
      <c r="G23" s="551" t="str">
        <f>IFERROR(VLOOKUP(F23,ISCO_Prevodnik!$A$10:$B$21,2,0),"")</f>
        <v>Infrastrutkura</v>
      </c>
      <c r="H23" s="551" t="s">
        <v>1925</v>
      </c>
      <c r="I23" s="551">
        <f>IFERROR(VLOOKUP(H23,ISCO_Prevodnik!$E$10:$F$31,2,0),"")</f>
        <v>2523000</v>
      </c>
      <c r="J23" s="552">
        <v>0.04</v>
      </c>
      <c r="K23" s="484">
        <f t="shared" si="7"/>
        <v>1109</v>
      </c>
      <c r="L23" s="492">
        <f t="shared" si="3"/>
        <v>425</v>
      </c>
      <c r="M23" s="486">
        <f t="shared" si="5"/>
        <v>471325</v>
      </c>
      <c r="Q23" s="625"/>
      <c r="R23" s="554"/>
      <c r="S23" s="508" t="s">
        <v>153</v>
      </c>
      <c r="T23" s="434" t="s">
        <v>153</v>
      </c>
      <c r="U23" s="436">
        <f t="shared" si="4"/>
        <v>0</v>
      </c>
      <c r="V23" s="434" t="s">
        <v>153</v>
      </c>
      <c r="W23" s="434" t="s">
        <v>153</v>
      </c>
      <c r="X23" s="435"/>
    </row>
    <row r="24" spans="1:24">
      <c r="A24" s="367"/>
      <c r="B24" s="367"/>
      <c r="C24" s="367"/>
      <c r="D24" s="367"/>
      <c r="E24" s="367"/>
      <c r="F24" s="551" t="s">
        <v>1926</v>
      </c>
      <c r="G24" s="551" t="str">
        <f>IFERROR(VLOOKUP(F24,ISCO_Prevodnik!$A$10:$B$21,2,0),"")</f>
        <v>Databazy</v>
      </c>
      <c r="H24" s="551" t="s">
        <v>1927</v>
      </c>
      <c r="I24" s="551">
        <f>IFERROR(VLOOKUP(H24,ISCO_Prevodnik!$E$10:$F$31,2,0),"")</f>
        <v>2521001</v>
      </c>
      <c r="J24" s="552">
        <v>0.1</v>
      </c>
      <c r="K24" s="484">
        <f t="shared" si="7"/>
        <v>2773</v>
      </c>
      <c r="L24" s="492">
        <f t="shared" si="3"/>
        <v>451</v>
      </c>
      <c r="M24" s="486">
        <f t="shared" si="5"/>
        <v>1250623</v>
      </c>
      <c r="Q24" s="625"/>
      <c r="R24" s="554"/>
      <c r="S24" s="508" t="s">
        <v>153</v>
      </c>
      <c r="T24" s="434" t="s">
        <v>153</v>
      </c>
      <c r="U24" s="436">
        <f t="shared" si="4"/>
        <v>0</v>
      </c>
      <c r="V24" s="434" t="s">
        <v>153</v>
      </c>
      <c r="W24" s="434" t="s">
        <v>153</v>
      </c>
      <c r="X24" s="435"/>
    </row>
    <row r="25" spans="1:24">
      <c r="A25" s="367"/>
      <c r="B25" s="367"/>
      <c r="C25" s="367"/>
      <c r="D25" s="367"/>
      <c r="E25" s="367"/>
      <c r="F25" s="551" t="s">
        <v>1928</v>
      </c>
      <c r="G25" s="551" t="str">
        <f>IFERROR(VLOOKUP(F25,ISCO_Prevodnik!$A$10:$B$21,2,0),"")</f>
        <v>Skolenie</v>
      </c>
      <c r="H25" s="551"/>
      <c r="I25" s="551" t="str">
        <f>IFERROR(VLOOKUP(H25,ISCO_Prevodnik!$E$10:$F$31,2,0),"")</f>
        <v/>
      </c>
      <c r="J25" s="552">
        <v>0.04</v>
      </c>
      <c r="K25" s="484">
        <f t="shared" si="7"/>
        <v>1109</v>
      </c>
      <c r="L25" s="492">
        <f t="shared" si="3"/>
        <v>400</v>
      </c>
      <c r="M25" s="486">
        <f t="shared" si="5"/>
        <v>443600</v>
      </c>
      <c r="Q25" s="625"/>
      <c r="R25" s="554"/>
      <c r="S25" s="508" t="s">
        <v>153</v>
      </c>
      <c r="T25" s="434" t="s">
        <v>153</v>
      </c>
      <c r="U25" s="436">
        <f t="shared" si="4"/>
        <v>0</v>
      </c>
      <c r="V25" s="434" t="s">
        <v>153</v>
      </c>
      <c r="W25" s="434" t="s">
        <v>153</v>
      </c>
      <c r="X25" s="435"/>
    </row>
    <row r="26" spans="1:24">
      <c r="A26" s="367"/>
      <c r="B26" s="367"/>
      <c r="C26" s="367"/>
      <c r="D26" s="367"/>
      <c r="E26" s="367"/>
      <c r="F26" s="551"/>
      <c r="G26" s="551" t="str">
        <f>IFERROR(VLOOKUP(F26,ISCO_Prevodnik!$A$10:$B$21,2,0),"")</f>
        <v/>
      </c>
      <c r="H26" s="551"/>
      <c r="I26" s="551" t="str">
        <f>IFERROR(VLOOKUP(H26,ISCO_Prevodnik!$E$10:$F$31,2,0),"")</f>
        <v/>
      </c>
      <c r="J26" s="552"/>
      <c r="K26" s="484">
        <f t="shared" si="7"/>
        <v>0</v>
      </c>
      <c r="L26" s="492">
        <f t="shared" si="3"/>
        <v>0</v>
      </c>
      <c r="M26" s="486">
        <f t="shared" si="5"/>
        <v>0</v>
      </c>
      <c r="Q26" s="625"/>
      <c r="R26" s="554"/>
      <c r="S26" s="508" t="s">
        <v>153</v>
      </c>
      <c r="T26" s="434" t="s">
        <v>153</v>
      </c>
      <c r="U26" s="436">
        <f t="shared" si="4"/>
        <v>0</v>
      </c>
      <c r="V26" s="434" t="s">
        <v>153</v>
      </c>
      <c r="W26" s="434" t="s">
        <v>153</v>
      </c>
      <c r="X26" s="435"/>
    </row>
    <row r="27" spans="1:24">
      <c r="A27" s="367"/>
      <c r="B27" s="367"/>
      <c r="C27" s="367"/>
      <c r="D27" s="367"/>
      <c r="E27" s="367"/>
      <c r="F27" s="551"/>
      <c r="G27" s="551" t="str">
        <f>IFERROR(VLOOKUP(F27,ISCO_Prevodnik!$A$10:$B$21,2,0),"")</f>
        <v/>
      </c>
      <c r="H27" s="551"/>
      <c r="I27" s="551" t="str">
        <f>IFERROR(VLOOKUP(H27,ISCO_Prevodnik!$E$10:$F$31,2,0),"")</f>
        <v/>
      </c>
      <c r="J27" s="552"/>
      <c r="K27" s="484">
        <f t="shared" si="7"/>
        <v>0</v>
      </c>
      <c r="L27" s="492">
        <f t="shared" si="3"/>
        <v>0</v>
      </c>
      <c r="M27" s="486">
        <f t="shared" si="5"/>
        <v>0</v>
      </c>
      <c r="Q27" s="625"/>
      <c r="R27" s="554"/>
      <c r="S27" s="508" t="s">
        <v>153</v>
      </c>
      <c r="T27" s="434" t="s">
        <v>153</v>
      </c>
      <c r="U27" s="436">
        <f t="shared" si="4"/>
        <v>0</v>
      </c>
      <c r="V27" s="434" t="s">
        <v>153</v>
      </c>
      <c r="W27" s="434" t="s">
        <v>153</v>
      </c>
      <c r="X27" s="435"/>
    </row>
    <row r="28" spans="1:24">
      <c r="A28" s="370" t="s">
        <v>1938</v>
      </c>
      <c r="B28" s="553">
        <v>0.15</v>
      </c>
      <c r="C28" s="552">
        <f>SUM(K28:K39)/$K$1</f>
        <v>0.15508906991316804</v>
      </c>
      <c r="D28" s="484">
        <f>B28*SUM(MODULY_CBA!$J$3:$J$23)</f>
        <v>6931.3499999999995</v>
      </c>
      <c r="E28" s="485">
        <f>IFERROR(SUM(M28:M39)/SUM(K28:K39),0)</f>
        <v>455.89047619047619</v>
      </c>
      <c r="F28" s="551" t="s">
        <v>1911</v>
      </c>
      <c r="G28" s="551" t="str">
        <f>IFERROR(VLOOKUP(F28,ISCO_Prevodnik!$A$10:$B$21,2,0),"")</f>
        <v>IT_architekt</v>
      </c>
      <c r="H28" s="551" t="s">
        <v>1912</v>
      </c>
      <c r="I28" s="551">
        <f>IFERROR(VLOOKUP(H28,ISCO_Prevodnik!$E$10:$F$31,2,0),"")</f>
        <v>2511002</v>
      </c>
      <c r="J28" s="552">
        <v>0.1</v>
      </c>
      <c r="K28" s="484">
        <f>ROUND(J28*$D$28,0)</f>
        <v>693</v>
      </c>
      <c r="L28" s="492">
        <f t="shared" si="3"/>
        <v>525</v>
      </c>
      <c r="M28" s="486">
        <f t="shared" si="5"/>
        <v>363825</v>
      </c>
    </row>
    <row r="29" spans="1:24">
      <c r="A29" s="367"/>
      <c r="B29" s="367"/>
      <c r="C29" s="367"/>
      <c r="D29" s="367"/>
      <c r="E29" s="367"/>
      <c r="F29" s="551" t="s">
        <v>1913</v>
      </c>
      <c r="G29" s="551" t="str">
        <f>IFERROR(VLOOKUP(F29,ISCO_Prevodnik!$A$10:$B$21,2,0),"")</f>
        <v>IT_tester</v>
      </c>
      <c r="H29" s="551" t="s">
        <v>1913</v>
      </c>
      <c r="I29" s="551">
        <f>IFERROR(VLOOKUP(H29,ISCO_Prevodnik!$E$10:$F$31,2,0),"")</f>
        <v>2519001</v>
      </c>
      <c r="J29" s="552">
        <v>0.1</v>
      </c>
      <c r="K29" s="484">
        <f t="shared" ref="K29:K39" si="8">ROUND(J29*$D$28,0)</f>
        <v>693</v>
      </c>
      <c r="L29" s="492">
        <f t="shared" si="3"/>
        <v>377</v>
      </c>
      <c r="M29" s="486">
        <f t="shared" si="5"/>
        <v>261261</v>
      </c>
    </row>
    <row r="30" spans="1:24">
      <c r="A30" s="367"/>
      <c r="B30" s="367"/>
      <c r="C30" s="367"/>
      <c r="D30" s="367"/>
      <c r="E30" s="367"/>
      <c r="F30" s="551" t="s">
        <v>1914</v>
      </c>
      <c r="G30" s="551" t="str">
        <f>IFERROR(VLOOKUP(F30,ISCO_Prevodnik!$A$10:$B$21,2,0),"")</f>
        <v>IT_programator</v>
      </c>
      <c r="H30" s="551" t="s">
        <v>1915</v>
      </c>
      <c r="I30" s="551">
        <f>IFERROR(VLOOKUP(H30,ISCO_Prevodnik!$E$10:$F$31,2,0),"")</f>
        <v>2512001</v>
      </c>
      <c r="J30" s="552">
        <v>0.35</v>
      </c>
      <c r="K30" s="484">
        <f t="shared" si="8"/>
        <v>2426</v>
      </c>
      <c r="L30" s="492">
        <f t="shared" si="3"/>
        <v>420</v>
      </c>
      <c r="M30" s="486">
        <f t="shared" si="5"/>
        <v>1018920</v>
      </c>
    </row>
    <row r="31" spans="1:24">
      <c r="A31" s="367"/>
      <c r="B31" s="367"/>
      <c r="C31" s="367"/>
      <c r="D31" s="367"/>
      <c r="E31" s="367"/>
      <c r="F31" s="551" t="s">
        <v>1916</v>
      </c>
      <c r="G31" s="551" t="str">
        <f>IFERROR(VLOOKUP(F31,ISCO_Prevodnik!$A$10:$B$21,2,0),"")</f>
        <v>Projektovy_manazer</v>
      </c>
      <c r="H31" s="551" t="s">
        <v>1917</v>
      </c>
      <c r="I31" s="551">
        <f>IFERROR(VLOOKUP(H31,ISCO_Prevodnik!$E$10:$F$31,2,0),"")</f>
        <v>1330001</v>
      </c>
      <c r="J31" s="552">
        <v>0.04</v>
      </c>
      <c r="K31" s="484">
        <f t="shared" si="8"/>
        <v>277</v>
      </c>
      <c r="L31" s="492">
        <f t="shared" si="3"/>
        <v>539</v>
      </c>
      <c r="M31" s="486">
        <f t="shared" si="5"/>
        <v>149303</v>
      </c>
    </row>
    <row r="32" spans="1:24">
      <c r="A32" s="367"/>
      <c r="B32" s="367"/>
      <c r="C32" s="367"/>
      <c r="D32" s="367"/>
      <c r="E32" s="367"/>
      <c r="F32" s="551" t="s">
        <v>1918</v>
      </c>
      <c r="G32" s="551" t="str">
        <f>IFERROR(VLOOKUP(F32,ISCO_Prevodnik!$A$10:$B$21,2,0),"")</f>
        <v>IT_analytik</v>
      </c>
      <c r="H32" s="551" t="s">
        <v>1919</v>
      </c>
      <c r="I32" s="551">
        <f>IFERROR(VLOOKUP(H32,ISCO_Prevodnik!$E$10:$F$31,2,0),"")</f>
        <v>2511003</v>
      </c>
      <c r="J32" s="552">
        <v>0.15</v>
      </c>
      <c r="K32" s="484">
        <f t="shared" si="8"/>
        <v>1040</v>
      </c>
      <c r="L32" s="492">
        <f t="shared" si="3"/>
        <v>529</v>
      </c>
      <c r="M32" s="486">
        <f t="shared" si="5"/>
        <v>550160</v>
      </c>
    </row>
    <row r="33" spans="1:13">
      <c r="A33" s="367"/>
      <c r="B33" s="367"/>
      <c r="C33" s="367"/>
      <c r="D33" s="367"/>
      <c r="E33" s="367"/>
      <c r="F33" s="551" t="s">
        <v>1920</v>
      </c>
      <c r="G33" s="551" t="str">
        <f>IFERROR(VLOOKUP(F33,ISCO_Prevodnik!$A$10:$B$21,2,0),"")</f>
        <v>Kvalita</v>
      </c>
      <c r="H33" s="551" t="s">
        <v>1921</v>
      </c>
      <c r="I33" s="551">
        <f>IFERROR(VLOOKUP(H33,ISCO_Prevodnik!$E$10:$F$31,2,0),"")</f>
        <v>2421002</v>
      </c>
      <c r="J33" s="552">
        <v>0.04</v>
      </c>
      <c r="K33" s="484">
        <f t="shared" si="8"/>
        <v>277</v>
      </c>
      <c r="L33" s="492">
        <f t="shared" si="3"/>
        <v>520</v>
      </c>
      <c r="M33" s="486">
        <f t="shared" si="5"/>
        <v>144040</v>
      </c>
    </row>
    <row r="34" spans="1:13">
      <c r="F34" s="551" t="s">
        <v>1922</v>
      </c>
      <c r="G34" s="551" t="str">
        <f>IFERROR(VLOOKUP(F34,ISCO_Prevodnik!$A$10:$B$21,2,0),"")</f>
        <v>Bezpecnost</v>
      </c>
      <c r="H34" s="551" t="s">
        <v>1923</v>
      </c>
      <c r="I34" s="551">
        <f>IFERROR(VLOOKUP(H34,ISCO_Prevodnik!$E$10:$F$31,2,0),"")</f>
        <v>2529001</v>
      </c>
      <c r="J34" s="552">
        <v>0.04</v>
      </c>
      <c r="K34" s="484">
        <f t="shared" si="8"/>
        <v>277</v>
      </c>
      <c r="L34" s="492">
        <f t="shared" si="3"/>
        <v>472</v>
      </c>
      <c r="M34" s="486">
        <f t="shared" ref="M34:M46" si="9">K34*L34</f>
        <v>130744</v>
      </c>
    </row>
    <row r="35" spans="1:13">
      <c r="F35" s="551" t="s">
        <v>1924</v>
      </c>
      <c r="G35" s="551" t="str">
        <f>IFERROR(VLOOKUP(F35,ISCO_Prevodnik!$A$10:$B$21,2,0),"")</f>
        <v>Infrastrutkura</v>
      </c>
      <c r="H35" s="551" t="s">
        <v>1925</v>
      </c>
      <c r="I35" s="551">
        <f>IFERROR(VLOOKUP(H35,ISCO_Prevodnik!$E$10:$F$31,2,0),"")</f>
        <v>2523000</v>
      </c>
      <c r="J35" s="552">
        <v>0.04</v>
      </c>
      <c r="K35" s="484">
        <f t="shared" si="8"/>
        <v>277</v>
      </c>
      <c r="L35" s="492">
        <f t="shared" si="3"/>
        <v>425</v>
      </c>
      <c r="M35" s="486">
        <f t="shared" si="9"/>
        <v>117725</v>
      </c>
    </row>
    <row r="36" spans="1:13">
      <c r="F36" s="551" t="s">
        <v>1926</v>
      </c>
      <c r="G36" s="551" t="str">
        <f>IFERROR(VLOOKUP(F36,ISCO_Prevodnik!$A$10:$B$21,2,0),"")</f>
        <v>Databazy</v>
      </c>
      <c r="H36" s="551" t="s">
        <v>1927</v>
      </c>
      <c r="I36" s="551">
        <f>IFERROR(VLOOKUP(H36,ISCO_Prevodnik!$E$10:$F$31,2,0),"")</f>
        <v>2521001</v>
      </c>
      <c r="J36" s="552">
        <v>0.1</v>
      </c>
      <c r="K36" s="484">
        <f t="shared" si="8"/>
        <v>693</v>
      </c>
      <c r="L36" s="492">
        <f t="shared" si="3"/>
        <v>451</v>
      </c>
      <c r="M36" s="486">
        <f t="shared" si="9"/>
        <v>312543</v>
      </c>
    </row>
    <row r="37" spans="1:13">
      <c r="F37" s="551" t="s">
        <v>1928</v>
      </c>
      <c r="G37" s="551" t="str">
        <f>IFERROR(VLOOKUP(F37,ISCO_Prevodnik!$A$10:$B$21,2,0),"")</f>
        <v>Skolenie</v>
      </c>
      <c r="H37" s="551"/>
      <c r="I37" s="551" t="str">
        <f>IFERROR(VLOOKUP(H37,ISCO_Prevodnik!$E$10:$F$31,2,0),"")</f>
        <v/>
      </c>
      <c r="J37" s="552">
        <v>0.04</v>
      </c>
      <c r="K37" s="484">
        <f t="shared" si="8"/>
        <v>277</v>
      </c>
      <c r="L37" s="492">
        <f t="shared" si="3"/>
        <v>400</v>
      </c>
      <c r="M37" s="486">
        <f t="shared" si="9"/>
        <v>110800</v>
      </c>
    </row>
    <row r="38" spans="1:13">
      <c r="F38" s="551"/>
      <c r="G38" s="551" t="str">
        <f>IFERROR(VLOOKUP(F38,ISCO_Prevodnik!$A$10:$B$21,2,0),"")</f>
        <v/>
      </c>
      <c r="H38" s="551"/>
      <c r="I38" s="551" t="str">
        <f>IFERROR(VLOOKUP(H38,ISCO_Prevodnik!$E$10:$F$31,2,0),"")</f>
        <v/>
      </c>
      <c r="J38" s="552"/>
      <c r="K38" s="484">
        <f t="shared" si="8"/>
        <v>0</v>
      </c>
      <c r="L38" s="492">
        <f t="shared" si="3"/>
        <v>0</v>
      </c>
      <c r="M38" s="486">
        <f t="shared" si="9"/>
        <v>0</v>
      </c>
    </row>
    <row r="39" spans="1:13">
      <c r="F39" s="551"/>
      <c r="G39" s="551" t="str">
        <f>IFERROR(VLOOKUP(F39,ISCO_Prevodnik!$A$10:$B$21,2,0),"")</f>
        <v/>
      </c>
      <c r="H39" s="551"/>
      <c r="I39" s="551" t="str">
        <f>IFERROR(VLOOKUP(H39,ISCO_Prevodnik!$E$10:$F$31,2,0),"")</f>
        <v/>
      </c>
      <c r="J39" s="552"/>
      <c r="K39" s="484">
        <f t="shared" si="8"/>
        <v>0</v>
      </c>
      <c r="L39" s="492">
        <f t="shared" si="3"/>
        <v>0</v>
      </c>
      <c r="M39" s="486">
        <f t="shared" si="9"/>
        <v>0</v>
      </c>
    </row>
    <row r="40" spans="1:13" ht="29">
      <c r="A40" s="480" t="s">
        <v>1939</v>
      </c>
      <c r="B40" s="480" t="s">
        <v>1940</v>
      </c>
      <c r="C40" s="480"/>
      <c r="D40" s="480" t="s">
        <v>1899</v>
      </c>
      <c r="E40" s="480" t="s">
        <v>1893</v>
      </c>
      <c r="F40" s="480" t="s">
        <v>1894</v>
      </c>
      <c r="G40" s="480"/>
      <c r="H40" s="480" t="s">
        <v>1896</v>
      </c>
      <c r="I40" s="480" t="s">
        <v>1897</v>
      </c>
      <c r="J40" s="480" t="s">
        <v>1941</v>
      </c>
      <c r="K40" s="480" t="s">
        <v>1942</v>
      </c>
      <c r="L40" s="480" t="s">
        <v>1900</v>
      </c>
      <c r="M40" s="480" t="s">
        <v>124</v>
      </c>
    </row>
    <row r="41" spans="1:13">
      <c r="A41" s="370" t="s">
        <v>1943</v>
      </c>
      <c r="B41" s="555">
        <v>18</v>
      </c>
      <c r="C41" s="555"/>
      <c r="D41" s="484">
        <f>SUM(K41:K52)</f>
        <v>0</v>
      </c>
      <c r="E41" s="485">
        <f>IFERROR(SUM(M41:M52)/SUM(K41:K52),0)</f>
        <v>0</v>
      </c>
      <c r="F41" s="551"/>
      <c r="G41" s="551"/>
      <c r="H41" s="551"/>
      <c r="I41" s="551"/>
      <c r="J41" s="624"/>
      <c r="K41" s="484">
        <f>J41*$B$41*20</f>
        <v>0</v>
      </c>
      <c r="L41" s="492">
        <f>IFERROR(VLOOKUP(F41,$Q$4:$R$30,2,0),0)</f>
        <v>0</v>
      </c>
      <c r="M41" s="486">
        <f t="shared" si="9"/>
        <v>0</v>
      </c>
    </row>
    <row r="42" spans="1:13">
      <c r="A42" s="367"/>
      <c r="B42" s="367"/>
      <c r="C42" s="367"/>
      <c r="D42" s="367"/>
      <c r="E42" s="367"/>
      <c r="F42" s="551"/>
      <c r="G42" s="551"/>
      <c r="H42" s="551"/>
      <c r="I42" s="551"/>
      <c r="J42" s="624"/>
      <c r="K42" s="484">
        <f t="shared" ref="K42:K52" si="10">J42*$B$41*20</f>
        <v>0</v>
      </c>
      <c r="L42" s="492">
        <f t="shared" ref="L42:L52" si="11">IFERROR(VLOOKUP(F42,$Q$4:$R$30,2,0),0)</f>
        <v>0</v>
      </c>
      <c r="M42" s="486">
        <f t="shared" si="9"/>
        <v>0</v>
      </c>
    </row>
    <row r="43" spans="1:13">
      <c r="A43" s="367"/>
      <c r="B43" s="367"/>
      <c r="C43" s="367"/>
      <c r="D43" s="367"/>
      <c r="E43" s="367"/>
      <c r="F43" s="551"/>
      <c r="G43" s="551" t="str">
        <f>IFERROR(VLOOKUP(F43,ISCO_Prevodnik!$A$10:$B$21,2,0),"")</f>
        <v/>
      </c>
      <c r="H43" s="551"/>
      <c r="I43" s="551" t="str">
        <f>IFERROR(VLOOKUP(H43,ISCO_Prevodnik!$E$10:$F$31,2,0),"")</f>
        <v/>
      </c>
      <c r="J43" s="624"/>
      <c r="K43" s="484">
        <f t="shared" si="10"/>
        <v>0</v>
      </c>
      <c r="L43" s="492">
        <f t="shared" si="11"/>
        <v>0</v>
      </c>
      <c r="M43" s="486">
        <f t="shared" si="9"/>
        <v>0</v>
      </c>
    </row>
    <row r="44" spans="1:13">
      <c r="A44" s="367"/>
      <c r="B44" s="367"/>
      <c r="C44" s="367"/>
      <c r="D44" s="367"/>
      <c r="E44" s="367"/>
      <c r="F44" s="551"/>
      <c r="G44" s="551" t="str">
        <f>IFERROR(VLOOKUP(F44,ISCO_Prevodnik!$A$10:$B$21,2,0),"")</f>
        <v/>
      </c>
      <c r="H44" s="551"/>
      <c r="I44" s="551" t="str">
        <f>IFERROR(VLOOKUP(H44,ISCO_Prevodnik!$E$10:$F$31,2,0),"")</f>
        <v/>
      </c>
      <c r="J44" s="624"/>
      <c r="K44" s="484">
        <f t="shared" si="10"/>
        <v>0</v>
      </c>
      <c r="L44" s="492">
        <f t="shared" si="11"/>
        <v>0</v>
      </c>
      <c r="M44" s="486">
        <f t="shared" si="9"/>
        <v>0</v>
      </c>
    </row>
    <row r="45" spans="1:13">
      <c r="A45" s="367"/>
      <c r="B45" s="367"/>
      <c r="C45" s="367"/>
      <c r="D45" s="367"/>
      <c r="E45" s="367"/>
      <c r="F45" s="551"/>
      <c r="G45" s="551" t="str">
        <f>IFERROR(VLOOKUP(F45,ISCO_Prevodnik!$A$10:$B$21,2,0),"")</f>
        <v/>
      </c>
      <c r="H45" s="551"/>
      <c r="I45" s="551" t="str">
        <f>IFERROR(VLOOKUP(H45,ISCO_Prevodnik!$E$10:$F$31,2,0),"")</f>
        <v/>
      </c>
      <c r="J45" s="624"/>
      <c r="K45" s="484">
        <f t="shared" si="10"/>
        <v>0</v>
      </c>
      <c r="L45" s="492">
        <f t="shared" si="11"/>
        <v>0</v>
      </c>
      <c r="M45" s="486">
        <f t="shared" si="9"/>
        <v>0</v>
      </c>
    </row>
    <row r="46" spans="1:13">
      <c r="A46" s="367"/>
      <c r="B46" s="367"/>
      <c r="C46" s="367"/>
      <c r="D46" s="367"/>
      <c r="E46" s="367"/>
      <c r="F46" s="551"/>
      <c r="G46" s="551" t="str">
        <f>IFERROR(VLOOKUP(F46,ISCO_Prevodnik!$A$10:$B$21,2,0),"")</f>
        <v/>
      </c>
      <c r="H46" s="551"/>
      <c r="I46" s="551" t="str">
        <f>IFERROR(VLOOKUP(H46,ISCO_Prevodnik!$E$10:$F$31,2,0),"")</f>
        <v/>
      </c>
      <c r="J46" s="624"/>
      <c r="K46" s="484">
        <f t="shared" si="10"/>
        <v>0</v>
      </c>
      <c r="L46" s="492">
        <f t="shared" si="11"/>
        <v>0</v>
      </c>
      <c r="M46" s="486">
        <f t="shared" si="9"/>
        <v>0</v>
      </c>
    </row>
    <row r="47" spans="1:13">
      <c r="F47" s="551"/>
      <c r="G47" s="551" t="str">
        <f>IFERROR(VLOOKUP(F47,ISCO_Prevodnik!$A$10:$B$21,2,0),"")</f>
        <v/>
      </c>
      <c r="H47" s="551"/>
      <c r="I47" s="551" t="str">
        <f>IFERROR(VLOOKUP(H47,ISCO_Prevodnik!$E$10:$F$31,2,0),"")</f>
        <v/>
      </c>
      <c r="J47" s="624"/>
      <c r="K47" s="484">
        <f t="shared" si="10"/>
        <v>0</v>
      </c>
      <c r="L47" s="492">
        <f t="shared" si="11"/>
        <v>0</v>
      </c>
      <c r="M47" s="486">
        <f t="shared" ref="M47:M58" si="12">K47*L47</f>
        <v>0</v>
      </c>
    </row>
    <row r="48" spans="1:13">
      <c r="F48" s="551"/>
      <c r="G48" s="551" t="str">
        <f>IFERROR(VLOOKUP(F48,ISCO_Prevodnik!$A$10:$B$21,2,0),"")</f>
        <v/>
      </c>
      <c r="H48" s="551"/>
      <c r="I48" s="551" t="str">
        <f>IFERROR(VLOOKUP(H48,ISCO_Prevodnik!$E$10:$F$31,2,0),"")</f>
        <v/>
      </c>
      <c r="J48" s="624"/>
      <c r="K48" s="484">
        <f t="shared" si="10"/>
        <v>0</v>
      </c>
      <c r="L48" s="492">
        <f t="shared" si="11"/>
        <v>0</v>
      </c>
      <c r="M48" s="486">
        <f t="shared" si="12"/>
        <v>0</v>
      </c>
    </row>
    <row r="49" spans="1:13">
      <c r="F49" s="551"/>
      <c r="G49" s="551" t="str">
        <f>IFERROR(VLOOKUP(F49,ISCO_Prevodnik!$A$10:$B$21,2,0),"")</f>
        <v/>
      </c>
      <c r="H49" s="551"/>
      <c r="I49" s="551" t="str">
        <f>IFERROR(VLOOKUP(H49,ISCO_Prevodnik!$E$10:$F$31,2,0),"")</f>
        <v/>
      </c>
      <c r="J49" s="624"/>
      <c r="K49" s="484">
        <f t="shared" si="10"/>
        <v>0</v>
      </c>
      <c r="L49" s="492">
        <f t="shared" si="11"/>
        <v>0</v>
      </c>
      <c r="M49" s="486">
        <f t="shared" si="12"/>
        <v>0</v>
      </c>
    </row>
    <row r="50" spans="1:13">
      <c r="F50" s="551"/>
      <c r="G50" s="551" t="str">
        <f>IFERROR(VLOOKUP(F50,ISCO_Prevodnik!$A$10:$B$21,2,0),"")</f>
        <v/>
      </c>
      <c r="H50" s="551"/>
      <c r="I50" s="551" t="str">
        <f>IFERROR(VLOOKUP(H50,ISCO_Prevodnik!$E$10:$F$31,2,0),"")</f>
        <v/>
      </c>
      <c r="J50" s="624"/>
      <c r="K50" s="484">
        <f t="shared" si="10"/>
        <v>0</v>
      </c>
      <c r="L50" s="492">
        <f t="shared" si="11"/>
        <v>0</v>
      </c>
      <c r="M50" s="486">
        <f t="shared" si="12"/>
        <v>0</v>
      </c>
    </row>
    <row r="51" spans="1:13">
      <c r="F51" s="551"/>
      <c r="G51" s="551" t="str">
        <f>IFERROR(VLOOKUP(F51,ISCO_Prevodnik!$A$10:$B$21,2,0),"")</f>
        <v/>
      </c>
      <c r="H51" s="551"/>
      <c r="I51" s="551" t="str">
        <f>IFERROR(VLOOKUP(H51,ISCO_Prevodnik!$E$10:$F$31,2,0),"")</f>
        <v/>
      </c>
      <c r="J51" s="624"/>
      <c r="K51" s="484">
        <f t="shared" si="10"/>
        <v>0</v>
      </c>
      <c r="L51" s="492">
        <f t="shared" si="11"/>
        <v>0</v>
      </c>
      <c r="M51" s="486">
        <f t="shared" si="12"/>
        <v>0</v>
      </c>
    </row>
    <row r="52" spans="1:13">
      <c r="F52" s="551"/>
      <c r="G52" s="551" t="str">
        <f>IFERROR(VLOOKUP(F52,ISCO_Prevodnik!$A$10:$B$21,2,0),"")</f>
        <v/>
      </c>
      <c r="H52" s="551"/>
      <c r="I52" s="551" t="str">
        <f>IFERROR(VLOOKUP(H52,ISCO_Prevodnik!$E$10:$F$31,2,0),"")</f>
        <v/>
      </c>
      <c r="J52" s="624"/>
      <c r="K52" s="484">
        <f t="shared" si="10"/>
        <v>0</v>
      </c>
      <c r="L52" s="492">
        <f t="shared" si="11"/>
        <v>0</v>
      </c>
      <c r="M52" s="486">
        <f t="shared" si="12"/>
        <v>0</v>
      </c>
    </row>
    <row r="53" spans="1:13">
      <c r="A53" s="370" t="s">
        <v>1944</v>
      </c>
      <c r="B53" s="555">
        <v>18</v>
      </c>
      <c r="C53" s="555"/>
      <c r="D53" s="484">
        <f>SUM(K53:K64)</f>
        <v>0</v>
      </c>
      <c r="E53" s="485">
        <f>IFERROR(SUM(M53:M64)/SUM(K53:K64),0)</f>
        <v>0</v>
      </c>
      <c r="F53" s="551"/>
      <c r="G53" s="551" t="str">
        <f>IFERROR(VLOOKUP(F53,ISCO_Prevodnik!$A$10:$B$21,2,0),"")</f>
        <v/>
      </c>
      <c r="H53" s="551"/>
      <c r="I53" s="551" t="str">
        <f>IFERROR(VLOOKUP(H53,ISCO_Prevodnik!$E$10:$F$31,2,0),"")</f>
        <v/>
      </c>
      <c r="J53" s="624"/>
      <c r="K53" s="484">
        <f>J53*$B$41*20</f>
        <v>0</v>
      </c>
      <c r="L53" s="492">
        <f>IFERROR(VLOOKUP(F53,$Q$4:$R$30,2,0),0)</f>
        <v>0</v>
      </c>
      <c r="M53" s="486">
        <f t="shared" si="12"/>
        <v>0</v>
      </c>
    </row>
    <row r="54" spans="1:13">
      <c r="A54" s="367"/>
      <c r="B54" s="367"/>
      <c r="C54" s="367"/>
      <c r="D54" s="367"/>
      <c r="E54" s="367"/>
      <c r="F54" s="551"/>
      <c r="G54" s="551" t="str">
        <f>IFERROR(VLOOKUP(F54,ISCO_Prevodnik!$A$10:$B$21,2,0),"")</f>
        <v/>
      </c>
      <c r="H54" s="551"/>
      <c r="I54" s="551" t="str">
        <f>IFERROR(VLOOKUP(H54,ISCO_Prevodnik!$E$10:$F$31,2,0),"")</f>
        <v/>
      </c>
      <c r="J54" s="624"/>
      <c r="K54" s="484">
        <f t="shared" ref="K54:K64" si="13">J54*$B$41*20</f>
        <v>0</v>
      </c>
      <c r="L54" s="492">
        <f t="shared" ref="L54:L64" si="14">IFERROR(VLOOKUP(F54,$Q$4:$R$30,2,0),0)</f>
        <v>0</v>
      </c>
      <c r="M54" s="486">
        <f t="shared" si="12"/>
        <v>0</v>
      </c>
    </row>
    <row r="55" spans="1:13">
      <c r="A55" s="367"/>
      <c r="B55" s="367"/>
      <c r="C55" s="367"/>
      <c r="D55" s="367"/>
      <c r="E55" s="367"/>
      <c r="F55" s="551"/>
      <c r="G55" s="551" t="str">
        <f>IFERROR(VLOOKUP(F55,ISCO_Prevodnik!$A$10:$B$21,2,0),"")</f>
        <v/>
      </c>
      <c r="H55" s="551"/>
      <c r="I55" s="551" t="str">
        <f>IFERROR(VLOOKUP(H55,ISCO_Prevodnik!$E$10:$F$31,2,0),"")</f>
        <v/>
      </c>
      <c r="J55" s="624"/>
      <c r="K55" s="484">
        <f t="shared" si="13"/>
        <v>0</v>
      </c>
      <c r="L55" s="492">
        <f t="shared" si="14"/>
        <v>0</v>
      </c>
      <c r="M55" s="486">
        <f t="shared" si="12"/>
        <v>0</v>
      </c>
    </row>
    <row r="56" spans="1:13">
      <c r="A56" s="367"/>
      <c r="B56" s="367"/>
      <c r="C56" s="367"/>
      <c r="D56" s="367"/>
      <c r="E56" s="367"/>
      <c r="F56" s="551"/>
      <c r="G56" s="551" t="str">
        <f>IFERROR(VLOOKUP(F56,ISCO_Prevodnik!$A$10:$B$21,2,0),"")</f>
        <v/>
      </c>
      <c r="H56" s="551"/>
      <c r="I56" s="551" t="str">
        <f>IFERROR(VLOOKUP(H56,ISCO_Prevodnik!$E$10:$F$31,2,0),"")</f>
        <v/>
      </c>
      <c r="J56" s="624"/>
      <c r="K56" s="484">
        <f t="shared" si="13"/>
        <v>0</v>
      </c>
      <c r="L56" s="492">
        <f t="shared" si="14"/>
        <v>0</v>
      </c>
      <c r="M56" s="486">
        <f t="shared" si="12"/>
        <v>0</v>
      </c>
    </row>
    <row r="57" spans="1:13">
      <c r="A57" s="367"/>
      <c r="B57" s="367"/>
      <c r="C57" s="367"/>
      <c r="D57" s="367"/>
      <c r="E57" s="367"/>
      <c r="F57" s="551"/>
      <c r="G57" s="551" t="str">
        <f>IFERROR(VLOOKUP(F57,ISCO_Prevodnik!$A$10:$B$21,2,0),"")</f>
        <v/>
      </c>
      <c r="H57" s="551"/>
      <c r="I57" s="551" t="str">
        <f>IFERROR(VLOOKUP(H57,ISCO_Prevodnik!$E$10:$F$31,2,0),"")</f>
        <v/>
      </c>
      <c r="J57" s="624"/>
      <c r="K57" s="484">
        <f t="shared" si="13"/>
        <v>0</v>
      </c>
      <c r="L57" s="492">
        <f t="shared" si="14"/>
        <v>0</v>
      </c>
      <c r="M57" s="486">
        <f t="shared" si="12"/>
        <v>0</v>
      </c>
    </row>
    <row r="58" spans="1:13">
      <c r="A58" s="367"/>
      <c r="B58" s="367"/>
      <c r="C58" s="367"/>
      <c r="D58" s="367"/>
      <c r="E58" s="367"/>
      <c r="F58" s="551"/>
      <c r="G58" s="551" t="str">
        <f>IFERROR(VLOOKUP(F58,ISCO_Prevodnik!$A$10:$B$21,2,0),"")</f>
        <v/>
      </c>
      <c r="H58" s="551"/>
      <c r="I58" s="551" t="str">
        <f>IFERROR(VLOOKUP(H58,ISCO_Prevodnik!$E$10:$F$31,2,0),"")</f>
        <v/>
      </c>
      <c r="J58" s="624"/>
      <c r="K58" s="484">
        <f t="shared" si="13"/>
        <v>0</v>
      </c>
      <c r="L58" s="492">
        <f t="shared" si="14"/>
        <v>0</v>
      </c>
      <c r="M58" s="486">
        <f t="shared" si="12"/>
        <v>0</v>
      </c>
    </row>
    <row r="59" spans="1:13">
      <c r="F59" s="551"/>
      <c r="G59" s="551" t="str">
        <f>IFERROR(VLOOKUP(F59,ISCO_Prevodnik!$A$10:$B$21,2,0),"")</f>
        <v/>
      </c>
      <c r="H59" s="551"/>
      <c r="I59" s="551" t="str">
        <f>IFERROR(VLOOKUP(H59,ISCO_Prevodnik!$E$10:$F$31,2,0),"")</f>
        <v/>
      </c>
      <c r="J59" s="624"/>
      <c r="K59" s="484">
        <f t="shared" si="13"/>
        <v>0</v>
      </c>
      <c r="L59" s="492">
        <f t="shared" si="14"/>
        <v>0</v>
      </c>
      <c r="M59" s="486">
        <f t="shared" ref="M59:M64" si="15">K59*L59</f>
        <v>0</v>
      </c>
    </row>
    <row r="60" spans="1:13">
      <c r="F60" s="551"/>
      <c r="G60" s="551" t="str">
        <f>IFERROR(VLOOKUP(F60,ISCO_Prevodnik!$A$10:$B$21,2,0),"")</f>
        <v/>
      </c>
      <c r="H60" s="551"/>
      <c r="I60" s="551" t="str">
        <f>IFERROR(VLOOKUP(H60,ISCO_Prevodnik!$E$10:$F$31,2,0),"")</f>
        <v/>
      </c>
      <c r="J60" s="624"/>
      <c r="K60" s="484">
        <f t="shared" si="13"/>
        <v>0</v>
      </c>
      <c r="L60" s="492">
        <f t="shared" si="14"/>
        <v>0</v>
      </c>
      <c r="M60" s="486">
        <f t="shared" si="15"/>
        <v>0</v>
      </c>
    </row>
    <row r="61" spans="1:13">
      <c r="F61" s="551"/>
      <c r="G61" s="551" t="str">
        <f>IFERROR(VLOOKUP(F61,ISCO_Prevodnik!$A$10:$B$21,2,0),"")</f>
        <v/>
      </c>
      <c r="H61" s="551"/>
      <c r="I61" s="551" t="str">
        <f>IFERROR(VLOOKUP(H61,ISCO_Prevodnik!$E$10:$F$31,2,0),"")</f>
        <v/>
      </c>
      <c r="J61" s="624"/>
      <c r="K61" s="484">
        <f t="shared" si="13"/>
        <v>0</v>
      </c>
      <c r="L61" s="492">
        <f t="shared" si="14"/>
        <v>0</v>
      </c>
      <c r="M61" s="486">
        <f t="shared" si="15"/>
        <v>0</v>
      </c>
    </row>
    <row r="62" spans="1:13">
      <c r="F62" s="551"/>
      <c r="G62" s="551" t="str">
        <f>IFERROR(VLOOKUP(F62,ISCO_Prevodnik!$A$10:$B$21,2,0),"")</f>
        <v/>
      </c>
      <c r="H62" s="551"/>
      <c r="I62" s="551" t="str">
        <f>IFERROR(VLOOKUP(H62,ISCO_Prevodnik!$E$10:$F$31,2,0),"")</f>
        <v/>
      </c>
      <c r="J62" s="624"/>
      <c r="K62" s="484">
        <f t="shared" si="13"/>
        <v>0</v>
      </c>
      <c r="L62" s="492">
        <f t="shared" si="14"/>
        <v>0</v>
      </c>
      <c r="M62" s="486">
        <f t="shared" si="15"/>
        <v>0</v>
      </c>
    </row>
    <row r="63" spans="1:13">
      <c r="F63" s="551"/>
      <c r="G63" s="551" t="str">
        <f>IFERROR(VLOOKUP(F63,ISCO_Prevodnik!$A$10:$B$21,2,0),"")</f>
        <v/>
      </c>
      <c r="H63" s="551"/>
      <c r="I63" s="551" t="str">
        <f>IFERROR(VLOOKUP(H63,ISCO_Prevodnik!$E$10:$F$31,2,0),"")</f>
        <v/>
      </c>
      <c r="J63" s="624"/>
      <c r="K63" s="484">
        <f t="shared" si="13"/>
        <v>0</v>
      </c>
      <c r="L63" s="492">
        <f t="shared" si="14"/>
        <v>0</v>
      </c>
      <c r="M63" s="486">
        <f t="shared" si="15"/>
        <v>0</v>
      </c>
    </row>
    <row r="64" spans="1:13">
      <c r="F64" s="551"/>
      <c r="G64" s="551" t="str">
        <f>IFERROR(VLOOKUP(F64,ISCO_Prevodnik!$A$10:$B$21,2,0),"")</f>
        <v/>
      </c>
      <c r="H64" s="551"/>
      <c r="I64" s="551" t="str">
        <f>IFERROR(VLOOKUP(H64,ISCO_Prevodnik!$E$10:$F$31,2,0),"")</f>
        <v/>
      </c>
      <c r="J64" s="624"/>
      <c r="K64" s="484">
        <f t="shared" si="13"/>
        <v>0</v>
      </c>
      <c r="L64" s="492">
        <f t="shared" si="14"/>
        <v>0</v>
      </c>
      <c r="M64" s="486">
        <f t="shared" si="15"/>
        <v>0</v>
      </c>
    </row>
  </sheetData>
  <mergeCells count="2">
    <mergeCell ref="F1:J1"/>
    <mergeCell ref="F2:J2"/>
  </mergeCells>
  <phoneticPr fontId="56" type="noConversion"/>
  <conditionalFormatting sqref="B4:C4 B16:C16 B28:C28">
    <cfRule type="expression" dxfId="11" priority="15">
      <formula>SUM($B$4,$B$16,$B$28)&lt;&gt;1</formula>
    </cfRule>
  </conditionalFormatting>
  <conditionalFormatting sqref="J4:J39">
    <cfRule type="expression" dxfId="10" priority="18">
      <formula>SUM($J$4:$J$15)&lt;&gt;1</formula>
    </cfRule>
  </conditionalFormatting>
  <conditionalFormatting sqref="R4:R21">
    <cfRule type="expression" dxfId="9" priority="14">
      <formula>AND(ISNUMBER(S4),R4&gt;S4)</formula>
    </cfRule>
  </conditionalFormatting>
  <conditionalFormatting sqref="R16:R27">
    <cfRule type="expression" dxfId="8" priority="2">
      <formula>AND(ISNUMBER(S16),R16&gt;S16*1.2)</formula>
    </cfRule>
    <cfRule type="cellIs" dxfId="7" priority="39" operator="greaterThan">
      <formula>#REF!</formula>
    </cfRule>
  </conditionalFormatting>
  <conditionalFormatting sqref="W4:W27">
    <cfRule type="containsText" dxfId="6" priority="3" operator="containsText" text="OK">
      <formula>NOT(ISERROR(SEARCH("OK",W4)))</formula>
    </cfRule>
    <cfRule type="containsText" dxfId="5" priority="4" operator="containsText" text="NAD">
      <formula>NOT(ISERROR(SEARCH("NAD",W4)))</formula>
    </cfRule>
  </conditionalFormatting>
  <dataValidations count="8">
    <dataValidation type="decimal" allowBlank="1" showInputMessage="1" showErrorMessage="1" sqref="B4:C4 C16 C28" xr:uid="{00000000-0002-0000-0F00-000000000000}">
      <formula1>0.1</formula1>
      <formula2>0.35</formula2>
    </dataValidation>
    <dataValidation type="decimal" allowBlank="1" showInputMessage="1" showErrorMessage="1" sqref="B16" xr:uid="{00000000-0002-0000-0F00-000001000000}">
      <formula1>0.3</formula1>
      <formula2>0.8</formula2>
    </dataValidation>
    <dataValidation type="decimal" allowBlank="1" showInputMessage="1" showErrorMessage="1" sqref="B22:C22" xr:uid="{00000000-0002-0000-0F00-000002000000}">
      <formula1>0.1</formula1>
      <formula2>0.25</formula2>
    </dataValidation>
    <dataValidation type="decimal" allowBlank="1" showInputMessage="1" showErrorMessage="1" sqref="B28" xr:uid="{00000000-0002-0000-0F00-000003000000}">
      <formula1>0.15</formula1>
      <formula2>0.3</formula2>
    </dataValidation>
    <dataValidation type="list" allowBlank="1" showInputMessage="1" showErrorMessage="1" sqref="F4:F39" xr:uid="{00000000-0002-0000-0F00-000004000000}">
      <formula1>Pozicia</formula1>
    </dataValidation>
    <dataValidation operator="lessThanOrEqual" allowBlank="1" showInputMessage="1" showErrorMessage="1" sqref="S4:S15" xr:uid="{00000000-0002-0000-0F00-000005000000}"/>
    <dataValidation type="list" allowBlank="1" showInputMessage="1" showErrorMessage="1" sqref="F41:F64" xr:uid="{00000000-0002-0000-0F00-000006000000}">
      <formula1>PozicieKomplet</formula1>
    </dataValidation>
    <dataValidation type="list" allowBlank="1" showInputMessage="1" showErrorMessage="1" sqref="H41:H64 H4:H39" xr:uid="{00000000-0002-0000-0F00-000007000000}">
      <formula1>INDIRECT($G4)</formula1>
    </dataValidation>
  </dataValidations>
  <pageMargins left="0.7" right="0.7" top="0.75" bottom="0.75" header="0.3" footer="0.3"/>
  <pageSetup paperSize="9" orientation="portrait" horizontalDpi="4294967293"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Hárok30">
    <tabColor rgb="FF00B050"/>
  </sheetPr>
  <dimension ref="A1:W64"/>
  <sheetViews>
    <sheetView zoomScaleNormal="100" workbookViewId="0">
      <pane ySplit="3" topLeftCell="A49" activePane="bottomLeft" state="frozen"/>
      <selection activeCell="J3" sqref="J3:J11"/>
      <selection pane="bottomLeft" activeCell="H64" sqref="H64"/>
    </sheetView>
  </sheetViews>
  <sheetFormatPr defaultColWidth="8.81640625" defaultRowHeight="14.5"/>
  <cols>
    <col min="1" max="1" width="31.453125" style="365" customWidth="1"/>
    <col min="2" max="2" width="11.26953125" style="365" customWidth="1"/>
    <col min="3" max="3" width="10.7265625" style="365" customWidth="1"/>
    <col min="4" max="4" width="14.81640625" style="365" customWidth="1"/>
    <col min="5" max="5" width="34.7265625" style="365" bestFit="1" customWidth="1"/>
    <col min="6" max="6" width="12" style="365" customWidth="1"/>
    <col min="7" max="7" width="15.26953125" style="365" bestFit="1" customWidth="1"/>
    <col min="8" max="8" width="10" style="365" customWidth="1"/>
    <col min="9" max="9" width="15.1796875" style="365" bestFit="1" customWidth="1"/>
    <col min="10" max="10" width="12.7265625" style="365" customWidth="1"/>
    <col min="11" max="11" width="9.26953125" style="365" bestFit="1" customWidth="1"/>
    <col min="12" max="12" width="8.81640625" style="365"/>
    <col min="13" max="13" width="43.1796875" style="365" customWidth="1"/>
    <col min="14" max="14" width="11.26953125" style="365" customWidth="1"/>
    <col min="15" max="15" width="11.81640625" style="365" customWidth="1"/>
    <col min="16" max="16" width="13.453125" style="365" customWidth="1"/>
    <col min="17" max="17" width="14.1796875" style="365" customWidth="1"/>
    <col min="18" max="18" width="13.81640625" style="365" customWidth="1"/>
    <col min="19" max="22" width="13.453125" style="365" customWidth="1"/>
    <col min="23" max="23" width="20.1796875" style="365" customWidth="1"/>
    <col min="24" max="16384" width="8.81640625" style="365"/>
  </cols>
  <sheetData>
    <row r="1" spans="1:23" ht="29">
      <c r="B1" s="505"/>
      <c r="C1" s="505"/>
      <c r="E1" s="822" t="s">
        <v>1945</v>
      </c>
      <c r="F1" s="822"/>
      <c r="G1" s="626">
        <f>IFERROR(I1/EXTERNE_POZICIE!M1/1.2,0)</f>
        <v>3.4206551674850628E-2</v>
      </c>
      <c r="I1" s="444">
        <f>SUM(I4:I39)</f>
        <v>864705.6</v>
      </c>
      <c r="P1" s="635" t="s">
        <v>1946</v>
      </c>
      <c r="Q1" s="637">
        <v>0.35949999999999999</v>
      </c>
      <c r="R1" s="599"/>
    </row>
    <row r="2" spans="1:23">
      <c r="B2" s="505"/>
      <c r="C2" s="505"/>
      <c r="E2" s="823" t="s">
        <v>1947</v>
      </c>
      <c r="F2" s="823"/>
      <c r="G2" s="442">
        <f>SUM(G4:G63)</f>
        <v>5340</v>
      </c>
      <c r="I2" s="444">
        <f>SUM(I4:I63)</f>
        <v>3884251.8549000002</v>
      </c>
      <c r="P2" s="636" t="s">
        <v>1948</v>
      </c>
      <c r="Q2" s="638">
        <v>0</v>
      </c>
      <c r="R2" s="599"/>
    </row>
    <row r="3" spans="1:23" s="481" customFormat="1" ht="58">
      <c r="A3" s="479" t="s">
        <v>1949</v>
      </c>
      <c r="B3" s="480" t="s">
        <v>1950</v>
      </c>
      <c r="C3" s="480" t="s">
        <v>1899</v>
      </c>
      <c r="D3" s="480" t="s">
        <v>1893</v>
      </c>
      <c r="E3" s="480" t="s">
        <v>1894</v>
      </c>
      <c r="F3" s="480" t="s">
        <v>1951</v>
      </c>
      <c r="G3" s="480" t="s">
        <v>1899</v>
      </c>
      <c r="H3" s="480" t="s">
        <v>1952</v>
      </c>
      <c r="I3" s="480" t="s">
        <v>1953</v>
      </c>
      <c r="M3" s="503" t="s">
        <v>1902</v>
      </c>
      <c r="N3" s="503" t="s">
        <v>1954</v>
      </c>
      <c r="O3" s="478" t="s">
        <v>1955</v>
      </c>
      <c r="P3" s="478" t="s">
        <v>1956</v>
      </c>
      <c r="Q3" s="478" t="s">
        <v>1957</v>
      </c>
      <c r="R3" s="478" t="s">
        <v>1958</v>
      </c>
      <c r="S3" s="502" t="s">
        <v>1959</v>
      </c>
      <c r="T3" s="478" t="s">
        <v>1960</v>
      </c>
      <c r="U3" s="502" t="s">
        <v>1961</v>
      </c>
      <c r="V3" s="502" t="s">
        <v>1907</v>
      </c>
      <c r="W3" s="478" t="s">
        <v>1909</v>
      </c>
    </row>
    <row r="4" spans="1:23">
      <c r="A4" s="370" t="s">
        <v>1910</v>
      </c>
      <c r="B4" s="555">
        <v>6</v>
      </c>
      <c r="C4" s="484">
        <f>SUM(G4:G15)</f>
        <v>720</v>
      </c>
      <c r="D4" s="485">
        <f>IFERROR(SUM(I4:I15)/C4,0)</f>
        <v>271.92</v>
      </c>
      <c r="E4" s="551" t="s">
        <v>1962</v>
      </c>
      <c r="F4" s="552">
        <v>0.25</v>
      </c>
      <c r="G4" s="484">
        <f>IFERROR(VLOOKUP(E4,$M$4:$O$27,3,0)*F4*$B$4*20,)</f>
        <v>30</v>
      </c>
      <c r="H4" s="492">
        <f>IFERROR(VLOOKUP(E4,$M$4:$R$27,6,0),0)*8</f>
        <v>271.92</v>
      </c>
      <c r="I4" s="486">
        <f>G4*H4</f>
        <v>8157.6</v>
      </c>
      <c r="J4" s="509"/>
      <c r="M4" s="433" t="s">
        <v>1962</v>
      </c>
      <c r="N4" s="433" t="s">
        <v>1963</v>
      </c>
      <c r="O4" s="556">
        <v>1</v>
      </c>
      <c r="P4" s="597">
        <v>25</v>
      </c>
      <c r="Q4" s="600">
        <f>P4*(1+$Q$2)*$Q$1</f>
        <v>8.9874999999999989</v>
      </c>
      <c r="R4" s="600">
        <f>ROUND(P4+Q4+$Q$2*P4,2)</f>
        <v>33.99</v>
      </c>
      <c r="S4" s="433">
        <f>SUMIF($E$4:$E$63,M4,$G$4:$G$63)*8</f>
        <v>1060</v>
      </c>
      <c r="T4" s="508">
        <f>SUMIF($E$4:$E$63,M4,$I$4:$I$63)</f>
        <v>36029.4</v>
      </c>
      <c r="U4" s="504">
        <f>IF(N4="hlavná",25,15)</f>
        <v>25</v>
      </c>
      <c r="V4" s="434">
        <f>IFERROR(S4/SUM($S$4:$S$27),)</f>
        <v>2.4812734082397005E-2</v>
      </c>
      <c r="W4" s="435"/>
    </row>
    <row r="5" spans="1:23">
      <c r="A5" s="367"/>
      <c r="B5" s="367"/>
      <c r="C5" s="367"/>
      <c r="D5" s="367"/>
      <c r="E5" s="551" t="s">
        <v>1964</v>
      </c>
      <c r="F5" s="552">
        <v>0.5</v>
      </c>
      <c r="G5" s="484">
        <f t="shared" ref="G5:G15" si="0">IFERROR(VLOOKUP(E5,$M$4:$O$27,3,0)*F5*$B$4*20,)</f>
        <v>180</v>
      </c>
      <c r="H5" s="492">
        <f t="shared" ref="H5:H62" si="1">IFERROR(VLOOKUP(E5,$M$4:$R$27,6,0),0)*8</f>
        <v>271.92</v>
      </c>
      <c r="I5" s="486">
        <f>G5*H5</f>
        <v>48945.600000000006</v>
      </c>
      <c r="J5" s="509"/>
      <c r="K5" s="509"/>
      <c r="M5" s="433" t="s">
        <v>1964</v>
      </c>
      <c r="N5" s="433" t="s">
        <v>1963</v>
      </c>
      <c r="O5" s="556">
        <v>3</v>
      </c>
      <c r="P5" s="598">
        <v>25</v>
      </c>
      <c r="Q5" s="600">
        <f t="shared" ref="Q5:Q27" si="2">P5*(1+$Q$2)*$Q$1</f>
        <v>8.9874999999999989</v>
      </c>
      <c r="R5" s="600">
        <f t="shared" ref="R5:R27" si="3">ROUND(P5+Q5+$Q$2*P5,2)</f>
        <v>33.99</v>
      </c>
      <c r="S5" s="433">
        <f t="shared" ref="S5:S27" si="4">SUMIF($E$4:$E$63,M5,$G$4:$G$63)*8</f>
        <v>6360</v>
      </c>
      <c r="T5" s="508">
        <f t="shared" ref="T5:T27" si="5">SUMIF($E$4:$E$63,M5,$I$4:$I$63)</f>
        <v>216176.40000000002</v>
      </c>
      <c r="U5" s="504">
        <f t="shared" ref="U5:U25" si="6">IF(N5="hlavná",25,15)</f>
        <v>25</v>
      </c>
      <c r="V5" s="434">
        <f t="shared" ref="V5:V27" si="7">IFERROR(S5/SUM($S$4:$S$27),)</f>
        <v>0.14887640449438203</v>
      </c>
      <c r="W5" s="435"/>
    </row>
    <row r="6" spans="1:23">
      <c r="A6" s="367"/>
      <c r="B6" s="367"/>
      <c r="C6" s="367"/>
      <c r="D6" s="367"/>
      <c r="E6" s="551" t="s">
        <v>1965</v>
      </c>
      <c r="F6" s="552">
        <v>0.25</v>
      </c>
      <c r="G6" s="484">
        <f t="shared" si="0"/>
        <v>30</v>
      </c>
      <c r="H6" s="492">
        <f t="shared" si="1"/>
        <v>271.92</v>
      </c>
      <c r="I6" s="486">
        <f t="shared" ref="I6:I33" si="8">G6*H6</f>
        <v>8157.6</v>
      </c>
      <c r="M6" s="433" t="s">
        <v>1965</v>
      </c>
      <c r="N6" s="433" t="s">
        <v>1963</v>
      </c>
      <c r="O6" s="556">
        <v>1</v>
      </c>
      <c r="P6" s="598">
        <v>25</v>
      </c>
      <c r="Q6" s="600">
        <f t="shared" si="2"/>
        <v>8.9874999999999989</v>
      </c>
      <c r="R6" s="600">
        <f t="shared" si="3"/>
        <v>33.99</v>
      </c>
      <c r="S6" s="433">
        <f t="shared" si="4"/>
        <v>1060</v>
      </c>
      <c r="T6" s="508">
        <f t="shared" si="5"/>
        <v>36029.4</v>
      </c>
      <c r="U6" s="504">
        <f t="shared" si="6"/>
        <v>25</v>
      </c>
      <c r="V6" s="434">
        <f t="shared" si="7"/>
        <v>2.4812734082397005E-2</v>
      </c>
      <c r="W6" s="435"/>
    </row>
    <row r="7" spans="1:23">
      <c r="A7" s="367"/>
      <c r="B7" s="367"/>
      <c r="C7" s="367"/>
      <c r="D7" s="367"/>
      <c r="E7" s="551" t="s">
        <v>1966</v>
      </c>
      <c r="F7" s="552">
        <v>0.5</v>
      </c>
      <c r="G7" s="484">
        <f t="shared" si="0"/>
        <v>180</v>
      </c>
      <c r="H7" s="492">
        <f t="shared" si="1"/>
        <v>271.92</v>
      </c>
      <c r="I7" s="486">
        <f t="shared" si="8"/>
        <v>48945.600000000006</v>
      </c>
      <c r="M7" s="433" t="s">
        <v>1966</v>
      </c>
      <c r="N7" s="433" t="s">
        <v>1963</v>
      </c>
      <c r="O7" s="556">
        <v>3</v>
      </c>
      <c r="P7" s="598">
        <v>25</v>
      </c>
      <c r="Q7" s="600">
        <f t="shared" si="2"/>
        <v>8.9874999999999989</v>
      </c>
      <c r="R7" s="600">
        <f t="shared" si="3"/>
        <v>33.99</v>
      </c>
      <c r="S7" s="433">
        <f t="shared" si="4"/>
        <v>6360</v>
      </c>
      <c r="T7" s="508">
        <f t="shared" si="5"/>
        <v>216176.40000000002</v>
      </c>
      <c r="U7" s="504">
        <f t="shared" si="6"/>
        <v>25</v>
      </c>
      <c r="V7" s="434">
        <f t="shared" si="7"/>
        <v>0.14887640449438203</v>
      </c>
      <c r="W7" s="435"/>
    </row>
    <row r="8" spans="1:23">
      <c r="A8" s="367"/>
      <c r="B8" s="367"/>
      <c r="C8" s="367"/>
      <c r="D8" s="367"/>
      <c r="E8" s="551" t="s">
        <v>1967</v>
      </c>
      <c r="F8" s="552">
        <v>0.25</v>
      </c>
      <c r="G8" s="484">
        <f t="shared" si="0"/>
        <v>30</v>
      </c>
      <c r="H8" s="492">
        <f t="shared" si="1"/>
        <v>271.92</v>
      </c>
      <c r="I8" s="486">
        <f t="shared" si="8"/>
        <v>8157.6</v>
      </c>
      <c r="M8" s="433" t="s">
        <v>1967</v>
      </c>
      <c r="N8" s="433" t="s">
        <v>1963</v>
      </c>
      <c r="O8" s="556">
        <v>1</v>
      </c>
      <c r="P8" s="598">
        <v>25</v>
      </c>
      <c r="Q8" s="600">
        <f t="shared" si="2"/>
        <v>8.9874999999999989</v>
      </c>
      <c r="R8" s="600">
        <f t="shared" si="3"/>
        <v>33.99</v>
      </c>
      <c r="S8" s="433">
        <f t="shared" si="4"/>
        <v>1060</v>
      </c>
      <c r="T8" s="508">
        <f t="shared" si="5"/>
        <v>36029.4</v>
      </c>
      <c r="U8" s="504">
        <f t="shared" si="6"/>
        <v>25</v>
      </c>
      <c r="V8" s="434">
        <f t="shared" si="7"/>
        <v>2.4812734082397005E-2</v>
      </c>
      <c r="W8" s="435"/>
    </row>
    <row r="9" spans="1:23">
      <c r="A9" s="367"/>
      <c r="B9" s="367"/>
      <c r="C9" s="367"/>
      <c r="D9" s="367"/>
      <c r="E9" s="551" t="s">
        <v>1968</v>
      </c>
      <c r="F9" s="552">
        <v>0.25</v>
      </c>
      <c r="G9" s="484">
        <f t="shared" si="0"/>
        <v>30</v>
      </c>
      <c r="H9" s="492">
        <f t="shared" si="1"/>
        <v>271.92</v>
      </c>
      <c r="I9" s="486">
        <f t="shared" ref="I9:I15" si="9">G9*H9</f>
        <v>8157.6</v>
      </c>
      <c r="M9" s="433" t="s">
        <v>1968</v>
      </c>
      <c r="N9" s="433" t="s">
        <v>1963</v>
      </c>
      <c r="O9" s="556">
        <v>1</v>
      </c>
      <c r="P9" s="598">
        <v>25</v>
      </c>
      <c r="Q9" s="600">
        <f t="shared" si="2"/>
        <v>8.9874999999999989</v>
      </c>
      <c r="R9" s="600">
        <f t="shared" si="3"/>
        <v>33.99</v>
      </c>
      <c r="S9" s="433">
        <f t="shared" si="4"/>
        <v>1060</v>
      </c>
      <c r="T9" s="508">
        <f t="shared" si="5"/>
        <v>36029.4</v>
      </c>
      <c r="U9" s="504">
        <f t="shared" si="6"/>
        <v>25</v>
      </c>
      <c r="V9" s="434">
        <f t="shared" si="7"/>
        <v>2.4812734082397005E-2</v>
      </c>
      <c r="W9" s="435"/>
    </row>
    <row r="10" spans="1:23">
      <c r="A10" s="367"/>
      <c r="B10" s="367"/>
      <c r="C10" s="367"/>
      <c r="D10" s="367"/>
      <c r="E10" s="551" t="s">
        <v>1969</v>
      </c>
      <c r="F10" s="552">
        <v>0.25</v>
      </c>
      <c r="G10" s="484">
        <f t="shared" si="0"/>
        <v>60</v>
      </c>
      <c r="H10" s="492">
        <f t="shared" si="1"/>
        <v>271.92</v>
      </c>
      <c r="I10" s="486">
        <f t="shared" si="9"/>
        <v>16315.2</v>
      </c>
      <c r="M10" s="433" t="s">
        <v>1970</v>
      </c>
      <c r="N10" s="433" t="s">
        <v>1963</v>
      </c>
      <c r="O10" s="556"/>
      <c r="P10" s="598"/>
      <c r="Q10" s="600">
        <f t="shared" si="2"/>
        <v>0</v>
      </c>
      <c r="R10" s="600">
        <f t="shared" si="3"/>
        <v>0</v>
      </c>
      <c r="S10" s="433">
        <f t="shared" si="4"/>
        <v>0</v>
      </c>
      <c r="T10" s="508">
        <f t="shared" si="5"/>
        <v>0</v>
      </c>
      <c r="U10" s="504">
        <f t="shared" si="6"/>
        <v>25</v>
      </c>
      <c r="V10" s="434">
        <f t="shared" si="7"/>
        <v>0</v>
      </c>
      <c r="W10" s="435"/>
    </row>
    <row r="11" spans="1:23">
      <c r="A11" s="367"/>
      <c r="B11" s="367"/>
      <c r="C11" s="367"/>
      <c r="D11" s="367"/>
      <c r="E11" s="551" t="s">
        <v>1971</v>
      </c>
      <c r="F11" s="552">
        <v>0.5</v>
      </c>
      <c r="G11" s="484">
        <f t="shared" si="0"/>
        <v>180</v>
      </c>
      <c r="H11" s="492">
        <f t="shared" si="1"/>
        <v>271.92</v>
      </c>
      <c r="I11" s="486">
        <f t="shared" si="9"/>
        <v>48945.600000000006</v>
      </c>
      <c r="M11" s="433" t="s">
        <v>1934</v>
      </c>
      <c r="N11" s="433" t="s">
        <v>1972</v>
      </c>
      <c r="O11" s="556">
        <v>1</v>
      </c>
      <c r="P11" s="598">
        <v>15</v>
      </c>
      <c r="Q11" s="600">
        <f t="shared" si="2"/>
        <v>5.3925000000000001</v>
      </c>
      <c r="R11" s="600">
        <f t="shared" si="3"/>
        <v>20.39</v>
      </c>
      <c r="S11" s="433">
        <f t="shared" si="4"/>
        <v>5760</v>
      </c>
      <c r="T11" s="508">
        <f t="shared" si="5"/>
        <v>117446.40000000001</v>
      </c>
      <c r="U11" s="504">
        <f t="shared" si="6"/>
        <v>15</v>
      </c>
      <c r="V11" s="434">
        <f t="shared" si="7"/>
        <v>0.1348314606741573</v>
      </c>
      <c r="W11" s="435"/>
    </row>
    <row r="12" spans="1:23">
      <c r="A12" s="367"/>
      <c r="B12" s="367"/>
      <c r="C12" s="367"/>
      <c r="D12" s="367"/>
      <c r="E12" s="551"/>
      <c r="F12" s="552"/>
      <c r="G12" s="484">
        <f t="shared" si="0"/>
        <v>0</v>
      </c>
      <c r="H12" s="492">
        <f t="shared" si="1"/>
        <v>0</v>
      </c>
      <c r="I12" s="486">
        <f t="shared" si="9"/>
        <v>0</v>
      </c>
      <c r="M12" s="433" t="s">
        <v>1969</v>
      </c>
      <c r="N12" s="433" t="s">
        <v>1963</v>
      </c>
      <c r="O12" s="556">
        <v>2</v>
      </c>
      <c r="P12" s="598">
        <v>25</v>
      </c>
      <c r="Q12" s="600">
        <f t="shared" si="2"/>
        <v>8.9874999999999989</v>
      </c>
      <c r="R12" s="600">
        <f t="shared" si="3"/>
        <v>33.99</v>
      </c>
      <c r="S12" s="433">
        <f t="shared" si="4"/>
        <v>2120</v>
      </c>
      <c r="T12" s="508">
        <f t="shared" si="5"/>
        <v>72058.8</v>
      </c>
      <c r="U12" s="504">
        <f t="shared" si="6"/>
        <v>25</v>
      </c>
      <c r="V12" s="434">
        <f t="shared" si="7"/>
        <v>4.9625468164794011E-2</v>
      </c>
      <c r="W12" s="435"/>
    </row>
    <row r="13" spans="1:23">
      <c r="A13" s="367"/>
      <c r="B13" s="367"/>
      <c r="C13" s="367"/>
      <c r="D13" s="367"/>
      <c r="E13" s="551"/>
      <c r="F13" s="552"/>
      <c r="G13" s="484">
        <f t="shared" si="0"/>
        <v>0</v>
      </c>
      <c r="H13" s="492">
        <f t="shared" si="1"/>
        <v>0</v>
      </c>
      <c r="I13" s="486">
        <f t="shared" si="9"/>
        <v>0</v>
      </c>
      <c r="M13" s="433" t="s">
        <v>1973</v>
      </c>
      <c r="N13" s="433" t="s">
        <v>1963</v>
      </c>
      <c r="O13" s="556"/>
      <c r="P13" s="598"/>
      <c r="Q13" s="600">
        <f t="shared" si="2"/>
        <v>0</v>
      </c>
      <c r="R13" s="600">
        <f t="shared" si="3"/>
        <v>0</v>
      </c>
      <c r="S13" s="433">
        <f t="shared" si="4"/>
        <v>0</v>
      </c>
      <c r="T13" s="508">
        <f t="shared" si="5"/>
        <v>0</v>
      </c>
      <c r="U13" s="504">
        <f t="shared" si="6"/>
        <v>25</v>
      </c>
      <c r="V13" s="434">
        <f t="shared" si="7"/>
        <v>0</v>
      </c>
      <c r="W13" s="435"/>
    </row>
    <row r="14" spans="1:23">
      <c r="A14" s="367"/>
      <c r="B14" s="367"/>
      <c r="C14" s="367"/>
      <c r="D14" s="367"/>
      <c r="E14" s="551"/>
      <c r="F14" s="552"/>
      <c r="G14" s="484">
        <f t="shared" si="0"/>
        <v>0</v>
      </c>
      <c r="H14" s="492">
        <f t="shared" si="1"/>
        <v>0</v>
      </c>
      <c r="I14" s="486">
        <f t="shared" si="9"/>
        <v>0</v>
      </c>
      <c r="M14" s="433" t="s">
        <v>1932</v>
      </c>
      <c r="N14" s="433" t="s">
        <v>1972</v>
      </c>
      <c r="O14" s="556"/>
      <c r="P14" s="598"/>
      <c r="Q14" s="600">
        <f t="shared" si="2"/>
        <v>0</v>
      </c>
      <c r="R14" s="600">
        <f t="shared" si="3"/>
        <v>0</v>
      </c>
      <c r="S14" s="433">
        <f t="shared" si="4"/>
        <v>0</v>
      </c>
      <c r="T14" s="508">
        <f t="shared" si="5"/>
        <v>0</v>
      </c>
      <c r="U14" s="504">
        <f t="shared" si="6"/>
        <v>15</v>
      </c>
      <c r="V14" s="434">
        <f t="shared" si="7"/>
        <v>0</v>
      </c>
      <c r="W14" s="435"/>
    </row>
    <row r="15" spans="1:23">
      <c r="A15" s="367"/>
      <c r="B15" s="367"/>
      <c r="C15" s="367"/>
      <c r="D15" s="367"/>
      <c r="E15" s="551"/>
      <c r="F15" s="552"/>
      <c r="G15" s="484">
        <f t="shared" si="0"/>
        <v>0</v>
      </c>
      <c r="H15" s="492">
        <f t="shared" si="1"/>
        <v>0</v>
      </c>
      <c r="I15" s="486">
        <f t="shared" si="9"/>
        <v>0</v>
      </c>
      <c r="M15" s="433" t="s">
        <v>1971</v>
      </c>
      <c r="N15" s="433" t="s">
        <v>1963</v>
      </c>
      <c r="O15" s="556">
        <v>3</v>
      </c>
      <c r="P15" s="598">
        <v>25</v>
      </c>
      <c r="Q15" s="600">
        <f t="shared" si="2"/>
        <v>8.9874999999999989</v>
      </c>
      <c r="R15" s="600">
        <f t="shared" si="3"/>
        <v>33.99</v>
      </c>
      <c r="S15" s="433">
        <f t="shared" si="4"/>
        <v>6360</v>
      </c>
      <c r="T15" s="508">
        <f t="shared" si="5"/>
        <v>216176.40000000002</v>
      </c>
      <c r="U15" s="504">
        <f t="shared" si="6"/>
        <v>25</v>
      </c>
      <c r="V15" s="434">
        <f t="shared" si="7"/>
        <v>0.14887640449438203</v>
      </c>
      <c r="W15" s="435"/>
    </row>
    <row r="16" spans="1:23">
      <c r="A16" s="370" t="s">
        <v>1931</v>
      </c>
      <c r="B16" s="555">
        <v>4.5</v>
      </c>
      <c r="C16" s="484">
        <f>SUM(G16:G27)</f>
        <v>540</v>
      </c>
      <c r="D16" s="485">
        <f>IFERROR(SUM(I16:I27)/C16,0)</f>
        <v>271.92</v>
      </c>
      <c r="E16" s="551" t="s">
        <v>1962</v>
      </c>
      <c r="F16" s="552">
        <v>0.25</v>
      </c>
      <c r="G16" s="484">
        <f>IFERROR(VLOOKUP(E16,$M$4:$O$27,3,0)*F16*$B$16*20,)</f>
        <v>22.5</v>
      </c>
      <c r="H16" s="492">
        <f t="shared" si="1"/>
        <v>271.92</v>
      </c>
      <c r="I16" s="486">
        <f t="shared" si="8"/>
        <v>6118.2000000000007</v>
      </c>
      <c r="M16" s="433" t="s">
        <v>1933</v>
      </c>
      <c r="N16" s="433" t="s">
        <v>1972</v>
      </c>
      <c r="O16" s="556">
        <v>1</v>
      </c>
      <c r="P16" s="598">
        <v>15</v>
      </c>
      <c r="Q16" s="600">
        <f t="shared" si="2"/>
        <v>5.3925000000000001</v>
      </c>
      <c r="R16" s="600">
        <f t="shared" si="3"/>
        <v>20.39</v>
      </c>
      <c r="S16" s="433">
        <f t="shared" si="4"/>
        <v>5760</v>
      </c>
      <c r="T16" s="508">
        <f t="shared" si="5"/>
        <v>117446.40000000001</v>
      </c>
      <c r="U16" s="504">
        <f t="shared" si="6"/>
        <v>15</v>
      </c>
      <c r="V16" s="434">
        <f t="shared" si="7"/>
        <v>0.1348314606741573</v>
      </c>
      <c r="W16" s="435"/>
    </row>
    <row r="17" spans="1:23">
      <c r="A17" s="367"/>
      <c r="B17" s="367"/>
      <c r="C17" s="367"/>
      <c r="D17" s="367"/>
      <c r="E17" s="551" t="s">
        <v>1964</v>
      </c>
      <c r="F17" s="552">
        <v>0.5</v>
      </c>
      <c r="G17" s="484">
        <f t="shared" ref="G17:G27" si="10">IFERROR(VLOOKUP(E17,$M$4:$O$27,3,0)*F17*$B$16*20,)</f>
        <v>135</v>
      </c>
      <c r="H17" s="492">
        <f t="shared" si="1"/>
        <v>271.92</v>
      </c>
      <c r="I17" s="486">
        <f t="shared" si="8"/>
        <v>36709.200000000004</v>
      </c>
      <c r="M17" s="433" t="s">
        <v>1974</v>
      </c>
      <c r="N17" s="433" t="s">
        <v>1972</v>
      </c>
      <c r="O17" s="556"/>
      <c r="P17" s="598"/>
      <c r="Q17" s="600">
        <f t="shared" si="2"/>
        <v>0</v>
      </c>
      <c r="R17" s="600">
        <f t="shared" si="3"/>
        <v>0</v>
      </c>
      <c r="S17" s="433">
        <f t="shared" si="4"/>
        <v>0</v>
      </c>
      <c r="T17" s="508">
        <f t="shared" si="5"/>
        <v>0</v>
      </c>
      <c r="U17" s="504">
        <f t="shared" si="6"/>
        <v>15</v>
      </c>
      <c r="V17" s="434">
        <f t="shared" si="7"/>
        <v>0</v>
      </c>
      <c r="W17" s="435"/>
    </row>
    <row r="18" spans="1:23">
      <c r="A18" s="367"/>
      <c r="B18" s="367"/>
      <c r="C18" s="367"/>
      <c r="D18" s="367"/>
      <c r="E18" s="551" t="s">
        <v>1965</v>
      </c>
      <c r="F18" s="552">
        <v>0.25</v>
      </c>
      <c r="G18" s="484">
        <f t="shared" si="10"/>
        <v>22.5</v>
      </c>
      <c r="H18" s="492">
        <f t="shared" si="1"/>
        <v>271.92</v>
      </c>
      <c r="I18" s="486">
        <f t="shared" si="8"/>
        <v>6118.2000000000007</v>
      </c>
      <c r="M18" s="433" t="s">
        <v>1975</v>
      </c>
      <c r="N18" s="433" t="s">
        <v>1963</v>
      </c>
      <c r="O18" s="556"/>
      <c r="P18" s="598"/>
      <c r="Q18" s="600">
        <f t="shared" si="2"/>
        <v>0</v>
      </c>
      <c r="R18" s="600">
        <f t="shared" si="3"/>
        <v>0</v>
      </c>
      <c r="S18" s="433">
        <f t="shared" si="4"/>
        <v>0</v>
      </c>
      <c r="T18" s="508">
        <f t="shared" si="5"/>
        <v>0</v>
      </c>
      <c r="U18" s="504">
        <f t="shared" si="6"/>
        <v>25</v>
      </c>
      <c r="V18" s="434">
        <f t="shared" si="7"/>
        <v>0</v>
      </c>
      <c r="W18" s="435"/>
    </row>
    <row r="19" spans="1:23">
      <c r="A19" s="367"/>
      <c r="B19" s="367"/>
      <c r="C19" s="367"/>
      <c r="D19" s="367"/>
      <c r="E19" s="551" t="s">
        <v>1966</v>
      </c>
      <c r="F19" s="552">
        <v>0.5</v>
      </c>
      <c r="G19" s="484">
        <f t="shared" si="10"/>
        <v>135</v>
      </c>
      <c r="H19" s="492">
        <f t="shared" si="1"/>
        <v>271.92</v>
      </c>
      <c r="I19" s="486">
        <f t="shared" si="8"/>
        <v>36709.200000000004</v>
      </c>
      <c r="M19" s="433" t="s">
        <v>1976</v>
      </c>
      <c r="N19" s="433" t="s">
        <v>1963</v>
      </c>
      <c r="O19" s="556"/>
      <c r="P19" s="598"/>
      <c r="Q19" s="600">
        <f t="shared" si="2"/>
        <v>0</v>
      </c>
      <c r="R19" s="600">
        <f t="shared" si="3"/>
        <v>0</v>
      </c>
      <c r="S19" s="433">
        <f t="shared" si="4"/>
        <v>0</v>
      </c>
      <c r="T19" s="508">
        <f t="shared" si="5"/>
        <v>0</v>
      </c>
      <c r="U19" s="504">
        <f t="shared" si="6"/>
        <v>25</v>
      </c>
      <c r="V19" s="434">
        <f t="shared" si="7"/>
        <v>0</v>
      </c>
      <c r="W19" s="435"/>
    </row>
    <row r="20" spans="1:23">
      <c r="A20" s="367"/>
      <c r="B20" s="367"/>
      <c r="C20" s="367"/>
      <c r="D20" s="367"/>
      <c r="E20" s="551" t="s">
        <v>1967</v>
      </c>
      <c r="F20" s="552">
        <v>0.25</v>
      </c>
      <c r="G20" s="484">
        <f t="shared" si="10"/>
        <v>22.5</v>
      </c>
      <c r="H20" s="492">
        <f t="shared" si="1"/>
        <v>271.92</v>
      </c>
      <c r="I20" s="486">
        <f t="shared" si="8"/>
        <v>6118.2000000000007</v>
      </c>
      <c r="M20" s="433" t="s">
        <v>1977</v>
      </c>
      <c r="N20" s="433" t="s">
        <v>1972</v>
      </c>
      <c r="O20" s="556">
        <v>1</v>
      </c>
      <c r="P20" s="598">
        <v>15</v>
      </c>
      <c r="Q20" s="600">
        <f t="shared" si="2"/>
        <v>5.3925000000000001</v>
      </c>
      <c r="R20" s="600">
        <f t="shared" si="3"/>
        <v>20.39</v>
      </c>
      <c r="S20" s="433">
        <f t="shared" si="4"/>
        <v>5760</v>
      </c>
      <c r="T20" s="508">
        <f t="shared" si="5"/>
        <v>117446.40000000001</v>
      </c>
      <c r="U20" s="504">
        <f t="shared" si="6"/>
        <v>15</v>
      </c>
      <c r="V20" s="434">
        <f t="shared" si="7"/>
        <v>0.1348314606741573</v>
      </c>
      <c r="W20" s="435"/>
    </row>
    <row r="21" spans="1:23">
      <c r="A21" s="367"/>
      <c r="B21" s="367"/>
      <c r="C21" s="367"/>
      <c r="D21" s="367"/>
      <c r="E21" s="551" t="s">
        <v>1968</v>
      </c>
      <c r="F21" s="552">
        <v>0.25</v>
      </c>
      <c r="G21" s="484">
        <f t="shared" si="10"/>
        <v>22.5</v>
      </c>
      <c r="H21" s="492">
        <f t="shared" si="1"/>
        <v>271.92</v>
      </c>
      <c r="I21" s="486">
        <f t="shared" si="8"/>
        <v>6118.2000000000007</v>
      </c>
      <c r="M21" s="557" t="s">
        <v>1978</v>
      </c>
      <c r="N21" s="557" t="s">
        <v>1972</v>
      </c>
      <c r="O21" s="556"/>
      <c r="P21" s="598"/>
      <c r="Q21" s="600">
        <f t="shared" si="2"/>
        <v>0</v>
      </c>
      <c r="R21" s="600">
        <f t="shared" si="3"/>
        <v>0</v>
      </c>
      <c r="S21" s="433">
        <f t="shared" si="4"/>
        <v>0</v>
      </c>
      <c r="T21" s="508">
        <f t="shared" si="5"/>
        <v>0</v>
      </c>
      <c r="U21" s="504">
        <f t="shared" si="6"/>
        <v>15</v>
      </c>
      <c r="V21" s="434">
        <f t="shared" si="7"/>
        <v>0</v>
      </c>
      <c r="W21" s="435"/>
    </row>
    <row r="22" spans="1:23">
      <c r="A22" s="367"/>
      <c r="B22" s="602"/>
      <c r="C22" s="602"/>
      <c r="D22" s="603"/>
      <c r="E22" s="551" t="s">
        <v>1969</v>
      </c>
      <c r="F22" s="552">
        <v>0.25</v>
      </c>
      <c r="G22" s="484">
        <f t="shared" si="10"/>
        <v>45</v>
      </c>
      <c r="H22" s="492">
        <f t="shared" si="1"/>
        <v>271.92</v>
      </c>
      <c r="I22" s="486">
        <f t="shared" si="8"/>
        <v>12236.400000000001</v>
      </c>
      <c r="M22" s="557"/>
      <c r="N22" s="557"/>
      <c r="O22" s="556"/>
      <c r="P22" s="598"/>
      <c r="Q22" s="600">
        <f t="shared" si="2"/>
        <v>0</v>
      </c>
      <c r="R22" s="600">
        <f t="shared" si="3"/>
        <v>0</v>
      </c>
      <c r="S22" s="433">
        <f t="shared" si="4"/>
        <v>0</v>
      </c>
      <c r="T22" s="508">
        <f t="shared" si="5"/>
        <v>0</v>
      </c>
      <c r="U22" s="504">
        <f t="shared" si="6"/>
        <v>15</v>
      </c>
      <c r="V22" s="434">
        <f t="shared" si="7"/>
        <v>0</v>
      </c>
      <c r="W22" s="435"/>
    </row>
    <row r="23" spans="1:23">
      <c r="A23" s="367"/>
      <c r="B23" s="367"/>
      <c r="C23" s="367"/>
      <c r="D23" s="367"/>
      <c r="E23" s="551" t="s">
        <v>1971</v>
      </c>
      <c r="F23" s="552">
        <v>0.5</v>
      </c>
      <c r="G23" s="484">
        <f t="shared" si="10"/>
        <v>135</v>
      </c>
      <c r="H23" s="492">
        <f t="shared" si="1"/>
        <v>271.92</v>
      </c>
      <c r="I23" s="486">
        <f t="shared" si="8"/>
        <v>36709.200000000004</v>
      </c>
      <c r="M23" s="557"/>
      <c r="N23" s="557"/>
      <c r="O23" s="556"/>
      <c r="P23" s="598"/>
      <c r="Q23" s="600">
        <f t="shared" si="2"/>
        <v>0</v>
      </c>
      <c r="R23" s="600">
        <f t="shared" si="3"/>
        <v>0</v>
      </c>
      <c r="S23" s="433">
        <f t="shared" si="4"/>
        <v>0</v>
      </c>
      <c r="T23" s="508">
        <f t="shared" si="5"/>
        <v>0</v>
      </c>
      <c r="U23" s="504">
        <f t="shared" si="6"/>
        <v>15</v>
      </c>
      <c r="V23" s="434">
        <f t="shared" si="7"/>
        <v>0</v>
      </c>
      <c r="W23" s="435"/>
    </row>
    <row r="24" spans="1:23">
      <c r="A24" s="367"/>
      <c r="B24" s="367"/>
      <c r="C24" s="367"/>
      <c r="D24" s="367"/>
      <c r="E24" s="551"/>
      <c r="F24" s="552"/>
      <c r="G24" s="484">
        <f t="shared" si="10"/>
        <v>0</v>
      </c>
      <c r="H24" s="492">
        <f t="shared" si="1"/>
        <v>0</v>
      </c>
      <c r="I24" s="486">
        <f t="shared" si="8"/>
        <v>0</v>
      </c>
      <c r="M24" s="557"/>
      <c r="N24" s="557"/>
      <c r="O24" s="556"/>
      <c r="P24" s="598"/>
      <c r="Q24" s="600">
        <f t="shared" si="2"/>
        <v>0</v>
      </c>
      <c r="R24" s="600">
        <f t="shared" si="3"/>
        <v>0</v>
      </c>
      <c r="S24" s="433">
        <f t="shared" si="4"/>
        <v>0</v>
      </c>
      <c r="T24" s="508">
        <f t="shared" si="5"/>
        <v>0</v>
      </c>
      <c r="U24" s="504">
        <f t="shared" si="6"/>
        <v>15</v>
      </c>
      <c r="V24" s="434">
        <f t="shared" si="7"/>
        <v>0</v>
      </c>
      <c r="W24" s="435"/>
    </row>
    <row r="25" spans="1:23">
      <c r="A25" s="367"/>
      <c r="B25" s="367"/>
      <c r="C25" s="367"/>
      <c r="D25" s="367"/>
      <c r="E25" s="551"/>
      <c r="F25" s="552"/>
      <c r="G25" s="484">
        <f t="shared" si="10"/>
        <v>0</v>
      </c>
      <c r="H25" s="492">
        <f t="shared" si="1"/>
        <v>0</v>
      </c>
      <c r="I25" s="486">
        <f t="shared" si="8"/>
        <v>0</v>
      </c>
      <c r="M25" s="557"/>
      <c r="N25" s="557"/>
      <c r="O25" s="556"/>
      <c r="P25" s="598"/>
      <c r="Q25" s="600">
        <f t="shared" si="2"/>
        <v>0</v>
      </c>
      <c r="R25" s="600">
        <f t="shared" si="3"/>
        <v>0</v>
      </c>
      <c r="S25" s="433">
        <f t="shared" si="4"/>
        <v>0</v>
      </c>
      <c r="T25" s="508">
        <f t="shared" si="5"/>
        <v>0</v>
      </c>
      <c r="U25" s="504">
        <f t="shared" si="6"/>
        <v>15</v>
      </c>
      <c r="V25" s="434">
        <f t="shared" si="7"/>
        <v>0</v>
      </c>
      <c r="W25" s="435"/>
    </row>
    <row r="26" spans="1:23">
      <c r="A26" s="367"/>
      <c r="B26" s="367"/>
      <c r="C26" s="367"/>
      <c r="D26" s="367"/>
      <c r="E26" s="551"/>
      <c r="F26" s="552"/>
      <c r="G26" s="484">
        <f t="shared" si="10"/>
        <v>0</v>
      </c>
      <c r="H26" s="492">
        <f t="shared" si="1"/>
        <v>0</v>
      </c>
      <c r="I26" s="486">
        <f t="shared" si="8"/>
        <v>0</v>
      </c>
      <c r="M26" s="557"/>
      <c r="N26" s="557"/>
      <c r="O26" s="556"/>
      <c r="P26" s="598"/>
      <c r="Q26" s="600">
        <f t="shared" si="2"/>
        <v>0</v>
      </c>
      <c r="R26" s="600">
        <f t="shared" si="3"/>
        <v>0</v>
      </c>
      <c r="S26" s="433">
        <f t="shared" si="4"/>
        <v>0</v>
      </c>
      <c r="T26" s="508">
        <f t="shared" si="5"/>
        <v>0</v>
      </c>
      <c r="U26" s="504">
        <f t="shared" ref="U26:U27" si="11">IF(N26="hlavná",25,15)</f>
        <v>15</v>
      </c>
      <c r="V26" s="434">
        <f t="shared" si="7"/>
        <v>0</v>
      </c>
      <c r="W26" s="435"/>
    </row>
    <row r="27" spans="1:23">
      <c r="A27" s="367"/>
      <c r="B27" s="367"/>
      <c r="C27" s="367"/>
      <c r="D27" s="367"/>
      <c r="E27" s="551"/>
      <c r="F27" s="552"/>
      <c r="G27" s="484">
        <f t="shared" si="10"/>
        <v>0</v>
      </c>
      <c r="H27" s="492">
        <f t="shared" si="1"/>
        <v>0</v>
      </c>
      <c r="I27" s="486">
        <f t="shared" si="8"/>
        <v>0</v>
      </c>
      <c r="M27" s="557"/>
      <c r="N27" s="557"/>
      <c r="O27" s="556"/>
      <c r="P27" s="598"/>
      <c r="Q27" s="600">
        <f t="shared" si="2"/>
        <v>0</v>
      </c>
      <c r="R27" s="600">
        <f t="shared" si="3"/>
        <v>0</v>
      </c>
      <c r="S27" s="433">
        <f t="shared" si="4"/>
        <v>0</v>
      </c>
      <c r="T27" s="508">
        <f t="shared" si="5"/>
        <v>0</v>
      </c>
      <c r="U27" s="504">
        <f t="shared" si="11"/>
        <v>15</v>
      </c>
      <c r="V27" s="434">
        <f t="shared" si="7"/>
        <v>0</v>
      </c>
      <c r="W27" s="435"/>
    </row>
    <row r="28" spans="1:23">
      <c r="A28" s="370" t="s">
        <v>1938</v>
      </c>
      <c r="B28" s="555">
        <v>16</v>
      </c>
      <c r="C28" s="484">
        <f>SUM(G28:G39)</f>
        <v>1920</v>
      </c>
      <c r="D28" s="485">
        <f>IFERROR(SUM(I28:I39)/C28,0)</f>
        <v>271.92</v>
      </c>
      <c r="E28" s="551" t="s">
        <v>1962</v>
      </c>
      <c r="F28" s="552">
        <v>0.25</v>
      </c>
      <c r="G28" s="484">
        <f>IFERROR(VLOOKUP(E28,$M$4:$O$27,3,0)*F28*$B$28*20,)</f>
        <v>80</v>
      </c>
      <c r="H28" s="492">
        <f t="shared" si="1"/>
        <v>271.92</v>
      </c>
      <c r="I28" s="486">
        <f t="shared" si="8"/>
        <v>21753.600000000002</v>
      </c>
    </row>
    <row r="29" spans="1:23">
      <c r="A29" s="367"/>
      <c r="B29" s="367"/>
      <c r="C29" s="367"/>
      <c r="D29" s="367"/>
      <c r="E29" s="551" t="s">
        <v>1964</v>
      </c>
      <c r="F29" s="552">
        <v>0.5</v>
      </c>
      <c r="G29" s="484">
        <f t="shared" ref="G29:G39" si="12">IFERROR(VLOOKUP(E29,$M$4:$O$27,3,0)*F29*$B$28*20,)</f>
        <v>480</v>
      </c>
      <c r="H29" s="492">
        <f t="shared" si="1"/>
        <v>271.92</v>
      </c>
      <c r="I29" s="486">
        <f t="shared" si="8"/>
        <v>130521.60000000001</v>
      </c>
    </row>
    <row r="30" spans="1:23">
      <c r="A30" s="367"/>
      <c r="B30" s="367"/>
      <c r="C30" s="367"/>
      <c r="D30" s="367"/>
      <c r="E30" s="551" t="s">
        <v>1965</v>
      </c>
      <c r="F30" s="552">
        <v>0.25</v>
      </c>
      <c r="G30" s="484">
        <f t="shared" si="12"/>
        <v>80</v>
      </c>
      <c r="H30" s="492">
        <f t="shared" si="1"/>
        <v>271.92</v>
      </c>
      <c r="I30" s="486">
        <f t="shared" si="8"/>
        <v>21753.600000000002</v>
      </c>
    </row>
    <row r="31" spans="1:23">
      <c r="A31" s="367"/>
      <c r="B31" s="367"/>
      <c r="C31" s="367"/>
      <c r="D31" s="367"/>
      <c r="E31" s="551" t="s">
        <v>1966</v>
      </c>
      <c r="F31" s="552">
        <v>0.5</v>
      </c>
      <c r="G31" s="484">
        <f t="shared" si="12"/>
        <v>480</v>
      </c>
      <c r="H31" s="492">
        <f t="shared" si="1"/>
        <v>271.92</v>
      </c>
      <c r="I31" s="486">
        <f t="shared" si="8"/>
        <v>130521.60000000001</v>
      </c>
    </row>
    <row r="32" spans="1:23">
      <c r="A32" s="367"/>
      <c r="B32" s="367"/>
      <c r="C32" s="367"/>
      <c r="D32" s="367"/>
      <c r="E32" s="551" t="s">
        <v>1967</v>
      </c>
      <c r="F32" s="552">
        <v>0.25</v>
      </c>
      <c r="G32" s="484">
        <f t="shared" si="12"/>
        <v>80</v>
      </c>
      <c r="H32" s="492">
        <f t="shared" si="1"/>
        <v>271.92</v>
      </c>
      <c r="I32" s="486">
        <f t="shared" si="8"/>
        <v>21753.600000000002</v>
      </c>
    </row>
    <row r="33" spans="1:9">
      <c r="A33" s="367"/>
      <c r="B33" s="367"/>
      <c r="C33" s="367"/>
      <c r="D33" s="367"/>
      <c r="E33" s="551" t="s">
        <v>1968</v>
      </c>
      <c r="F33" s="552">
        <v>0.25</v>
      </c>
      <c r="G33" s="484">
        <f t="shared" si="12"/>
        <v>80</v>
      </c>
      <c r="H33" s="492">
        <f t="shared" si="1"/>
        <v>271.92</v>
      </c>
      <c r="I33" s="486">
        <f t="shared" si="8"/>
        <v>21753.600000000002</v>
      </c>
    </row>
    <row r="34" spans="1:9">
      <c r="A34" s="367"/>
      <c r="B34" s="367"/>
      <c r="C34" s="367"/>
      <c r="D34" s="367"/>
      <c r="E34" s="551" t="s">
        <v>1969</v>
      </c>
      <c r="F34" s="552">
        <v>0.25</v>
      </c>
      <c r="G34" s="484">
        <f t="shared" si="12"/>
        <v>160</v>
      </c>
      <c r="H34" s="492">
        <f t="shared" si="1"/>
        <v>271.92</v>
      </c>
      <c r="I34" s="486">
        <f t="shared" ref="I34:I39" si="13">G34*H34</f>
        <v>43507.200000000004</v>
      </c>
    </row>
    <row r="35" spans="1:9">
      <c r="A35" s="367"/>
      <c r="B35" s="367"/>
      <c r="C35" s="367"/>
      <c r="D35" s="367"/>
      <c r="E35" s="551" t="s">
        <v>1971</v>
      </c>
      <c r="F35" s="552">
        <v>0.5</v>
      </c>
      <c r="G35" s="484">
        <f t="shared" si="12"/>
        <v>480</v>
      </c>
      <c r="H35" s="492">
        <f t="shared" si="1"/>
        <v>271.92</v>
      </c>
      <c r="I35" s="486">
        <f t="shared" si="13"/>
        <v>130521.60000000001</v>
      </c>
    </row>
    <row r="36" spans="1:9">
      <c r="A36" s="367"/>
      <c r="B36" s="367"/>
      <c r="C36" s="367"/>
      <c r="D36" s="367"/>
      <c r="E36" s="551"/>
      <c r="F36" s="552"/>
      <c r="G36" s="484">
        <f t="shared" si="12"/>
        <v>0</v>
      </c>
      <c r="H36" s="492">
        <f t="shared" si="1"/>
        <v>0</v>
      </c>
      <c r="I36" s="486">
        <f t="shared" si="13"/>
        <v>0</v>
      </c>
    </row>
    <row r="37" spans="1:9">
      <c r="A37" s="367"/>
      <c r="B37" s="367"/>
      <c r="C37" s="367"/>
      <c r="D37" s="367"/>
      <c r="E37" s="551"/>
      <c r="F37" s="552"/>
      <c r="G37" s="484">
        <f t="shared" si="12"/>
        <v>0</v>
      </c>
      <c r="H37" s="492">
        <f t="shared" si="1"/>
        <v>0</v>
      </c>
      <c r="I37" s="486">
        <f t="shared" si="13"/>
        <v>0</v>
      </c>
    </row>
    <row r="38" spans="1:9">
      <c r="A38" s="367"/>
      <c r="B38" s="367"/>
      <c r="C38" s="367"/>
      <c r="D38" s="367"/>
      <c r="E38" s="551"/>
      <c r="F38" s="552"/>
      <c r="G38" s="484">
        <f t="shared" si="12"/>
        <v>0</v>
      </c>
      <c r="H38" s="492">
        <f t="shared" si="1"/>
        <v>0</v>
      </c>
      <c r="I38" s="486">
        <f t="shared" si="13"/>
        <v>0</v>
      </c>
    </row>
    <row r="39" spans="1:9">
      <c r="A39" s="367"/>
      <c r="B39" s="367"/>
      <c r="C39" s="367"/>
      <c r="D39" s="367"/>
      <c r="E39" s="551"/>
      <c r="F39" s="552"/>
      <c r="G39" s="484">
        <f t="shared" si="12"/>
        <v>0</v>
      </c>
      <c r="H39" s="492">
        <f t="shared" si="1"/>
        <v>0</v>
      </c>
      <c r="I39" s="486">
        <f t="shared" si="13"/>
        <v>0</v>
      </c>
    </row>
    <row r="40" spans="1:9">
      <c r="A40" s="370" t="s">
        <v>1979</v>
      </c>
      <c r="B40" s="555">
        <v>36</v>
      </c>
      <c r="C40" s="484">
        <f>SUM(G40:G51)</f>
        <v>1440</v>
      </c>
      <c r="D40" s="485">
        <f>IFERROR(SUM(I40:I51)/C40,)</f>
        <v>163.12</v>
      </c>
      <c r="E40" s="551" t="s">
        <v>1934</v>
      </c>
      <c r="F40" s="552">
        <v>1</v>
      </c>
      <c r="G40" s="484">
        <f>IFERROR(VLOOKUP(E40,$M$4:$O$27,3,0)*F40*$B$40*20,)</f>
        <v>720</v>
      </c>
      <c r="H40" s="492">
        <f t="shared" si="1"/>
        <v>163.12</v>
      </c>
      <c r="I40" s="486">
        <f t="shared" ref="I40:I45" si="14">G40*H40</f>
        <v>117446.40000000001</v>
      </c>
    </row>
    <row r="41" spans="1:9">
      <c r="A41" s="367"/>
      <c r="B41" s="367"/>
      <c r="C41" s="367"/>
      <c r="D41" s="367"/>
      <c r="E41" s="551" t="s">
        <v>1933</v>
      </c>
      <c r="F41" s="552">
        <v>1</v>
      </c>
      <c r="G41" s="484">
        <f t="shared" ref="G41:G51" si="15">IFERROR(VLOOKUP(E41,$M$4:$O$27,3,0)*F41*$B$40*20,)</f>
        <v>720</v>
      </c>
      <c r="H41" s="492">
        <f t="shared" si="1"/>
        <v>163.12</v>
      </c>
      <c r="I41" s="486">
        <f t="shared" si="14"/>
        <v>117446.40000000001</v>
      </c>
    </row>
    <row r="42" spans="1:9">
      <c r="A42" s="367"/>
      <c r="B42" s="367"/>
      <c r="C42" s="367"/>
      <c r="D42" s="367"/>
      <c r="E42" s="551"/>
      <c r="F42" s="552"/>
      <c r="G42" s="484">
        <f t="shared" si="15"/>
        <v>0</v>
      </c>
      <c r="H42" s="492">
        <f t="shared" si="1"/>
        <v>0</v>
      </c>
      <c r="I42" s="486">
        <f t="shared" si="14"/>
        <v>0</v>
      </c>
    </row>
    <row r="43" spans="1:9">
      <c r="A43" s="367"/>
      <c r="B43" s="367"/>
      <c r="C43" s="367"/>
      <c r="D43" s="367"/>
      <c r="E43" s="551"/>
      <c r="F43" s="552"/>
      <c r="G43" s="484">
        <f t="shared" si="15"/>
        <v>0</v>
      </c>
      <c r="H43" s="492">
        <f t="shared" si="1"/>
        <v>0</v>
      </c>
      <c r="I43" s="486">
        <f t="shared" si="14"/>
        <v>0</v>
      </c>
    </row>
    <row r="44" spans="1:9">
      <c r="A44" s="367"/>
      <c r="B44" s="367"/>
      <c r="C44" s="367"/>
      <c r="D44" s="367"/>
      <c r="E44" s="551"/>
      <c r="F44" s="552"/>
      <c r="G44" s="484">
        <f t="shared" si="15"/>
        <v>0</v>
      </c>
      <c r="H44" s="492">
        <f t="shared" si="1"/>
        <v>0</v>
      </c>
      <c r="I44" s="486">
        <f t="shared" si="14"/>
        <v>0</v>
      </c>
    </row>
    <row r="45" spans="1:9">
      <c r="A45" s="367"/>
      <c r="B45" s="367"/>
      <c r="C45" s="367"/>
      <c r="D45" s="367"/>
      <c r="E45" s="551"/>
      <c r="F45" s="552"/>
      <c r="G45" s="484">
        <f t="shared" si="15"/>
        <v>0</v>
      </c>
      <c r="H45" s="492">
        <f t="shared" si="1"/>
        <v>0</v>
      </c>
      <c r="I45" s="486">
        <f t="shared" si="14"/>
        <v>0</v>
      </c>
    </row>
    <row r="46" spans="1:9">
      <c r="E46" s="551"/>
      <c r="F46" s="552"/>
      <c r="G46" s="484">
        <f t="shared" si="15"/>
        <v>0</v>
      </c>
      <c r="H46" s="492">
        <f t="shared" si="1"/>
        <v>0</v>
      </c>
      <c r="I46" s="486">
        <f t="shared" ref="I46:I50" si="16">G46*H46</f>
        <v>0</v>
      </c>
    </row>
    <row r="47" spans="1:9">
      <c r="E47" s="551"/>
      <c r="F47" s="552"/>
      <c r="G47" s="484">
        <f t="shared" si="15"/>
        <v>0</v>
      </c>
      <c r="H47" s="492">
        <f t="shared" si="1"/>
        <v>0</v>
      </c>
      <c r="I47" s="486">
        <f t="shared" si="16"/>
        <v>0</v>
      </c>
    </row>
    <row r="48" spans="1:9">
      <c r="E48" s="551"/>
      <c r="F48" s="552"/>
      <c r="G48" s="484">
        <f t="shared" si="15"/>
        <v>0</v>
      </c>
      <c r="H48" s="492">
        <f t="shared" si="1"/>
        <v>0</v>
      </c>
      <c r="I48" s="486">
        <f t="shared" si="16"/>
        <v>0</v>
      </c>
    </row>
    <row r="49" spans="1:9">
      <c r="E49" s="551"/>
      <c r="F49" s="552"/>
      <c r="G49" s="484">
        <f t="shared" si="15"/>
        <v>0</v>
      </c>
      <c r="H49" s="492">
        <f t="shared" si="1"/>
        <v>0</v>
      </c>
      <c r="I49" s="486">
        <f t="shared" si="16"/>
        <v>0</v>
      </c>
    </row>
    <row r="50" spans="1:9">
      <c r="E50" s="551"/>
      <c r="F50" s="552"/>
      <c r="G50" s="484">
        <f t="shared" si="15"/>
        <v>0</v>
      </c>
      <c r="H50" s="492">
        <f t="shared" si="1"/>
        <v>0</v>
      </c>
      <c r="I50" s="486">
        <f t="shared" si="16"/>
        <v>0</v>
      </c>
    </row>
    <row r="51" spans="1:9">
      <c r="E51" s="551"/>
      <c r="F51" s="552"/>
      <c r="G51" s="484">
        <f t="shared" si="15"/>
        <v>0</v>
      </c>
      <c r="H51" s="492">
        <f t="shared" si="1"/>
        <v>0</v>
      </c>
      <c r="I51" s="486">
        <f t="shared" ref="I51:I62" si="17">G51*H51</f>
        <v>0</v>
      </c>
    </row>
    <row r="52" spans="1:9">
      <c r="A52" s="370" t="s">
        <v>1980</v>
      </c>
      <c r="B52" s="555">
        <v>36</v>
      </c>
      <c r="C52" s="484">
        <f>SUM(G52:G63)</f>
        <v>720</v>
      </c>
      <c r="D52" s="485">
        <f>IFERROR(SUM(I52:I63)/C52,)</f>
        <v>3867.5742429166671</v>
      </c>
      <c r="E52" s="551" t="s">
        <v>1977</v>
      </c>
      <c r="F52" s="552">
        <v>1</v>
      </c>
      <c r="G52" s="484">
        <f>IFERROR(VLOOKUP(E52,$M$4:$O$27,3,0)*F52*$B$52*20,)</f>
        <v>720</v>
      </c>
      <c r="H52" s="492">
        <f t="shared" si="1"/>
        <v>163.12</v>
      </c>
      <c r="I52" s="486">
        <f t="shared" si="17"/>
        <v>117446.40000000001</v>
      </c>
    </row>
    <row r="53" spans="1:9">
      <c r="A53" s="367"/>
      <c r="B53" s="367"/>
      <c r="C53" s="367"/>
      <c r="D53" s="367"/>
      <c r="E53" s="551"/>
      <c r="F53" s="552"/>
      <c r="G53" s="484">
        <f t="shared" ref="G53:G62" si="18">IFERROR(VLOOKUP(E53,$M$4:$O$27,3,0)*F53*$B$52*20,)</f>
        <v>0</v>
      </c>
      <c r="H53" s="492">
        <f t="shared" si="1"/>
        <v>0</v>
      </c>
      <c r="I53" s="486">
        <f t="shared" si="17"/>
        <v>0</v>
      </c>
    </row>
    <row r="54" spans="1:9">
      <c r="A54" s="367"/>
      <c r="B54" s="367"/>
      <c r="C54" s="367"/>
      <c r="D54" s="367"/>
      <c r="E54" s="551"/>
      <c r="F54" s="552"/>
      <c r="G54" s="484">
        <f t="shared" si="18"/>
        <v>0</v>
      </c>
      <c r="H54" s="492">
        <f t="shared" si="1"/>
        <v>0</v>
      </c>
      <c r="I54" s="486">
        <f t="shared" si="17"/>
        <v>0</v>
      </c>
    </row>
    <row r="55" spans="1:9">
      <c r="A55" s="367"/>
      <c r="B55" s="367"/>
      <c r="C55" s="367"/>
      <c r="D55" s="367"/>
      <c r="E55" s="551"/>
      <c r="F55" s="552"/>
      <c r="G55" s="484">
        <f t="shared" si="18"/>
        <v>0</v>
      </c>
      <c r="H55" s="492">
        <f t="shared" si="1"/>
        <v>0</v>
      </c>
      <c r="I55" s="486">
        <f t="shared" si="17"/>
        <v>0</v>
      </c>
    </row>
    <row r="56" spans="1:9">
      <c r="A56" s="367"/>
      <c r="B56" s="367"/>
      <c r="C56" s="367"/>
      <c r="D56" s="367"/>
      <c r="E56" s="551"/>
      <c r="F56" s="552"/>
      <c r="G56" s="484">
        <f t="shared" si="18"/>
        <v>0</v>
      </c>
      <c r="H56" s="492">
        <f t="shared" si="1"/>
        <v>0</v>
      </c>
      <c r="I56" s="486">
        <f t="shared" si="17"/>
        <v>0</v>
      </c>
    </row>
    <row r="57" spans="1:9">
      <c r="A57" s="367"/>
      <c r="B57" s="367"/>
      <c r="C57" s="367"/>
      <c r="D57" s="367"/>
      <c r="E57" s="551"/>
      <c r="F57" s="552"/>
      <c r="G57" s="484">
        <f t="shared" si="18"/>
        <v>0</v>
      </c>
      <c r="H57" s="492">
        <f t="shared" si="1"/>
        <v>0</v>
      </c>
      <c r="I57" s="486">
        <f t="shared" si="17"/>
        <v>0</v>
      </c>
    </row>
    <row r="58" spans="1:9">
      <c r="E58" s="551"/>
      <c r="F58" s="552"/>
      <c r="G58" s="484">
        <f t="shared" si="18"/>
        <v>0</v>
      </c>
      <c r="H58" s="492">
        <f t="shared" si="1"/>
        <v>0</v>
      </c>
      <c r="I58" s="486">
        <f t="shared" si="17"/>
        <v>0</v>
      </c>
    </row>
    <row r="59" spans="1:9">
      <c r="E59" s="551"/>
      <c r="F59" s="552"/>
      <c r="G59" s="484">
        <f t="shared" si="18"/>
        <v>0</v>
      </c>
      <c r="H59" s="492">
        <f t="shared" si="1"/>
        <v>0</v>
      </c>
      <c r="I59" s="486">
        <f t="shared" si="17"/>
        <v>0</v>
      </c>
    </row>
    <row r="60" spans="1:9">
      <c r="E60" s="551"/>
      <c r="F60" s="552"/>
      <c r="G60" s="484">
        <f t="shared" si="18"/>
        <v>0</v>
      </c>
      <c r="H60" s="492">
        <f t="shared" si="1"/>
        <v>0</v>
      </c>
      <c r="I60" s="486">
        <f t="shared" si="17"/>
        <v>0</v>
      </c>
    </row>
    <row r="61" spans="1:9">
      <c r="E61" s="551"/>
      <c r="F61" s="552"/>
      <c r="G61" s="484">
        <f t="shared" si="18"/>
        <v>0</v>
      </c>
      <c r="H61" s="492">
        <f t="shared" si="1"/>
        <v>0</v>
      </c>
      <c r="I61" s="486">
        <f t="shared" si="17"/>
        <v>0</v>
      </c>
    </row>
    <row r="62" spans="1:9">
      <c r="E62" s="551"/>
      <c r="F62" s="552"/>
      <c r="G62" s="484">
        <f t="shared" si="18"/>
        <v>0</v>
      </c>
      <c r="H62" s="492">
        <f t="shared" si="1"/>
        <v>0</v>
      </c>
      <c r="I62" s="486">
        <f t="shared" si="17"/>
        <v>0</v>
      </c>
    </row>
    <row r="63" spans="1:9">
      <c r="A63" s="370" t="str">
        <f>IF(SUM('Zdroje Financovania'!L3:L21)&gt;0,TEXT("Saldokonto - Pomocný výpočet",),TEXT(" ",))</f>
        <v>Saldokonto - Pomocný výpočet</v>
      </c>
      <c r="B63" s="824"/>
      <c r="C63" s="825"/>
      <c r="D63" s="825"/>
      <c r="E63" s="825"/>
      <c r="F63" s="825"/>
      <c r="G63" s="825"/>
      <c r="H63" s="826"/>
      <c r="I63" s="486">
        <f>IF(SUM('Zdroje Financovania'!L3:L21)&gt;0,I64-(SUM(I40:I62)+SUM(EXTERNE_POZICIE!M41:M64)*1.23),0)</f>
        <v>2667207.0549000003</v>
      </c>
    </row>
    <row r="64" spans="1:9">
      <c r="A64" s="370" t="str">
        <f>IF(SUM('Zdroje Financovania'!L3:L21)&gt;0,TEXT("Podporné oblasti projektu",),TEXT(" ",))</f>
        <v>Podporné oblasti projektu</v>
      </c>
      <c r="B64" s="827" t="str">
        <f>IF(SUM('Zdroje Financovania'!L3:L21)&gt;0,TEXT("907 - Paušálna sadzba na nepriame výdavky podľa článku 54 písm. a) NSU",),TEXT(" ",))</f>
        <v>907 - Paušálna sadzba na nepriame výdavky podľa článku 54 písm. a) NSU</v>
      </c>
      <c r="C64" s="828"/>
      <c r="D64" s="828"/>
      <c r="E64" s="828"/>
      <c r="F64" s="828"/>
      <c r="G64" s="828"/>
      <c r="H64" s="663">
        <f>IF(SUM('Zdroje Financovania'!L3:L21)&gt;0,0.07,0)</f>
        <v>7.0000000000000007E-2</v>
      </c>
      <c r="I64" s="663">
        <f>IF(SUM('Zdroje Financovania'!L3:L21)&gt;0,H64*(EXTERNE_POZICIE!M1*1.23+POZICIE_INTERNE!I1+'Rozpočet - HW a licencie'!I1),0)</f>
        <v>3019546.2549000005</v>
      </c>
    </row>
  </sheetData>
  <mergeCells count="4">
    <mergeCell ref="E1:F1"/>
    <mergeCell ref="E2:F2"/>
    <mergeCell ref="B63:H63"/>
    <mergeCell ref="B64:G64"/>
  </mergeCells>
  <conditionalFormatting sqref="P4:P27">
    <cfRule type="cellIs" dxfId="4" priority="1" operator="greaterThan">
      <formula>$U4</formula>
    </cfRule>
  </conditionalFormatting>
  <conditionalFormatting sqref="Q2">
    <cfRule type="cellIs" dxfId="3" priority="4" operator="greaterThan">
      <formula>0.2</formula>
    </cfRule>
  </conditionalFormatting>
  <dataValidations count="1">
    <dataValidation type="list" allowBlank="1" showInputMessage="1" showErrorMessage="1" sqref="E4:E62" xr:uid="{00000000-0002-0000-1000-000000000000}">
      <formula1>Pozicia</formula1>
    </dataValidation>
  </dataValidations>
  <pageMargins left="0.7" right="0.7" top="0.75" bottom="0.75" header="0.3" footer="0.3"/>
  <pageSetup paperSize="9" orientation="portrait" horizontalDpi="4294967293"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Hárok15">
    <tabColor rgb="FF00B050"/>
  </sheetPr>
  <dimension ref="A1:L65"/>
  <sheetViews>
    <sheetView zoomScale="90" zoomScaleNormal="90" workbookViewId="0">
      <pane ySplit="2" topLeftCell="A20" activePane="bottomLeft" state="frozen"/>
      <selection activeCell="J3" sqref="J3:J11"/>
      <selection pane="bottomLeft" activeCell="V43" sqref="V43"/>
    </sheetView>
  </sheetViews>
  <sheetFormatPr defaultColWidth="8.7265625" defaultRowHeight="14.5"/>
  <cols>
    <col min="1" max="1" width="9.453125" style="365" customWidth="1"/>
    <col min="2" max="2" width="58.81640625" style="365" bestFit="1" customWidth="1"/>
    <col min="3" max="3" width="31.26953125" style="365" customWidth="1"/>
    <col min="4" max="4" width="51.453125" style="365" customWidth="1"/>
    <col min="5" max="5" width="14.1796875" style="365" bestFit="1" customWidth="1"/>
    <col min="6" max="6" width="14.1796875" style="365" customWidth="1"/>
    <col min="7" max="7" width="13.7265625" style="365" customWidth="1"/>
    <col min="8" max="8" width="14.7265625" style="365" customWidth="1"/>
    <col min="9" max="9" width="14.81640625" style="372" customWidth="1"/>
    <col min="10" max="11" width="14.81640625" style="365" customWidth="1"/>
    <col min="12" max="12" width="52.1796875" style="365" customWidth="1"/>
    <col min="13" max="16384" width="8.7265625" style="365"/>
  </cols>
  <sheetData>
    <row r="1" spans="1:12">
      <c r="A1" s="829" t="s">
        <v>1981</v>
      </c>
      <c r="B1" s="830"/>
      <c r="C1" s="830"/>
      <c r="D1" s="831"/>
      <c r="E1" s="487">
        <f>SUM(E3:E22)</f>
        <v>6339.1404704711194</v>
      </c>
      <c r="F1" s="487">
        <f>SUM(F3:F22)</f>
        <v>402.99552035317788</v>
      </c>
      <c r="G1" s="493"/>
      <c r="H1" s="487"/>
      <c r="I1" s="488">
        <f>SUM(I3:I22)</f>
        <v>109582.54189443614</v>
      </c>
      <c r="J1" s="488">
        <f>SUM(J3:J41)</f>
        <v>25910920.470000003</v>
      </c>
      <c r="K1" s="488">
        <f>SUM(K3:K22)</f>
        <v>3664226.0007569958</v>
      </c>
      <c r="L1" s="489"/>
    </row>
    <row r="2" spans="1:12" ht="51" customHeight="1">
      <c r="A2" s="490" t="s">
        <v>1982</v>
      </c>
      <c r="B2" s="490" t="s">
        <v>1983</v>
      </c>
      <c r="C2" s="490" t="s">
        <v>1949</v>
      </c>
      <c r="D2" s="490" t="s">
        <v>1984</v>
      </c>
      <c r="E2" s="491" t="s">
        <v>1985</v>
      </c>
      <c r="F2" s="491" t="s">
        <v>1986</v>
      </c>
      <c r="G2" s="491" t="s">
        <v>1987</v>
      </c>
      <c r="H2" s="491" t="s">
        <v>1988</v>
      </c>
      <c r="I2" s="491" t="s">
        <v>1989</v>
      </c>
      <c r="J2" s="491" t="s">
        <v>1990</v>
      </c>
      <c r="K2" s="491" t="s">
        <v>152</v>
      </c>
      <c r="L2" s="491" t="s">
        <v>1909</v>
      </c>
    </row>
    <row r="3" spans="1:12" ht="15" customHeight="1">
      <c r="A3" s="834" t="s">
        <v>241</v>
      </c>
      <c r="B3" s="558" t="s">
        <v>242</v>
      </c>
      <c r="C3" s="437" t="s">
        <v>1910</v>
      </c>
      <c r="D3" s="558"/>
      <c r="E3" s="640">
        <f>IFERROR(VLOOKUP(B3,MODULY_CBA!$B$3:$O$23,14,0)*VLOOKUP('Rozpocet - Vyvoj aplikacii'!C3,EXTERNE_POZICIE!$A$4:$C$39,3,0),0)</f>
        <v>104.23871972992274</v>
      </c>
      <c r="F3" s="500">
        <f>IFERROR(VLOOKUP(C3,POZICIE_INTERNE!$A$4:$D$39,3,0)*VLOOKUP(B3,MODULY_CBA!$B$3:$J$23,9,0)/SUM(MODULY_CBA!$J$3:$J$23),)</f>
        <v>6.4974355645004218</v>
      </c>
      <c r="G3" s="506">
        <f>IFERROR(IF(ISTEXT(B3),VLOOKUP(C3,POZICIE_INTERNE!$A$4:$D$39,4,0),),)</f>
        <v>271.92</v>
      </c>
      <c r="H3" s="507">
        <f>IF(ISTEXT(B3),VLOOKUP(C3,EXTERNE_POZICIE!$A$4:$E$39,5,0),)</f>
        <v>455.89161111592068</v>
      </c>
      <c r="I3" s="501">
        <f>G3*F3</f>
        <v>1766.7826786989549</v>
      </c>
      <c r="J3" s="501">
        <f>E3*H3*1.23</f>
        <v>58451.516190352522</v>
      </c>
      <c r="K3" s="501">
        <f>J3+I3</f>
        <v>60218.298869051476</v>
      </c>
      <c r="L3" s="559"/>
    </row>
    <row r="4" spans="1:12" ht="15" customHeight="1">
      <c r="A4" s="832"/>
      <c r="B4" s="558" t="s">
        <v>242</v>
      </c>
      <c r="C4" s="437" t="s">
        <v>1931</v>
      </c>
      <c r="D4" s="558"/>
      <c r="E4" s="640">
        <f>IFERROR(VLOOKUP(B4,MODULY_CBA!$B$3:$O$23,14,0)*VLOOKUP('Rozpocet - Vyvoj aplikacii'!C4,EXTERNE_POZICIE!$A$4:$C$39,3,0),0)</f>
        <v>250.21443874569886</v>
      </c>
      <c r="F4" s="500">
        <f>IFERROR(VLOOKUP(C4,POZICIE_INTERNE!$A$4:$D$39,3,0)*VLOOKUP(B4,MODULY_CBA!$B$3:$J$23,9,0)/SUM(MODULY_CBA!$J$3:$J$23),)</f>
        <v>4.8730766733753166</v>
      </c>
      <c r="G4" s="506">
        <f>IFERROR(IF(ISTEXT(B4),VLOOKUP(C4,POZICIE_INTERNE!$A$4:$D$39,4,0),),)</f>
        <v>271.92</v>
      </c>
      <c r="H4" s="507">
        <f>IF(ISTEXT(B4),VLOOKUP(C4,EXTERNE_POZICIE!$A$4:$E$39,5,0),)</f>
        <v>455.89007104987917</v>
      </c>
      <c r="I4" s="501">
        <f t="shared" ref="I4:I65" si="0">G4*F4</f>
        <v>1325.0870090242161</v>
      </c>
      <c r="J4" s="501">
        <f t="shared" ref="J4:J65" si="1">E4*H4*1.23</f>
        <v>140306.44225670322</v>
      </c>
      <c r="K4" s="501">
        <f t="shared" ref="K4:K22" si="2">J4+I4</f>
        <v>141631.52926572744</v>
      </c>
      <c r="L4" s="559"/>
    </row>
    <row r="5" spans="1:12" ht="15" customHeight="1">
      <c r="A5" s="832"/>
      <c r="B5" s="558" t="s">
        <v>242</v>
      </c>
      <c r="C5" s="437" t="s">
        <v>1938</v>
      </c>
      <c r="D5" s="558"/>
      <c r="E5" s="640">
        <f>IFERROR(VLOOKUP(B5,MODULY_CBA!$B$3:$O$23,14,0)*VLOOKUP('Rozpocet - Vyvoj aplikacii'!C5,EXTERNE_POZICIE!$A$4:$C$39,3,0),0)</f>
        <v>62.537817308316562</v>
      </c>
      <c r="F5" s="500">
        <f>IFERROR(VLOOKUP(C5,POZICIE_INTERNE!$A$4:$D$39,3,0)*VLOOKUP(B5,MODULY_CBA!$B$3:$J$23,9,0)/SUM(MODULY_CBA!$J$3:$J$23),)</f>
        <v>17.326494838667791</v>
      </c>
      <c r="G5" s="506">
        <f>IFERROR(IF(ISTEXT(B5),VLOOKUP(C5,POZICIE_INTERNE!$A$4:$D$39,4,0),),)</f>
        <v>271.92</v>
      </c>
      <c r="H5" s="507">
        <f>IF(ISTEXT(B5),VLOOKUP(C5,EXTERNE_POZICIE!$A$4:$E$39,5,0),)</f>
        <v>455.89047619047619</v>
      </c>
      <c r="I5" s="501">
        <f t="shared" si="0"/>
        <v>4711.4204765305458</v>
      </c>
      <c r="J5" s="501">
        <f t="shared" si="1"/>
        <v>35067.78623449977</v>
      </c>
      <c r="K5" s="501">
        <f t="shared" si="2"/>
        <v>39779.206711030318</v>
      </c>
      <c r="L5" s="559"/>
    </row>
    <row r="6" spans="1:12" ht="15" customHeight="1">
      <c r="A6" s="832" t="s">
        <v>244</v>
      </c>
      <c r="B6" s="558" t="s">
        <v>245</v>
      </c>
      <c r="C6" s="437" t="s">
        <v>1910</v>
      </c>
      <c r="D6" s="558"/>
      <c r="E6" s="640">
        <f>IFERROR(VLOOKUP(B6,MODULY_CBA!$B$3:$O$23,14,0)*VLOOKUP('Rozpocet - Vyvoj aplikacii'!C6,EXTERNE_POZICIE!$A$4:$C$39,3,0),0)</f>
        <v>0</v>
      </c>
      <c r="F6" s="500">
        <f>IFERROR(VLOOKUP(C6,POZICIE_INTERNE!$A$4:$D$39,3,0)*VLOOKUP(B6,MODULY_CBA!$B$3:$J$23,9,0)/SUM(MODULY_CBA!$J$3:$J$23),)</f>
        <v>0</v>
      </c>
      <c r="G6" s="506">
        <f>IFERROR(IF(ISTEXT(B6),VLOOKUP(C6,POZICIE_INTERNE!$A$4:$D$39,4,0),),)</f>
        <v>271.92</v>
      </c>
      <c r="H6" s="507">
        <f>IF(ISTEXT(B6),VLOOKUP(C6,EXTERNE_POZICIE!$A$4:$E$39,5,0),)</f>
        <v>455.89161111592068</v>
      </c>
      <c r="I6" s="501">
        <f t="shared" si="0"/>
        <v>0</v>
      </c>
      <c r="J6" s="501">
        <f t="shared" si="1"/>
        <v>0</v>
      </c>
      <c r="K6" s="501">
        <f t="shared" si="2"/>
        <v>0</v>
      </c>
      <c r="L6" s="559"/>
    </row>
    <row r="7" spans="1:12" ht="15" customHeight="1">
      <c r="A7" s="832"/>
      <c r="B7" s="558" t="s">
        <v>245</v>
      </c>
      <c r="C7" s="437" t="s">
        <v>1931</v>
      </c>
      <c r="D7" s="558"/>
      <c r="E7" s="640">
        <f>IFERROR(VLOOKUP(B7,MODULY_CBA!$B$3:$O$23,14,0)*VLOOKUP('Rozpocet - Vyvoj aplikacii'!C7,EXTERNE_POZICIE!$A$4:$C$39,3,0),0)</f>
        <v>0</v>
      </c>
      <c r="F7" s="500">
        <f>IFERROR(VLOOKUP(C7,POZICIE_INTERNE!$A$4:$D$39,3,0)*VLOOKUP(B7,MODULY_CBA!$B$3:$J$23,9,0)/SUM(MODULY_CBA!$J$3:$J$23),)</f>
        <v>0</v>
      </c>
      <c r="G7" s="506">
        <f>IFERROR(IF(ISTEXT(B7),VLOOKUP(C7,POZICIE_INTERNE!$A$4:$D$39,4,0),),)</f>
        <v>271.92</v>
      </c>
      <c r="H7" s="507">
        <f>IF(ISTEXT(B7),VLOOKUP(C7,EXTERNE_POZICIE!$A$4:$E$39,5,0),)</f>
        <v>455.89007104987917</v>
      </c>
      <c r="I7" s="501">
        <f t="shared" si="0"/>
        <v>0</v>
      </c>
      <c r="J7" s="501">
        <f t="shared" si="1"/>
        <v>0</v>
      </c>
      <c r="K7" s="501">
        <f t="shared" si="2"/>
        <v>0</v>
      </c>
      <c r="L7" s="559"/>
    </row>
    <row r="8" spans="1:12" ht="15" customHeight="1">
      <c r="A8" s="832"/>
      <c r="B8" s="558" t="s">
        <v>245</v>
      </c>
      <c r="C8" s="437" t="s">
        <v>1938</v>
      </c>
      <c r="D8" s="558"/>
      <c r="E8" s="640">
        <f>IFERROR(VLOOKUP(B8,MODULY_CBA!$B$3:$O$23,14,0)*VLOOKUP('Rozpocet - Vyvoj aplikacii'!C8,EXTERNE_POZICIE!$A$4:$C$39,3,0),0)</f>
        <v>0</v>
      </c>
      <c r="F8" s="500">
        <f>IFERROR(VLOOKUP(C8,POZICIE_INTERNE!$A$4:$D$39,3,0)*VLOOKUP(B8,MODULY_CBA!$B$3:$J$23,9,0)/SUM(MODULY_CBA!$J$3:$J$23),)</f>
        <v>0</v>
      </c>
      <c r="G8" s="506">
        <f>IFERROR(IF(ISTEXT(B8),VLOOKUP(C8,POZICIE_INTERNE!$A$4:$D$39,4,0),),)</f>
        <v>271.92</v>
      </c>
      <c r="H8" s="507">
        <f>IF(ISTEXT(B8),VLOOKUP(C8,EXTERNE_POZICIE!$A$4:$E$39,5,0),)</f>
        <v>455.89047619047619</v>
      </c>
      <c r="I8" s="501">
        <f t="shared" si="0"/>
        <v>0</v>
      </c>
      <c r="J8" s="501">
        <f t="shared" si="1"/>
        <v>0</v>
      </c>
      <c r="K8" s="501">
        <f t="shared" si="2"/>
        <v>0</v>
      </c>
      <c r="L8" s="559"/>
    </row>
    <row r="9" spans="1:12" ht="15" customHeight="1">
      <c r="A9" s="832" t="s">
        <v>247</v>
      </c>
      <c r="B9" s="558" t="s">
        <v>248</v>
      </c>
      <c r="C9" s="437" t="s">
        <v>1910</v>
      </c>
      <c r="D9" s="558"/>
      <c r="E9" s="640">
        <f>IFERROR(VLOOKUP(B9,MODULY_CBA!$B$3:$O$23,14,0)*VLOOKUP('Rozpocet - Vyvoj aplikacii'!C9,EXTERNE_POZICIE!$A$4:$C$39,3,0),0)</f>
        <v>213.97684433768316</v>
      </c>
      <c r="F9" s="500">
        <f>IFERROR(VLOOKUP(C9,POZICIE_INTERNE!$A$4:$D$39,3,0)*VLOOKUP(B9,MODULY_CBA!$B$3:$J$23,9,0)/SUM(MODULY_CBA!$J$3:$J$23),)</f>
        <v>13.337661494514055</v>
      </c>
      <c r="G9" s="506">
        <f>IFERROR(IF(ISTEXT(B9),VLOOKUP(C9,POZICIE_INTERNE!$A$4:$D$39,4,0),),)</f>
        <v>271.92</v>
      </c>
      <c r="H9" s="507">
        <f>IF(ISTEXT(B9),VLOOKUP(C9,EXTERNE_POZICIE!$A$4:$E$39,5,0),)</f>
        <v>455.89161111592068</v>
      </c>
      <c r="I9" s="501">
        <f t="shared" si="0"/>
        <v>3626.7769135882622</v>
      </c>
      <c r="J9" s="501">
        <f t="shared" si="1"/>
        <v>119986.80541712654</v>
      </c>
      <c r="K9" s="501">
        <f t="shared" si="2"/>
        <v>123613.58233071479</v>
      </c>
      <c r="L9" s="559"/>
    </row>
    <row r="10" spans="1:12" ht="15" customHeight="1">
      <c r="A10" s="832"/>
      <c r="B10" s="558" t="s">
        <v>248</v>
      </c>
      <c r="C10" s="437" t="s">
        <v>1931</v>
      </c>
      <c r="D10" s="558"/>
      <c r="E10" s="640">
        <f>IFERROR(VLOOKUP(B10,MODULY_CBA!$B$3:$O$23,14,0)*VLOOKUP('Rozpocet - Vyvoj aplikacii'!C10,EXTERNE_POZICIE!$A$4:$C$39,3,0),0)</f>
        <v>513.62963924776557</v>
      </c>
      <c r="F10" s="500">
        <f>IFERROR(VLOOKUP(C10,POZICIE_INTERNE!$A$4:$D$39,3,0)*VLOOKUP(B10,MODULY_CBA!$B$3:$J$23,9,0)/SUM(MODULY_CBA!$J$3:$J$23),)</f>
        <v>10.003246120885542</v>
      </c>
      <c r="G10" s="506">
        <f>IFERROR(IF(ISTEXT(B10),VLOOKUP(C10,POZICIE_INTERNE!$A$4:$D$39,4,0),),)</f>
        <v>271.92</v>
      </c>
      <c r="H10" s="507">
        <f>IF(ISTEXT(B10),VLOOKUP(C10,EXTERNE_POZICIE!$A$4:$E$39,5,0),)</f>
        <v>455.89007104987917</v>
      </c>
      <c r="I10" s="501">
        <f t="shared" si="0"/>
        <v>2720.082685191197</v>
      </c>
      <c r="J10" s="501">
        <f t="shared" si="1"/>
        <v>288015.14285788481</v>
      </c>
      <c r="K10" s="501">
        <f t="shared" si="2"/>
        <v>290735.225543076</v>
      </c>
      <c r="L10" s="559"/>
    </row>
    <row r="11" spans="1:12" ht="15" customHeight="1">
      <c r="A11" s="832"/>
      <c r="B11" s="558" t="s">
        <v>248</v>
      </c>
      <c r="C11" s="437" t="s">
        <v>1938</v>
      </c>
      <c r="D11" s="558"/>
      <c r="E11" s="640">
        <f>IFERROR(VLOOKUP(B11,MODULY_CBA!$B$3:$O$23,14,0)*VLOOKUP('Rozpocet - Vyvoj aplikacii'!C11,EXTERNE_POZICIE!$A$4:$C$39,3,0),0)</f>
        <v>128.37499188469781</v>
      </c>
      <c r="F11" s="500">
        <f>IFERROR(VLOOKUP(C11,POZICIE_INTERNE!$A$4:$D$39,3,0)*VLOOKUP(B11,MODULY_CBA!$B$3:$J$23,9,0)/SUM(MODULY_CBA!$J$3:$J$23),)</f>
        <v>35.56709731870415</v>
      </c>
      <c r="G11" s="506">
        <f>IFERROR(IF(ISTEXT(B11),VLOOKUP(C11,POZICIE_INTERNE!$A$4:$D$39,4,0),),)</f>
        <v>271.92</v>
      </c>
      <c r="H11" s="507">
        <f>IF(ISTEXT(B11),VLOOKUP(C11,EXTERNE_POZICIE!$A$4:$E$39,5,0),)</f>
        <v>455.89047619047619</v>
      </c>
      <c r="I11" s="501">
        <f t="shared" si="0"/>
        <v>9671.4051029020338</v>
      </c>
      <c r="J11" s="501">
        <f t="shared" si="1"/>
        <v>71985.671502953977</v>
      </c>
      <c r="K11" s="501">
        <f t="shared" si="2"/>
        <v>81657.076605856011</v>
      </c>
      <c r="L11" s="559"/>
    </row>
    <row r="12" spans="1:12" ht="15" customHeight="1">
      <c r="A12" s="832" t="s">
        <v>250</v>
      </c>
      <c r="B12" s="558" t="s">
        <v>251</v>
      </c>
      <c r="C12" s="437" t="s">
        <v>1910</v>
      </c>
      <c r="D12" s="558"/>
      <c r="E12" s="640">
        <f>IFERROR(VLOOKUP(B12,MODULY_CBA!$B$3:$O$23,14,0)*VLOOKUP('Rozpocet - Vyvoj aplikacii'!C12,EXTERNE_POZICIE!$A$4:$C$39,3,0),0)</f>
        <v>559.93940574346993</v>
      </c>
      <c r="F12" s="500">
        <f>IFERROR(VLOOKUP(C12,POZICIE_INTERNE!$A$4:$D$39,3,0)*VLOOKUP(B12,MODULY_CBA!$B$3:$J$23,9,0)/SUM(MODULY_CBA!$J$3:$J$23),)</f>
        <v>34.90229176134519</v>
      </c>
      <c r="G12" s="506">
        <f>IFERROR(IF(ISTEXT(B12),VLOOKUP(C12,POZICIE_INTERNE!$A$4:$D$39,4,0),),)</f>
        <v>271.92</v>
      </c>
      <c r="H12" s="507">
        <f>IF(ISTEXT(B12),VLOOKUP(C12,EXTERNE_POZICIE!$A$4:$E$39,5,0),)</f>
        <v>455.89161111592068</v>
      </c>
      <c r="I12" s="501">
        <f t="shared" si="0"/>
        <v>9490.6311757449839</v>
      </c>
      <c r="J12" s="501">
        <f t="shared" si="1"/>
        <v>313984.16370836855</v>
      </c>
      <c r="K12" s="501">
        <f t="shared" si="2"/>
        <v>323474.79488411354</v>
      </c>
      <c r="L12" s="559"/>
    </row>
    <row r="13" spans="1:12" ht="15" customHeight="1">
      <c r="A13" s="832"/>
      <c r="B13" s="558" t="s">
        <v>251</v>
      </c>
      <c r="C13" s="437" t="s">
        <v>1931</v>
      </c>
      <c r="D13" s="558"/>
      <c r="E13" s="640">
        <f>IFERROR(VLOOKUP(B13,MODULY_CBA!$B$3:$O$23,14,0)*VLOOKUP('Rozpocet - Vyvoj aplikacii'!C13,EXTERNE_POZICIE!$A$4:$C$39,3,0),0)</f>
        <v>1344.0775606483585</v>
      </c>
      <c r="F13" s="500">
        <f>IFERROR(VLOOKUP(C13,POZICIE_INTERNE!$A$4:$D$39,3,0)*VLOOKUP(B13,MODULY_CBA!$B$3:$J$23,9,0)/SUM(MODULY_CBA!$J$3:$J$23),)</f>
        <v>26.176718821008894</v>
      </c>
      <c r="G13" s="506">
        <f>IFERROR(IF(ISTEXT(B13),VLOOKUP(C13,POZICIE_INTERNE!$A$4:$D$39,4,0),),)</f>
        <v>271.92</v>
      </c>
      <c r="H13" s="507">
        <f>IF(ISTEXT(B13),VLOOKUP(C13,EXTERNE_POZICIE!$A$4:$E$39,5,0),)</f>
        <v>455.89007104987917</v>
      </c>
      <c r="I13" s="501">
        <f t="shared" si="0"/>
        <v>7117.9733818087388</v>
      </c>
      <c r="J13" s="501">
        <f t="shared" si="1"/>
        <v>753684.48598324996</v>
      </c>
      <c r="K13" s="501">
        <f t="shared" si="2"/>
        <v>760802.45936505869</v>
      </c>
      <c r="L13" s="559"/>
    </row>
    <row r="14" spans="1:12" ht="15" customHeight="1">
      <c r="A14" s="833"/>
      <c r="B14" s="558" t="s">
        <v>251</v>
      </c>
      <c r="C14" s="437" t="s">
        <v>1938</v>
      </c>
      <c r="D14" s="558"/>
      <c r="E14" s="640">
        <f>IFERROR(VLOOKUP(B14,MODULY_CBA!$B$3:$O$23,14,0)*VLOOKUP('Rozpocet - Vyvoj aplikacii'!C14,EXTERNE_POZICIE!$A$4:$C$39,3,0),0)</f>
        <v>335.93455820294753</v>
      </c>
      <c r="F14" s="500">
        <f>IFERROR(VLOOKUP(C14,POZICIE_INTERNE!$A$4:$D$39,3,0)*VLOOKUP(B14,MODULY_CBA!$B$3:$J$23,9,0)/SUM(MODULY_CBA!$J$3:$J$23),)</f>
        <v>93.072778030253843</v>
      </c>
      <c r="G14" s="506">
        <f>IFERROR(IF(ISTEXT(B14),VLOOKUP(C14,POZICIE_INTERNE!$A$4:$D$39,4,0),),)</f>
        <v>271.92</v>
      </c>
      <c r="H14" s="507">
        <f>IF(ISTEXT(B14),VLOOKUP(C14,EXTERNE_POZICIE!$A$4:$E$39,5,0),)</f>
        <v>455.89047619047619</v>
      </c>
      <c r="I14" s="501">
        <f t="shared" si="0"/>
        <v>25308.349801986627</v>
      </c>
      <c r="J14" s="501">
        <f t="shared" si="1"/>
        <v>188373.71982081415</v>
      </c>
      <c r="K14" s="501">
        <f t="shared" si="2"/>
        <v>213682.06962280077</v>
      </c>
      <c r="L14" s="559"/>
    </row>
    <row r="15" spans="1:12" ht="15" customHeight="1">
      <c r="A15" s="834" t="s">
        <v>252</v>
      </c>
      <c r="B15" s="558" t="s">
        <v>253</v>
      </c>
      <c r="C15" s="437" t="s">
        <v>1910</v>
      </c>
      <c r="D15" s="558"/>
      <c r="E15" s="640">
        <f>IFERROR(VLOOKUP(B15,MODULY_CBA!$B$3:$O$23,14,0)*VLOOKUP('Rozpocet - Vyvoj aplikacii'!C15,EXTERNE_POZICIE!$A$4:$C$39,3,0),0)</f>
        <v>299.2176199441667</v>
      </c>
      <c r="F15" s="500">
        <f>IFERROR(VLOOKUP(C15,POZICIE_INTERNE!$A$4:$D$39,3,0)*VLOOKUP(B15,MODULY_CBA!$B$3:$J$23,9,0)/SUM(MODULY_CBA!$J$3:$J$23),)</f>
        <v>18.650912159968836</v>
      </c>
      <c r="G15" s="506">
        <f>IFERROR(IF(ISTEXT(B15),VLOOKUP(C15,POZICIE_INTERNE!$A$4:$D$39,4,0),),)</f>
        <v>271.92</v>
      </c>
      <c r="H15" s="507">
        <f>IF(ISTEXT(B15),VLOOKUP(C15,EXTERNE_POZICIE!$A$4:$E$39,5,0),)</f>
        <v>455.89161111592068</v>
      </c>
      <c r="I15" s="501">
        <f t="shared" si="0"/>
        <v>5071.5560345387266</v>
      </c>
      <c r="J15" s="501">
        <f t="shared" si="1"/>
        <v>167785.28748165941</v>
      </c>
      <c r="K15" s="501">
        <f t="shared" si="2"/>
        <v>172856.84351619813</v>
      </c>
      <c r="L15" s="559"/>
    </row>
    <row r="16" spans="1:12" ht="15" customHeight="1">
      <c r="A16" s="832"/>
      <c r="B16" s="558" t="s">
        <v>253</v>
      </c>
      <c r="C16" s="437" t="s">
        <v>1931</v>
      </c>
      <c r="D16" s="558"/>
      <c r="E16" s="640">
        <f>IFERROR(VLOOKUP(B16,MODULY_CBA!$B$3:$O$23,14,0)*VLOOKUP('Rozpocet - Vyvoj aplikacii'!C16,EXTERNE_POZICIE!$A$4:$C$39,3,0),0)</f>
        <v>718.24144647146659</v>
      </c>
      <c r="F16" s="500">
        <f>IFERROR(VLOOKUP(C16,POZICIE_INTERNE!$A$4:$D$39,3,0)*VLOOKUP(B16,MODULY_CBA!$B$3:$J$23,9,0)/SUM(MODULY_CBA!$J$3:$J$23),)</f>
        <v>13.988184119976628</v>
      </c>
      <c r="G16" s="506">
        <f>IFERROR(IF(ISTEXT(B16),VLOOKUP(C16,POZICIE_INTERNE!$A$4:$D$39,4,0),),)</f>
        <v>271.92</v>
      </c>
      <c r="H16" s="507">
        <f>IF(ISTEXT(B16),VLOOKUP(C16,EXTERNE_POZICIE!$A$4:$E$39,5,0),)</f>
        <v>455.89007104987917</v>
      </c>
      <c r="I16" s="501">
        <f t="shared" si="0"/>
        <v>3803.6670259040447</v>
      </c>
      <c r="J16" s="501">
        <f t="shared" si="1"/>
        <v>402750.14719729917</v>
      </c>
      <c r="K16" s="501">
        <f t="shared" si="2"/>
        <v>406553.81422320323</v>
      </c>
      <c r="L16" s="559"/>
    </row>
    <row r="17" spans="1:12" ht="15" customHeight="1">
      <c r="A17" s="832"/>
      <c r="B17" s="558" t="s">
        <v>253</v>
      </c>
      <c r="C17" s="437" t="s">
        <v>1938</v>
      </c>
      <c r="D17" s="558"/>
      <c r="E17" s="640">
        <f>IFERROR(VLOOKUP(B17,MODULY_CBA!$B$3:$O$23,14,0)*VLOOKUP('Rozpocet - Vyvoj aplikacii'!C17,EXTERNE_POZICIE!$A$4:$C$39,3,0),0)</f>
        <v>179.51502953970007</v>
      </c>
      <c r="F17" s="500">
        <f>IFERROR(VLOOKUP(C17,POZICIE_INTERNE!$A$4:$D$39,3,0)*VLOOKUP(B17,MODULY_CBA!$B$3:$J$23,9,0)/SUM(MODULY_CBA!$J$3:$J$23),)</f>
        <v>49.735765759916902</v>
      </c>
      <c r="G17" s="506">
        <f>IFERROR(IF(ISTEXT(B17),VLOOKUP(C17,POZICIE_INTERNE!$A$4:$D$39,4,0),),)</f>
        <v>271.92</v>
      </c>
      <c r="H17" s="507">
        <f>IF(ISTEXT(B17),VLOOKUP(C17,EXTERNE_POZICIE!$A$4:$E$39,5,0),)</f>
        <v>455.89047619047619</v>
      </c>
      <c r="I17" s="501">
        <f t="shared" si="0"/>
        <v>13524.149425436604</v>
      </c>
      <c r="J17" s="501">
        <f t="shared" si="1"/>
        <v>100662.20652924755</v>
      </c>
      <c r="K17" s="501">
        <f t="shared" si="2"/>
        <v>114186.35595468414</v>
      </c>
      <c r="L17" s="559"/>
    </row>
    <row r="18" spans="1:12" ht="15" customHeight="1">
      <c r="A18" s="832" t="s">
        <v>254</v>
      </c>
      <c r="B18" s="558" t="s">
        <v>255</v>
      </c>
      <c r="C18" s="437" t="s">
        <v>1910</v>
      </c>
      <c r="D18" s="558"/>
      <c r="E18" s="640">
        <f>IFERROR(VLOOKUP(B18,MODULY_CBA!$B$3:$O$23,14,0)*VLOOKUP('Rozpocet - Vyvoj aplikacii'!C18,EXTERNE_POZICIE!$A$4:$C$39,3,0),0)</f>
        <v>180.98041507065724</v>
      </c>
      <c r="F18" s="500">
        <f>IFERROR(VLOOKUP(C18,POZICIE_INTERNE!$A$4:$D$39,3,0)*VLOOKUP(B18,MODULY_CBA!$B$3:$J$23,9,0)/SUM(MODULY_CBA!$J$3:$J$23),)</f>
        <v>11.280919301434785</v>
      </c>
      <c r="G18" s="506">
        <f>IFERROR(IF(ISTEXT(B18),VLOOKUP(C18,POZICIE_INTERNE!$A$4:$D$39,4,0),),)</f>
        <v>271.92</v>
      </c>
      <c r="H18" s="507">
        <f>IF(ISTEXT(B18),VLOOKUP(C18,EXTERNE_POZICIE!$A$4:$E$39,5,0),)</f>
        <v>455.89161111592068</v>
      </c>
      <c r="I18" s="501">
        <f t="shared" si="0"/>
        <v>3067.5075764461471</v>
      </c>
      <c r="J18" s="501">
        <f t="shared" si="1"/>
        <v>101484.16719859767</v>
      </c>
      <c r="K18" s="501">
        <f t="shared" si="2"/>
        <v>104551.67477504382</v>
      </c>
      <c r="L18" s="559"/>
    </row>
    <row r="19" spans="1:12" ht="15" customHeight="1">
      <c r="A19" s="832"/>
      <c r="B19" s="558" t="s">
        <v>255</v>
      </c>
      <c r="C19" s="437" t="s">
        <v>1931</v>
      </c>
      <c r="D19" s="558"/>
      <c r="E19" s="640">
        <f>IFERROR(VLOOKUP(B19,MODULY_CBA!$B$3:$O$23,14,0)*VLOOKUP('Rozpocet - Vyvoj aplikacii'!C19,EXTERNE_POZICIE!$A$4:$C$39,3,0),0)</f>
        <v>434.42506870955873</v>
      </c>
      <c r="F19" s="500">
        <f>IFERROR(VLOOKUP(C19,POZICIE_INTERNE!$A$4:$D$39,3,0)*VLOOKUP(B19,MODULY_CBA!$B$3:$J$23,9,0)/SUM(MODULY_CBA!$J$3:$J$23),)</f>
        <v>8.4606894760760891</v>
      </c>
      <c r="G19" s="506">
        <f>IFERROR(IF(ISTEXT(B19),VLOOKUP(C19,POZICIE_INTERNE!$A$4:$D$39,4,0),),)</f>
        <v>271.92</v>
      </c>
      <c r="H19" s="507">
        <f>IF(ISTEXT(B19),VLOOKUP(C19,EXTERNE_POZICIE!$A$4:$E$39,5,0),)</f>
        <v>455.89007104987917</v>
      </c>
      <c r="I19" s="501">
        <f t="shared" si="0"/>
        <v>2300.6306823346104</v>
      </c>
      <c r="J19" s="501">
        <f t="shared" si="1"/>
        <v>243601.59279101473</v>
      </c>
      <c r="K19" s="501">
        <f t="shared" si="2"/>
        <v>245902.22347334935</v>
      </c>
      <c r="L19" s="559"/>
    </row>
    <row r="20" spans="1:12" ht="15" customHeight="1">
      <c r="A20" s="832"/>
      <c r="B20" s="558" t="s">
        <v>255</v>
      </c>
      <c r="C20" s="437" t="s">
        <v>1938</v>
      </c>
      <c r="D20" s="558"/>
      <c r="E20" s="640">
        <f>IFERROR(VLOOKUP(B20,MODULY_CBA!$B$3:$O$23,14,0)*VLOOKUP('Rozpocet - Vyvoj aplikacii'!C20,EXTERNE_POZICIE!$A$4:$C$39,3,0),0)</f>
        <v>108.57884827630981</v>
      </c>
      <c r="F20" s="500">
        <f>IFERROR(VLOOKUP(C20,POZICIE_INTERNE!$A$4:$D$39,3,0)*VLOOKUP(B20,MODULY_CBA!$B$3:$J$23,9,0)/SUM(MODULY_CBA!$J$3:$J$23),)</f>
        <v>30.08245147049276</v>
      </c>
      <c r="G20" s="506">
        <f>IFERROR(IF(ISTEXT(B20),VLOOKUP(C20,POZICIE_INTERNE!$A$4:$D$39,4,0),),)</f>
        <v>271.92</v>
      </c>
      <c r="H20" s="507">
        <f>IF(ISTEXT(B20),VLOOKUP(C20,EXTERNE_POZICIE!$A$4:$E$39,5,0),)</f>
        <v>455.89047619047619</v>
      </c>
      <c r="I20" s="501">
        <f t="shared" si="0"/>
        <v>8180.0202038563921</v>
      </c>
      <c r="J20" s="501">
        <f t="shared" si="1"/>
        <v>60885.077299227429</v>
      </c>
      <c r="K20" s="501">
        <f t="shared" si="2"/>
        <v>69065.097503083816</v>
      </c>
      <c r="L20" s="559"/>
    </row>
    <row r="21" spans="1:12" ht="15" customHeight="1">
      <c r="A21" s="832" t="s">
        <v>256</v>
      </c>
      <c r="B21" s="558" t="s">
        <v>257</v>
      </c>
      <c r="C21" s="437" t="s">
        <v>1910</v>
      </c>
      <c r="D21" s="558"/>
      <c r="E21" s="640">
        <f>IFERROR(VLOOKUP(B21,MODULY_CBA!$B$3:$O$23,14,0)*VLOOKUP('Rozpocet - Vyvoj aplikacii'!C21,EXTERNE_POZICIE!$A$4:$C$39,3,0),0)</f>
        <v>266.22119067714078</v>
      </c>
      <c r="F21" s="500">
        <f>IFERROR(VLOOKUP(C21,POZICIE_INTERNE!$A$4:$D$39,3,0)*VLOOKUP(B21,MODULY_CBA!$B$3:$J$23,9,0)/SUM(MODULY_CBA!$J$3:$J$23),)</f>
        <v>16.594169966889567</v>
      </c>
      <c r="G21" s="506">
        <f>IFERROR(IF(ISTEXT(B21),VLOOKUP(C21,POZICIE_INTERNE!$A$4:$D$39,4,0),),)</f>
        <v>271.92</v>
      </c>
      <c r="H21" s="507">
        <f>IF(ISTEXT(B21),VLOOKUP(C21,EXTERNE_POZICIE!$A$4:$E$39,5,0),)</f>
        <v>455.89161111592068</v>
      </c>
      <c r="I21" s="501">
        <f t="shared" si="0"/>
        <v>4512.2866973966111</v>
      </c>
      <c r="J21" s="501">
        <f t="shared" si="1"/>
        <v>149282.64926313053</v>
      </c>
      <c r="K21" s="501">
        <f t="shared" si="2"/>
        <v>153794.93596052713</v>
      </c>
      <c r="L21" s="559"/>
    </row>
    <row r="22" spans="1:12" ht="15" customHeight="1">
      <c r="A22" s="832"/>
      <c r="B22" s="558" t="s">
        <v>257</v>
      </c>
      <c r="C22" s="437" t="s">
        <v>1931</v>
      </c>
      <c r="D22" s="558"/>
      <c r="E22" s="640">
        <f>IFERROR(VLOOKUP(B22,MODULY_CBA!$B$3:$O$23,14,0)*VLOOKUP('Rozpocet - Vyvoj aplikacii'!C22,EXTERNE_POZICIE!$A$4:$C$39,3,0),0)</f>
        <v>639.03687593325969</v>
      </c>
      <c r="F22" s="500">
        <f>IFERROR(VLOOKUP(C22,POZICIE_INTERNE!$A$4:$D$39,3,0)*VLOOKUP(B22,MODULY_CBA!$B$3:$J$23,9,0)/SUM(MODULY_CBA!$J$3:$J$23),)</f>
        <v>12.445627475167175</v>
      </c>
      <c r="G22" s="506">
        <f>IFERROR(IF(ISTEXT(B22),VLOOKUP(C22,POZICIE_INTERNE!$A$4:$D$39,4,0),),)</f>
        <v>271.92</v>
      </c>
      <c r="H22" s="507">
        <f>IF(ISTEXT(B22),VLOOKUP(C22,EXTERNE_POZICIE!$A$4:$E$39,5,0),)</f>
        <v>455.89007104987917</v>
      </c>
      <c r="I22" s="501">
        <f t="shared" si="0"/>
        <v>3384.2150230474585</v>
      </c>
      <c r="J22" s="501">
        <f t="shared" si="1"/>
        <v>358336.59713042906</v>
      </c>
      <c r="K22" s="501">
        <f t="shared" si="2"/>
        <v>361720.81215347652</v>
      </c>
      <c r="L22" s="559"/>
    </row>
    <row r="23" spans="1:12">
      <c r="A23" s="832"/>
      <c r="B23" s="558" t="s">
        <v>257</v>
      </c>
      <c r="C23" s="437" t="s">
        <v>1938</v>
      </c>
      <c r="D23" s="558"/>
      <c r="E23" s="640">
        <f>IFERROR(VLOOKUP(B23,MODULY_CBA!$B$3:$O$23,14,0)*VLOOKUP('Rozpocet - Vyvoj aplikacii'!C23,EXTERNE_POZICIE!$A$4:$C$39,3,0),0)</f>
        <v>159.71888593131209</v>
      </c>
      <c r="F23" s="500">
        <f>IFERROR(VLOOKUP(C23,POZICIE_INTERNE!$A$4:$D$39,3,0)*VLOOKUP(B23,MODULY_CBA!$B$3:$J$23,9,0)/SUM(MODULY_CBA!$J$3:$J$23),)</f>
        <v>44.251119911705509</v>
      </c>
      <c r="G23" s="506">
        <f>IFERROR(IF(ISTEXT(B23),VLOOKUP(C23,POZICIE_INTERNE!$A$4:$D$39,4,0),),)</f>
        <v>271.92</v>
      </c>
      <c r="H23" s="507">
        <f>IF(ISTEXT(B23),VLOOKUP(C23,EXTERNE_POZICIE!$A$4:$E$39,5,0),)</f>
        <v>455.89047619047619</v>
      </c>
      <c r="I23" s="501">
        <f t="shared" si="0"/>
        <v>12032.764526390962</v>
      </c>
      <c r="J23" s="501">
        <f t="shared" si="1"/>
        <v>89561.612325521011</v>
      </c>
      <c r="K23" s="501">
        <f t="shared" ref="K23:K65" si="3">J23+I23</f>
        <v>101594.37685191198</v>
      </c>
      <c r="L23" s="559"/>
    </row>
    <row r="24" spans="1:12">
      <c r="A24" s="832" t="s">
        <v>258</v>
      </c>
      <c r="B24" s="558" t="s">
        <v>259</v>
      </c>
      <c r="C24" s="437" t="s">
        <v>1910</v>
      </c>
      <c r="D24" s="558"/>
      <c r="E24" s="640">
        <f>IFERROR(VLOOKUP(B24,MODULY_CBA!$B$3:$O$23,14,0)*VLOOKUP('Rozpocet - Vyvoj aplikacii'!C24,EXTERNE_POZICIE!$A$4:$C$39,3,0),0)</f>
        <v>4271.287779436906</v>
      </c>
      <c r="F24" s="500">
        <f>IFERROR(VLOOKUP(C24,POZICIE_INTERNE!$A$4:$D$39,3,0)*VLOOKUP(B24,MODULY_CBA!$B$3:$J$23,9,0)/SUM(MODULY_CBA!$J$3:$J$23),)</f>
        <v>266.23904434201131</v>
      </c>
      <c r="G24" s="506">
        <f>IFERROR(IF(ISTEXT(B24),VLOOKUP(C24,POZICIE_INTERNE!$A$4:$D$39,4,0),),)</f>
        <v>271.92</v>
      </c>
      <c r="H24" s="507">
        <f>IF(ISTEXT(B24),VLOOKUP(C24,EXTERNE_POZICIE!$A$4:$E$39,5,0),)</f>
        <v>455.89161111592068</v>
      </c>
      <c r="I24" s="501">
        <f t="shared" si="0"/>
        <v>72395.720937479724</v>
      </c>
      <c r="J24" s="501">
        <f t="shared" si="1"/>
        <v>2395110.4487878983</v>
      </c>
      <c r="K24" s="501">
        <f t="shared" si="3"/>
        <v>2467506.169725378</v>
      </c>
      <c r="L24" s="559"/>
    </row>
    <row r="25" spans="1:12">
      <c r="A25" s="832"/>
      <c r="B25" s="558" t="s">
        <v>259</v>
      </c>
      <c r="C25" s="437" t="s">
        <v>1931</v>
      </c>
      <c r="D25" s="558"/>
      <c r="E25" s="640">
        <f>IFERROR(VLOOKUP(B25,MODULY_CBA!$B$3:$O$23,14,0)*VLOOKUP('Rozpocet - Vyvoj aplikacii'!C25,EXTERNE_POZICIE!$A$4:$C$39,3,0),0)</f>
        <v>10252.791642320759</v>
      </c>
      <c r="F25" s="500">
        <f>IFERROR(VLOOKUP(C25,POZICIE_INTERNE!$A$4:$D$39,3,0)*VLOOKUP(B25,MODULY_CBA!$B$3:$J$23,9,0)/SUM(MODULY_CBA!$J$3:$J$23),)</f>
        <v>199.67928325650848</v>
      </c>
      <c r="G25" s="506">
        <f>IFERROR(IF(ISTEXT(B25),VLOOKUP(C25,POZICIE_INTERNE!$A$4:$D$39,4,0),),)</f>
        <v>271.92</v>
      </c>
      <c r="H25" s="507">
        <f>IF(ISTEXT(B25),VLOOKUP(C25,EXTERNE_POZICIE!$A$4:$E$39,5,0),)</f>
        <v>455.89007104987917</v>
      </c>
      <c r="I25" s="501">
        <f t="shared" si="0"/>
        <v>54296.790703109793</v>
      </c>
      <c r="J25" s="501">
        <f t="shared" si="1"/>
        <v>5749199.4696409786</v>
      </c>
      <c r="K25" s="501">
        <f t="shared" si="3"/>
        <v>5803496.2603440881</v>
      </c>
      <c r="L25" s="559"/>
    </row>
    <row r="26" spans="1:12">
      <c r="A26" s="833"/>
      <c r="B26" s="558" t="s">
        <v>259</v>
      </c>
      <c r="C26" s="437" t="s">
        <v>1938</v>
      </c>
      <c r="D26" s="558"/>
      <c r="E26" s="640">
        <f>IFERROR(VLOOKUP(B26,MODULY_CBA!$B$3:$O$23,14,0)*VLOOKUP('Rozpocet - Vyvoj aplikacii'!C26,EXTERNE_POZICIE!$A$4:$C$39,3,0),0)</f>
        <v>2562.5508017918587</v>
      </c>
      <c r="F26" s="500">
        <f>IFERROR(VLOOKUP(C26,POZICIE_INTERNE!$A$4:$D$39,3,0)*VLOOKUP(B26,MODULY_CBA!$B$3:$J$23,9,0)/SUM(MODULY_CBA!$J$3:$J$23),)</f>
        <v>709.97078491203013</v>
      </c>
      <c r="G26" s="506">
        <f>IFERROR(IF(ISTEXT(B26),VLOOKUP(C26,POZICIE_INTERNE!$A$4:$D$39,4,0),),)</f>
        <v>271.92</v>
      </c>
      <c r="H26" s="507">
        <f>IF(ISTEXT(B26),VLOOKUP(C26,EXTERNE_POZICIE!$A$4:$E$39,5,0),)</f>
        <v>455.89047619047619</v>
      </c>
      <c r="I26" s="501">
        <f t="shared" si="0"/>
        <v>193055.25583327925</v>
      </c>
      <c r="J26" s="501">
        <f t="shared" si="1"/>
        <v>1436938.2815081477</v>
      </c>
      <c r="K26" s="501">
        <f t="shared" si="3"/>
        <v>1629993.5373414271</v>
      </c>
      <c r="L26" s="559"/>
    </row>
    <row r="27" spans="1:12">
      <c r="A27" s="834" t="s">
        <v>260</v>
      </c>
      <c r="B27" s="558" t="s">
        <v>261</v>
      </c>
      <c r="C27" s="437" t="s">
        <v>1910</v>
      </c>
      <c r="D27" s="558"/>
      <c r="E27" s="640">
        <f>IFERROR(VLOOKUP(B27,MODULY_CBA!$B$3:$O$23,14,0)*VLOOKUP('Rozpocet - Vyvoj aplikacii'!C27,EXTERNE_POZICIE!$A$4:$C$39,3,0),0)</f>
        <v>507.94503235300488</v>
      </c>
      <c r="F27" s="500">
        <f>IFERROR(VLOOKUP(C27,POZICIE_INTERNE!$A$4:$D$39,3,0)*VLOOKUP(B27,MODULY_CBA!$B$3:$J$23,9,0)/SUM(MODULY_CBA!$J$3:$J$23),)</f>
        <v>31.661364669220283</v>
      </c>
      <c r="G27" s="506">
        <f>IFERROR(IF(ISTEXT(B27),VLOOKUP(C27,POZICIE_INTERNE!$A$4:$D$39,4,0),),)</f>
        <v>271.92</v>
      </c>
      <c r="H27" s="507">
        <f>IF(ISTEXT(B27),VLOOKUP(C27,EXTERNE_POZICIE!$A$4:$E$39,5,0),)</f>
        <v>455.89161111592068</v>
      </c>
      <c r="I27" s="501">
        <f t="shared" si="0"/>
        <v>8609.3582808543797</v>
      </c>
      <c r="J27" s="501">
        <f t="shared" si="1"/>
        <v>284828.49136401998</v>
      </c>
      <c r="K27" s="501">
        <f t="shared" si="3"/>
        <v>293437.84964487434</v>
      </c>
      <c r="L27" s="559"/>
    </row>
    <row r="28" spans="1:12">
      <c r="A28" s="832"/>
      <c r="B28" s="558" t="s">
        <v>261</v>
      </c>
      <c r="C28" s="437" t="s">
        <v>1931</v>
      </c>
      <c r="D28" s="558"/>
      <c r="E28" s="640">
        <f>IFERROR(VLOOKUP(B28,MODULY_CBA!$B$3:$O$23,14,0)*VLOOKUP('Rozpocet - Vyvoj aplikacii'!C28,EXTERNE_POZICIE!$A$4:$C$39,3,0),0)</f>
        <v>1219.2703585881538</v>
      </c>
      <c r="F28" s="500">
        <f>IFERROR(VLOOKUP(C28,POZICIE_INTERNE!$A$4:$D$39,3,0)*VLOOKUP(B28,MODULY_CBA!$B$3:$J$23,9,0)/SUM(MODULY_CBA!$J$3:$J$23),)</f>
        <v>23.746023501915211</v>
      </c>
      <c r="G28" s="506">
        <f>IFERROR(IF(ISTEXT(B28),VLOOKUP(C28,POZICIE_INTERNE!$A$4:$D$39,4,0),),)</f>
        <v>271.92</v>
      </c>
      <c r="H28" s="507">
        <f>IF(ISTEXT(B28),VLOOKUP(C28,EXTERNE_POZICIE!$A$4:$E$39,5,0),)</f>
        <v>455.89007104987917</v>
      </c>
      <c r="I28" s="501">
        <f t="shared" si="0"/>
        <v>6457.0187106407848</v>
      </c>
      <c r="J28" s="501">
        <f t="shared" si="1"/>
        <v>683699.49799909117</v>
      </c>
      <c r="K28" s="501">
        <f t="shared" si="3"/>
        <v>690156.51670973201</v>
      </c>
      <c r="L28" s="559"/>
    </row>
    <row r="29" spans="1:12">
      <c r="A29" s="832"/>
      <c r="B29" s="558" t="s">
        <v>261</v>
      </c>
      <c r="C29" s="437" t="s">
        <v>1938</v>
      </c>
      <c r="D29" s="558"/>
      <c r="E29" s="640">
        <f>IFERROR(VLOOKUP(B29,MODULY_CBA!$B$3:$O$23,14,0)*VLOOKUP('Rozpocet - Vyvoj aplikacii'!C29,EXTERNE_POZICIE!$A$4:$C$39,3,0),0)</f>
        <v>304.74063494124528</v>
      </c>
      <c r="F29" s="500">
        <f>IFERROR(VLOOKUP(C29,POZICIE_INTERNE!$A$4:$D$39,3,0)*VLOOKUP(B29,MODULY_CBA!$B$3:$J$23,9,0)/SUM(MODULY_CBA!$J$3:$J$23),)</f>
        <v>84.430305784587418</v>
      </c>
      <c r="G29" s="506">
        <f>IFERROR(IF(ISTEXT(B29),VLOOKUP(C29,POZICIE_INTERNE!$A$4:$D$39,4,0),),)</f>
        <v>271.92</v>
      </c>
      <c r="H29" s="507">
        <f>IF(ISTEXT(B29),VLOOKUP(C29,EXTERNE_POZICIE!$A$4:$E$39,5,0),)</f>
        <v>455.89047619047619</v>
      </c>
      <c r="I29" s="501">
        <f t="shared" si="0"/>
        <v>22958.288748945011</v>
      </c>
      <c r="J29" s="501">
        <f t="shared" si="1"/>
        <v>170881.87440888141</v>
      </c>
      <c r="K29" s="501">
        <f t="shared" si="3"/>
        <v>193840.16315782644</v>
      </c>
      <c r="L29" s="559"/>
    </row>
    <row r="30" spans="1:12">
      <c r="A30" s="832" t="s">
        <v>262</v>
      </c>
      <c r="B30" s="558" t="s">
        <v>263</v>
      </c>
      <c r="C30" s="437" t="s">
        <v>1910</v>
      </c>
      <c r="D30" s="558"/>
      <c r="E30" s="640">
        <f>IFERROR(VLOOKUP(B30,MODULY_CBA!$B$3:$O$23,14,0)*VLOOKUP('Rozpocet - Vyvoj aplikacii'!C30,EXTERNE_POZICIE!$A$4:$C$39,3,0),0)</f>
        <v>2448.4850353827178</v>
      </c>
      <c r="F30" s="500">
        <f>IFERROR(VLOOKUP(C30,POZICIE_INTERNE!$A$4:$D$39,3,0)*VLOOKUP(B30,MODULY_CBA!$B$3:$J$23,9,0)/SUM(MODULY_CBA!$J$3:$J$23),)</f>
        <v>152.61961955463221</v>
      </c>
      <c r="G30" s="506">
        <f>IFERROR(IF(ISTEXT(B30),VLOOKUP(C30,POZICIE_INTERNE!$A$4:$D$39,4,0),),)</f>
        <v>271.92</v>
      </c>
      <c r="H30" s="507">
        <f>IF(ISTEXT(B30),VLOOKUP(C30,EXTERNE_POZICIE!$A$4:$E$39,5,0),)</f>
        <v>455.89161111592068</v>
      </c>
      <c r="I30" s="501">
        <f t="shared" si="0"/>
        <v>41500.326949295595</v>
      </c>
      <c r="J30" s="501">
        <f t="shared" si="1"/>
        <v>1372979.8587158346</v>
      </c>
      <c r="K30" s="501">
        <f t="shared" si="3"/>
        <v>1414480.1856651301</v>
      </c>
      <c r="L30" s="559"/>
    </row>
    <row r="31" spans="1:12">
      <c r="A31" s="832"/>
      <c r="B31" s="558" t="s">
        <v>263</v>
      </c>
      <c r="C31" s="437" t="s">
        <v>1931</v>
      </c>
      <c r="D31" s="558"/>
      <c r="E31" s="640">
        <f>IFERROR(VLOOKUP(B31,MODULY_CBA!$B$3:$O$23,14,0)*VLOOKUP('Rozpocet - Vyvoj aplikacii'!C31,EXTERNE_POZICIE!$A$4:$C$39,3,0),0)</f>
        <v>5877.339154710121</v>
      </c>
      <c r="F31" s="500">
        <f>IFERROR(VLOOKUP(C31,POZICIE_INTERNE!$A$4:$D$39,3,0)*VLOOKUP(B31,MODULY_CBA!$B$3:$J$23,9,0)/SUM(MODULY_CBA!$J$3:$J$23),)</f>
        <v>114.46471466597416</v>
      </c>
      <c r="G31" s="506">
        <f>IFERROR(IF(ISTEXT(B31),VLOOKUP(C31,POZICIE_INTERNE!$A$4:$D$39,4,0),),)</f>
        <v>271.92</v>
      </c>
      <c r="H31" s="507">
        <f>IF(ISTEXT(B31),VLOOKUP(C31,EXTERNE_POZICIE!$A$4:$E$39,5,0),)</f>
        <v>455.89007104987917</v>
      </c>
      <c r="I31" s="501">
        <f t="shared" si="0"/>
        <v>31125.245211971695</v>
      </c>
      <c r="J31" s="501">
        <f t="shared" si="1"/>
        <v>3295687.2947347914</v>
      </c>
      <c r="K31" s="501">
        <f t="shared" si="3"/>
        <v>3326812.5399467633</v>
      </c>
      <c r="L31" s="559"/>
    </row>
    <row r="32" spans="1:12">
      <c r="A32" s="832"/>
      <c r="B32" s="558" t="s">
        <v>263</v>
      </c>
      <c r="C32" s="437" t="s">
        <v>1938</v>
      </c>
      <c r="D32" s="558"/>
      <c r="E32" s="640">
        <f>IFERROR(VLOOKUP(B32,MODULY_CBA!$B$3:$O$23,14,0)*VLOOKUP('Rozpocet - Vyvoj aplikacii'!C32,EXTERNE_POZICIE!$A$4:$C$39,3,0),0)</f>
        <v>1468.9638382133351</v>
      </c>
      <c r="F32" s="500">
        <f>IFERROR(VLOOKUP(C32,POZICIE_INTERNE!$A$4:$D$39,3,0)*VLOOKUP(B32,MODULY_CBA!$B$3:$J$23,9,0)/SUM(MODULY_CBA!$J$3:$J$23),)</f>
        <v>406.98565214568589</v>
      </c>
      <c r="G32" s="506">
        <f>IFERROR(IF(ISTEXT(B32),VLOOKUP(C32,POZICIE_INTERNE!$A$4:$D$39,4,0),),)</f>
        <v>271.92</v>
      </c>
      <c r="H32" s="507">
        <f>IF(ISTEXT(B32),VLOOKUP(C32,EXTERNE_POZICIE!$A$4:$E$39,5,0),)</f>
        <v>455.89047619047619</v>
      </c>
      <c r="I32" s="501">
        <f t="shared" si="0"/>
        <v>110667.53853145492</v>
      </c>
      <c r="J32" s="501">
        <f t="shared" si="1"/>
        <v>823714.54716289043</v>
      </c>
      <c r="K32" s="501">
        <f t="shared" si="3"/>
        <v>934382.08569434541</v>
      </c>
      <c r="L32" s="559"/>
    </row>
    <row r="33" spans="1:12">
      <c r="A33" s="832" t="s">
        <v>264</v>
      </c>
      <c r="B33" s="558" t="s">
        <v>265</v>
      </c>
      <c r="C33" s="437" t="s">
        <v>1910</v>
      </c>
      <c r="D33" s="558"/>
      <c r="E33" s="640">
        <f>IFERROR(VLOOKUP(B33,MODULY_CBA!$B$3:$O$23,14,0)*VLOOKUP('Rozpocet - Vyvoj aplikacii'!C33,EXTERNE_POZICIE!$A$4:$C$39,3,0),0)</f>
        <v>314.46596983271661</v>
      </c>
      <c r="F33" s="500">
        <f>IFERROR(VLOOKUP(C33,POZICIE_INTERNE!$A$4:$D$39,3,0)*VLOOKUP(B33,MODULY_CBA!$B$3:$J$23,9,0)/SUM(MODULY_CBA!$J$3:$J$23),)</f>
        <v>19.601376355255471</v>
      </c>
      <c r="G33" s="506">
        <f>IFERROR(IF(ISTEXT(B33),VLOOKUP(C33,POZICIE_INTERNE!$A$4:$D$39,4,0),),)</f>
        <v>271.92</v>
      </c>
      <c r="H33" s="507">
        <f>IF(ISTEXT(B33),VLOOKUP(C33,EXTERNE_POZICIE!$A$4:$E$39,5,0),)</f>
        <v>455.89161111592068</v>
      </c>
      <c r="I33" s="501">
        <f t="shared" si="0"/>
        <v>5330.006258521068</v>
      </c>
      <c r="J33" s="501">
        <f t="shared" si="1"/>
        <v>176335.74908264625</v>
      </c>
      <c r="K33" s="501">
        <f t="shared" si="3"/>
        <v>181665.7553411673</v>
      </c>
      <c r="L33" s="559"/>
    </row>
    <row r="34" spans="1:12">
      <c r="A34" s="832"/>
      <c r="B34" s="558" t="s">
        <v>265</v>
      </c>
      <c r="C34" s="437" t="s">
        <v>1931</v>
      </c>
      <c r="D34" s="558"/>
      <c r="E34" s="640">
        <f>IFERROR(VLOOKUP(B34,MODULY_CBA!$B$3:$O$23,14,0)*VLOOKUP('Rozpocet - Vyvoj aplikacii'!C34,EXTERNE_POZICIE!$A$4:$C$39,3,0),0)</f>
        <v>754.8435586141228</v>
      </c>
      <c r="F34" s="500">
        <f>IFERROR(VLOOKUP(C34,POZICIE_INTERNE!$A$4:$D$39,3,0)*VLOOKUP(B34,MODULY_CBA!$B$3:$J$23,9,0)/SUM(MODULY_CBA!$J$3:$J$23),)</f>
        <v>14.701032266441603</v>
      </c>
      <c r="G34" s="506">
        <f>IFERROR(IF(ISTEXT(B34),VLOOKUP(C34,POZICIE_INTERNE!$A$4:$D$39,4,0),),)</f>
        <v>271.92</v>
      </c>
      <c r="H34" s="507">
        <f>IF(ISTEXT(B34),VLOOKUP(C34,EXTERNE_POZICIE!$A$4:$E$39,5,0),)</f>
        <v>455.89007104987917</v>
      </c>
      <c r="I34" s="501">
        <f t="shared" si="0"/>
        <v>3997.5046938908008</v>
      </c>
      <c r="J34" s="501">
        <f t="shared" si="1"/>
        <v>423274.59078880737</v>
      </c>
      <c r="K34" s="501">
        <f t="shared" si="3"/>
        <v>427272.09548269818</v>
      </c>
      <c r="L34" s="559"/>
    </row>
    <row r="35" spans="1:12">
      <c r="A35" s="832"/>
      <c r="B35" s="558" t="s">
        <v>265</v>
      </c>
      <c r="C35" s="437" t="s">
        <v>1938</v>
      </c>
      <c r="D35" s="558"/>
      <c r="E35" s="640">
        <f>IFERROR(VLOOKUP(B35,MODULY_CBA!$B$3:$O$23,14,0)*VLOOKUP('Rozpocet - Vyvoj aplikacii'!C35,EXTERNE_POZICIE!$A$4:$C$39,3,0),0)</f>
        <v>188.66324741933391</v>
      </c>
      <c r="F35" s="500">
        <f>IFERROR(VLOOKUP(C35,POZICIE_INTERNE!$A$4:$D$39,3,0)*VLOOKUP(B35,MODULY_CBA!$B$3:$J$23,9,0)/SUM(MODULY_CBA!$J$3:$J$23),)</f>
        <v>52.270336947347921</v>
      </c>
      <c r="G35" s="506">
        <f>IFERROR(IF(ISTEXT(B35),VLOOKUP(C35,POZICIE_INTERNE!$A$4:$D$39,4,0),),)</f>
        <v>271.92</v>
      </c>
      <c r="H35" s="507">
        <f>IF(ISTEXT(B35),VLOOKUP(C35,EXTERNE_POZICIE!$A$4:$E$39,5,0),)</f>
        <v>455.89047619047619</v>
      </c>
      <c r="I35" s="501">
        <f t="shared" si="0"/>
        <v>14213.350022722847</v>
      </c>
      <c r="J35" s="501">
        <f t="shared" si="1"/>
        <v>105792.02657793938</v>
      </c>
      <c r="K35" s="501">
        <f t="shared" si="3"/>
        <v>120005.37660066223</v>
      </c>
      <c r="L35" s="559"/>
    </row>
    <row r="36" spans="1:12">
      <c r="A36" s="832" t="s">
        <v>266</v>
      </c>
      <c r="B36" s="558" t="s">
        <v>267</v>
      </c>
      <c r="C36" s="437" t="s">
        <v>1910</v>
      </c>
      <c r="D36" s="558"/>
      <c r="E36" s="640">
        <f>IFERROR(VLOOKUP(B36,MODULY_CBA!$B$3:$O$23,14,0)*VLOOKUP('Rozpocet - Vyvoj aplikacii'!C36,EXTERNE_POZICIE!$A$4:$C$39,3,0),0)</f>
        <v>1765.0589928368934</v>
      </c>
      <c r="F36" s="500">
        <f>IFERROR(VLOOKUP(C36,POZICIE_INTERNE!$A$4:$D$39,3,0)*VLOOKUP(B36,MODULY_CBA!$B$3:$J$23,9,0)/SUM(MODULY_CBA!$J$3:$J$23),)</f>
        <v>110.02012594949036</v>
      </c>
      <c r="G36" s="506">
        <f>IFERROR(IF(ISTEXT(B36),VLOOKUP(C36,POZICIE_INTERNE!$A$4:$D$39,4,0),),)</f>
        <v>271.92</v>
      </c>
      <c r="H36" s="507">
        <f>IF(ISTEXT(B36),VLOOKUP(C36,EXTERNE_POZICIE!$A$4:$E$39,5,0),)</f>
        <v>455.89161111592068</v>
      </c>
      <c r="I36" s="501">
        <f t="shared" si="0"/>
        <v>29916.67264818542</v>
      </c>
      <c r="J36" s="501">
        <f t="shared" si="1"/>
        <v>989750.97318963846</v>
      </c>
      <c r="K36" s="501">
        <f t="shared" si="3"/>
        <v>1019667.6458378239</v>
      </c>
      <c r="L36" s="559"/>
    </row>
    <row r="37" spans="1:12">
      <c r="A37" s="832"/>
      <c r="B37" s="558" t="s">
        <v>267</v>
      </c>
      <c r="C37" s="437" t="s">
        <v>1931</v>
      </c>
      <c r="D37" s="558"/>
      <c r="E37" s="640">
        <f>IFERROR(VLOOKUP(B37,MODULY_CBA!$B$3:$O$23,14,0)*VLOOKUP('Rozpocet - Vyvoj aplikacii'!C37,EXTERNE_POZICIE!$A$4:$C$39,3,0),0)</f>
        <v>4236.8444891687768</v>
      </c>
      <c r="F37" s="500">
        <f>IFERROR(VLOOKUP(C37,POZICIE_INTERNE!$A$4:$D$39,3,0)*VLOOKUP(B37,MODULY_CBA!$B$3:$J$23,9,0)/SUM(MODULY_CBA!$J$3:$J$23),)</f>
        <v>82.515094462117773</v>
      </c>
      <c r="G37" s="506">
        <f>IFERROR(IF(ISTEXT(B37),VLOOKUP(C37,POZICIE_INTERNE!$A$4:$D$39,4,0),),)</f>
        <v>271.92</v>
      </c>
      <c r="H37" s="507">
        <f>IF(ISTEXT(B37),VLOOKUP(C37,EXTERNE_POZICIE!$A$4:$E$39,5,0),)</f>
        <v>455.89007104987917</v>
      </c>
      <c r="I37" s="501">
        <f t="shared" si="0"/>
        <v>22437.504486139067</v>
      </c>
      <c r="J37" s="501">
        <f t="shared" si="1"/>
        <v>2375788.4622891643</v>
      </c>
      <c r="K37" s="501">
        <f t="shared" si="3"/>
        <v>2398225.9667753032</v>
      </c>
      <c r="L37" s="559"/>
    </row>
    <row r="38" spans="1:12">
      <c r="A38" s="833"/>
      <c r="B38" s="558" t="s">
        <v>267</v>
      </c>
      <c r="C38" s="437" t="s">
        <v>1938</v>
      </c>
      <c r="D38" s="558"/>
      <c r="E38" s="640">
        <f>IFERROR(VLOOKUP(B38,MODULY_CBA!$B$3:$O$23,14,0)*VLOOKUP('Rozpocet - Vyvoj aplikacii'!C38,EXTERNE_POZICIE!$A$4:$C$39,3,0),0)</f>
        <v>1058.9437122638449</v>
      </c>
      <c r="F38" s="500">
        <f>IFERROR(VLOOKUP(C38,POZICIE_INTERNE!$A$4:$D$39,3,0)*VLOOKUP(B38,MODULY_CBA!$B$3:$J$23,9,0)/SUM(MODULY_CBA!$J$3:$J$23),)</f>
        <v>293.3870025319743</v>
      </c>
      <c r="G38" s="506">
        <f>IFERROR(IF(ISTEXT(B38),VLOOKUP(C38,POZICIE_INTERNE!$A$4:$D$39,4,0),),)</f>
        <v>271.92</v>
      </c>
      <c r="H38" s="507">
        <f>IF(ISTEXT(B38),VLOOKUP(C38,EXTERNE_POZICIE!$A$4:$E$39,5,0),)</f>
        <v>455.89047619047619</v>
      </c>
      <c r="I38" s="501">
        <f t="shared" si="0"/>
        <v>79777.793728494464</v>
      </c>
      <c r="J38" s="501">
        <f t="shared" si="1"/>
        <v>593797.6944887361</v>
      </c>
      <c r="K38" s="501">
        <f t="shared" si="3"/>
        <v>673575.48821723054</v>
      </c>
      <c r="L38" s="559"/>
    </row>
    <row r="39" spans="1:12">
      <c r="A39" s="834" t="s">
        <v>268</v>
      </c>
      <c r="B39" s="558" t="s">
        <v>269</v>
      </c>
      <c r="C39" s="437" t="s">
        <v>1910</v>
      </c>
      <c r="D39" s="558"/>
      <c r="E39" s="640">
        <f>IFERROR(VLOOKUP(B39,MODULY_CBA!$B$3:$O$23,14,0)*VLOOKUP('Rozpocet - Vyvoj aplikacii'!C39,EXTERNE_POZICIE!$A$4:$C$39,3,0),0)</f>
        <v>619.18299465472103</v>
      </c>
      <c r="F39" s="500">
        <f>IFERROR(VLOOKUP(C39,POZICIE_INTERNE!$A$4:$D$39,3,0)*VLOOKUP(B39,MODULY_CBA!$B$3:$J$23,9,0)/SUM(MODULY_CBA!$J$3:$J$23),)</f>
        <v>38.595078880737518</v>
      </c>
      <c r="G39" s="506">
        <f>IFERROR(IF(ISTEXT(B39),VLOOKUP(C39,POZICIE_INTERNE!$A$4:$D$39,4,0),),)</f>
        <v>271.92</v>
      </c>
      <c r="H39" s="507">
        <f>IF(ISTEXT(B39),VLOOKUP(C39,EXTERNE_POZICIE!$A$4:$E$39,5,0),)</f>
        <v>455.89161111592068</v>
      </c>
      <c r="I39" s="501">
        <f t="shared" si="0"/>
        <v>10494.773849250147</v>
      </c>
      <c r="J39" s="501">
        <f t="shared" si="1"/>
        <v>347204.80960072717</v>
      </c>
      <c r="K39" s="501">
        <f t="shared" si="3"/>
        <v>357699.58344997733</v>
      </c>
      <c r="L39" s="559"/>
    </row>
    <row r="40" spans="1:12">
      <c r="A40" s="832"/>
      <c r="B40" s="558" t="s">
        <v>269</v>
      </c>
      <c r="C40" s="437" t="s">
        <v>1931</v>
      </c>
      <c r="D40" s="558"/>
      <c r="E40" s="640">
        <f>IFERROR(VLOOKUP(B40,MODULY_CBA!$B$3:$O$23,14,0)*VLOOKUP('Rozpocet - Vyvoj aplikacii'!C40,EXTERNE_POZICIE!$A$4:$C$39,3,0),0)</f>
        <v>1486.2857668419572</v>
      </c>
      <c r="F40" s="500">
        <f>IFERROR(VLOOKUP(C40,POZICIE_INTERNE!$A$4:$D$39,3,0)*VLOOKUP(B40,MODULY_CBA!$B$3:$J$23,9,0)/SUM(MODULY_CBA!$J$3:$J$23),)</f>
        <v>28.946309160553138</v>
      </c>
      <c r="G40" s="506">
        <f>IFERROR(IF(ISTEXT(B40),VLOOKUP(C40,POZICIE_INTERNE!$A$4:$D$39,4,0),),)</f>
        <v>271.92</v>
      </c>
      <c r="H40" s="507">
        <f>IF(ISTEXT(B40),VLOOKUP(C40,EXTERNE_POZICIE!$A$4:$E$39,5,0),)</f>
        <v>455.89007104987917</v>
      </c>
      <c r="I40" s="501">
        <f t="shared" si="0"/>
        <v>7871.0803869376095</v>
      </c>
      <c r="J40" s="501">
        <f t="shared" si="1"/>
        <v>833426.99633058487</v>
      </c>
      <c r="K40" s="501">
        <f t="shared" si="3"/>
        <v>841298.07671752246</v>
      </c>
      <c r="L40" s="559"/>
    </row>
    <row r="41" spans="1:12">
      <c r="A41" s="832"/>
      <c r="B41" s="558" t="s">
        <v>269</v>
      </c>
      <c r="C41" s="437" t="s">
        <v>1938</v>
      </c>
      <c r="D41" s="558"/>
      <c r="E41" s="640">
        <f>IFERROR(VLOOKUP(B41,MODULY_CBA!$B$3:$O$23,14,0)*VLOOKUP('Rozpocet - Vyvoj aplikacii'!C41,EXTERNE_POZICIE!$A$4:$C$39,3,0),0)</f>
        <v>371.47763422709869</v>
      </c>
      <c r="F41" s="500">
        <f>IFERROR(VLOOKUP(C41,POZICIE_INTERNE!$A$4:$D$39,3,0)*VLOOKUP(B41,MODULY_CBA!$B$3:$J$23,9,0)/SUM(MODULY_CBA!$J$3:$J$23),)</f>
        <v>102.92021034863339</v>
      </c>
      <c r="G41" s="506">
        <f>IFERROR(IF(ISTEXT(B41),VLOOKUP(C41,POZICIE_INTERNE!$A$4:$D$39,4,0),),)</f>
        <v>271.92</v>
      </c>
      <c r="H41" s="507">
        <f>IF(ISTEXT(B41),VLOOKUP(C41,EXTERNE_POZICIE!$A$4:$E$39,5,0),)</f>
        <v>455.89047619047619</v>
      </c>
      <c r="I41" s="501">
        <f t="shared" si="0"/>
        <v>27986.063598000394</v>
      </c>
      <c r="J41" s="501">
        <f t="shared" si="1"/>
        <v>208304.33214114138</v>
      </c>
      <c r="K41" s="501">
        <f t="shared" si="3"/>
        <v>236290.39573914176</v>
      </c>
      <c r="L41" s="559"/>
    </row>
    <row r="42" spans="1:12">
      <c r="A42" s="832" t="s">
        <v>270</v>
      </c>
      <c r="B42" s="558"/>
      <c r="C42" s="437" t="s">
        <v>1910</v>
      </c>
      <c r="D42" s="558"/>
      <c r="E42" s="640">
        <f>IFERROR(VLOOKUP(B42,MODULY_CBA!$B$3:$O$23,14,0)*VLOOKUP('Rozpocet - Vyvoj aplikacii'!C42,EXTERNE_POZICIE!$A$4:$C$39,3,0),0)</f>
        <v>0</v>
      </c>
      <c r="F42" s="500">
        <f>IFERROR(VLOOKUP(C42,POZICIE_INTERNE!$A$4:$D$39,3,0)*VLOOKUP(B42,MODULY_CBA!$B$3:$J$23,9,0)/SUM(MODULY_CBA!$J$3:$J$23),)</f>
        <v>0</v>
      </c>
      <c r="G42" s="506">
        <f>IFERROR(IF(ISTEXT(B42),VLOOKUP(C42,POZICIE_INTERNE!$A$4:$D$39,4,0),),)</f>
        <v>0</v>
      </c>
      <c r="H42" s="507">
        <f>IF(ISTEXT(B42),VLOOKUP(C42,EXTERNE_POZICIE!$A$4:$E$39,5,0),)</f>
        <v>0</v>
      </c>
      <c r="I42" s="501">
        <f t="shared" si="0"/>
        <v>0</v>
      </c>
      <c r="J42" s="501">
        <f t="shared" si="1"/>
        <v>0</v>
      </c>
      <c r="K42" s="501">
        <f t="shared" si="3"/>
        <v>0</v>
      </c>
      <c r="L42" s="559"/>
    </row>
    <row r="43" spans="1:12">
      <c r="A43" s="832"/>
      <c r="B43" s="558"/>
      <c r="C43" s="437" t="s">
        <v>1931</v>
      </c>
      <c r="D43" s="558"/>
      <c r="E43" s="640">
        <f>IFERROR(VLOOKUP(B43,MODULY_CBA!$B$3:$O$23,14,0)*VLOOKUP('Rozpocet - Vyvoj aplikacii'!C43,EXTERNE_POZICIE!$A$4:$C$39,3,0),0)</f>
        <v>0</v>
      </c>
      <c r="F43" s="500">
        <f>IFERROR(VLOOKUP(C43,POZICIE_INTERNE!$A$4:$D$39,3,0)*VLOOKUP(B43,MODULY_CBA!$B$3:$J$23,9,0)/SUM(MODULY_CBA!$J$3:$J$23),)</f>
        <v>0</v>
      </c>
      <c r="G43" s="506">
        <f>IFERROR(IF(ISTEXT(B43),VLOOKUP(C43,POZICIE_INTERNE!$A$4:$D$39,4,0),),)</f>
        <v>0</v>
      </c>
      <c r="H43" s="507">
        <f>IF(ISTEXT(B43),VLOOKUP(C43,EXTERNE_POZICIE!$A$4:$E$39,5,0),)</f>
        <v>0</v>
      </c>
      <c r="I43" s="501">
        <f t="shared" si="0"/>
        <v>0</v>
      </c>
      <c r="J43" s="501">
        <f t="shared" si="1"/>
        <v>0</v>
      </c>
      <c r="K43" s="501">
        <f t="shared" si="3"/>
        <v>0</v>
      </c>
      <c r="L43" s="559"/>
    </row>
    <row r="44" spans="1:12">
      <c r="A44" s="832"/>
      <c r="B44" s="558"/>
      <c r="C44" s="437" t="s">
        <v>1938</v>
      </c>
      <c r="D44" s="558"/>
      <c r="E44" s="640">
        <f>IFERROR(VLOOKUP(B44,MODULY_CBA!$B$3:$O$23,14,0)*VLOOKUP('Rozpocet - Vyvoj aplikacii'!C44,EXTERNE_POZICIE!$A$4:$C$39,3,0),0)</f>
        <v>0</v>
      </c>
      <c r="F44" s="500">
        <f>IFERROR(VLOOKUP(C44,POZICIE_INTERNE!$A$4:$D$39,3,0)*VLOOKUP(B44,MODULY_CBA!$B$3:$J$23,9,0)/SUM(MODULY_CBA!$J$3:$J$23),)</f>
        <v>0</v>
      </c>
      <c r="G44" s="506">
        <f>IFERROR(IF(ISTEXT(B44),VLOOKUP(C44,POZICIE_INTERNE!$A$4:$D$39,4,0),),)</f>
        <v>0</v>
      </c>
      <c r="H44" s="507">
        <f>IF(ISTEXT(B44),VLOOKUP(C44,EXTERNE_POZICIE!$A$4:$E$39,5,0),)</f>
        <v>0</v>
      </c>
      <c r="I44" s="501">
        <f t="shared" si="0"/>
        <v>0</v>
      </c>
      <c r="J44" s="501">
        <f t="shared" si="1"/>
        <v>0</v>
      </c>
      <c r="K44" s="501">
        <f t="shared" si="3"/>
        <v>0</v>
      </c>
      <c r="L44" s="559"/>
    </row>
    <row r="45" spans="1:12">
      <c r="A45" s="832" t="s">
        <v>272</v>
      </c>
      <c r="B45" s="558"/>
      <c r="C45" s="437" t="s">
        <v>1910</v>
      </c>
      <c r="D45" s="558"/>
      <c r="E45" s="640">
        <f>IFERROR(VLOOKUP(B45,MODULY_CBA!$B$3:$O$23,14,0)*VLOOKUP('Rozpocet - Vyvoj aplikacii'!C45,EXTERNE_POZICIE!$A$4:$C$39,3,0),0)</f>
        <v>0</v>
      </c>
      <c r="F45" s="500">
        <f>IFERROR(VLOOKUP(C45,POZICIE_INTERNE!$A$4:$D$39,3,0)*VLOOKUP(B45,MODULY_CBA!$B$3:$J$23,9,0)/SUM(MODULY_CBA!$J$3:$J$23),)</f>
        <v>0</v>
      </c>
      <c r="G45" s="506">
        <f>IFERROR(IF(ISTEXT(B45),VLOOKUP(C45,POZICIE_INTERNE!$A$4:$D$39,4,0),),)</f>
        <v>0</v>
      </c>
      <c r="H45" s="507">
        <f>IF(ISTEXT(B45),VLOOKUP(C45,EXTERNE_POZICIE!$A$4:$E$39,5,0),)</f>
        <v>0</v>
      </c>
      <c r="I45" s="501">
        <f t="shared" si="0"/>
        <v>0</v>
      </c>
      <c r="J45" s="501">
        <f t="shared" si="1"/>
        <v>0</v>
      </c>
      <c r="K45" s="501">
        <f t="shared" si="3"/>
        <v>0</v>
      </c>
      <c r="L45" s="559"/>
    </row>
    <row r="46" spans="1:12">
      <c r="A46" s="832"/>
      <c r="B46" s="558"/>
      <c r="C46" s="437" t="s">
        <v>1931</v>
      </c>
      <c r="D46" s="558"/>
      <c r="E46" s="640">
        <f>IFERROR(VLOOKUP(B46,MODULY_CBA!$B$3:$O$23,14,0)*VLOOKUP('Rozpocet - Vyvoj aplikacii'!C46,EXTERNE_POZICIE!$A$4:$C$39,3,0),0)</f>
        <v>0</v>
      </c>
      <c r="F46" s="500">
        <f>IFERROR(VLOOKUP(C46,POZICIE_INTERNE!$A$4:$D$39,3,0)*VLOOKUP(B46,MODULY_CBA!$B$3:$J$23,9,0)/SUM(MODULY_CBA!$J$3:$J$23),)</f>
        <v>0</v>
      </c>
      <c r="G46" s="506">
        <f>IFERROR(IF(ISTEXT(B46),VLOOKUP(C46,POZICIE_INTERNE!$A$4:$D$39,4,0),),)</f>
        <v>0</v>
      </c>
      <c r="H46" s="507">
        <f>IF(ISTEXT(B46),VLOOKUP(C46,EXTERNE_POZICIE!$A$4:$E$39,5,0),)</f>
        <v>0</v>
      </c>
      <c r="I46" s="501">
        <f t="shared" si="0"/>
        <v>0</v>
      </c>
      <c r="J46" s="501">
        <f t="shared" si="1"/>
        <v>0</v>
      </c>
      <c r="K46" s="501">
        <f t="shared" si="3"/>
        <v>0</v>
      </c>
      <c r="L46" s="559"/>
    </row>
    <row r="47" spans="1:12">
      <c r="A47" s="832"/>
      <c r="B47" s="558"/>
      <c r="C47" s="437" t="s">
        <v>1938</v>
      </c>
      <c r="D47" s="558"/>
      <c r="E47" s="640">
        <f>IFERROR(VLOOKUP(B47,MODULY_CBA!$B$3:$O$23,14,0)*VLOOKUP('Rozpocet - Vyvoj aplikacii'!C47,EXTERNE_POZICIE!$A$4:$C$39,3,0),0)</f>
        <v>0</v>
      </c>
      <c r="F47" s="500">
        <f>IFERROR(VLOOKUP(C47,POZICIE_INTERNE!$A$4:$D$39,3,0)*VLOOKUP(B47,MODULY_CBA!$B$3:$J$23,9,0)/SUM(MODULY_CBA!$J$3:$J$23),)</f>
        <v>0</v>
      </c>
      <c r="G47" s="506">
        <f>IFERROR(IF(ISTEXT(B47),VLOOKUP(C47,POZICIE_INTERNE!$A$4:$D$39,4,0),),)</f>
        <v>0</v>
      </c>
      <c r="H47" s="507">
        <f>IF(ISTEXT(B47),VLOOKUP(C47,EXTERNE_POZICIE!$A$4:$E$39,5,0),)</f>
        <v>0</v>
      </c>
      <c r="I47" s="501">
        <f t="shared" si="0"/>
        <v>0</v>
      </c>
      <c r="J47" s="501">
        <f t="shared" si="1"/>
        <v>0</v>
      </c>
      <c r="K47" s="501">
        <f t="shared" si="3"/>
        <v>0</v>
      </c>
      <c r="L47" s="559"/>
    </row>
    <row r="48" spans="1:12">
      <c r="A48" s="832" t="s">
        <v>273</v>
      </c>
      <c r="B48" s="558"/>
      <c r="C48" s="437" t="s">
        <v>1910</v>
      </c>
      <c r="D48" s="558"/>
      <c r="E48" s="640">
        <f>IFERROR(VLOOKUP(B48,MODULY_CBA!$B$3:$O$23,14,0)*VLOOKUP('Rozpocet - Vyvoj aplikacii'!C48,EXTERNE_POZICIE!$A$4:$C$39,3,0),0)</f>
        <v>0</v>
      </c>
      <c r="F48" s="500">
        <f>IFERROR(VLOOKUP(C48,POZICIE_INTERNE!$A$4:$D$39,3,0)*VLOOKUP(B48,MODULY_CBA!$B$3:$J$23,9,0)/SUM(MODULY_CBA!$J$3:$J$23),)</f>
        <v>0</v>
      </c>
      <c r="G48" s="506">
        <f>IFERROR(IF(ISTEXT(B48),VLOOKUP(C48,POZICIE_INTERNE!$A$4:$D$39,4,0),),)</f>
        <v>0</v>
      </c>
      <c r="H48" s="507">
        <f>IF(ISTEXT(B48),VLOOKUP(C48,EXTERNE_POZICIE!$A$4:$E$39,5,0),)</f>
        <v>0</v>
      </c>
      <c r="I48" s="501">
        <f t="shared" si="0"/>
        <v>0</v>
      </c>
      <c r="J48" s="501">
        <f t="shared" si="1"/>
        <v>0</v>
      </c>
      <c r="K48" s="501">
        <f t="shared" si="3"/>
        <v>0</v>
      </c>
      <c r="L48" s="559"/>
    </row>
    <row r="49" spans="1:12">
      <c r="A49" s="832"/>
      <c r="B49" s="558"/>
      <c r="C49" s="437" t="s">
        <v>1931</v>
      </c>
      <c r="D49" s="558"/>
      <c r="E49" s="640">
        <f>IFERROR(VLOOKUP(B49,MODULY_CBA!$B$3:$O$23,14,0)*VLOOKUP('Rozpocet - Vyvoj aplikacii'!C49,EXTERNE_POZICIE!$A$4:$C$39,3,0),0)</f>
        <v>0</v>
      </c>
      <c r="F49" s="500">
        <f>IFERROR(VLOOKUP(C49,POZICIE_INTERNE!$A$4:$D$39,3,0)*VLOOKUP(B49,MODULY_CBA!$B$3:$J$23,9,0)/SUM(MODULY_CBA!$J$3:$J$23),)</f>
        <v>0</v>
      </c>
      <c r="G49" s="506">
        <f>IFERROR(IF(ISTEXT(B49),VLOOKUP(C49,POZICIE_INTERNE!$A$4:$D$39,4,0),),)</f>
        <v>0</v>
      </c>
      <c r="H49" s="507">
        <f>IF(ISTEXT(B49),VLOOKUP(C49,EXTERNE_POZICIE!$A$4:$E$39,5,0),)</f>
        <v>0</v>
      </c>
      <c r="I49" s="501">
        <f t="shared" si="0"/>
        <v>0</v>
      </c>
      <c r="J49" s="501">
        <f t="shared" si="1"/>
        <v>0</v>
      </c>
      <c r="K49" s="501">
        <f t="shared" si="3"/>
        <v>0</v>
      </c>
      <c r="L49" s="559"/>
    </row>
    <row r="50" spans="1:12">
      <c r="A50" s="833"/>
      <c r="B50" s="558"/>
      <c r="C50" s="437" t="s">
        <v>1938</v>
      </c>
      <c r="D50" s="558"/>
      <c r="E50" s="640">
        <f>IFERROR(VLOOKUP(B50,MODULY_CBA!$B$3:$O$23,14,0)*VLOOKUP('Rozpocet - Vyvoj aplikacii'!C50,EXTERNE_POZICIE!$A$4:$C$39,3,0),0)</f>
        <v>0</v>
      </c>
      <c r="F50" s="500">
        <f>IFERROR(VLOOKUP(C50,POZICIE_INTERNE!$A$4:$D$39,3,0)*VLOOKUP(B50,MODULY_CBA!$B$3:$J$23,9,0)/SUM(MODULY_CBA!$J$3:$J$23),)</f>
        <v>0</v>
      </c>
      <c r="G50" s="506">
        <f>IFERROR(IF(ISTEXT(B50),VLOOKUP(C50,POZICIE_INTERNE!$A$4:$D$39,4,0),),)</f>
        <v>0</v>
      </c>
      <c r="H50" s="507">
        <f>IF(ISTEXT(B50),VLOOKUP(C50,EXTERNE_POZICIE!$A$4:$E$39,5,0),)</f>
        <v>0</v>
      </c>
      <c r="I50" s="501">
        <f t="shared" si="0"/>
        <v>0</v>
      </c>
      <c r="J50" s="501">
        <f t="shared" si="1"/>
        <v>0</v>
      </c>
      <c r="K50" s="501">
        <f t="shared" si="3"/>
        <v>0</v>
      </c>
      <c r="L50" s="559"/>
    </row>
    <row r="51" spans="1:12">
      <c r="A51" s="834" t="s">
        <v>274</v>
      </c>
      <c r="B51" s="558"/>
      <c r="C51" s="437" t="s">
        <v>1910</v>
      </c>
      <c r="D51" s="558"/>
      <c r="E51" s="640">
        <f>IFERROR(VLOOKUP(B51,MODULY_CBA!$B$3:$O$23,14,0)*VLOOKUP('Rozpocet - Vyvoj aplikacii'!C51,EXTERNE_POZICIE!$A$4:$C$39,3,0),0)</f>
        <v>0</v>
      </c>
      <c r="F51" s="500">
        <f>IFERROR(VLOOKUP(C51,POZICIE_INTERNE!$A$4:$D$39,3,0)*VLOOKUP(B51,MODULY_CBA!$B$3:$J$23,9,0)/SUM(MODULY_CBA!$J$3:$J$23),)</f>
        <v>0</v>
      </c>
      <c r="G51" s="506">
        <f>IFERROR(IF(ISTEXT(B51),VLOOKUP(C51,POZICIE_INTERNE!$A$4:$D$39,4,0),),)</f>
        <v>0</v>
      </c>
      <c r="H51" s="507">
        <f>IF(ISTEXT(B51),VLOOKUP(C51,EXTERNE_POZICIE!$A$4:$E$39,5,0),)</f>
        <v>0</v>
      </c>
      <c r="I51" s="501">
        <f t="shared" si="0"/>
        <v>0</v>
      </c>
      <c r="J51" s="501">
        <f t="shared" si="1"/>
        <v>0</v>
      </c>
      <c r="K51" s="501">
        <f t="shared" si="3"/>
        <v>0</v>
      </c>
      <c r="L51" s="559"/>
    </row>
    <row r="52" spans="1:12">
      <c r="A52" s="832"/>
      <c r="B52" s="558"/>
      <c r="C52" s="437" t="s">
        <v>1931</v>
      </c>
      <c r="D52" s="558"/>
      <c r="E52" s="640">
        <f>IFERROR(VLOOKUP(B52,MODULY_CBA!$B$3:$O$23,14,0)*VLOOKUP('Rozpocet - Vyvoj aplikacii'!C52,EXTERNE_POZICIE!$A$4:$C$39,3,0),0)</f>
        <v>0</v>
      </c>
      <c r="F52" s="500">
        <f>IFERROR(VLOOKUP(C52,POZICIE_INTERNE!$A$4:$D$39,3,0)*VLOOKUP(B52,MODULY_CBA!$B$3:$J$23,9,0)/SUM(MODULY_CBA!$J$3:$J$23),)</f>
        <v>0</v>
      </c>
      <c r="G52" s="506">
        <f>IFERROR(IF(ISTEXT(B52),VLOOKUP(C52,POZICIE_INTERNE!$A$4:$D$39,4,0),),)</f>
        <v>0</v>
      </c>
      <c r="H52" s="507">
        <f>IF(ISTEXT(B52),VLOOKUP(C52,EXTERNE_POZICIE!$A$4:$E$39,5,0),)</f>
        <v>0</v>
      </c>
      <c r="I52" s="501">
        <f t="shared" si="0"/>
        <v>0</v>
      </c>
      <c r="J52" s="501">
        <f t="shared" si="1"/>
        <v>0</v>
      </c>
      <c r="K52" s="501">
        <f t="shared" si="3"/>
        <v>0</v>
      </c>
      <c r="L52" s="559"/>
    </row>
    <row r="53" spans="1:12">
      <c r="A53" s="832"/>
      <c r="B53" s="558"/>
      <c r="C53" s="437" t="s">
        <v>1938</v>
      </c>
      <c r="D53" s="558"/>
      <c r="E53" s="640">
        <f>IFERROR(VLOOKUP(B53,MODULY_CBA!$B$3:$O$23,14,0)*VLOOKUP('Rozpocet - Vyvoj aplikacii'!C53,EXTERNE_POZICIE!$A$4:$C$39,3,0),0)</f>
        <v>0</v>
      </c>
      <c r="F53" s="500">
        <f>IFERROR(VLOOKUP(C53,POZICIE_INTERNE!$A$4:$D$39,3,0)*VLOOKUP(B53,MODULY_CBA!$B$3:$J$23,9,0)/SUM(MODULY_CBA!$J$3:$J$23),)</f>
        <v>0</v>
      </c>
      <c r="G53" s="506">
        <f>IFERROR(IF(ISTEXT(B53),VLOOKUP(C53,POZICIE_INTERNE!$A$4:$D$39,4,0),),)</f>
        <v>0</v>
      </c>
      <c r="H53" s="507">
        <f>IF(ISTEXT(B53),VLOOKUP(C53,EXTERNE_POZICIE!$A$4:$E$39,5,0),)</f>
        <v>0</v>
      </c>
      <c r="I53" s="501">
        <f t="shared" si="0"/>
        <v>0</v>
      </c>
      <c r="J53" s="501">
        <f t="shared" si="1"/>
        <v>0</v>
      </c>
      <c r="K53" s="501">
        <f t="shared" si="3"/>
        <v>0</v>
      </c>
      <c r="L53" s="559"/>
    </row>
    <row r="54" spans="1:12">
      <c r="A54" s="832" t="s">
        <v>276</v>
      </c>
      <c r="B54" s="558"/>
      <c r="C54" s="437" t="s">
        <v>1910</v>
      </c>
      <c r="D54" s="558"/>
      <c r="E54" s="640">
        <f>IFERROR(VLOOKUP(B54,MODULY_CBA!$B$3:$O$23,14,0)*VLOOKUP('Rozpocet - Vyvoj aplikacii'!C54,EXTERNE_POZICIE!$A$4:$C$39,3,0),0)</f>
        <v>0</v>
      </c>
      <c r="F54" s="500">
        <f>IFERROR(VLOOKUP(C54,POZICIE_INTERNE!$A$4:$D$39,3,0)*VLOOKUP(B54,MODULY_CBA!$B$3:$J$23,9,0)/SUM(MODULY_CBA!$J$3:$J$23),)</f>
        <v>0</v>
      </c>
      <c r="G54" s="506">
        <f>IFERROR(IF(ISTEXT(B54),VLOOKUP(C54,POZICIE_INTERNE!$A$4:$D$39,4,0),),)</f>
        <v>0</v>
      </c>
      <c r="H54" s="507">
        <f>IF(ISTEXT(B54),VLOOKUP(C54,EXTERNE_POZICIE!$A$4:$E$39,5,0),)</f>
        <v>0</v>
      </c>
      <c r="I54" s="501">
        <f t="shared" si="0"/>
        <v>0</v>
      </c>
      <c r="J54" s="501">
        <f t="shared" si="1"/>
        <v>0</v>
      </c>
      <c r="K54" s="501">
        <f t="shared" si="3"/>
        <v>0</v>
      </c>
      <c r="L54" s="559"/>
    </row>
    <row r="55" spans="1:12">
      <c r="A55" s="832"/>
      <c r="B55" s="558"/>
      <c r="C55" s="437" t="s">
        <v>1931</v>
      </c>
      <c r="D55" s="558"/>
      <c r="E55" s="640">
        <f>IFERROR(VLOOKUP(B55,MODULY_CBA!$B$3:$O$23,14,0)*VLOOKUP('Rozpocet - Vyvoj aplikacii'!C55,EXTERNE_POZICIE!$A$4:$C$39,3,0),0)</f>
        <v>0</v>
      </c>
      <c r="F55" s="500">
        <f>IFERROR(VLOOKUP(C55,POZICIE_INTERNE!$A$4:$D$39,3,0)*VLOOKUP(B55,MODULY_CBA!$B$3:$J$23,9,0)/SUM(MODULY_CBA!$J$3:$J$23),)</f>
        <v>0</v>
      </c>
      <c r="G55" s="506">
        <f>IFERROR(IF(ISTEXT(B55),VLOOKUP(C55,POZICIE_INTERNE!$A$4:$D$39,4,0),),)</f>
        <v>0</v>
      </c>
      <c r="H55" s="507">
        <f>IF(ISTEXT(B55),VLOOKUP(C55,EXTERNE_POZICIE!$A$4:$E$39,5,0),)</f>
        <v>0</v>
      </c>
      <c r="I55" s="501">
        <f t="shared" si="0"/>
        <v>0</v>
      </c>
      <c r="J55" s="501">
        <f t="shared" si="1"/>
        <v>0</v>
      </c>
      <c r="K55" s="501">
        <f t="shared" si="3"/>
        <v>0</v>
      </c>
      <c r="L55" s="559"/>
    </row>
    <row r="56" spans="1:12">
      <c r="A56" s="832"/>
      <c r="B56" s="558"/>
      <c r="C56" s="437" t="s">
        <v>1938</v>
      </c>
      <c r="D56" s="558"/>
      <c r="E56" s="640">
        <f>IFERROR(VLOOKUP(B56,MODULY_CBA!$B$3:$O$23,14,0)*VLOOKUP('Rozpocet - Vyvoj aplikacii'!C56,EXTERNE_POZICIE!$A$4:$C$39,3,0),0)</f>
        <v>0</v>
      </c>
      <c r="F56" s="500">
        <f>IFERROR(VLOOKUP(C56,POZICIE_INTERNE!$A$4:$D$39,3,0)*VLOOKUP(B56,MODULY_CBA!$B$3:$J$23,9,0)/SUM(MODULY_CBA!$J$3:$J$23),)</f>
        <v>0</v>
      </c>
      <c r="G56" s="506">
        <f>IFERROR(IF(ISTEXT(B56),VLOOKUP(C56,POZICIE_INTERNE!$A$4:$D$39,4,0),),)</f>
        <v>0</v>
      </c>
      <c r="H56" s="507">
        <f>IF(ISTEXT(B56),VLOOKUP(C56,EXTERNE_POZICIE!$A$4:$E$39,5,0),)</f>
        <v>0</v>
      </c>
      <c r="I56" s="501">
        <f t="shared" si="0"/>
        <v>0</v>
      </c>
      <c r="J56" s="501">
        <f t="shared" si="1"/>
        <v>0</v>
      </c>
      <c r="K56" s="501">
        <f t="shared" si="3"/>
        <v>0</v>
      </c>
      <c r="L56" s="559"/>
    </row>
    <row r="57" spans="1:12">
      <c r="A57" s="832" t="s">
        <v>278</v>
      </c>
      <c r="B57" s="558"/>
      <c r="C57" s="437" t="s">
        <v>1910</v>
      </c>
      <c r="D57" s="558"/>
      <c r="E57" s="640">
        <f>IFERROR(VLOOKUP(B57,MODULY_CBA!$B$3:$O$23,14,0)*VLOOKUP('Rozpocet - Vyvoj aplikacii'!C57,EXTERNE_POZICIE!$A$4:$C$39,3,0),0)</f>
        <v>0</v>
      </c>
      <c r="F57" s="500">
        <f>IFERROR(VLOOKUP(C57,POZICIE_INTERNE!$A$4:$D$39,3,0)*VLOOKUP(B57,MODULY_CBA!$B$3:$J$23,9,0)/SUM(MODULY_CBA!$J$3:$J$23),)</f>
        <v>0</v>
      </c>
      <c r="G57" s="506">
        <f>IFERROR(IF(ISTEXT(B57),VLOOKUP(C57,POZICIE_INTERNE!$A$4:$D$39,4,0),),)</f>
        <v>0</v>
      </c>
      <c r="H57" s="507">
        <f>IF(ISTEXT(B57),VLOOKUP(C57,EXTERNE_POZICIE!$A$4:$E$39,5,0),)</f>
        <v>0</v>
      </c>
      <c r="I57" s="501">
        <f t="shared" si="0"/>
        <v>0</v>
      </c>
      <c r="J57" s="501">
        <f t="shared" si="1"/>
        <v>0</v>
      </c>
      <c r="K57" s="501">
        <f t="shared" si="3"/>
        <v>0</v>
      </c>
      <c r="L57" s="559"/>
    </row>
    <row r="58" spans="1:12">
      <c r="A58" s="832"/>
      <c r="B58" s="558"/>
      <c r="C58" s="437" t="s">
        <v>1931</v>
      </c>
      <c r="D58" s="558"/>
      <c r="E58" s="640">
        <f>IFERROR(VLOOKUP(B58,MODULY_CBA!$B$3:$O$23,14,0)*VLOOKUP('Rozpocet - Vyvoj aplikacii'!C58,EXTERNE_POZICIE!$A$4:$C$39,3,0),0)</f>
        <v>0</v>
      </c>
      <c r="F58" s="500">
        <f>IFERROR(VLOOKUP(C58,POZICIE_INTERNE!$A$4:$D$39,3,0)*VLOOKUP(B58,MODULY_CBA!$B$3:$J$23,9,0)/SUM(MODULY_CBA!$J$3:$J$23),)</f>
        <v>0</v>
      </c>
      <c r="G58" s="506">
        <f>IFERROR(IF(ISTEXT(B58),VLOOKUP(C58,POZICIE_INTERNE!$A$4:$D$39,4,0),),)</f>
        <v>0</v>
      </c>
      <c r="H58" s="507">
        <f>IF(ISTEXT(B58),VLOOKUP(C58,EXTERNE_POZICIE!$A$4:$E$39,5,0),)</f>
        <v>0</v>
      </c>
      <c r="I58" s="501">
        <f t="shared" si="0"/>
        <v>0</v>
      </c>
      <c r="J58" s="501">
        <f t="shared" si="1"/>
        <v>0</v>
      </c>
      <c r="K58" s="501">
        <f t="shared" si="3"/>
        <v>0</v>
      </c>
      <c r="L58" s="559"/>
    </row>
    <row r="59" spans="1:12">
      <c r="A59" s="832"/>
      <c r="B59" s="558"/>
      <c r="C59" s="437" t="s">
        <v>1938</v>
      </c>
      <c r="D59" s="558"/>
      <c r="E59" s="640">
        <f>IFERROR(VLOOKUP(B59,MODULY_CBA!$B$3:$O$23,14,0)*VLOOKUP('Rozpocet - Vyvoj aplikacii'!C59,EXTERNE_POZICIE!$A$4:$C$39,3,0),0)</f>
        <v>0</v>
      </c>
      <c r="F59" s="500">
        <f>IFERROR(VLOOKUP(C59,POZICIE_INTERNE!$A$4:$D$39,3,0)*VLOOKUP(B59,MODULY_CBA!$B$3:$J$23,9,0)/SUM(MODULY_CBA!$J$3:$J$23),)</f>
        <v>0</v>
      </c>
      <c r="G59" s="506">
        <f>IFERROR(IF(ISTEXT(B59),VLOOKUP(C59,POZICIE_INTERNE!$A$4:$D$39,4,0),),)</f>
        <v>0</v>
      </c>
      <c r="H59" s="507">
        <f>IF(ISTEXT(B59),VLOOKUP(C59,EXTERNE_POZICIE!$A$4:$E$39,5,0),)</f>
        <v>0</v>
      </c>
      <c r="I59" s="501">
        <f t="shared" si="0"/>
        <v>0</v>
      </c>
      <c r="J59" s="501">
        <f t="shared" si="1"/>
        <v>0</v>
      </c>
      <c r="K59" s="501">
        <f t="shared" si="3"/>
        <v>0</v>
      </c>
      <c r="L59" s="559"/>
    </row>
    <row r="60" spans="1:12">
      <c r="A60" s="832" t="s">
        <v>280</v>
      </c>
      <c r="B60" s="558"/>
      <c r="C60" s="437" t="s">
        <v>1910</v>
      </c>
      <c r="D60" s="558"/>
      <c r="E60" s="640">
        <f>IFERROR(VLOOKUP(B60,MODULY_CBA!$B$3:$O$23,14,0)*VLOOKUP('Rozpocet - Vyvoj aplikacii'!C60,EXTERNE_POZICIE!$A$4:$C$39,3,0),0)</f>
        <v>0</v>
      </c>
      <c r="F60" s="500">
        <f>IFERROR(VLOOKUP(C60,POZICIE_INTERNE!$A$4:$D$39,3,0)*VLOOKUP(B60,MODULY_CBA!$B$3:$J$23,9,0)/SUM(MODULY_CBA!$J$3:$J$23),)</f>
        <v>0</v>
      </c>
      <c r="G60" s="506">
        <f>IFERROR(IF(ISTEXT(B60),VLOOKUP(C60,POZICIE_INTERNE!$A$4:$D$39,4,0),),)</f>
        <v>0</v>
      </c>
      <c r="H60" s="507">
        <f>IF(ISTEXT(B60),VLOOKUP(C60,EXTERNE_POZICIE!$A$4:$E$39,5,0),)</f>
        <v>0</v>
      </c>
      <c r="I60" s="501">
        <f t="shared" si="0"/>
        <v>0</v>
      </c>
      <c r="J60" s="501">
        <f t="shared" si="1"/>
        <v>0</v>
      </c>
      <c r="K60" s="501">
        <f t="shared" si="3"/>
        <v>0</v>
      </c>
      <c r="L60" s="559"/>
    </row>
    <row r="61" spans="1:12">
      <c r="A61" s="832"/>
      <c r="B61" s="558"/>
      <c r="C61" s="437" t="s">
        <v>1931</v>
      </c>
      <c r="D61" s="558"/>
      <c r="E61" s="640">
        <f>IFERROR(VLOOKUP(B61,MODULY_CBA!$B$3:$O$23,14,0)*VLOOKUP('Rozpocet - Vyvoj aplikacii'!C61,EXTERNE_POZICIE!$A$4:$C$39,3,0),0)</f>
        <v>0</v>
      </c>
      <c r="F61" s="500">
        <f>IFERROR(VLOOKUP(C61,POZICIE_INTERNE!$A$4:$D$39,3,0)*VLOOKUP(B61,MODULY_CBA!$B$3:$J$23,9,0)/SUM(MODULY_CBA!$J$3:$J$23),)</f>
        <v>0</v>
      </c>
      <c r="G61" s="506">
        <f>IFERROR(IF(ISTEXT(B61),VLOOKUP(C61,POZICIE_INTERNE!$A$4:$D$39,4,0),),)</f>
        <v>0</v>
      </c>
      <c r="H61" s="507">
        <f>IF(ISTEXT(B61),VLOOKUP(C61,EXTERNE_POZICIE!$A$4:$E$39,5,0),)</f>
        <v>0</v>
      </c>
      <c r="I61" s="501">
        <f t="shared" si="0"/>
        <v>0</v>
      </c>
      <c r="J61" s="501">
        <f t="shared" si="1"/>
        <v>0</v>
      </c>
      <c r="K61" s="501">
        <f t="shared" si="3"/>
        <v>0</v>
      </c>
      <c r="L61" s="559"/>
    </row>
    <row r="62" spans="1:12">
      <c r="A62" s="833"/>
      <c r="B62" s="558"/>
      <c r="C62" s="437" t="s">
        <v>1938</v>
      </c>
      <c r="D62" s="558"/>
      <c r="E62" s="640">
        <f>IFERROR(VLOOKUP(B62,MODULY_CBA!$B$3:$O$23,14,0)*VLOOKUP('Rozpocet - Vyvoj aplikacii'!C62,EXTERNE_POZICIE!$A$4:$C$39,3,0),0)</f>
        <v>0</v>
      </c>
      <c r="F62" s="500">
        <f>IFERROR(VLOOKUP(C62,POZICIE_INTERNE!$A$4:$D$39,3,0)*VLOOKUP(B62,MODULY_CBA!$B$3:$J$23,9,0)/SUM(MODULY_CBA!$J$3:$J$23),)</f>
        <v>0</v>
      </c>
      <c r="G62" s="506">
        <f>IFERROR(IF(ISTEXT(B62),VLOOKUP(C62,POZICIE_INTERNE!$A$4:$D$39,4,0),),)</f>
        <v>0</v>
      </c>
      <c r="H62" s="507">
        <f>IF(ISTEXT(B62),VLOOKUP(C62,EXTERNE_POZICIE!$A$4:$E$39,5,0),)</f>
        <v>0</v>
      </c>
      <c r="I62" s="501">
        <f t="shared" si="0"/>
        <v>0</v>
      </c>
      <c r="J62" s="501">
        <f t="shared" si="1"/>
        <v>0</v>
      </c>
      <c r="K62" s="501">
        <f t="shared" si="3"/>
        <v>0</v>
      </c>
      <c r="L62" s="559"/>
    </row>
    <row r="63" spans="1:12">
      <c r="A63" s="834" t="s">
        <v>282</v>
      </c>
      <c r="B63" s="558"/>
      <c r="C63" s="437" t="s">
        <v>1910</v>
      </c>
      <c r="D63" s="558"/>
      <c r="E63" s="640">
        <f>IFERROR(VLOOKUP(B63,MODULY_CBA!$B$3:$O$23,14,0)*VLOOKUP('Rozpocet - Vyvoj aplikacii'!C63,EXTERNE_POZICIE!$A$4:$C$39,3,0),0)</f>
        <v>0</v>
      </c>
      <c r="F63" s="500">
        <f>IFERROR(VLOOKUP(C63,POZICIE_INTERNE!$A$4:$D$39,3,0)*VLOOKUP(B63,MODULY_CBA!$B$3:$J$23,9,0)/SUM(MODULY_CBA!$J$3:$J$23),)</f>
        <v>0</v>
      </c>
      <c r="G63" s="506">
        <f>IFERROR(IF(ISTEXT(B63),VLOOKUP(C63,POZICIE_INTERNE!$A$4:$D$39,4,0),),)</f>
        <v>0</v>
      </c>
      <c r="H63" s="507">
        <f>IF(ISTEXT(B63),VLOOKUP(C63,EXTERNE_POZICIE!$A$4:$E$39,5,0),)</f>
        <v>0</v>
      </c>
      <c r="I63" s="501">
        <f t="shared" si="0"/>
        <v>0</v>
      </c>
      <c r="J63" s="501">
        <f t="shared" si="1"/>
        <v>0</v>
      </c>
      <c r="K63" s="501">
        <f t="shared" si="3"/>
        <v>0</v>
      </c>
      <c r="L63" s="559"/>
    </row>
    <row r="64" spans="1:12">
      <c r="A64" s="832"/>
      <c r="B64" s="558"/>
      <c r="C64" s="437" t="s">
        <v>1931</v>
      </c>
      <c r="D64" s="558"/>
      <c r="E64" s="640">
        <f>IFERROR(VLOOKUP(B64,MODULY_CBA!$B$3:$O$23,14,0)*VLOOKUP('Rozpocet - Vyvoj aplikacii'!C64,EXTERNE_POZICIE!$A$4:$C$39,3,0),0)</f>
        <v>0</v>
      </c>
      <c r="F64" s="500">
        <f>IFERROR(VLOOKUP(C64,POZICIE_INTERNE!$A$4:$D$39,3,0)*VLOOKUP(B64,MODULY_CBA!$B$3:$J$23,9,0)/SUM(MODULY_CBA!$J$3:$J$23),)</f>
        <v>0</v>
      </c>
      <c r="G64" s="506">
        <f>IFERROR(IF(ISTEXT(B64),VLOOKUP(C64,POZICIE_INTERNE!$A$4:$D$39,4,0),),)</f>
        <v>0</v>
      </c>
      <c r="H64" s="507">
        <f>IF(ISTEXT(B64),VLOOKUP(C64,EXTERNE_POZICIE!$A$4:$E$39,5,0),)</f>
        <v>0</v>
      </c>
      <c r="I64" s="501">
        <f t="shared" si="0"/>
        <v>0</v>
      </c>
      <c r="J64" s="501">
        <f t="shared" si="1"/>
        <v>0</v>
      </c>
      <c r="K64" s="501">
        <f t="shared" si="3"/>
        <v>0</v>
      </c>
      <c r="L64" s="559"/>
    </row>
    <row r="65" spans="1:12">
      <c r="A65" s="832"/>
      <c r="B65" s="558"/>
      <c r="C65" s="437" t="s">
        <v>1938</v>
      </c>
      <c r="D65" s="558"/>
      <c r="E65" s="640">
        <f>IFERROR(VLOOKUP(B65,MODULY_CBA!$B$3:$O$23,14,0)*VLOOKUP('Rozpocet - Vyvoj aplikacii'!C65,EXTERNE_POZICIE!$A$4:$C$39,3,0),0)</f>
        <v>0</v>
      </c>
      <c r="F65" s="500">
        <f>IFERROR(VLOOKUP(C65,POZICIE_INTERNE!$A$4:$D$39,3,0)*VLOOKUP(B65,MODULY_CBA!$B$3:$J$23,9,0)/SUM(MODULY_CBA!$J$3:$J$23),)</f>
        <v>0</v>
      </c>
      <c r="G65" s="506">
        <f>IFERROR(IF(ISTEXT(B65),VLOOKUP(C65,POZICIE_INTERNE!$A$4:$D$39,4,0),),)</f>
        <v>0</v>
      </c>
      <c r="H65" s="507">
        <f>IF(ISTEXT(B65),VLOOKUP(C65,EXTERNE_POZICIE!$A$4:$E$39,5,0),)</f>
        <v>0</v>
      </c>
      <c r="I65" s="501">
        <f t="shared" si="0"/>
        <v>0</v>
      </c>
      <c r="J65" s="501">
        <f t="shared" si="1"/>
        <v>0</v>
      </c>
      <c r="K65" s="501">
        <f t="shared" si="3"/>
        <v>0</v>
      </c>
      <c r="L65" s="559"/>
    </row>
  </sheetData>
  <autoFilter ref="B2:L65" xr:uid="{00000000-0009-0000-0000-000011000000}"/>
  <mergeCells count="22">
    <mergeCell ref="A63:A65"/>
    <mergeCell ref="A48:A50"/>
    <mergeCell ref="A51:A53"/>
    <mergeCell ref="A54:A56"/>
    <mergeCell ref="A57:A59"/>
    <mergeCell ref="A60:A62"/>
    <mergeCell ref="A45:A47"/>
    <mergeCell ref="A3:A5"/>
    <mergeCell ref="A6:A8"/>
    <mergeCell ref="A9:A11"/>
    <mergeCell ref="A12:A14"/>
    <mergeCell ref="A15:A17"/>
    <mergeCell ref="A18:A20"/>
    <mergeCell ref="A21:A23"/>
    <mergeCell ref="A24:A26"/>
    <mergeCell ref="A27:A29"/>
    <mergeCell ref="A30:A32"/>
    <mergeCell ref="A1:D1"/>
    <mergeCell ref="A33:A35"/>
    <mergeCell ref="A36:A38"/>
    <mergeCell ref="A39:A41"/>
    <mergeCell ref="A42:A44"/>
  </mergeCells>
  <phoneticPr fontId="56" type="noConversion"/>
  <dataValidations count="1">
    <dataValidation type="list" allowBlank="1" showInputMessage="1" showErrorMessage="1" sqref="B3:B65" xr:uid="{00000000-0002-0000-1100-000000000000}">
      <formula1>MODULY</formula1>
    </dataValidation>
  </dataValidations>
  <pageMargins left="0.7" right="0.7" top="0.75" bottom="0.75" header="0.3" footer="0.3"/>
  <pageSetup paperSize="9" scale="1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00B050"/>
  </sheetPr>
  <dimension ref="A1:O31"/>
  <sheetViews>
    <sheetView topLeftCell="A22" workbookViewId="0">
      <selection activeCell="F10" sqref="F10:F31"/>
    </sheetView>
  </sheetViews>
  <sheetFormatPr defaultColWidth="8.81640625" defaultRowHeight="14.5"/>
  <cols>
    <col min="1" max="11" width="18.1796875" style="481" customWidth="1"/>
    <col min="12" max="12" width="26.1796875" style="481" customWidth="1"/>
    <col min="13" max="15" width="24.453125" style="481" customWidth="1"/>
    <col min="16" max="16384" width="8.81640625" style="365"/>
  </cols>
  <sheetData>
    <row r="1" spans="1:12">
      <c r="A1" s="481" t="s">
        <v>1991</v>
      </c>
      <c r="B1" s="481" t="s">
        <v>1992</v>
      </c>
      <c r="C1" s="481" t="s">
        <v>1993</v>
      </c>
      <c r="D1" s="481" t="s">
        <v>1994</v>
      </c>
      <c r="E1" s="481" t="s">
        <v>1995</v>
      </c>
      <c r="F1" s="481" t="s">
        <v>1996</v>
      </c>
      <c r="G1" s="481" t="s">
        <v>1997</v>
      </c>
      <c r="H1" s="481" t="s">
        <v>1998</v>
      </c>
      <c r="I1" s="481" t="s">
        <v>1999</v>
      </c>
      <c r="J1" s="481" t="s">
        <v>2000</v>
      </c>
      <c r="K1" s="481" t="s">
        <v>2001</v>
      </c>
      <c r="L1" s="481" t="s">
        <v>2002</v>
      </c>
    </row>
    <row r="2" spans="1:12" ht="72.5">
      <c r="A2" s="481" t="s">
        <v>1917</v>
      </c>
      <c r="B2" s="481" t="s">
        <v>1915</v>
      </c>
      <c r="C2" s="481" t="s">
        <v>1919</v>
      </c>
      <c r="D2" s="481" t="s">
        <v>1912</v>
      </c>
      <c r="E2" s="481" t="s">
        <v>1921</v>
      </c>
      <c r="F2" s="481" t="s">
        <v>1913</v>
      </c>
      <c r="G2" s="481" t="s">
        <v>1925</v>
      </c>
      <c r="H2" s="481" t="s">
        <v>1927</v>
      </c>
      <c r="I2" s="481" t="s">
        <v>2003</v>
      </c>
      <c r="J2" s="481" t="s">
        <v>2004</v>
      </c>
      <c r="L2" s="481" t="s">
        <v>2005</v>
      </c>
    </row>
    <row r="3" spans="1:12" ht="58">
      <c r="B3" s="481" t="s">
        <v>2006</v>
      </c>
      <c r="D3" s="481" t="s">
        <v>1927</v>
      </c>
      <c r="H3" s="481" t="s">
        <v>2007</v>
      </c>
      <c r="J3" s="481" t="s">
        <v>1923</v>
      </c>
      <c r="L3" s="481" t="s">
        <v>2008</v>
      </c>
    </row>
    <row r="4" spans="1:12" ht="29">
      <c r="L4" s="481" t="s">
        <v>2009</v>
      </c>
    </row>
    <row r="5" spans="1:12" ht="29">
      <c r="L5" s="481" t="s">
        <v>2010</v>
      </c>
    </row>
    <row r="6" spans="1:12" ht="29">
      <c r="L6" s="481" t="s">
        <v>2011</v>
      </c>
    </row>
    <row r="7" spans="1:12" ht="29">
      <c r="L7" s="481" t="s">
        <v>2012</v>
      </c>
    </row>
    <row r="8" spans="1:12">
      <c r="L8" s="481" t="s">
        <v>2013</v>
      </c>
    </row>
    <row r="9" spans="1:12">
      <c r="A9" s="481" t="s">
        <v>2014</v>
      </c>
      <c r="B9" s="481" t="s">
        <v>2015</v>
      </c>
      <c r="D9" s="365" t="s">
        <v>2016</v>
      </c>
      <c r="E9" s="365" t="s">
        <v>2017</v>
      </c>
      <c r="F9" s="481" t="s">
        <v>2018</v>
      </c>
    </row>
    <row r="10" spans="1:12" ht="29">
      <c r="A10" s="629" t="s">
        <v>1916</v>
      </c>
      <c r="B10" s="481" t="s">
        <v>1991</v>
      </c>
      <c r="D10" s="630" t="s">
        <v>1934</v>
      </c>
      <c r="E10" s="481" t="s">
        <v>1917</v>
      </c>
      <c r="F10" s="633">
        <v>1330001</v>
      </c>
    </row>
    <row r="11" spans="1:12" ht="29">
      <c r="A11" s="629" t="s">
        <v>1914</v>
      </c>
      <c r="B11" s="481" t="s">
        <v>1992</v>
      </c>
      <c r="D11" s="631" t="s">
        <v>2019</v>
      </c>
      <c r="E11" s="481" t="s">
        <v>1915</v>
      </c>
      <c r="F11" s="634">
        <v>2512001</v>
      </c>
    </row>
    <row r="12" spans="1:12" ht="29">
      <c r="A12" s="629" t="s">
        <v>1918</v>
      </c>
      <c r="B12" s="481" t="s">
        <v>1993</v>
      </c>
      <c r="D12" s="631" t="s">
        <v>2019</v>
      </c>
      <c r="E12" s="481" t="s">
        <v>2006</v>
      </c>
      <c r="F12" s="634">
        <v>2512002</v>
      </c>
    </row>
    <row r="13" spans="1:12">
      <c r="A13" s="629" t="s">
        <v>1911</v>
      </c>
      <c r="B13" s="481" t="s">
        <v>1994</v>
      </c>
      <c r="D13" s="631" t="s">
        <v>1918</v>
      </c>
      <c r="E13" s="481" t="s">
        <v>1919</v>
      </c>
      <c r="F13" s="634">
        <v>2511003</v>
      </c>
    </row>
    <row r="14" spans="1:12" ht="39">
      <c r="A14" s="629" t="s">
        <v>1920</v>
      </c>
      <c r="B14" s="481" t="s">
        <v>1995</v>
      </c>
      <c r="D14" s="631" t="s">
        <v>1911</v>
      </c>
      <c r="E14" s="481" t="s">
        <v>1912</v>
      </c>
      <c r="F14" s="634">
        <v>2511002</v>
      </c>
    </row>
    <row r="15" spans="1:12">
      <c r="A15" s="629" t="s">
        <v>1913</v>
      </c>
      <c r="B15" s="481" t="s">
        <v>1996</v>
      </c>
      <c r="D15" s="631" t="s">
        <v>1911</v>
      </c>
      <c r="E15" s="481" t="s">
        <v>1927</v>
      </c>
      <c r="F15" s="634">
        <v>2521001</v>
      </c>
    </row>
    <row r="16" spans="1:12" ht="39">
      <c r="A16" s="629" t="s">
        <v>1924</v>
      </c>
      <c r="B16" s="481" t="s">
        <v>1997</v>
      </c>
      <c r="D16" s="630" t="s">
        <v>1920</v>
      </c>
      <c r="E16" s="481" t="s">
        <v>1921</v>
      </c>
      <c r="F16" s="634">
        <v>2421002</v>
      </c>
    </row>
    <row r="17" spans="1:6" ht="26">
      <c r="A17" s="629" t="s">
        <v>1926</v>
      </c>
      <c r="B17" s="481" t="s">
        <v>1998</v>
      </c>
      <c r="D17" s="630" t="s">
        <v>1913</v>
      </c>
      <c r="E17" s="481" t="s">
        <v>1913</v>
      </c>
      <c r="F17" s="634">
        <v>2519001</v>
      </c>
    </row>
    <row r="18" spans="1:6" ht="72.5">
      <c r="A18" s="629" t="s">
        <v>1929</v>
      </c>
      <c r="B18" s="481" t="s">
        <v>1999</v>
      </c>
      <c r="D18" s="630" t="s">
        <v>1976</v>
      </c>
      <c r="E18" s="481" t="s">
        <v>2004</v>
      </c>
      <c r="F18" s="634">
        <v>1330004</v>
      </c>
    </row>
    <row r="19" spans="1:6" ht="29">
      <c r="A19" s="629" t="s">
        <v>1922</v>
      </c>
      <c r="B19" s="481" t="s">
        <v>2000</v>
      </c>
      <c r="D19" s="631" t="s">
        <v>2020</v>
      </c>
      <c r="E19" s="481" t="s">
        <v>1925</v>
      </c>
      <c r="F19" s="634">
        <v>2523000</v>
      </c>
    </row>
    <row r="20" spans="1:6">
      <c r="A20" s="629" t="s">
        <v>1928</v>
      </c>
      <c r="B20" s="481" t="s">
        <v>2001</v>
      </c>
      <c r="D20" s="631" t="s">
        <v>1926</v>
      </c>
      <c r="E20" s="481" t="s">
        <v>1927</v>
      </c>
      <c r="F20" s="634">
        <v>2521001</v>
      </c>
    </row>
    <row r="21" spans="1:6">
      <c r="A21" s="629" t="s">
        <v>1930</v>
      </c>
      <c r="B21" s="481" t="s">
        <v>2002</v>
      </c>
      <c r="D21" s="631" t="s">
        <v>1926</v>
      </c>
      <c r="E21" s="481" t="s">
        <v>2007</v>
      </c>
      <c r="F21" s="634">
        <v>2521003</v>
      </c>
    </row>
    <row r="22" spans="1:6">
      <c r="D22" s="632" t="s">
        <v>2003</v>
      </c>
      <c r="E22" s="481" t="s">
        <v>2003</v>
      </c>
      <c r="F22" s="634">
        <v>2511001</v>
      </c>
    </row>
    <row r="23" spans="1:6" ht="58">
      <c r="D23" s="631" t="s">
        <v>2021</v>
      </c>
      <c r="E23" s="481" t="s">
        <v>1923</v>
      </c>
      <c r="F23" s="634">
        <v>2529001</v>
      </c>
    </row>
    <row r="24" spans="1:6">
      <c r="D24" s="632" t="s">
        <v>1928</v>
      </c>
      <c r="F24" s="372"/>
    </row>
    <row r="25" spans="1:6" ht="29">
      <c r="D25" s="631" t="s">
        <v>2022</v>
      </c>
      <c r="E25" s="481" t="s">
        <v>2005</v>
      </c>
      <c r="F25" s="634">
        <v>7422003</v>
      </c>
    </row>
    <row r="26" spans="1:6" ht="43.5">
      <c r="D26" s="631" t="s">
        <v>2022</v>
      </c>
      <c r="E26" s="481" t="s">
        <v>2008</v>
      </c>
      <c r="F26" s="634">
        <v>2153003</v>
      </c>
    </row>
    <row r="27" spans="1:6" ht="58">
      <c r="D27" s="631" t="s">
        <v>2022</v>
      </c>
      <c r="E27" s="481" t="s">
        <v>2009</v>
      </c>
      <c r="F27" s="634">
        <v>2513003</v>
      </c>
    </row>
    <row r="28" spans="1:6" ht="43.5">
      <c r="D28" s="631" t="s">
        <v>2022</v>
      </c>
      <c r="E28" s="481" t="s">
        <v>2010</v>
      </c>
      <c r="F28" s="634">
        <v>4229</v>
      </c>
    </row>
    <row r="29" spans="1:6" ht="29">
      <c r="D29" s="631" t="s">
        <v>2022</v>
      </c>
      <c r="E29" s="481" t="s">
        <v>2011</v>
      </c>
      <c r="F29" s="372">
        <v>3511002</v>
      </c>
    </row>
    <row r="30" spans="1:6" ht="29">
      <c r="D30" s="631" t="s">
        <v>2022</v>
      </c>
      <c r="E30" s="481" t="s">
        <v>2012</v>
      </c>
      <c r="F30" s="372">
        <v>3512000</v>
      </c>
    </row>
    <row r="31" spans="1:6" ht="29">
      <c r="D31" s="631" t="s">
        <v>2022</v>
      </c>
      <c r="E31" s="481" t="s">
        <v>2013</v>
      </c>
      <c r="F31" s="372">
        <v>2514000</v>
      </c>
    </row>
  </sheetData>
  <pageMargins left="0.7" right="0.7" top="0.75" bottom="0.75"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árok2">
    <tabColor theme="0" tint="-0.34998626667073579"/>
  </sheetPr>
  <dimension ref="A1:D30"/>
  <sheetViews>
    <sheetView workbookViewId="0">
      <selection activeCell="D2" sqref="D2"/>
    </sheetView>
  </sheetViews>
  <sheetFormatPr defaultColWidth="8.81640625" defaultRowHeight="14.5"/>
  <cols>
    <col min="1" max="1" width="25.453125" customWidth="1"/>
    <col min="2" max="2" width="79" bestFit="1" customWidth="1"/>
    <col min="3" max="3" width="13.26953125" customWidth="1"/>
    <col min="4" max="4" width="70" bestFit="1" customWidth="1"/>
  </cols>
  <sheetData>
    <row r="1" spans="1:4" ht="19" thickBot="1">
      <c r="A1" s="228" t="s">
        <v>28</v>
      </c>
      <c r="D1" s="643" t="s">
        <v>29</v>
      </c>
    </row>
    <row r="2" spans="1:4" ht="15" thickBot="1">
      <c r="A2" s="229" t="s">
        <v>30</v>
      </c>
      <c r="B2" s="230" t="s">
        <v>31</v>
      </c>
      <c r="C2" s="526" t="s">
        <v>32</v>
      </c>
      <c r="D2" s="231" t="s">
        <v>33</v>
      </c>
    </row>
    <row r="3" spans="1:4">
      <c r="A3" s="524" t="s">
        <v>34</v>
      </c>
      <c r="B3" s="232" t="s">
        <v>35</v>
      </c>
      <c r="C3" s="527"/>
      <c r="D3" s="196" t="s">
        <v>36</v>
      </c>
    </row>
    <row r="4" spans="1:4">
      <c r="A4" s="524" t="s">
        <v>37</v>
      </c>
      <c r="B4" s="232" t="s">
        <v>38</v>
      </c>
      <c r="C4" s="528"/>
      <c r="D4" s="196" t="s">
        <v>39</v>
      </c>
    </row>
    <row r="5" spans="1:4">
      <c r="A5" s="524" t="s">
        <v>40</v>
      </c>
      <c r="B5" s="232" t="s">
        <v>41</v>
      </c>
      <c r="C5" s="528"/>
      <c r="D5" s="194" t="s">
        <v>42</v>
      </c>
    </row>
    <row r="6" spans="1:4">
      <c r="A6" s="525" t="s">
        <v>43</v>
      </c>
      <c r="B6" s="233" t="s">
        <v>44</v>
      </c>
      <c r="C6" s="529"/>
      <c r="D6" s="234" t="s">
        <v>45</v>
      </c>
    </row>
    <row r="7" spans="1:4">
      <c r="A7" s="525" t="s">
        <v>46</v>
      </c>
      <c r="B7" s="233" t="s">
        <v>47</v>
      </c>
      <c r="C7" s="529"/>
      <c r="D7" s="234" t="s">
        <v>45</v>
      </c>
    </row>
    <row r="8" spans="1:4">
      <c r="A8" s="525" t="s">
        <v>48</v>
      </c>
      <c r="B8" s="233" t="s">
        <v>49</v>
      </c>
      <c r="C8" s="530"/>
      <c r="D8" s="194" t="s">
        <v>36</v>
      </c>
    </row>
    <row r="9" spans="1:4">
      <c r="A9" s="525" t="s">
        <v>50</v>
      </c>
      <c r="B9" s="233" t="s">
        <v>51</v>
      </c>
      <c r="C9" s="531"/>
      <c r="D9" s="194" t="s">
        <v>36</v>
      </c>
    </row>
    <row r="10" spans="1:4">
      <c r="A10" s="525" t="s">
        <v>52</v>
      </c>
      <c r="B10" s="233" t="s">
        <v>53</v>
      </c>
      <c r="C10" s="531"/>
      <c r="D10" s="194" t="s">
        <v>36</v>
      </c>
    </row>
    <row r="11" spans="1:4">
      <c r="A11" s="525" t="s">
        <v>54</v>
      </c>
      <c r="B11" s="233" t="s">
        <v>55</v>
      </c>
      <c r="C11" s="531"/>
      <c r="D11" s="523" t="s">
        <v>36</v>
      </c>
    </row>
    <row r="12" spans="1:4">
      <c r="A12" s="525" t="s">
        <v>56</v>
      </c>
      <c r="B12" s="233" t="s">
        <v>57</v>
      </c>
      <c r="C12" s="531"/>
      <c r="D12" s="194" t="s">
        <v>36</v>
      </c>
    </row>
    <row r="13" spans="1:4">
      <c r="A13" s="525" t="s">
        <v>58</v>
      </c>
      <c r="B13" s="233" t="s">
        <v>59</v>
      </c>
      <c r="C13" s="531"/>
      <c r="D13" s="194" t="s">
        <v>36</v>
      </c>
    </row>
    <row r="14" spans="1:4">
      <c r="A14" s="525" t="s">
        <v>60</v>
      </c>
      <c r="B14" s="233" t="s">
        <v>61</v>
      </c>
      <c r="C14" s="531"/>
      <c r="D14" s="194" t="s">
        <v>36</v>
      </c>
    </row>
    <row r="15" spans="1:4">
      <c r="A15" s="525" t="s">
        <v>62</v>
      </c>
      <c r="B15" s="233" t="s">
        <v>63</v>
      </c>
      <c r="C15" s="532"/>
      <c r="D15" s="194" t="s">
        <v>36</v>
      </c>
    </row>
    <row r="16" spans="1:4">
      <c r="A16" s="525" t="s">
        <v>64</v>
      </c>
      <c r="B16" s="233" t="s">
        <v>65</v>
      </c>
      <c r="C16" s="532"/>
      <c r="D16" s="194" t="s">
        <v>36</v>
      </c>
    </row>
    <row r="17" spans="1:4">
      <c r="A17" s="525" t="s">
        <v>66</v>
      </c>
      <c r="B17" s="233" t="s">
        <v>67</v>
      </c>
      <c r="C17" s="532"/>
      <c r="D17" s="194" t="s">
        <v>36</v>
      </c>
    </row>
    <row r="18" spans="1:4">
      <c r="A18" s="525" t="s">
        <v>68</v>
      </c>
      <c r="B18" s="233" t="s">
        <v>69</v>
      </c>
      <c r="C18" s="532"/>
      <c r="D18" s="194" t="s">
        <v>36</v>
      </c>
    </row>
    <row r="19" spans="1:4">
      <c r="A19" s="525" t="s">
        <v>70</v>
      </c>
      <c r="B19" s="233" t="s">
        <v>71</v>
      </c>
      <c r="C19" s="532"/>
      <c r="D19" s="194" t="s">
        <v>36</v>
      </c>
    </row>
    <row r="20" spans="1:4">
      <c r="A20" s="525" t="s">
        <v>72</v>
      </c>
      <c r="B20" s="233" t="s">
        <v>73</v>
      </c>
      <c r="C20" s="529"/>
      <c r="D20" s="234" t="s">
        <v>45</v>
      </c>
    </row>
    <row r="21" spans="1:4">
      <c r="A21" s="525" t="s">
        <v>74</v>
      </c>
      <c r="B21" s="233" t="s">
        <v>75</v>
      </c>
      <c r="C21" s="533"/>
      <c r="D21" s="194" t="s">
        <v>36</v>
      </c>
    </row>
    <row r="22" spans="1:4">
      <c r="A22" s="525" t="s">
        <v>76</v>
      </c>
      <c r="B22" s="233" t="s">
        <v>77</v>
      </c>
      <c r="C22" s="533"/>
      <c r="D22" s="194" t="s">
        <v>36</v>
      </c>
    </row>
    <row r="23" spans="1:4">
      <c r="A23" s="525" t="s">
        <v>78</v>
      </c>
      <c r="B23" s="233" t="s">
        <v>79</v>
      </c>
      <c r="C23" s="533"/>
      <c r="D23" s="194" t="s">
        <v>36</v>
      </c>
    </row>
    <row r="24" spans="1:4">
      <c r="A24" s="525" t="s">
        <v>80</v>
      </c>
      <c r="B24" s="233" t="s">
        <v>81</v>
      </c>
      <c r="C24" s="533"/>
      <c r="D24" s="194" t="s">
        <v>36</v>
      </c>
    </row>
    <row r="25" spans="1:4">
      <c r="A25" s="525" t="s">
        <v>82</v>
      </c>
      <c r="B25" s="233" t="s">
        <v>83</v>
      </c>
      <c r="C25" s="533"/>
      <c r="D25" s="194" t="s">
        <v>84</v>
      </c>
    </row>
    <row r="26" spans="1:4">
      <c r="A26" s="525" t="s">
        <v>85</v>
      </c>
      <c r="B26" s="233" t="s">
        <v>86</v>
      </c>
      <c r="C26" s="595"/>
      <c r="D26" s="194" t="s">
        <v>87</v>
      </c>
    </row>
    <row r="27" spans="1:4">
      <c r="A27" s="596" t="s">
        <v>88</v>
      </c>
      <c r="B27" s="233" t="s">
        <v>89</v>
      </c>
      <c r="C27" s="595"/>
      <c r="D27" s="194" t="s">
        <v>90</v>
      </c>
    </row>
    <row r="28" spans="1:4">
      <c r="A28" s="596" t="s">
        <v>91</v>
      </c>
      <c r="B28" s="233" t="s">
        <v>92</v>
      </c>
      <c r="C28" s="595"/>
      <c r="D28" s="194" t="s">
        <v>93</v>
      </c>
    </row>
    <row r="29" spans="1:4">
      <c r="A29" s="596" t="s">
        <v>94</v>
      </c>
      <c r="B29" s="233" t="s">
        <v>95</v>
      </c>
      <c r="C29" s="595"/>
      <c r="D29" s="194" t="s">
        <v>93</v>
      </c>
    </row>
    <row r="30" spans="1:4">
      <c r="A30" s="525" t="s">
        <v>96</v>
      </c>
      <c r="B30" s="233" t="s">
        <v>47</v>
      </c>
      <c r="C30" s="595"/>
      <c r="D30" s="234" t="s">
        <v>45</v>
      </c>
    </row>
  </sheetData>
  <hyperlinks>
    <hyperlink ref="A4" location="Sumarizácia!R1C1" display="Sumarizácia" xr:uid="{00000000-0004-0000-0100-000000000000}"/>
    <hyperlink ref="A6" location="'CBA - Agendové IS'!R1C1" display="CBA" xr:uid="{00000000-0004-0000-0100-000001000000}"/>
    <hyperlink ref="A7" location="'Analyza citlivosti - AgendovéIS'!R1C1" display="Analyza citlivosti" xr:uid="{00000000-0004-0000-0100-000002000000}"/>
    <hyperlink ref="A3" location="Úvod!A10" display="Úvod" xr:uid="{00000000-0004-0000-0100-000003000000}"/>
    <hyperlink ref="A5" location="'Zdroje Financovania'!A1" display="Zdroje Financovania" xr:uid="{00000000-0004-0000-0100-000004000000}"/>
    <hyperlink ref="A8" location="'Parametre - Agendové IS'!A1" display="Parametre - Agendové IS" xr:uid="{00000000-0004-0000-0100-000005000000}"/>
    <hyperlink ref="A9" location="MODULY_CBA!A1" display="MODULY_CBA" xr:uid="{00000000-0004-0000-0100-000006000000}"/>
    <hyperlink ref="A10" location="INKREMENTY!A1" display="INKREMENTY" xr:uid="{00000000-0004-0000-0100-000007000000}"/>
    <hyperlink ref="A11" location="KATALOG_POZIADAVKY!A1" display="KATALOG_POZIADAVKY" xr:uid="{00000000-0004-0000-0100-000008000000}"/>
    <hyperlink ref="A12" location="TCF_v02!A1" display="TCF_v02" xr:uid="{00000000-0004-0000-0100-000009000000}"/>
    <hyperlink ref="A13" location="ECF_v02!A1" display="ECF_v02" xr:uid="{00000000-0004-0000-0100-00000A000000}"/>
    <hyperlink ref="A14" location="UAW_v02!A1" display="UAW_v02" xr:uid="{00000000-0004-0000-0100-00000B000000}"/>
    <hyperlink ref="A15" location="AKTIVITY_POZICIE!A1" display="AKTIVITY_POZICIE" xr:uid="{00000000-0004-0000-0100-00000C000000}"/>
    <hyperlink ref="A16" location="POZICIE_INTERNE!A1" display="POZICIE_INTERNE" xr:uid="{00000000-0004-0000-0100-00000D000000}"/>
    <hyperlink ref="A17" location="'Rozpocet - Vyvoj aplikacii'!A1" display="Rozpocet - Vyvoj aplikacii" xr:uid="{00000000-0004-0000-0100-00000E000000}"/>
    <hyperlink ref="A18" location="'Rozpočet - HW a licencie'!A1" display="Rozpocet - HW a licencie" xr:uid="{00000000-0004-0000-0100-00000F000000}"/>
    <hyperlink ref="A19" location="Harmonogram!A1" display="Harmonogram" xr:uid="{00000000-0004-0000-0100-000010000000}"/>
    <hyperlink ref="A20" location="TCO!A1" display="TCO" xr:uid="{00000000-0004-0000-0100-000011000000}"/>
    <hyperlink ref="A21" location="'TCO AS IS - SW'!A1" display="TCO AS IS - SW" xr:uid="{00000000-0004-0000-0100-000012000000}"/>
    <hyperlink ref="A22" location="'TCO AS IS - HW'!A1" display="TCO AS IS - HW" xr:uid="{00000000-0004-0000-0100-000013000000}"/>
    <hyperlink ref="A23" location="'TCO TO BE- SW'!A1" display="TCO TO BE - SW" xr:uid="{00000000-0004-0000-0100-000014000000}"/>
    <hyperlink ref="A24" location="'TCO TO BE - HW'!A1" display="TCO TO BE - HW" xr:uid="{00000000-0004-0000-0100-000015000000}"/>
    <hyperlink ref="A25" location="Faktory!A1" display="Faktory" xr:uid="{00000000-0004-0000-0100-000016000000}"/>
    <hyperlink ref="A27" location="'Procesné mapy'!R1C1" display="Procesné mapy" xr:uid="{00000000-0004-0000-0100-000017000000}"/>
    <hyperlink ref="A28" location="'Procesy - AS IS'!R1C1" display="Procesy AS IS" xr:uid="{00000000-0004-0000-0100-000018000000}"/>
    <hyperlink ref="A29" location="'Procesy - TO BE'!R1C1" display="Procesy TO BE" xr:uid="{00000000-0004-0000-0100-000019000000}"/>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Hárok14">
    <tabColor rgb="FF00B050"/>
  </sheetPr>
  <dimension ref="A1:J102"/>
  <sheetViews>
    <sheetView zoomScaleNormal="100" workbookViewId="0">
      <pane ySplit="2" topLeftCell="A3" activePane="bottomLeft" state="frozen"/>
      <selection pane="bottomLeft" activeCell="A3" sqref="A3"/>
    </sheetView>
  </sheetViews>
  <sheetFormatPr defaultColWidth="8.81640625" defaultRowHeight="14.5"/>
  <cols>
    <col min="1" max="1" width="57.81640625" style="365" bestFit="1" customWidth="1"/>
    <col min="2" max="2" width="71.7265625" style="365" bestFit="1" customWidth="1"/>
    <col min="3" max="3" width="12.453125" style="365" customWidth="1"/>
    <col min="4" max="4" width="16.26953125" style="365" bestFit="1" customWidth="1"/>
    <col min="5" max="5" width="13.453125" style="365" bestFit="1" customWidth="1"/>
    <col min="6" max="6" width="8.81640625" style="365"/>
    <col min="7" max="7" width="12.81640625" style="365" bestFit="1" customWidth="1"/>
    <col min="8" max="8" width="18.26953125" style="365" bestFit="1" customWidth="1"/>
    <col min="9" max="9" width="21.1796875" style="365" bestFit="1" customWidth="1"/>
    <col min="10" max="10" width="48.81640625" style="365" customWidth="1"/>
    <col min="11" max="12" width="8.81640625" style="365" customWidth="1"/>
    <col min="13" max="16384" width="8.81640625" style="365"/>
  </cols>
  <sheetData>
    <row r="1" spans="1:10" ht="15" thickBot="1">
      <c r="I1" s="445">
        <f>SUM(I3:I102)</f>
        <v>16360749</v>
      </c>
    </row>
    <row r="2" spans="1:10" ht="15" thickBot="1">
      <c r="A2" s="438" t="s">
        <v>1983</v>
      </c>
      <c r="B2" s="439" t="s">
        <v>2023</v>
      </c>
      <c r="C2" s="439" t="s">
        <v>2024</v>
      </c>
      <c r="D2" s="439" t="s">
        <v>2025</v>
      </c>
      <c r="E2" s="439" t="s">
        <v>2026</v>
      </c>
      <c r="F2" s="439" t="s">
        <v>1885</v>
      </c>
      <c r="G2" s="439" t="s">
        <v>233</v>
      </c>
      <c r="H2" s="440" t="s">
        <v>2027</v>
      </c>
      <c r="I2" s="440" t="s">
        <v>2028</v>
      </c>
      <c r="J2" s="439" t="s">
        <v>2029</v>
      </c>
    </row>
    <row r="3" spans="1:10">
      <c r="A3" s="563" t="s">
        <v>271</v>
      </c>
      <c r="B3" s="560" t="s">
        <v>2030</v>
      </c>
      <c r="C3" s="560" t="s">
        <v>104</v>
      </c>
      <c r="D3" s="560" t="s">
        <v>2031</v>
      </c>
      <c r="E3" s="561" t="s">
        <v>2032</v>
      </c>
      <c r="F3" s="561">
        <v>1</v>
      </c>
      <c r="G3" s="561">
        <v>1</v>
      </c>
      <c r="H3" s="562">
        <v>472468</v>
      </c>
      <c r="I3" s="441">
        <f t="shared" ref="I3:I29" si="0">H3*F3</f>
        <v>472468</v>
      </c>
      <c r="J3" s="565" t="s">
        <v>2033</v>
      </c>
    </row>
    <row r="4" spans="1:10">
      <c r="A4" s="563" t="s">
        <v>271</v>
      </c>
      <c r="B4" s="560" t="s">
        <v>2034</v>
      </c>
      <c r="C4" s="560" t="s">
        <v>104</v>
      </c>
      <c r="D4" s="560" t="s">
        <v>2031</v>
      </c>
      <c r="E4" s="561" t="s">
        <v>2032</v>
      </c>
      <c r="F4" s="561">
        <v>1</v>
      </c>
      <c r="G4" s="561">
        <v>1</v>
      </c>
      <c r="H4" s="562">
        <v>605062</v>
      </c>
      <c r="I4" s="441">
        <f t="shared" si="0"/>
        <v>605062</v>
      </c>
      <c r="J4" s="565" t="s">
        <v>2033</v>
      </c>
    </row>
    <row r="5" spans="1:10">
      <c r="A5" s="563" t="s">
        <v>271</v>
      </c>
      <c r="B5" s="560" t="s">
        <v>2035</v>
      </c>
      <c r="C5" s="560" t="s">
        <v>104</v>
      </c>
      <c r="D5" s="560" t="s">
        <v>2031</v>
      </c>
      <c r="E5" s="561" t="s">
        <v>2032</v>
      </c>
      <c r="F5" s="561">
        <v>1</v>
      </c>
      <c r="G5" s="561">
        <v>1</v>
      </c>
      <c r="H5" s="562">
        <v>356380</v>
      </c>
      <c r="I5" s="441">
        <f t="shared" si="0"/>
        <v>356380</v>
      </c>
      <c r="J5" s="565" t="s">
        <v>2033</v>
      </c>
    </row>
    <row r="6" spans="1:10">
      <c r="A6" s="563" t="s">
        <v>271</v>
      </c>
      <c r="B6" s="560" t="s">
        <v>2036</v>
      </c>
      <c r="C6" s="560" t="s">
        <v>104</v>
      </c>
      <c r="D6" s="560" t="s">
        <v>2031</v>
      </c>
      <c r="E6" s="561" t="s">
        <v>2032</v>
      </c>
      <c r="F6" s="561">
        <v>1</v>
      </c>
      <c r="G6" s="561">
        <v>1</v>
      </c>
      <c r="H6" s="562">
        <v>85239</v>
      </c>
      <c r="I6" s="441">
        <f t="shared" si="0"/>
        <v>85239</v>
      </c>
      <c r="J6" s="565" t="s">
        <v>2033</v>
      </c>
    </row>
    <row r="7" spans="1:10">
      <c r="A7" s="563" t="s">
        <v>271</v>
      </c>
      <c r="B7" s="560" t="s">
        <v>2037</v>
      </c>
      <c r="C7" s="560" t="s">
        <v>104</v>
      </c>
      <c r="D7" s="560" t="s">
        <v>2031</v>
      </c>
      <c r="E7" s="561" t="s">
        <v>2032</v>
      </c>
      <c r="F7" s="561">
        <v>1</v>
      </c>
      <c r="G7" s="561">
        <v>1</v>
      </c>
      <c r="H7" s="562">
        <v>207009</v>
      </c>
      <c r="I7" s="441">
        <f t="shared" si="0"/>
        <v>207009</v>
      </c>
      <c r="J7" s="565" t="s">
        <v>2033</v>
      </c>
    </row>
    <row r="8" spans="1:10">
      <c r="A8" s="563" t="s">
        <v>271</v>
      </c>
      <c r="B8" s="560" t="s">
        <v>2038</v>
      </c>
      <c r="C8" s="560" t="s">
        <v>104</v>
      </c>
      <c r="D8" s="560" t="s">
        <v>2031</v>
      </c>
      <c r="E8" s="561" t="s">
        <v>2032</v>
      </c>
      <c r="F8" s="561">
        <v>1</v>
      </c>
      <c r="G8" s="561">
        <v>1</v>
      </c>
      <c r="H8" s="562">
        <v>236234</v>
      </c>
      <c r="I8" s="441">
        <f t="shared" si="0"/>
        <v>236234</v>
      </c>
      <c r="J8" s="565" t="s">
        <v>2033</v>
      </c>
    </row>
    <row r="9" spans="1:10">
      <c r="A9" s="563" t="s">
        <v>271</v>
      </c>
      <c r="B9" s="560" t="s">
        <v>2039</v>
      </c>
      <c r="C9" s="560" t="s">
        <v>104</v>
      </c>
      <c r="D9" s="560" t="s">
        <v>2031</v>
      </c>
      <c r="E9" s="561" t="s">
        <v>2032</v>
      </c>
      <c r="F9" s="561">
        <v>1</v>
      </c>
      <c r="G9" s="561">
        <v>1</v>
      </c>
      <c r="H9" s="562">
        <v>300095</v>
      </c>
      <c r="I9" s="441">
        <f t="shared" si="0"/>
        <v>300095</v>
      </c>
      <c r="J9" s="565" t="s">
        <v>2033</v>
      </c>
    </row>
    <row r="10" spans="1:10">
      <c r="A10" s="563" t="s">
        <v>271</v>
      </c>
      <c r="B10" s="560" t="s">
        <v>2040</v>
      </c>
      <c r="C10" s="560" t="s">
        <v>104</v>
      </c>
      <c r="D10" s="560" t="s">
        <v>2031</v>
      </c>
      <c r="E10" s="561" t="s">
        <v>2032</v>
      </c>
      <c r="F10" s="561">
        <v>1</v>
      </c>
      <c r="G10" s="561">
        <v>1</v>
      </c>
      <c r="H10" s="562">
        <v>407524</v>
      </c>
      <c r="I10" s="441">
        <f t="shared" si="0"/>
        <v>407524</v>
      </c>
      <c r="J10" s="565" t="s">
        <v>2033</v>
      </c>
    </row>
    <row r="11" spans="1:10">
      <c r="A11" s="563" t="s">
        <v>271</v>
      </c>
      <c r="B11" s="560" t="s">
        <v>2041</v>
      </c>
      <c r="C11" s="560" t="s">
        <v>104</v>
      </c>
      <c r="D11" s="560" t="s">
        <v>2031</v>
      </c>
      <c r="E11" s="561" t="s">
        <v>2032</v>
      </c>
      <c r="F11" s="561">
        <v>1</v>
      </c>
      <c r="G11" s="561">
        <v>1</v>
      </c>
      <c r="H11" s="562">
        <v>552836</v>
      </c>
      <c r="I11" s="441">
        <f t="shared" si="0"/>
        <v>552836</v>
      </c>
      <c r="J11" s="565" t="s">
        <v>2033</v>
      </c>
    </row>
    <row r="12" spans="1:10">
      <c r="A12" s="563" t="s">
        <v>271</v>
      </c>
      <c r="B12" s="560" t="s">
        <v>2042</v>
      </c>
      <c r="C12" s="560" t="s">
        <v>104</v>
      </c>
      <c r="D12" s="560" t="s">
        <v>2031</v>
      </c>
      <c r="E12" s="561" t="s">
        <v>2032</v>
      </c>
      <c r="F12" s="561">
        <v>1</v>
      </c>
      <c r="G12" s="561">
        <v>1</v>
      </c>
      <c r="H12" s="562">
        <v>134218</v>
      </c>
      <c r="I12" s="441">
        <f t="shared" si="0"/>
        <v>134218</v>
      </c>
      <c r="J12" s="565" t="s">
        <v>2033</v>
      </c>
    </row>
    <row r="13" spans="1:10">
      <c r="A13" s="563" t="s">
        <v>271</v>
      </c>
      <c r="B13" s="560" t="s">
        <v>2043</v>
      </c>
      <c r="C13" s="560" t="s">
        <v>104</v>
      </c>
      <c r="D13" s="560" t="s">
        <v>2031</v>
      </c>
      <c r="E13" s="561" t="s">
        <v>2032</v>
      </c>
      <c r="F13" s="561">
        <v>1</v>
      </c>
      <c r="G13" s="561">
        <v>1</v>
      </c>
      <c r="H13" s="562">
        <v>78745</v>
      </c>
      <c r="I13" s="441">
        <f t="shared" si="0"/>
        <v>78745</v>
      </c>
      <c r="J13" s="565" t="s">
        <v>2033</v>
      </c>
    </row>
    <row r="14" spans="1:10">
      <c r="A14" s="563" t="s">
        <v>271</v>
      </c>
      <c r="B14" s="560" t="s">
        <v>2044</v>
      </c>
      <c r="C14" s="560" t="s">
        <v>104</v>
      </c>
      <c r="D14" s="560" t="s">
        <v>2031</v>
      </c>
      <c r="E14" s="561" t="s">
        <v>2032</v>
      </c>
      <c r="F14" s="561">
        <v>1</v>
      </c>
      <c r="G14" s="561">
        <v>1</v>
      </c>
      <c r="H14" s="562">
        <v>372075</v>
      </c>
      <c r="I14" s="441">
        <f t="shared" si="0"/>
        <v>372075</v>
      </c>
      <c r="J14" s="565" t="s">
        <v>2033</v>
      </c>
    </row>
    <row r="15" spans="1:10">
      <c r="A15" s="563" t="s">
        <v>271</v>
      </c>
      <c r="B15" s="560" t="s">
        <v>2045</v>
      </c>
      <c r="C15" s="560" t="s">
        <v>104</v>
      </c>
      <c r="D15" s="560" t="s">
        <v>2031</v>
      </c>
      <c r="E15" s="561" t="s">
        <v>2032</v>
      </c>
      <c r="F15" s="561">
        <v>1</v>
      </c>
      <c r="G15" s="561">
        <v>1</v>
      </c>
      <c r="H15" s="562">
        <v>104181</v>
      </c>
      <c r="I15" s="441">
        <f t="shared" si="0"/>
        <v>104181</v>
      </c>
      <c r="J15" s="565" t="s">
        <v>2033</v>
      </c>
    </row>
    <row r="16" spans="1:10">
      <c r="A16" s="563" t="s">
        <v>271</v>
      </c>
      <c r="B16" s="560" t="s">
        <v>2046</v>
      </c>
      <c r="C16" s="560" t="s">
        <v>104</v>
      </c>
      <c r="D16" s="560" t="s">
        <v>2031</v>
      </c>
      <c r="E16" s="561" t="s">
        <v>2032</v>
      </c>
      <c r="F16" s="561">
        <v>1</v>
      </c>
      <c r="G16" s="561">
        <v>1</v>
      </c>
      <c r="H16" s="562">
        <v>176161</v>
      </c>
      <c r="I16" s="441">
        <f t="shared" si="0"/>
        <v>176161</v>
      </c>
      <c r="J16" s="565" t="s">
        <v>2033</v>
      </c>
    </row>
    <row r="17" spans="1:10">
      <c r="A17" s="563" t="s">
        <v>271</v>
      </c>
      <c r="B17" s="560" t="s">
        <v>2047</v>
      </c>
      <c r="C17" s="560" t="s">
        <v>104</v>
      </c>
      <c r="D17" s="560" t="s">
        <v>2031</v>
      </c>
      <c r="E17" s="561" t="s">
        <v>2032</v>
      </c>
      <c r="F17" s="561">
        <v>1</v>
      </c>
      <c r="G17" s="561">
        <v>1</v>
      </c>
      <c r="H17" s="562">
        <v>147206</v>
      </c>
      <c r="I17" s="441">
        <f t="shared" si="0"/>
        <v>147206</v>
      </c>
      <c r="J17" s="565" t="s">
        <v>2033</v>
      </c>
    </row>
    <row r="18" spans="1:10">
      <c r="A18" s="563" t="s">
        <v>271</v>
      </c>
      <c r="B18" s="560" t="s">
        <v>2048</v>
      </c>
      <c r="C18" s="560" t="s">
        <v>104</v>
      </c>
      <c r="D18" s="560" t="s">
        <v>2031</v>
      </c>
      <c r="E18" s="561" t="s">
        <v>2032</v>
      </c>
      <c r="F18" s="561">
        <v>1</v>
      </c>
      <c r="G18" s="561">
        <v>1</v>
      </c>
      <c r="H18" s="562">
        <v>351780</v>
      </c>
      <c r="I18" s="441">
        <f t="shared" si="0"/>
        <v>351780</v>
      </c>
      <c r="J18" s="565" t="s">
        <v>2033</v>
      </c>
    </row>
    <row r="19" spans="1:10">
      <c r="A19" s="563" t="s">
        <v>271</v>
      </c>
      <c r="B19" s="560" t="s">
        <v>2049</v>
      </c>
      <c r="C19" s="560" t="s">
        <v>104</v>
      </c>
      <c r="D19" s="560" t="s">
        <v>2031</v>
      </c>
      <c r="E19" s="561" t="s">
        <v>2032</v>
      </c>
      <c r="F19" s="561">
        <v>1</v>
      </c>
      <c r="G19" s="561">
        <v>1</v>
      </c>
      <c r="H19" s="562">
        <v>511163</v>
      </c>
      <c r="I19" s="441">
        <f t="shared" si="0"/>
        <v>511163</v>
      </c>
      <c r="J19" s="565" t="s">
        <v>2033</v>
      </c>
    </row>
    <row r="20" spans="1:10">
      <c r="A20" s="563" t="s">
        <v>271</v>
      </c>
      <c r="B20" s="560" t="s">
        <v>2050</v>
      </c>
      <c r="C20" s="560" t="s">
        <v>104</v>
      </c>
      <c r="D20" s="560" t="s">
        <v>2031</v>
      </c>
      <c r="E20" s="561" t="s">
        <v>2032</v>
      </c>
      <c r="F20" s="561">
        <v>1</v>
      </c>
      <c r="G20" s="561">
        <v>1</v>
      </c>
      <c r="H20" s="562">
        <v>57908</v>
      </c>
      <c r="I20" s="441">
        <f t="shared" si="0"/>
        <v>57908</v>
      </c>
      <c r="J20" s="565" t="s">
        <v>2033</v>
      </c>
    </row>
    <row r="21" spans="1:10">
      <c r="A21" s="563" t="s">
        <v>271</v>
      </c>
      <c r="B21" s="560" t="s">
        <v>2051</v>
      </c>
      <c r="C21" s="560" t="s">
        <v>104</v>
      </c>
      <c r="D21" s="560" t="s">
        <v>2031</v>
      </c>
      <c r="E21" s="561" t="s">
        <v>2032</v>
      </c>
      <c r="F21" s="561">
        <v>1</v>
      </c>
      <c r="G21" s="561">
        <v>1</v>
      </c>
      <c r="H21" s="562">
        <v>251117</v>
      </c>
      <c r="I21" s="441">
        <f t="shared" si="0"/>
        <v>251117</v>
      </c>
      <c r="J21" s="565" t="s">
        <v>2033</v>
      </c>
    </row>
    <row r="22" spans="1:10">
      <c r="A22" s="563" t="s">
        <v>271</v>
      </c>
      <c r="B22" s="560" t="s">
        <v>2052</v>
      </c>
      <c r="C22" s="560" t="s">
        <v>104</v>
      </c>
      <c r="D22" s="560" t="s">
        <v>2031</v>
      </c>
      <c r="E22" s="561" t="s">
        <v>2032</v>
      </c>
      <c r="F22" s="561">
        <v>1</v>
      </c>
      <c r="G22" s="561">
        <v>1</v>
      </c>
      <c r="H22" s="562">
        <v>115817</v>
      </c>
      <c r="I22" s="441">
        <f t="shared" si="0"/>
        <v>115817</v>
      </c>
      <c r="J22" s="565" t="s">
        <v>2033</v>
      </c>
    </row>
    <row r="23" spans="1:10">
      <c r="A23" s="563" t="s">
        <v>271</v>
      </c>
      <c r="B23" s="560" t="s">
        <v>2053</v>
      </c>
      <c r="C23" s="560" t="s">
        <v>104</v>
      </c>
      <c r="D23" s="560" t="s">
        <v>2031</v>
      </c>
      <c r="E23" s="561" t="s">
        <v>2032</v>
      </c>
      <c r="F23" s="561">
        <v>1</v>
      </c>
      <c r="G23" s="561">
        <v>1</v>
      </c>
      <c r="H23" s="562">
        <v>386687</v>
      </c>
      <c r="I23" s="441">
        <f t="shared" si="0"/>
        <v>386687</v>
      </c>
      <c r="J23" s="565" t="s">
        <v>2033</v>
      </c>
    </row>
    <row r="24" spans="1:10">
      <c r="A24" s="563" t="s">
        <v>271</v>
      </c>
      <c r="B24" s="560" t="s">
        <v>2054</v>
      </c>
      <c r="C24" s="560" t="s">
        <v>104</v>
      </c>
      <c r="D24" s="560" t="s">
        <v>2031</v>
      </c>
      <c r="E24" s="561" t="s">
        <v>2032</v>
      </c>
      <c r="F24" s="561">
        <v>1</v>
      </c>
      <c r="G24" s="561">
        <v>1</v>
      </c>
      <c r="H24" s="562">
        <v>235693</v>
      </c>
      <c r="I24" s="441">
        <f t="shared" si="0"/>
        <v>235693</v>
      </c>
      <c r="J24" s="565" t="s">
        <v>2033</v>
      </c>
    </row>
    <row r="25" spans="1:10">
      <c r="A25" s="563" t="s">
        <v>271</v>
      </c>
      <c r="B25" s="560" t="s">
        <v>2055</v>
      </c>
      <c r="C25" s="560" t="s">
        <v>104</v>
      </c>
      <c r="D25" s="560" t="s">
        <v>2031</v>
      </c>
      <c r="E25" s="561" t="s">
        <v>2032</v>
      </c>
      <c r="F25" s="561">
        <v>1</v>
      </c>
      <c r="G25" s="561">
        <v>1</v>
      </c>
      <c r="H25" s="562">
        <v>474362</v>
      </c>
      <c r="I25" s="441">
        <f t="shared" si="0"/>
        <v>474362</v>
      </c>
      <c r="J25" s="565" t="s">
        <v>2033</v>
      </c>
    </row>
    <row r="26" spans="1:10">
      <c r="A26" s="563" t="s">
        <v>271</v>
      </c>
      <c r="B26" s="560" t="s">
        <v>2056</v>
      </c>
      <c r="C26" s="560" t="s">
        <v>104</v>
      </c>
      <c r="D26" s="560" t="s">
        <v>2031</v>
      </c>
      <c r="E26" s="561" t="s">
        <v>2032</v>
      </c>
      <c r="F26" s="561">
        <v>1</v>
      </c>
      <c r="G26" s="561">
        <v>1</v>
      </c>
      <c r="H26" s="562">
        <v>505481</v>
      </c>
      <c r="I26" s="441">
        <f t="shared" si="0"/>
        <v>505481</v>
      </c>
      <c r="J26" s="565" t="s">
        <v>2033</v>
      </c>
    </row>
    <row r="27" spans="1:10">
      <c r="A27" s="563" t="s">
        <v>271</v>
      </c>
      <c r="B27" s="560" t="s">
        <v>2057</v>
      </c>
      <c r="C27" s="560" t="s">
        <v>104</v>
      </c>
      <c r="D27" s="560" t="s">
        <v>2031</v>
      </c>
      <c r="E27" s="561" t="s">
        <v>2032</v>
      </c>
      <c r="F27" s="561">
        <v>1</v>
      </c>
      <c r="G27" s="561">
        <v>1</v>
      </c>
      <c r="H27" s="562">
        <v>230822</v>
      </c>
      <c r="I27" s="441">
        <f t="shared" si="0"/>
        <v>230822</v>
      </c>
      <c r="J27" s="565" t="s">
        <v>2033</v>
      </c>
    </row>
    <row r="28" spans="1:10">
      <c r="A28" s="563" t="s">
        <v>271</v>
      </c>
      <c r="B28" s="560" t="s">
        <v>2058</v>
      </c>
      <c r="C28" s="560" t="s">
        <v>104</v>
      </c>
      <c r="D28" s="560" t="s">
        <v>2031</v>
      </c>
      <c r="E28" s="561" t="s">
        <v>2032</v>
      </c>
      <c r="F28" s="561">
        <v>1</v>
      </c>
      <c r="G28" s="561">
        <v>1</v>
      </c>
      <c r="H28" s="562">
        <v>162089</v>
      </c>
      <c r="I28" s="441">
        <f t="shared" si="0"/>
        <v>162089</v>
      </c>
      <c r="J28" s="565" t="s">
        <v>2033</v>
      </c>
    </row>
    <row r="29" spans="1:10">
      <c r="A29" s="563" t="s">
        <v>271</v>
      </c>
      <c r="B29" s="560" t="s">
        <v>2059</v>
      </c>
      <c r="C29" s="560" t="s">
        <v>104</v>
      </c>
      <c r="D29" s="560" t="s">
        <v>2031</v>
      </c>
      <c r="E29" s="561" t="s">
        <v>2032</v>
      </c>
      <c r="F29" s="561">
        <v>1</v>
      </c>
      <c r="G29" s="561">
        <v>1</v>
      </c>
      <c r="H29" s="562">
        <v>213774</v>
      </c>
      <c r="I29" s="441">
        <f t="shared" si="0"/>
        <v>213774</v>
      </c>
      <c r="J29" s="565" t="s">
        <v>2033</v>
      </c>
    </row>
    <row r="30" spans="1:10">
      <c r="A30" s="563" t="s">
        <v>271</v>
      </c>
      <c r="B30" s="560" t="s">
        <v>2060</v>
      </c>
      <c r="C30" s="560" t="s">
        <v>104</v>
      </c>
      <c r="D30" s="560" t="s">
        <v>2031</v>
      </c>
      <c r="E30" s="561" t="s">
        <v>2032</v>
      </c>
      <c r="F30" s="561">
        <v>1</v>
      </c>
      <c r="G30" s="561">
        <v>1</v>
      </c>
      <c r="H30" s="564">
        <v>148559</v>
      </c>
      <c r="I30" s="441">
        <f t="shared" ref="I30:I93" si="1">H30*F30</f>
        <v>148559</v>
      </c>
      <c r="J30" s="565" t="s">
        <v>2033</v>
      </c>
    </row>
    <row r="31" spans="1:10">
      <c r="A31" s="563" t="s">
        <v>271</v>
      </c>
      <c r="B31" s="560" t="s">
        <v>2061</v>
      </c>
      <c r="C31" s="560" t="s">
        <v>104</v>
      </c>
      <c r="D31" s="560" t="s">
        <v>2031</v>
      </c>
      <c r="E31" s="561" t="s">
        <v>2032</v>
      </c>
      <c r="F31" s="561">
        <v>1</v>
      </c>
      <c r="G31" s="561">
        <v>1</v>
      </c>
      <c r="H31" s="564">
        <v>277365</v>
      </c>
      <c r="I31" s="441">
        <f t="shared" si="1"/>
        <v>277365</v>
      </c>
      <c r="J31" s="565" t="s">
        <v>2033</v>
      </c>
    </row>
    <row r="32" spans="1:10">
      <c r="A32" s="563" t="s">
        <v>271</v>
      </c>
      <c r="B32" s="560" t="s">
        <v>2062</v>
      </c>
      <c r="C32" s="560" t="s">
        <v>104</v>
      </c>
      <c r="D32" s="560" t="s">
        <v>2031</v>
      </c>
      <c r="E32" s="561" t="s">
        <v>2032</v>
      </c>
      <c r="F32" s="561">
        <v>1</v>
      </c>
      <c r="G32" s="561">
        <v>1</v>
      </c>
      <c r="H32" s="564">
        <v>157760</v>
      </c>
      <c r="I32" s="441">
        <f t="shared" si="1"/>
        <v>157760</v>
      </c>
      <c r="J32" s="565" t="s">
        <v>2033</v>
      </c>
    </row>
    <row r="33" spans="1:10">
      <c r="A33" s="563" t="s">
        <v>271</v>
      </c>
      <c r="B33" s="560" t="s">
        <v>2063</v>
      </c>
      <c r="C33" s="560" t="s">
        <v>104</v>
      </c>
      <c r="D33" s="560" t="s">
        <v>2031</v>
      </c>
      <c r="E33" s="561" t="s">
        <v>2032</v>
      </c>
      <c r="F33" s="561">
        <v>1</v>
      </c>
      <c r="G33" s="561">
        <v>1</v>
      </c>
      <c r="H33" s="564">
        <v>238399</v>
      </c>
      <c r="I33" s="441">
        <f t="shared" si="1"/>
        <v>238399</v>
      </c>
      <c r="J33" s="565" t="s">
        <v>2033</v>
      </c>
    </row>
    <row r="34" spans="1:10">
      <c r="A34" s="563" t="s">
        <v>271</v>
      </c>
      <c r="B34" s="560" t="s">
        <v>2064</v>
      </c>
      <c r="C34" s="560" t="s">
        <v>104</v>
      </c>
      <c r="D34" s="560" t="s">
        <v>2031</v>
      </c>
      <c r="E34" s="561" t="s">
        <v>2032</v>
      </c>
      <c r="F34" s="561">
        <v>1</v>
      </c>
      <c r="G34" s="561">
        <v>1</v>
      </c>
      <c r="H34" s="564">
        <v>562577</v>
      </c>
      <c r="I34" s="441">
        <f t="shared" si="1"/>
        <v>562577</v>
      </c>
      <c r="J34" s="565" t="s">
        <v>2033</v>
      </c>
    </row>
    <row r="35" spans="1:10">
      <c r="A35" s="563" t="s">
        <v>271</v>
      </c>
      <c r="B35" s="560" t="s">
        <v>2065</v>
      </c>
      <c r="C35" s="560" t="s">
        <v>104</v>
      </c>
      <c r="D35" s="560" t="s">
        <v>2031</v>
      </c>
      <c r="E35" s="561" t="s">
        <v>2032</v>
      </c>
      <c r="F35" s="561">
        <v>1</v>
      </c>
      <c r="G35" s="561">
        <v>1</v>
      </c>
      <c r="H35" s="564">
        <v>294142</v>
      </c>
      <c r="I35" s="441">
        <f t="shared" si="1"/>
        <v>294142</v>
      </c>
      <c r="J35" s="565" t="s">
        <v>2033</v>
      </c>
    </row>
    <row r="36" spans="1:10">
      <c r="A36" s="563" t="s">
        <v>271</v>
      </c>
      <c r="B36" s="560" t="s">
        <v>2066</v>
      </c>
      <c r="C36" s="560" t="s">
        <v>104</v>
      </c>
      <c r="D36" s="560" t="s">
        <v>2031</v>
      </c>
      <c r="E36" s="561" t="s">
        <v>2032</v>
      </c>
      <c r="F36" s="561">
        <v>1</v>
      </c>
      <c r="G36" s="561">
        <v>1</v>
      </c>
      <c r="H36" s="564">
        <v>360439</v>
      </c>
      <c r="I36" s="441">
        <f t="shared" si="1"/>
        <v>360439</v>
      </c>
      <c r="J36" s="565" t="s">
        <v>2033</v>
      </c>
    </row>
    <row r="37" spans="1:10">
      <c r="A37" s="563" t="s">
        <v>271</v>
      </c>
      <c r="B37" s="560" t="s">
        <v>2067</v>
      </c>
      <c r="C37" s="560" t="s">
        <v>104</v>
      </c>
      <c r="D37" s="560" t="s">
        <v>2031</v>
      </c>
      <c r="E37" s="561" t="s">
        <v>2032</v>
      </c>
      <c r="F37" s="561">
        <v>1</v>
      </c>
      <c r="G37" s="561">
        <v>1</v>
      </c>
      <c r="H37" s="564">
        <v>512246</v>
      </c>
      <c r="I37" s="441">
        <f t="shared" si="1"/>
        <v>512246</v>
      </c>
      <c r="J37" s="565" t="s">
        <v>2033</v>
      </c>
    </row>
    <row r="38" spans="1:10">
      <c r="A38" s="563" t="s">
        <v>271</v>
      </c>
      <c r="B38" s="560" t="s">
        <v>2068</v>
      </c>
      <c r="C38" s="560" t="s">
        <v>104</v>
      </c>
      <c r="D38" s="560" t="s">
        <v>2031</v>
      </c>
      <c r="E38" s="561" t="s">
        <v>2032</v>
      </c>
      <c r="F38" s="561">
        <v>1</v>
      </c>
      <c r="G38" s="561">
        <v>1</v>
      </c>
      <c r="H38" s="564">
        <v>505210</v>
      </c>
      <c r="I38" s="441">
        <f t="shared" si="1"/>
        <v>505210</v>
      </c>
      <c r="J38" s="565" t="s">
        <v>2033</v>
      </c>
    </row>
    <row r="39" spans="1:10">
      <c r="A39" s="563" t="s">
        <v>271</v>
      </c>
      <c r="B39" s="560" t="s">
        <v>2069</v>
      </c>
      <c r="C39" s="560" t="s">
        <v>104</v>
      </c>
      <c r="D39" s="560" t="s">
        <v>2031</v>
      </c>
      <c r="E39" s="561" t="s">
        <v>2032</v>
      </c>
      <c r="F39" s="561">
        <v>1</v>
      </c>
      <c r="G39" s="561">
        <v>1</v>
      </c>
      <c r="H39" s="564">
        <v>106616</v>
      </c>
      <c r="I39" s="441">
        <f t="shared" si="1"/>
        <v>106616</v>
      </c>
      <c r="J39" s="565" t="s">
        <v>2033</v>
      </c>
    </row>
    <row r="40" spans="1:10">
      <c r="A40" s="563" t="s">
        <v>271</v>
      </c>
      <c r="B40" s="560" t="s">
        <v>2070</v>
      </c>
      <c r="C40" s="560" t="s">
        <v>104</v>
      </c>
      <c r="D40" s="560" t="s">
        <v>2031</v>
      </c>
      <c r="E40" s="561" t="s">
        <v>2032</v>
      </c>
      <c r="F40" s="561">
        <v>1</v>
      </c>
      <c r="G40" s="561">
        <v>1</v>
      </c>
      <c r="H40" s="564">
        <v>539306</v>
      </c>
      <c r="I40" s="441">
        <f t="shared" si="1"/>
        <v>539306</v>
      </c>
      <c r="J40" s="565" t="s">
        <v>2033</v>
      </c>
    </row>
    <row r="41" spans="1:10">
      <c r="A41" s="563" t="s">
        <v>271</v>
      </c>
      <c r="B41" s="560" t="s">
        <v>2071</v>
      </c>
      <c r="C41" s="560" t="s">
        <v>104</v>
      </c>
      <c r="D41" s="560" t="s">
        <v>2031</v>
      </c>
      <c r="E41" s="561" t="s">
        <v>2032</v>
      </c>
      <c r="F41" s="561">
        <v>1</v>
      </c>
      <c r="G41" s="561">
        <v>1</v>
      </c>
      <c r="H41" s="564">
        <v>296848</v>
      </c>
      <c r="I41" s="441">
        <f t="shared" si="1"/>
        <v>296848</v>
      </c>
      <c r="J41" s="565" t="s">
        <v>2033</v>
      </c>
    </row>
    <row r="42" spans="1:10">
      <c r="A42" s="563" t="s">
        <v>271</v>
      </c>
      <c r="B42" s="560" t="s">
        <v>2072</v>
      </c>
      <c r="C42" s="560" t="s">
        <v>104</v>
      </c>
      <c r="D42" s="560" t="s">
        <v>2031</v>
      </c>
      <c r="E42" s="561" t="s">
        <v>2032</v>
      </c>
      <c r="F42" s="561">
        <v>1</v>
      </c>
      <c r="G42" s="561">
        <v>1</v>
      </c>
      <c r="H42" s="564">
        <v>522529</v>
      </c>
      <c r="I42" s="441">
        <f t="shared" si="1"/>
        <v>522529</v>
      </c>
      <c r="J42" s="565" t="s">
        <v>2033</v>
      </c>
    </row>
    <row r="43" spans="1:10">
      <c r="A43" s="563" t="s">
        <v>271</v>
      </c>
      <c r="B43" s="560" t="s">
        <v>2073</v>
      </c>
      <c r="C43" s="560" t="s">
        <v>104</v>
      </c>
      <c r="D43" s="560" t="s">
        <v>2031</v>
      </c>
      <c r="E43" s="561" t="s">
        <v>2032</v>
      </c>
      <c r="F43" s="561">
        <v>1</v>
      </c>
      <c r="G43" s="561">
        <v>1</v>
      </c>
      <c r="H43" s="564">
        <v>132594</v>
      </c>
      <c r="I43" s="441">
        <f t="shared" si="1"/>
        <v>132594</v>
      </c>
      <c r="J43" s="565" t="s">
        <v>2033</v>
      </c>
    </row>
    <row r="44" spans="1:10">
      <c r="A44" s="563" t="s">
        <v>271</v>
      </c>
      <c r="B44" s="560" t="s">
        <v>2074</v>
      </c>
      <c r="C44" s="560" t="s">
        <v>104</v>
      </c>
      <c r="D44" s="560" t="s">
        <v>2031</v>
      </c>
      <c r="E44" s="561" t="s">
        <v>2032</v>
      </c>
      <c r="F44" s="561">
        <v>1</v>
      </c>
      <c r="G44" s="561">
        <v>1</v>
      </c>
      <c r="H44" s="564">
        <v>633475</v>
      </c>
      <c r="I44" s="441">
        <f t="shared" si="1"/>
        <v>633475</v>
      </c>
      <c r="J44" s="565" t="s">
        <v>2033</v>
      </c>
    </row>
    <row r="45" spans="1:10">
      <c r="A45" s="563" t="s">
        <v>271</v>
      </c>
      <c r="B45" s="560" t="s">
        <v>2075</v>
      </c>
      <c r="C45" s="560" t="s">
        <v>104</v>
      </c>
      <c r="D45" s="560" t="s">
        <v>2031</v>
      </c>
      <c r="E45" s="561" t="s">
        <v>2032</v>
      </c>
      <c r="F45" s="561">
        <v>1</v>
      </c>
      <c r="G45" s="561">
        <v>1</v>
      </c>
      <c r="H45" s="562">
        <v>416183</v>
      </c>
      <c r="I45" s="441">
        <f t="shared" si="1"/>
        <v>416183</v>
      </c>
      <c r="J45" s="565" t="s">
        <v>2033</v>
      </c>
    </row>
    <row r="46" spans="1:10">
      <c r="A46" s="563" t="s">
        <v>271</v>
      </c>
      <c r="B46" s="560" t="s">
        <v>2076</v>
      </c>
      <c r="C46" s="560" t="s">
        <v>104</v>
      </c>
      <c r="D46" s="560" t="s">
        <v>2031</v>
      </c>
      <c r="E46" s="561" t="s">
        <v>2032</v>
      </c>
      <c r="F46" s="561">
        <v>1</v>
      </c>
      <c r="G46" s="561">
        <v>1</v>
      </c>
      <c r="H46" s="562">
        <v>98769</v>
      </c>
      <c r="I46" s="441">
        <f t="shared" si="1"/>
        <v>98769</v>
      </c>
      <c r="J46" s="565" t="s">
        <v>2033</v>
      </c>
    </row>
    <row r="47" spans="1:10">
      <c r="A47" s="563" t="s">
        <v>271</v>
      </c>
      <c r="B47" s="560" t="s">
        <v>2077</v>
      </c>
      <c r="C47" s="560" t="s">
        <v>104</v>
      </c>
      <c r="D47" s="560" t="s">
        <v>2031</v>
      </c>
      <c r="E47" s="561" t="s">
        <v>2032</v>
      </c>
      <c r="F47" s="561">
        <v>1</v>
      </c>
      <c r="G47" s="561">
        <v>1</v>
      </c>
      <c r="H47" s="562">
        <v>310108</v>
      </c>
      <c r="I47" s="441">
        <f t="shared" si="1"/>
        <v>310108</v>
      </c>
      <c r="J47" s="565" t="s">
        <v>2033</v>
      </c>
    </row>
    <row r="48" spans="1:10">
      <c r="A48" s="563" t="s">
        <v>271</v>
      </c>
      <c r="B48" s="560" t="s">
        <v>2078</v>
      </c>
      <c r="C48" s="560" t="s">
        <v>104</v>
      </c>
      <c r="D48" s="560" t="s">
        <v>2031</v>
      </c>
      <c r="E48" s="561" t="s">
        <v>2032</v>
      </c>
      <c r="F48" s="561">
        <v>1</v>
      </c>
      <c r="G48" s="561">
        <v>1</v>
      </c>
      <c r="H48" s="562">
        <v>657558</v>
      </c>
      <c r="I48" s="441">
        <f t="shared" si="1"/>
        <v>657558</v>
      </c>
      <c r="J48" s="565" t="s">
        <v>2033</v>
      </c>
    </row>
    <row r="49" spans="1:10">
      <c r="A49" s="563" t="s">
        <v>271</v>
      </c>
      <c r="B49" s="560" t="s">
        <v>2079</v>
      </c>
      <c r="C49" s="560" t="s">
        <v>104</v>
      </c>
      <c r="D49" s="560" t="s">
        <v>2031</v>
      </c>
      <c r="E49" s="561" t="s">
        <v>2032</v>
      </c>
      <c r="F49" s="561">
        <v>1</v>
      </c>
      <c r="G49" s="561">
        <v>1</v>
      </c>
      <c r="H49" s="562">
        <v>621027</v>
      </c>
      <c r="I49" s="441">
        <f t="shared" si="1"/>
        <v>621027</v>
      </c>
      <c r="J49" s="565" t="s">
        <v>2033</v>
      </c>
    </row>
    <row r="50" spans="1:10">
      <c r="A50" s="563" t="s">
        <v>271</v>
      </c>
      <c r="B50" s="560" t="s">
        <v>2080</v>
      </c>
      <c r="C50" s="560" t="s">
        <v>104</v>
      </c>
      <c r="D50" s="560" t="s">
        <v>2031</v>
      </c>
      <c r="E50" s="561" t="s">
        <v>2032</v>
      </c>
      <c r="F50" s="561">
        <v>1</v>
      </c>
      <c r="G50" s="561">
        <v>1</v>
      </c>
      <c r="H50" s="562">
        <v>415642</v>
      </c>
      <c r="I50" s="441">
        <f t="shared" si="1"/>
        <v>415642</v>
      </c>
      <c r="J50" s="565" t="s">
        <v>2033</v>
      </c>
    </row>
    <row r="51" spans="1:10">
      <c r="A51" s="563" t="s">
        <v>271</v>
      </c>
      <c r="B51" s="560" t="s">
        <v>2081</v>
      </c>
      <c r="C51" s="560" t="s">
        <v>104</v>
      </c>
      <c r="D51" s="560" t="s">
        <v>2031</v>
      </c>
      <c r="E51" s="561" t="s">
        <v>2032</v>
      </c>
      <c r="F51" s="561">
        <v>1</v>
      </c>
      <c r="G51" s="561">
        <v>1</v>
      </c>
      <c r="H51" s="562">
        <v>409418</v>
      </c>
      <c r="I51" s="441">
        <f t="shared" si="1"/>
        <v>409418</v>
      </c>
      <c r="J51" s="565" t="s">
        <v>2033</v>
      </c>
    </row>
    <row r="52" spans="1:10">
      <c r="A52" s="563" t="s">
        <v>271</v>
      </c>
      <c r="B52" s="560" t="s">
        <v>2082</v>
      </c>
      <c r="C52" s="560" t="s">
        <v>104</v>
      </c>
      <c r="D52" s="560" t="s">
        <v>2031</v>
      </c>
      <c r="E52" s="561" t="s">
        <v>2032</v>
      </c>
      <c r="F52" s="561">
        <v>1</v>
      </c>
      <c r="G52" s="561">
        <v>1</v>
      </c>
      <c r="H52" s="562">
        <v>411853</v>
      </c>
      <c r="I52" s="441">
        <f t="shared" si="1"/>
        <v>411853</v>
      </c>
      <c r="J52" s="565" t="s">
        <v>2033</v>
      </c>
    </row>
    <row r="53" spans="1:10">
      <c r="A53" s="563"/>
      <c r="B53" s="560"/>
      <c r="C53" s="560"/>
      <c r="D53" s="560"/>
      <c r="E53" s="561"/>
      <c r="F53" s="561"/>
      <c r="G53" s="561"/>
      <c r="H53" s="562"/>
      <c r="I53" s="441">
        <f t="shared" si="1"/>
        <v>0</v>
      </c>
      <c r="J53" s="565"/>
    </row>
    <row r="54" spans="1:10">
      <c r="A54" s="563"/>
      <c r="B54" s="560"/>
      <c r="C54" s="560"/>
      <c r="D54" s="560"/>
      <c r="E54" s="561"/>
      <c r="F54" s="561"/>
      <c r="G54" s="561"/>
      <c r="H54" s="562"/>
      <c r="I54" s="441">
        <f t="shared" si="1"/>
        <v>0</v>
      </c>
      <c r="J54" s="565"/>
    </row>
    <row r="55" spans="1:10">
      <c r="A55" s="563"/>
      <c r="B55" s="560"/>
      <c r="C55" s="560"/>
      <c r="D55" s="560"/>
      <c r="E55" s="561"/>
      <c r="F55" s="561"/>
      <c r="G55" s="561"/>
      <c r="H55" s="562"/>
      <c r="I55" s="441">
        <f t="shared" si="1"/>
        <v>0</v>
      </c>
      <c r="J55" s="565"/>
    </row>
    <row r="56" spans="1:10">
      <c r="A56" s="563"/>
      <c r="B56" s="560"/>
      <c r="C56" s="560"/>
      <c r="D56" s="560"/>
      <c r="E56" s="561"/>
      <c r="F56" s="561"/>
      <c r="G56" s="561"/>
      <c r="H56" s="562"/>
      <c r="I56" s="441">
        <f t="shared" si="1"/>
        <v>0</v>
      </c>
      <c r="J56" s="565"/>
    </row>
    <row r="57" spans="1:10">
      <c r="A57" s="563"/>
      <c r="B57" s="560"/>
      <c r="C57" s="560"/>
      <c r="D57" s="560"/>
      <c r="E57" s="561"/>
      <c r="F57" s="561"/>
      <c r="G57" s="561"/>
      <c r="H57" s="562"/>
      <c r="I57" s="441">
        <f t="shared" si="1"/>
        <v>0</v>
      </c>
      <c r="J57" s="565"/>
    </row>
    <row r="58" spans="1:10">
      <c r="A58" s="563"/>
      <c r="B58" s="560"/>
      <c r="C58" s="560"/>
      <c r="D58" s="560"/>
      <c r="E58" s="561"/>
      <c r="F58" s="561"/>
      <c r="G58" s="561"/>
      <c r="H58" s="562"/>
      <c r="I58" s="441">
        <f t="shared" si="1"/>
        <v>0</v>
      </c>
      <c r="J58" s="565"/>
    </row>
    <row r="59" spans="1:10">
      <c r="A59" s="563"/>
      <c r="B59" s="560"/>
      <c r="C59" s="560"/>
      <c r="D59" s="560"/>
      <c r="E59" s="561"/>
      <c r="F59" s="561"/>
      <c r="G59" s="561"/>
      <c r="H59" s="562"/>
      <c r="I59" s="441">
        <f t="shared" si="1"/>
        <v>0</v>
      </c>
      <c r="J59" s="565"/>
    </row>
    <row r="60" spans="1:10">
      <c r="A60" s="563"/>
      <c r="B60" s="560"/>
      <c r="C60" s="560"/>
      <c r="D60" s="560"/>
      <c r="E60" s="561"/>
      <c r="F60" s="561"/>
      <c r="G60" s="561"/>
      <c r="H60" s="562"/>
      <c r="I60" s="441">
        <f t="shared" si="1"/>
        <v>0</v>
      </c>
      <c r="J60" s="565"/>
    </row>
    <row r="61" spans="1:10">
      <c r="A61" s="563"/>
      <c r="B61" s="560"/>
      <c r="C61" s="560"/>
      <c r="D61" s="560"/>
      <c r="E61" s="561"/>
      <c r="F61" s="561"/>
      <c r="G61" s="561"/>
      <c r="H61" s="562"/>
      <c r="I61" s="441">
        <f t="shared" si="1"/>
        <v>0</v>
      </c>
      <c r="J61" s="565"/>
    </row>
    <row r="62" spans="1:10">
      <c r="A62" s="563"/>
      <c r="B62" s="560"/>
      <c r="C62" s="560"/>
      <c r="D62" s="560"/>
      <c r="E62" s="561"/>
      <c r="F62" s="561"/>
      <c r="G62" s="561"/>
      <c r="H62" s="562"/>
      <c r="I62" s="441">
        <f t="shared" si="1"/>
        <v>0</v>
      </c>
      <c r="J62" s="565"/>
    </row>
    <row r="63" spans="1:10">
      <c r="A63" s="563"/>
      <c r="B63" s="560"/>
      <c r="C63" s="560"/>
      <c r="D63" s="560"/>
      <c r="E63" s="561"/>
      <c r="F63" s="561"/>
      <c r="G63" s="561"/>
      <c r="H63" s="562"/>
      <c r="I63" s="441">
        <f t="shared" si="1"/>
        <v>0</v>
      </c>
      <c r="J63" s="565"/>
    </row>
    <row r="64" spans="1:10">
      <c r="A64" s="563"/>
      <c r="B64" s="560"/>
      <c r="C64" s="560"/>
      <c r="D64" s="560"/>
      <c r="E64" s="561"/>
      <c r="F64" s="561"/>
      <c r="G64" s="561"/>
      <c r="H64" s="562"/>
      <c r="I64" s="441">
        <f t="shared" si="1"/>
        <v>0</v>
      </c>
      <c r="J64" s="565"/>
    </row>
    <row r="65" spans="1:10">
      <c r="A65" s="563"/>
      <c r="B65" s="560"/>
      <c r="C65" s="560"/>
      <c r="D65" s="560"/>
      <c r="E65" s="561"/>
      <c r="F65" s="561"/>
      <c r="G65" s="561"/>
      <c r="H65" s="562"/>
      <c r="I65" s="441">
        <f t="shared" si="1"/>
        <v>0</v>
      </c>
      <c r="J65" s="565"/>
    </row>
    <row r="66" spans="1:10">
      <c r="A66" s="563"/>
      <c r="B66" s="560"/>
      <c r="C66" s="560"/>
      <c r="D66" s="560"/>
      <c r="E66" s="561"/>
      <c r="F66" s="561"/>
      <c r="G66" s="561"/>
      <c r="H66" s="562"/>
      <c r="I66" s="441">
        <f t="shared" si="1"/>
        <v>0</v>
      </c>
      <c r="J66" s="565"/>
    </row>
    <row r="67" spans="1:10">
      <c r="A67" s="563"/>
      <c r="B67" s="560"/>
      <c r="C67" s="560"/>
      <c r="D67" s="560"/>
      <c r="E67" s="561"/>
      <c r="F67" s="561"/>
      <c r="G67" s="561"/>
      <c r="H67" s="562"/>
      <c r="I67" s="441">
        <f t="shared" si="1"/>
        <v>0</v>
      </c>
      <c r="J67" s="565"/>
    </row>
    <row r="68" spans="1:10">
      <c r="A68" s="563"/>
      <c r="B68" s="560"/>
      <c r="C68" s="560"/>
      <c r="D68" s="560"/>
      <c r="E68" s="561"/>
      <c r="F68" s="561"/>
      <c r="G68" s="561"/>
      <c r="H68" s="562"/>
      <c r="I68" s="441">
        <f t="shared" si="1"/>
        <v>0</v>
      </c>
      <c r="J68" s="565"/>
    </row>
    <row r="69" spans="1:10">
      <c r="A69" s="563"/>
      <c r="B69" s="560"/>
      <c r="C69" s="560"/>
      <c r="D69" s="560"/>
      <c r="E69" s="561"/>
      <c r="F69" s="561"/>
      <c r="G69" s="561"/>
      <c r="H69" s="562"/>
      <c r="I69" s="441">
        <f t="shared" si="1"/>
        <v>0</v>
      </c>
      <c r="J69" s="565"/>
    </row>
    <row r="70" spans="1:10">
      <c r="A70" s="563"/>
      <c r="B70" s="560"/>
      <c r="C70" s="560"/>
      <c r="D70" s="560"/>
      <c r="E70" s="561"/>
      <c r="F70" s="561"/>
      <c r="G70" s="561"/>
      <c r="H70" s="562"/>
      <c r="I70" s="441">
        <f t="shared" si="1"/>
        <v>0</v>
      </c>
      <c r="J70" s="565"/>
    </row>
    <row r="71" spans="1:10">
      <c r="A71" s="563"/>
      <c r="B71" s="560"/>
      <c r="C71" s="560"/>
      <c r="D71" s="560"/>
      <c r="E71" s="561"/>
      <c r="F71" s="561"/>
      <c r="G71" s="561"/>
      <c r="H71" s="562"/>
      <c r="I71" s="441">
        <f t="shared" si="1"/>
        <v>0</v>
      </c>
      <c r="J71" s="565"/>
    </row>
    <row r="72" spans="1:10">
      <c r="A72" s="563"/>
      <c r="B72" s="560"/>
      <c r="C72" s="560"/>
      <c r="D72" s="560"/>
      <c r="E72" s="561"/>
      <c r="F72" s="561"/>
      <c r="G72" s="561"/>
      <c r="H72" s="562"/>
      <c r="I72" s="441">
        <f t="shared" si="1"/>
        <v>0</v>
      </c>
      <c r="J72" s="565"/>
    </row>
    <row r="73" spans="1:10">
      <c r="A73" s="563"/>
      <c r="B73" s="560"/>
      <c r="C73" s="560"/>
      <c r="D73" s="560"/>
      <c r="E73" s="561"/>
      <c r="F73" s="561"/>
      <c r="G73" s="561"/>
      <c r="H73" s="562"/>
      <c r="I73" s="441">
        <f t="shared" si="1"/>
        <v>0</v>
      </c>
      <c r="J73" s="565"/>
    </row>
    <row r="74" spans="1:10">
      <c r="A74" s="563"/>
      <c r="B74" s="560"/>
      <c r="C74" s="560"/>
      <c r="D74" s="560"/>
      <c r="E74" s="561"/>
      <c r="F74" s="561"/>
      <c r="G74" s="561"/>
      <c r="H74" s="562"/>
      <c r="I74" s="441">
        <f t="shared" si="1"/>
        <v>0</v>
      </c>
      <c r="J74" s="565"/>
    </row>
    <row r="75" spans="1:10">
      <c r="A75" s="563"/>
      <c r="B75" s="560"/>
      <c r="C75" s="560"/>
      <c r="D75" s="560"/>
      <c r="E75" s="561"/>
      <c r="F75" s="561"/>
      <c r="G75" s="561"/>
      <c r="H75" s="562"/>
      <c r="I75" s="441">
        <f t="shared" si="1"/>
        <v>0</v>
      </c>
      <c r="J75" s="565"/>
    </row>
    <row r="76" spans="1:10">
      <c r="A76" s="563"/>
      <c r="B76" s="560"/>
      <c r="C76" s="560"/>
      <c r="D76" s="560"/>
      <c r="E76" s="561"/>
      <c r="F76" s="561"/>
      <c r="G76" s="561"/>
      <c r="H76" s="562"/>
      <c r="I76" s="441">
        <f t="shared" si="1"/>
        <v>0</v>
      </c>
      <c r="J76" s="565"/>
    </row>
    <row r="77" spans="1:10">
      <c r="A77" s="563"/>
      <c r="B77" s="560"/>
      <c r="C77" s="560"/>
      <c r="D77" s="560"/>
      <c r="E77" s="561"/>
      <c r="F77" s="561"/>
      <c r="G77" s="561"/>
      <c r="H77" s="562"/>
      <c r="I77" s="441">
        <f t="shared" si="1"/>
        <v>0</v>
      </c>
      <c r="J77" s="565"/>
    </row>
    <row r="78" spans="1:10">
      <c r="A78" s="563"/>
      <c r="B78" s="560"/>
      <c r="C78" s="560"/>
      <c r="D78" s="560"/>
      <c r="E78" s="561"/>
      <c r="F78" s="561"/>
      <c r="G78" s="561"/>
      <c r="H78" s="562"/>
      <c r="I78" s="441">
        <f t="shared" si="1"/>
        <v>0</v>
      </c>
      <c r="J78" s="565"/>
    </row>
    <row r="79" spans="1:10">
      <c r="A79" s="563"/>
      <c r="B79" s="560"/>
      <c r="C79" s="560"/>
      <c r="D79" s="560"/>
      <c r="E79" s="561"/>
      <c r="F79" s="561"/>
      <c r="G79" s="561"/>
      <c r="H79" s="562"/>
      <c r="I79" s="441">
        <f t="shared" si="1"/>
        <v>0</v>
      </c>
      <c r="J79" s="565"/>
    </row>
    <row r="80" spans="1:10">
      <c r="A80" s="563"/>
      <c r="B80" s="560"/>
      <c r="C80" s="560"/>
      <c r="D80" s="560"/>
      <c r="E80" s="561"/>
      <c r="F80" s="561"/>
      <c r="G80" s="561"/>
      <c r="H80" s="562"/>
      <c r="I80" s="441">
        <f t="shared" si="1"/>
        <v>0</v>
      </c>
      <c r="J80" s="565"/>
    </row>
    <row r="81" spans="1:10">
      <c r="A81" s="563"/>
      <c r="B81" s="560"/>
      <c r="C81" s="560"/>
      <c r="D81" s="560"/>
      <c r="E81" s="561"/>
      <c r="F81" s="561"/>
      <c r="G81" s="561"/>
      <c r="H81" s="562"/>
      <c r="I81" s="441">
        <f t="shared" si="1"/>
        <v>0</v>
      </c>
      <c r="J81" s="565"/>
    </row>
    <row r="82" spans="1:10">
      <c r="A82" s="563"/>
      <c r="B82" s="560"/>
      <c r="C82" s="560"/>
      <c r="D82" s="560"/>
      <c r="E82" s="561"/>
      <c r="F82" s="561"/>
      <c r="G82" s="561"/>
      <c r="H82" s="562"/>
      <c r="I82" s="441">
        <f t="shared" si="1"/>
        <v>0</v>
      </c>
      <c r="J82" s="565"/>
    </row>
    <row r="83" spans="1:10">
      <c r="A83" s="563"/>
      <c r="B83" s="560"/>
      <c r="C83" s="560"/>
      <c r="D83" s="560"/>
      <c r="E83" s="561"/>
      <c r="F83" s="561"/>
      <c r="G83" s="561"/>
      <c r="H83" s="562"/>
      <c r="I83" s="441">
        <f t="shared" si="1"/>
        <v>0</v>
      </c>
      <c r="J83" s="565"/>
    </row>
    <row r="84" spans="1:10">
      <c r="A84" s="563"/>
      <c r="B84" s="560"/>
      <c r="C84" s="560"/>
      <c r="D84" s="560"/>
      <c r="E84" s="561"/>
      <c r="F84" s="561"/>
      <c r="G84" s="561"/>
      <c r="H84" s="562"/>
      <c r="I84" s="441">
        <f t="shared" si="1"/>
        <v>0</v>
      </c>
      <c r="J84" s="565"/>
    </row>
    <row r="85" spans="1:10">
      <c r="A85" s="563"/>
      <c r="B85" s="560"/>
      <c r="C85" s="560"/>
      <c r="D85" s="560"/>
      <c r="E85" s="561"/>
      <c r="F85" s="561"/>
      <c r="G85" s="561"/>
      <c r="H85" s="562"/>
      <c r="I85" s="441">
        <f t="shared" si="1"/>
        <v>0</v>
      </c>
      <c r="J85" s="565"/>
    </row>
    <row r="86" spans="1:10">
      <c r="A86" s="563"/>
      <c r="B86" s="560"/>
      <c r="C86" s="560"/>
      <c r="D86" s="560"/>
      <c r="E86" s="561"/>
      <c r="F86" s="561"/>
      <c r="G86" s="561"/>
      <c r="H86" s="562"/>
      <c r="I86" s="441">
        <f t="shared" si="1"/>
        <v>0</v>
      </c>
      <c r="J86" s="565"/>
    </row>
    <row r="87" spans="1:10">
      <c r="A87" s="563"/>
      <c r="B87" s="560"/>
      <c r="C87" s="560"/>
      <c r="D87" s="560"/>
      <c r="E87" s="561"/>
      <c r="F87" s="561"/>
      <c r="G87" s="561"/>
      <c r="H87" s="562"/>
      <c r="I87" s="441">
        <f t="shared" si="1"/>
        <v>0</v>
      </c>
      <c r="J87" s="565"/>
    </row>
    <row r="88" spans="1:10">
      <c r="A88" s="563"/>
      <c r="B88" s="560"/>
      <c r="C88" s="560"/>
      <c r="D88" s="560"/>
      <c r="E88" s="561"/>
      <c r="F88" s="561"/>
      <c r="G88" s="561"/>
      <c r="H88" s="562"/>
      <c r="I88" s="441">
        <f t="shared" si="1"/>
        <v>0</v>
      </c>
      <c r="J88" s="565"/>
    </row>
    <row r="89" spans="1:10">
      <c r="A89" s="563"/>
      <c r="B89" s="560"/>
      <c r="C89" s="560"/>
      <c r="D89" s="560"/>
      <c r="E89" s="561"/>
      <c r="F89" s="561"/>
      <c r="G89" s="561"/>
      <c r="H89" s="562"/>
      <c r="I89" s="441">
        <f t="shared" si="1"/>
        <v>0</v>
      </c>
      <c r="J89" s="565"/>
    </row>
    <row r="90" spans="1:10">
      <c r="A90" s="563"/>
      <c r="B90" s="560"/>
      <c r="C90" s="560"/>
      <c r="D90" s="560"/>
      <c r="E90" s="561"/>
      <c r="F90" s="561"/>
      <c r="G90" s="561"/>
      <c r="H90" s="562"/>
      <c r="I90" s="441">
        <f t="shared" si="1"/>
        <v>0</v>
      </c>
      <c r="J90" s="565"/>
    </row>
    <row r="91" spans="1:10">
      <c r="A91" s="563"/>
      <c r="B91" s="560"/>
      <c r="C91" s="560"/>
      <c r="D91" s="560"/>
      <c r="E91" s="561"/>
      <c r="F91" s="561"/>
      <c r="G91" s="561"/>
      <c r="H91" s="562"/>
      <c r="I91" s="441">
        <f t="shared" si="1"/>
        <v>0</v>
      </c>
      <c r="J91" s="565"/>
    </row>
    <row r="92" spans="1:10">
      <c r="A92" s="563"/>
      <c r="B92" s="560"/>
      <c r="C92" s="560"/>
      <c r="D92" s="560"/>
      <c r="E92" s="561"/>
      <c r="F92" s="561"/>
      <c r="G92" s="561"/>
      <c r="H92" s="562"/>
      <c r="I92" s="441">
        <f t="shared" si="1"/>
        <v>0</v>
      </c>
      <c r="J92" s="565"/>
    </row>
    <row r="93" spans="1:10">
      <c r="A93" s="563"/>
      <c r="B93" s="560"/>
      <c r="C93" s="560"/>
      <c r="D93" s="560"/>
      <c r="E93" s="561"/>
      <c r="F93" s="561"/>
      <c r="G93" s="561"/>
      <c r="H93" s="562"/>
      <c r="I93" s="441">
        <f t="shared" si="1"/>
        <v>0</v>
      </c>
      <c r="J93" s="565"/>
    </row>
    <row r="94" spans="1:10">
      <c r="A94" s="563"/>
      <c r="B94" s="560"/>
      <c r="C94" s="560"/>
      <c r="D94" s="560"/>
      <c r="E94" s="561"/>
      <c r="F94" s="561"/>
      <c r="G94" s="561"/>
      <c r="H94" s="562"/>
      <c r="I94" s="441">
        <f t="shared" ref="I94:I102" si="2">H94*F94</f>
        <v>0</v>
      </c>
      <c r="J94" s="565"/>
    </row>
    <row r="95" spans="1:10">
      <c r="A95" s="563"/>
      <c r="B95" s="560"/>
      <c r="C95" s="560"/>
      <c r="D95" s="560"/>
      <c r="E95" s="561"/>
      <c r="F95" s="561"/>
      <c r="G95" s="561"/>
      <c r="H95" s="562"/>
      <c r="I95" s="441">
        <f t="shared" si="2"/>
        <v>0</v>
      </c>
      <c r="J95" s="565"/>
    </row>
    <row r="96" spans="1:10">
      <c r="A96" s="563"/>
      <c r="B96" s="560"/>
      <c r="C96" s="560"/>
      <c r="D96" s="560"/>
      <c r="E96" s="561"/>
      <c r="F96" s="561"/>
      <c r="G96" s="561"/>
      <c r="H96" s="562"/>
      <c r="I96" s="441">
        <f t="shared" si="2"/>
        <v>0</v>
      </c>
      <c r="J96" s="565"/>
    </row>
    <row r="97" spans="1:10">
      <c r="A97" s="563"/>
      <c r="B97" s="560"/>
      <c r="C97" s="560"/>
      <c r="D97" s="560"/>
      <c r="E97" s="561"/>
      <c r="F97" s="561"/>
      <c r="G97" s="561"/>
      <c r="H97" s="562"/>
      <c r="I97" s="441">
        <f t="shared" si="2"/>
        <v>0</v>
      </c>
      <c r="J97" s="565"/>
    </row>
    <row r="98" spans="1:10">
      <c r="A98" s="563"/>
      <c r="B98" s="560"/>
      <c r="C98" s="560"/>
      <c r="D98" s="560"/>
      <c r="E98" s="561"/>
      <c r="F98" s="561"/>
      <c r="G98" s="561"/>
      <c r="H98" s="562"/>
      <c r="I98" s="441">
        <f t="shared" si="2"/>
        <v>0</v>
      </c>
      <c r="J98" s="565"/>
    </row>
    <row r="99" spans="1:10">
      <c r="A99" s="563"/>
      <c r="B99" s="560"/>
      <c r="C99" s="560"/>
      <c r="D99" s="560"/>
      <c r="E99" s="561"/>
      <c r="F99" s="561"/>
      <c r="G99" s="561"/>
      <c r="H99" s="562"/>
      <c r="I99" s="441">
        <f t="shared" si="2"/>
        <v>0</v>
      </c>
      <c r="J99" s="565"/>
    </row>
    <row r="100" spans="1:10">
      <c r="A100" s="563"/>
      <c r="B100" s="560"/>
      <c r="C100" s="560"/>
      <c r="D100" s="560"/>
      <c r="E100" s="561"/>
      <c r="F100" s="561"/>
      <c r="G100" s="561"/>
      <c r="H100" s="562"/>
      <c r="I100" s="441">
        <f t="shared" si="2"/>
        <v>0</v>
      </c>
      <c r="J100" s="565"/>
    </row>
    <row r="101" spans="1:10">
      <c r="A101" s="563"/>
      <c r="B101" s="560"/>
      <c r="C101" s="560"/>
      <c r="D101" s="560"/>
      <c r="E101" s="561"/>
      <c r="F101" s="561"/>
      <c r="G101" s="561"/>
      <c r="H101" s="562"/>
      <c r="I101" s="441">
        <f t="shared" si="2"/>
        <v>0</v>
      </c>
      <c r="J101" s="565"/>
    </row>
    <row r="102" spans="1:10">
      <c r="A102" s="563"/>
      <c r="B102" s="560"/>
      <c r="C102" s="560"/>
      <c r="D102" s="560"/>
      <c r="E102" s="561"/>
      <c r="F102" s="561"/>
      <c r="G102" s="561"/>
      <c r="H102" s="562"/>
      <c r="I102" s="441">
        <f t="shared" si="2"/>
        <v>0</v>
      </c>
      <c r="J102" s="565"/>
    </row>
  </sheetData>
  <autoFilter ref="A2:J44" xr:uid="{00000000-0009-0000-0000-000013000000}"/>
  <sortState xmlns:xlrd2="http://schemas.microsoft.com/office/spreadsheetml/2017/richdata2" ref="A3:J29">
    <sortCondition ref="A2:A29"/>
  </sortState>
  <dataValidations count="3">
    <dataValidation type="list" allowBlank="1" showInputMessage="1" showErrorMessage="1" sqref="A3:A102" xr:uid="{00000000-0002-0000-1300-000000000000}">
      <formula1>MODULY</formula1>
    </dataValidation>
    <dataValidation type="list" allowBlank="1" showInputMessage="1" showErrorMessage="1" sqref="C3:C102" xr:uid="{00000000-0002-0000-1300-000001000000}">
      <formula1>"HW,SW, SW pre HW"</formula1>
    </dataValidation>
    <dataValidation type="list" allowBlank="1" showInputMessage="1" showErrorMessage="1" sqref="D3:D102" xr:uid="{00000000-0002-0000-1300-000002000000}">
      <formula1>"013 Softvér,022 Samostatné hnuteľné veci a súbory hnuteľných vecí,112 Zásoby"</formula1>
    </dataValidation>
  </dataValidations>
  <pageMargins left="0.7" right="0.7" top="0.75" bottom="0.75" header="0.3" footer="0.3"/>
  <pageSetup paperSize="9" scale="55"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Hárok16">
    <tabColor rgb="FF00B050"/>
  </sheetPr>
  <dimension ref="A1:J107"/>
  <sheetViews>
    <sheetView zoomScale="115" zoomScaleNormal="115" workbookViewId="0">
      <pane ySplit="2" topLeftCell="A13" activePane="bottomLeft" state="frozen"/>
      <selection activeCell="J3" sqref="J3:J11"/>
      <selection pane="bottomLeft" activeCell="AE32" sqref="AE32"/>
    </sheetView>
  </sheetViews>
  <sheetFormatPr defaultColWidth="8.81640625" defaultRowHeight="14.5"/>
  <cols>
    <col min="1" max="1" width="3" style="365" customWidth="1"/>
    <col min="2" max="2" width="24.1796875" style="365" customWidth="1"/>
    <col min="3" max="3" width="28.7265625" style="365" customWidth="1"/>
    <col min="4" max="6" width="13.81640625" style="365" customWidth="1"/>
    <col min="7" max="10" width="12.1796875" style="365" customWidth="1"/>
    <col min="11" max="16384" width="8.81640625" style="365"/>
  </cols>
  <sheetData>
    <row r="1" spans="1:10">
      <c r="B1" s="367"/>
      <c r="C1" s="367"/>
      <c r="D1" s="367"/>
      <c r="E1" s="367"/>
      <c r="F1" s="367"/>
      <c r="G1" s="838" t="s">
        <v>2083</v>
      </c>
      <c r="H1" s="838"/>
      <c r="I1" s="838"/>
      <c r="J1" s="838"/>
    </row>
    <row r="2" spans="1:10" s="369" customFormat="1" ht="29">
      <c r="A2" s="368" t="s">
        <v>226</v>
      </c>
      <c r="B2" s="368" t="s">
        <v>1983</v>
      </c>
      <c r="C2" s="368" t="s">
        <v>2084</v>
      </c>
      <c r="D2" s="534" t="s">
        <v>232</v>
      </c>
      <c r="E2" s="534" t="s">
        <v>2085</v>
      </c>
      <c r="F2" s="534" t="s">
        <v>2086</v>
      </c>
      <c r="G2" s="534" t="s">
        <v>2087</v>
      </c>
      <c r="H2" s="479" t="s">
        <v>2088</v>
      </c>
      <c r="I2" s="534" t="s">
        <v>2089</v>
      </c>
      <c r="J2" s="534" t="s">
        <v>432</v>
      </c>
    </row>
    <row r="3" spans="1:10">
      <c r="A3" s="835">
        <v>1</v>
      </c>
      <c r="B3" s="837" t="s">
        <v>242</v>
      </c>
      <c r="C3" s="370" t="str">
        <f>IFERROR(IF(ISTEXT(B3),"Analýza a dizajn",""),)</f>
        <v>Analýza a dizajn</v>
      </c>
      <c r="D3" s="370" t="str">
        <f>IFERROR(VLOOKUP(B3,MODULY_CBA!$B$3:$I$23,6,0),"")</f>
        <v>Inkrement 2</v>
      </c>
      <c r="E3" s="371">
        <f>IFERROR(VLOOKUP(D3,INKREMENTY!$A$2:$F$21,2,0),"")</f>
        <v>46753</v>
      </c>
      <c r="F3" s="371">
        <f>IFERROR(VLOOKUP(D3,INKREMENTY!$A$2:$F$21,4,0),"")</f>
        <v>47118</v>
      </c>
      <c r="G3" s="370">
        <f>IFERROR(ROUND(((E3-$E$3)+1)/30,0)+1,)</f>
        <v>1</v>
      </c>
      <c r="H3" s="370">
        <f>G3-1</f>
        <v>0</v>
      </c>
      <c r="I3" s="551">
        <v>3</v>
      </c>
      <c r="J3" s="370">
        <f>H3+I3</f>
        <v>3</v>
      </c>
    </row>
    <row r="4" spans="1:10">
      <c r="A4" s="835"/>
      <c r="B4" s="837"/>
      <c r="C4" s="370" t="str">
        <f>IFERROR(IF(ISTEXT(B3),"Nákupo HW a krabicový SW",""),)</f>
        <v>Nákupo HW a krabicový SW</v>
      </c>
      <c r="D4" s="367"/>
      <c r="E4" s="367"/>
      <c r="F4" s="367"/>
      <c r="G4" s="551"/>
      <c r="H4" s="370">
        <f t="shared" ref="H4:H27" si="0">G4-1</f>
        <v>-1</v>
      </c>
      <c r="I4" s="551">
        <v>0</v>
      </c>
      <c r="J4" s="370">
        <f>H4+I4</f>
        <v>-1</v>
      </c>
    </row>
    <row r="5" spans="1:10">
      <c r="A5" s="835"/>
      <c r="B5" s="837"/>
      <c r="C5" s="370" t="str">
        <f>IFERROR(IF(ISTEXT(B3),"Implementácia",""),)</f>
        <v>Implementácia</v>
      </c>
      <c r="D5" s="367"/>
      <c r="E5" s="367"/>
      <c r="F5" s="367"/>
      <c r="G5" s="551">
        <v>4</v>
      </c>
      <c r="H5" s="370">
        <f t="shared" si="0"/>
        <v>3</v>
      </c>
      <c r="I5" s="551">
        <v>7</v>
      </c>
      <c r="J5" s="370">
        <f>H5+I5</f>
        <v>10</v>
      </c>
    </row>
    <row r="6" spans="1:10">
      <c r="A6" s="835"/>
      <c r="B6" s="837"/>
      <c r="C6" s="370" t="str">
        <f>IFERROR(IF(ISTEXT(B3),"Testovanie",""),)</f>
        <v>Testovanie</v>
      </c>
      <c r="D6" s="367"/>
      <c r="E6" s="367"/>
      <c r="F6" s="367"/>
      <c r="G6" s="551">
        <v>4</v>
      </c>
      <c r="H6" s="370">
        <f t="shared" si="0"/>
        <v>3</v>
      </c>
      <c r="I6" s="551">
        <v>7</v>
      </c>
      <c r="J6" s="370">
        <f>H6+I6</f>
        <v>10</v>
      </c>
    </row>
    <row r="7" spans="1:10">
      <c r="A7" s="835"/>
      <c r="B7" s="837"/>
      <c r="C7" s="370" t="str">
        <f>IFERROR(IF(ISTEXT(B3),"Nasadenie",""),)</f>
        <v>Nasadenie</v>
      </c>
      <c r="D7" s="367"/>
      <c r="E7" s="367"/>
      <c r="F7" s="367"/>
      <c r="G7" s="551">
        <v>11</v>
      </c>
      <c r="H7" s="370">
        <f t="shared" si="0"/>
        <v>10</v>
      </c>
      <c r="I7" s="370">
        <f>J7-H7</f>
        <v>2</v>
      </c>
      <c r="J7" s="370">
        <f>IFERROR(ROUND((F3-$E$3+1)/30,0),)</f>
        <v>12</v>
      </c>
    </row>
    <row r="8" spans="1:10">
      <c r="A8" s="835">
        <v>2</v>
      </c>
      <c r="B8" s="837" t="s">
        <v>245</v>
      </c>
      <c r="C8" s="370" t="str">
        <f>IFERROR(IF(ISTEXT(B8),"Analýza a dizajn",""),)</f>
        <v>Analýza a dizajn</v>
      </c>
      <c r="D8" s="370" t="str">
        <f>IFERROR(VLOOKUP(B8,MODULY_CBA!$B$3:$I$23,6,0),"")</f>
        <v>Inkrement 3</v>
      </c>
      <c r="E8" s="371">
        <f>IFERROR(VLOOKUP(D8,INKREMENTY!$A$2:$F$21,2,0),"")</f>
        <v>47119</v>
      </c>
      <c r="F8" s="371">
        <f>IFERROR(VLOOKUP(D8,INKREMENTY!$A$2:$F$21,4,0),"")</f>
        <v>47483</v>
      </c>
      <c r="G8" s="370">
        <f>IFERROR(ROUND(((E8-$E$3)+1)/30,0)+1,)</f>
        <v>13</v>
      </c>
      <c r="H8" s="370">
        <f t="shared" si="0"/>
        <v>12</v>
      </c>
      <c r="I8" s="551">
        <v>3</v>
      </c>
      <c r="J8" s="370">
        <f t="shared" ref="J8:J11" si="1">H8+I8</f>
        <v>15</v>
      </c>
    </row>
    <row r="9" spans="1:10">
      <c r="A9" s="835"/>
      <c r="B9" s="837"/>
      <c r="C9" s="370" t="str">
        <f>IFERROR(IF(ISTEXT(B8),"Nákupo HW a krabicový SW",""),)</f>
        <v>Nákupo HW a krabicový SW</v>
      </c>
      <c r="D9" s="367"/>
      <c r="E9" s="367"/>
      <c r="F9" s="367"/>
      <c r="G9" s="551"/>
      <c r="H9" s="370">
        <f t="shared" ref="H9" si="2">G9-1</f>
        <v>-1</v>
      </c>
      <c r="I9" s="551">
        <v>0</v>
      </c>
      <c r="J9" s="370">
        <f t="shared" si="1"/>
        <v>-1</v>
      </c>
    </row>
    <row r="10" spans="1:10">
      <c r="A10" s="835"/>
      <c r="B10" s="837"/>
      <c r="C10" s="370" t="str">
        <f>IFERROR(IF(ISTEXT(B8),"Implementácia",""),)</f>
        <v>Implementácia</v>
      </c>
      <c r="D10" s="367"/>
      <c r="E10" s="367"/>
      <c r="F10" s="367"/>
      <c r="G10" s="551">
        <v>4</v>
      </c>
      <c r="H10" s="370">
        <f t="shared" si="0"/>
        <v>3</v>
      </c>
      <c r="I10" s="551">
        <v>7</v>
      </c>
      <c r="J10" s="370">
        <f t="shared" si="1"/>
        <v>10</v>
      </c>
    </row>
    <row r="11" spans="1:10">
      <c r="A11" s="835"/>
      <c r="B11" s="837"/>
      <c r="C11" s="370" t="str">
        <f>IFERROR(IF(ISTEXT(B8),"Testovanie",""),)</f>
        <v>Testovanie</v>
      </c>
      <c r="D11" s="367"/>
      <c r="E11" s="367"/>
      <c r="F11" s="367"/>
      <c r="G11" s="551">
        <v>4</v>
      </c>
      <c r="H11" s="370">
        <f t="shared" si="0"/>
        <v>3</v>
      </c>
      <c r="I11" s="551">
        <v>7</v>
      </c>
      <c r="J11" s="370">
        <f t="shared" si="1"/>
        <v>10</v>
      </c>
    </row>
    <row r="12" spans="1:10">
      <c r="A12" s="835"/>
      <c r="B12" s="837"/>
      <c r="C12" s="370" t="str">
        <f>IFERROR(IF(ISTEXT(B8),"Nasadenie",""),)</f>
        <v>Nasadenie</v>
      </c>
      <c r="D12" s="367"/>
      <c r="E12" s="367"/>
      <c r="F12" s="367"/>
      <c r="G12" s="551">
        <v>11</v>
      </c>
      <c r="H12" s="370">
        <f t="shared" si="0"/>
        <v>10</v>
      </c>
      <c r="I12" s="370">
        <f>J12-H12</f>
        <v>14</v>
      </c>
      <c r="J12" s="370">
        <f>IFERROR(ROUND((F8-$E$3+1)/30,0),)</f>
        <v>24</v>
      </c>
    </row>
    <row r="13" spans="1:10">
      <c r="A13" s="835">
        <v>3</v>
      </c>
      <c r="B13" s="837" t="s">
        <v>248</v>
      </c>
      <c r="C13" s="370" t="str">
        <f>IFERROR(IF(ISTEXT(B13),"Analýza a dizajn",""),)</f>
        <v>Analýza a dizajn</v>
      </c>
      <c r="D13" s="370" t="str">
        <f>IFERROR(VLOOKUP(B13,MODULY_CBA!$B$3:$I$23,6,0),"")</f>
        <v>Inkrement 1</v>
      </c>
      <c r="E13" s="371">
        <f>IFERROR(VLOOKUP(D13,INKREMENTY!$A$2:$F$21,2,0),"")</f>
        <v>46388</v>
      </c>
      <c r="F13" s="371">
        <f>IFERROR(VLOOKUP(D13,INKREMENTY!$A$2:$F$21,4,0),"")</f>
        <v>46752</v>
      </c>
      <c r="G13" s="370">
        <f>IFERROR(ROUND(((E13-$E$3)+1)/30,0)+1,)</f>
        <v>-11</v>
      </c>
      <c r="H13" s="370">
        <f t="shared" si="0"/>
        <v>-12</v>
      </c>
      <c r="I13" s="551">
        <v>3</v>
      </c>
      <c r="J13" s="370">
        <f t="shared" ref="J13:J16" si="3">H13+I13</f>
        <v>-9</v>
      </c>
    </row>
    <row r="14" spans="1:10">
      <c r="A14" s="835"/>
      <c r="B14" s="837"/>
      <c r="C14" s="370" t="str">
        <f>IFERROR(IF(ISTEXT(B13),"Nákupo HW a krabicový SW",""),)</f>
        <v>Nákupo HW a krabicový SW</v>
      </c>
      <c r="D14" s="367"/>
      <c r="E14" s="367"/>
      <c r="F14" s="367"/>
      <c r="G14" s="551"/>
      <c r="H14" s="370">
        <f t="shared" ref="H14" si="4">G14-1</f>
        <v>-1</v>
      </c>
      <c r="I14" s="551">
        <v>0</v>
      </c>
      <c r="J14" s="370">
        <f t="shared" si="3"/>
        <v>-1</v>
      </c>
    </row>
    <row r="15" spans="1:10">
      <c r="A15" s="835"/>
      <c r="B15" s="837"/>
      <c r="C15" s="370" t="str">
        <f>IFERROR(IF(ISTEXT(B13),"Implementácia",""),)</f>
        <v>Implementácia</v>
      </c>
      <c r="D15" s="367"/>
      <c r="E15" s="367"/>
      <c r="F15" s="367"/>
      <c r="G15" s="551">
        <v>4</v>
      </c>
      <c r="H15" s="370">
        <f t="shared" si="0"/>
        <v>3</v>
      </c>
      <c r="I15" s="551">
        <v>7</v>
      </c>
      <c r="J15" s="370">
        <f t="shared" si="3"/>
        <v>10</v>
      </c>
    </row>
    <row r="16" spans="1:10">
      <c r="A16" s="835"/>
      <c r="B16" s="837"/>
      <c r="C16" s="370" t="str">
        <f>IFERROR(IF(ISTEXT(B13),"Testovanie",""),)</f>
        <v>Testovanie</v>
      </c>
      <c r="D16" s="367"/>
      <c r="E16" s="367"/>
      <c r="F16" s="367"/>
      <c r="G16" s="551">
        <v>11</v>
      </c>
      <c r="H16" s="370">
        <f t="shared" si="0"/>
        <v>10</v>
      </c>
      <c r="I16" s="551">
        <v>2</v>
      </c>
      <c r="J16" s="370">
        <f t="shared" si="3"/>
        <v>12</v>
      </c>
    </row>
    <row r="17" spans="1:10">
      <c r="A17" s="835"/>
      <c r="B17" s="837"/>
      <c r="C17" s="370" t="str">
        <f>IFERROR(IF(ISTEXT(B13),"Nasadenie",""),)</f>
        <v>Nasadenie</v>
      </c>
      <c r="D17" s="367"/>
      <c r="E17" s="367"/>
      <c r="F17" s="367"/>
      <c r="G17" s="551"/>
      <c r="H17" s="370">
        <f t="shared" si="0"/>
        <v>-1</v>
      </c>
      <c r="I17" s="370">
        <f>J17-H17</f>
        <v>1</v>
      </c>
      <c r="J17" s="370">
        <f>IFERROR(ROUND((F13-$E$3+1)/30,0),)</f>
        <v>0</v>
      </c>
    </row>
    <row r="18" spans="1:10">
      <c r="A18" s="835">
        <v>4</v>
      </c>
      <c r="B18" s="837" t="s">
        <v>251</v>
      </c>
      <c r="C18" s="370" t="str">
        <f>IFERROR(IF(ISTEXT(B18),"Analýza a dizajn",""),)</f>
        <v>Analýza a dizajn</v>
      </c>
      <c r="D18" s="370" t="str">
        <f>IFERROR(VLOOKUP(B18,MODULY_CBA!$B$3:$I$23,6,0),"")</f>
        <v>Inkrement 3</v>
      </c>
      <c r="E18" s="371">
        <f>IFERROR(VLOOKUP(D18,INKREMENTY!$A$2:$F$21,2,0),"")</f>
        <v>47119</v>
      </c>
      <c r="F18" s="371">
        <f>IFERROR(VLOOKUP(D18,INKREMENTY!$A$2:$F$21,4,0),"")</f>
        <v>47483</v>
      </c>
      <c r="G18" s="370">
        <f>IFERROR(ROUND(((E18-$E$3)+1)/30,0)+1,)</f>
        <v>13</v>
      </c>
      <c r="H18" s="370">
        <f t="shared" si="0"/>
        <v>12</v>
      </c>
      <c r="I18" s="551">
        <v>3</v>
      </c>
      <c r="J18" s="370">
        <f t="shared" ref="J18:J21" si="5">H18+I18</f>
        <v>15</v>
      </c>
    </row>
    <row r="19" spans="1:10">
      <c r="A19" s="835"/>
      <c r="B19" s="837"/>
      <c r="C19" s="370" t="str">
        <f>IFERROR(IF(ISTEXT(B18),"Nákupo HW a krabicový SW",""),)</f>
        <v>Nákupo HW a krabicový SW</v>
      </c>
      <c r="D19" s="367"/>
      <c r="E19" s="367"/>
      <c r="F19" s="367"/>
      <c r="G19" s="551"/>
      <c r="H19" s="370">
        <f t="shared" ref="H19" si="6">G19-1</f>
        <v>-1</v>
      </c>
      <c r="I19" s="551">
        <v>0</v>
      </c>
      <c r="J19" s="370">
        <f t="shared" si="5"/>
        <v>-1</v>
      </c>
    </row>
    <row r="20" spans="1:10">
      <c r="A20" s="835"/>
      <c r="B20" s="837"/>
      <c r="C20" s="370" t="str">
        <f>IFERROR(IF(ISTEXT(B18),"Implementácia",""),)</f>
        <v>Implementácia</v>
      </c>
      <c r="D20" s="367"/>
      <c r="E20" s="367"/>
      <c r="F20" s="367"/>
      <c r="G20" s="551">
        <v>4</v>
      </c>
      <c r="H20" s="370">
        <f t="shared" si="0"/>
        <v>3</v>
      </c>
      <c r="I20" s="551">
        <v>7</v>
      </c>
      <c r="J20" s="370">
        <f t="shared" si="5"/>
        <v>10</v>
      </c>
    </row>
    <row r="21" spans="1:10">
      <c r="A21" s="835"/>
      <c r="B21" s="837"/>
      <c r="C21" s="370" t="str">
        <f>IFERROR(IF(ISTEXT(B18),"Testovanie",""),)</f>
        <v>Testovanie</v>
      </c>
      <c r="D21" s="367"/>
      <c r="E21" s="367"/>
      <c r="F21" s="367"/>
      <c r="G21" s="551">
        <v>11</v>
      </c>
      <c r="H21" s="370">
        <f t="shared" si="0"/>
        <v>10</v>
      </c>
      <c r="I21" s="551">
        <v>2</v>
      </c>
      <c r="J21" s="370">
        <f t="shared" si="5"/>
        <v>12</v>
      </c>
    </row>
    <row r="22" spans="1:10">
      <c r="A22" s="835"/>
      <c r="B22" s="837"/>
      <c r="C22" s="370" t="str">
        <f>IFERROR(IF(ISTEXT(B18),"Nasadenie",""),)</f>
        <v>Nasadenie</v>
      </c>
      <c r="D22" s="367"/>
      <c r="E22" s="367"/>
      <c r="F22" s="367"/>
      <c r="G22" s="551"/>
      <c r="H22" s="370">
        <f t="shared" si="0"/>
        <v>-1</v>
      </c>
      <c r="I22" s="370">
        <f>J22-H22</f>
        <v>25</v>
      </c>
      <c r="J22" s="370">
        <f>IFERROR(ROUND((F18-$E$3+1)/30,0),)</f>
        <v>24</v>
      </c>
    </row>
    <row r="23" spans="1:10">
      <c r="A23" s="835">
        <v>5</v>
      </c>
      <c r="B23" s="837" t="s">
        <v>253</v>
      </c>
      <c r="C23" s="370" t="str">
        <f>IFERROR(IF(ISTEXT(B23),"Analýza a dizajn",""),)</f>
        <v>Analýza a dizajn</v>
      </c>
      <c r="D23" s="370" t="str">
        <f>IFERROR(VLOOKUP(B23,MODULY_CBA!$B$3:$I$23,6,0),"")</f>
        <v>Inkrement 2</v>
      </c>
      <c r="E23" s="371">
        <f>IFERROR(VLOOKUP(D23,INKREMENTY!$A$2:$F$21,2,0),"")</f>
        <v>46753</v>
      </c>
      <c r="F23" s="371">
        <f>IFERROR(VLOOKUP(D23,INKREMENTY!$A$2:$F$21,4,0),"")</f>
        <v>47118</v>
      </c>
      <c r="G23" s="370">
        <f>IFERROR(ROUND(((E23-$E$3)+1)/30,0)+1,)</f>
        <v>1</v>
      </c>
      <c r="H23" s="370">
        <f t="shared" si="0"/>
        <v>0</v>
      </c>
      <c r="I23" s="551">
        <v>3</v>
      </c>
      <c r="J23" s="370">
        <f t="shared" ref="J23:J26" si="7">H23+I23</f>
        <v>3</v>
      </c>
    </row>
    <row r="24" spans="1:10">
      <c r="A24" s="835"/>
      <c r="B24" s="837"/>
      <c r="C24" s="370" t="str">
        <f>IFERROR(IF(ISTEXT(B23),"Nákupo HW a krabicový SW",""),)</f>
        <v>Nákupo HW a krabicový SW</v>
      </c>
      <c r="D24" s="367"/>
      <c r="E24" s="367"/>
      <c r="F24" s="367"/>
      <c r="G24" s="551"/>
      <c r="H24" s="370">
        <f t="shared" ref="H24" si="8">G24-1</f>
        <v>-1</v>
      </c>
      <c r="I24" s="551">
        <v>0</v>
      </c>
      <c r="J24" s="370">
        <f t="shared" si="7"/>
        <v>-1</v>
      </c>
    </row>
    <row r="25" spans="1:10">
      <c r="A25" s="835"/>
      <c r="B25" s="837"/>
      <c r="C25" s="370" t="str">
        <f>IFERROR(IF(ISTEXT(B23),"Implementácia",""),)</f>
        <v>Implementácia</v>
      </c>
      <c r="D25" s="367"/>
      <c r="E25" s="367"/>
      <c r="F25" s="367"/>
      <c r="G25" s="551">
        <v>4</v>
      </c>
      <c r="H25" s="370">
        <f t="shared" si="0"/>
        <v>3</v>
      </c>
      <c r="I25" s="551">
        <v>7</v>
      </c>
      <c r="J25" s="370">
        <f t="shared" si="7"/>
        <v>10</v>
      </c>
    </row>
    <row r="26" spans="1:10">
      <c r="A26" s="835"/>
      <c r="B26" s="837"/>
      <c r="C26" s="370" t="str">
        <f>IFERROR(IF(ISTEXT(B23),"Testovanie",""),)</f>
        <v>Testovanie</v>
      </c>
      <c r="D26" s="367"/>
      <c r="E26" s="367"/>
      <c r="F26" s="367"/>
      <c r="G26" s="551">
        <v>11</v>
      </c>
      <c r="H26" s="370">
        <f t="shared" si="0"/>
        <v>10</v>
      </c>
      <c r="I26" s="551">
        <v>2</v>
      </c>
      <c r="J26" s="370">
        <f t="shared" si="7"/>
        <v>12</v>
      </c>
    </row>
    <row r="27" spans="1:10">
      <c r="A27" s="835"/>
      <c r="B27" s="837"/>
      <c r="C27" s="370" t="str">
        <f>IFERROR(IF(ISTEXT(B23),"Nasadenie",""),)</f>
        <v>Nasadenie</v>
      </c>
      <c r="D27" s="367"/>
      <c r="E27" s="367"/>
      <c r="F27" s="367"/>
      <c r="G27" s="551"/>
      <c r="H27" s="370">
        <f t="shared" si="0"/>
        <v>-1</v>
      </c>
      <c r="I27" s="370">
        <f>J27-H27</f>
        <v>13</v>
      </c>
      <c r="J27" s="370">
        <f>IFERROR(ROUND((F23-$E$3+1)/30,0),)</f>
        <v>12</v>
      </c>
    </row>
    <row r="28" spans="1:10">
      <c r="A28" s="835">
        <v>6</v>
      </c>
      <c r="B28" s="837" t="s">
        <v>255</v>
      </c>
      <c r="C28" s="370" t="str">
        <f>IFERROR(IF(ISTEXT(B28),"Analýza a dizajn",""),)</f>
        <v>Analýza a dizajn</v>
      </c>
      <c r="D28" s="370" t="str">
        <f>IFERROR(VLOOKUP(B28,MODULY_CBA!$B$3:$I$23,6,0),"")</f>
        <v>Inkrement 1</v>
      </c>
      <c r="E28" s="371">
        <f>IFERROR(VLOOKUP(D28,INKREMENTY!$A$2:$F$21,2,0),"")</f>
        <v>46388</v>
      </c>
      <c r="F28" s="371">
        <f>IFERROR(VLOOKUP(D28,INKREMENTY!$A$2:$F$21,4,0),"")</f>
        <v>46752</v>
      </c>
      <c r="G28" s="370">
        <f>IFERROR(ROUND(((E28-$E$3)+1)/30,0)+1,)</f>
        <v>-11</v>
      </c>
      <c r="H28" s="370">
        <f t="shared" ref="H28:H91" si="9">G28-1</f>
        <v>-12</v>
      </c>
      <c r="I28" s="551">
        <v>3</v>
      </c>
      <c r="J28" s="370">
        <f t="shared" ref="J28:J31" si="10">H28+I28</f>
        <v>-9</v>
      </c>
    </row>
    <row r="29" spans="1:10">
      <c r="A29" s="835"/>
      <c r="B29" s="837"/>
      <c r="C29" s="370" t="str">
        <f>IFERROR(IF(ISTEXT(B28),"Nákupo HW a krabicový SW",""),)</f>
        <v>Nákupo HW a krabicový SW</v>
      </c>
      <c r="D29" s="367"/>
      <c r="E29" s="367"/>
      <c r="F29" s="367"/>
      <c r="G29" s="551"/>
      <c r="H29" s="370">
        <f t="shared" si="9"/>
        <v>-1</v>
      </c>
      <c r="I29" s="551">
        <v>0</v>
      </c>
      <c r="J29" s="370">
        <f t="shared" si="10"/>
        <v>-1</v>
      </c>
    </row>
    <row r="30" spans="1:10">
      <c r="A30" s="835"/>
      <c r="B30" s="837"/>
      <c r="C30" s="370" t="str">
        <f>IFERROR(IF(ISTEXT(B28),"Implementácia",""),)</f>
        <v>Implementácia</v>
      </c>
      <c r="D30" s="367"/>
      <c r="E30" s="367"/>
      <c r="F30" s="367"/>
      <c r="G30" s="551">
        <v>4</v>
      </c>
      <c r="H30" s="370">
        <f t="shared" si="9"/>
        <v>3</v>
      </c>
      <c r="I30" s="551">
        <v>7</v>
      </c>
      <c r="J30" s="370">
        <f t="shared" si="10"/>
        <v>10</v>
      </c>
    </row>
    <row r="31" spans="1:10">
      <c r="A31" s="835"/>
      <c r="B31" s="837"/>
      <c r="C31" s="370" t="str">
        <f>IFERROR(IF(ISTEXT(B28),"Testovanie",""),)</f>
        <v>Testovanie</v>
      </c>
      <c r="D31" s="367"/>
      <c r="E31" s="367"/>
      <c r="F31" s="367"/>
      <c r="G31" s="551">
        <v>11</v>
      </c>
      <c r="H31" s="370">
        <f t="shared" si="9"/>
        <v>10</v>
      </c>
      <c r="I31" s="551">
        <v>2</v>
      </c>
      <c r="J31" s="370">
        <f t="shared" si="10"/>
        <v>12</v>
      </c>
    </row>
    <row r="32" spans="1:10">
      <c r="A32" s="835"/>
      <c r="B32" s="837"/>
      <c r="C32" s="370" t="str">
        <f>IFERROR(IF(ISTEXT(B28),"Nasadenie",""),)</f>
        <v>Nasadenie</v>
      </c>
      <c r="D32" s="367"/>
      <c r="E32" s="367"/>
      <c r="F32" s="367"/>
      <c r="G32" s="551"/>
      <c r="H32" s="370">
        <f t="shared" si="9"/>
        <v>-1</v>
      </c>
      <c r="I32" s="370">
        <f>J32-H32</f>
        <v>1</v>
      </c>
      <c r="J32" s="370">
        <f>IFERROR(ROUND((F28-$E$3+1)/30,0),)</f>
        <v>0</v>
      </c>
    </row>
    <row r="33" spans="1:10">
      <c r="A33" s="835">
        <v>7</v>
      </c>
      <c r="B33" s="837" t="s">
        <v>257</v>
      </c>
      <c r="C33" s="370" t="str">
        <f>IFERROR(IF(ISTEXT(B33),"Analýza a dizajn",""),)</f>
        <v>Analýza a dizajn</v>
      </c>
      <c r="D33" s="370" t="str">
        <f>IFERROR(VLOOKUP(B33,MODULY_CBA!$B$3:$I$23,6,0),"")</f>
        <v>Inkrement 3</v>
      </c>
      <c r="E33" s="371">
        <f>IFERROR(VLOOKUP(D33,INKREMENTY!$A$2:$F$21,2,0),"")</f>
        <v>47119</v>
      </c>
      <c r="F33" s="371">
        <f>IFERROR(VLOOKUP(D33,INKREMENTY!$A$2:$F$21,4,0),"")</f>
        <v>47483</v>
      </c>
      <c r="G33" s="370">
        <f>IFERROR(ROUND(((E33-$E$3)+1)/30,0)+1,)</f>
        <v>13</v>
      </c>
      <c r="H33" s="370">
        <f t="shared" si="9"/>
        <v>12</v>
      </c>
      <c r="I33" s="551">
        <v>3</v>
      </c>
      <c r="J33" s="370">
        <f t="shared" ref="J33:J36" si="11">H33+I33</f>
        <v>15</v>
      </c>
    </row>
    <row r="34" spans="1:10">
      <c r="A34" s="835"/>
      <c r="B34" s="837"/>
      <c r="C34" s="370" t="str">
        <f>IFERROR(IF(ISTEXT(B33),"Nákupo HW a krabicový SW",""),)</f>
        <v>Nákupo HW a krabicový SW</v>
      </c>
      <c r="D34" s="367"/>
      <c r="E34" s="367"/>
      <c r="F34" s="367"/>
      <c r="G34" s="551"/>
      <c r="H34" s="370">
        <f t="shared" si="9"/>
        <v>-1</v>
      </c>
      <c r="I34" s="551">
        <v>0</v>
      </c>
      <c r="J34" s="370">
        <f t="shared" si="11"/>
        <v>-1</v>
      </c>
    </row>
    <row r="35" spans="1:10">
      <c r="A35" s="835"/>
      <c r="B35" s="837"/>
      <c r="C35" s="370" t="str">
        <f>IFERROR(IF(ISTEXT(B33),"Implementácia",""),)</f>
        <v>Implementácia</v>
      </c>
      <c r="D35" s="367"/>
      <c r="E35" s="367"/>
      <c r="F35" s="367"/>
      <c r="G35" s="551">
        <v>4</v>
      </c>
      <c r="H35" s="370">
        <f t="shared" si="9"/>
        <v>3</v>
      </c>
      <c r="I35" s="551">
        <v>7</v>
      </c>
      <c r="J35" s="370">
        <f t="shared" si="11"/>
        <v>10</v>
      </c>
    </row>
    <row r="36" spans="1:10">
      <c r="A36" s="835"/>
      <c r="B36" s="837"/>
      <c r="C36" s="370" t="str">
        <f>IFERROR(IF(ISTEXT(B33),"Testovanie",""),)</f>
        <v>Testovanie</v>
      </c>
      <c r="D36" s="367"/>
      <c r="E36" s="367"/>
      <c r="F36" s="367"/>
      <c r="G36" s="551">
        <v>11</v>
      </c>
      <c r="H36" s="370">
        <f t="shared" si="9"/>
        <v>10</v>
      </c>
      <c r="I36" s="551">
        <v>2</v>
      </c>
      <c r="J36" s="370">
        <f t="shared" si="11"/>
        <v>12</v>
      </c>
    </row>
    <row r="37" spans="1:10">
      <c r="A37" s="835"/>
      <c r="B37" s="837"/>
      <c r="C37" s="370" t="str">
        <f>IFERROR(IF(ISTEXT(B33),"Nasadenie",""),)</f>
        <v>Nasadenie</v>
      </c>
      <c r="D37" s="367"/>
      <c r="E37" s="367"/>
      <c r="F37" s="367"/>
      <c r="G37" s="551"/>
      <c r="H37" s="370">
        <f t="shared" si="9"/>
        <v>-1</v>
      </c>
      <c r="I37" s="370">
        <f>J37-H37</f>
        <v>25</v>
      </c>
      <c r="J37" s="370">
        <f>IFERROR(ROUND((F33-$E$3+1)/30,0),)</f>
        <v>24</v>
      </c>
    </row>
    <row r="38" spans="1:10">
      <c r="A38" s="835">
        <v>8</v>
      </c>
      <c r="B38" s="837" t="s">
        <v>259</v>
      </c>
      <c r="C38" s="370" t="str">
        <f>IFERROR(IF(ISTEXT(B38),"Analýza a dizajn",""),)</f>
        <v>Analýza a dizajn</v>
      </c>
      <c r="D38" s="370" t="str">
        <f>IFERROR(VLOOKUP(B38,MODULY_CBA!$B$3:$I$23,6,0),"")</f>
        <v>Inkrement 2</v>
      </c>
      <c r="E38" s="371">
        <f>IFERROR(VLOOKUP(D38,INKREMENTY!$A$2:$F$21,2,0),"")</f>
        <v>46753</v>
      </c>
      <c r="F38" s="371">
        <f>IFERROR(VLOOKUP(D38,INKREMENTY!$A$2:$F$21,4,0),"")</f>
        <v>47118</v>
      </c>
      <c r="G38" s="370">
        <f>IFERROR(ROUND(((E38-$E$3)+1)/30,0)+1,)</f>
        <v>1</v>
      </c>
      <c r="H38" s="370">
        <f t="shared" si="9"/>
        <v>0</v>
      </c>
      <c r="I38" s="551">
        <v>3</v>
      </c>
      <c r="J38" s="370">
        <f t="shared" ref="J38:J41" si="12">H38+I38</f>
        <v>3</v>
      </c>
    </row>
    <row r="39" spans="1:10">
      <c r="A39" s="835"/>
      <c r="B39" s="837"/>
      <c r="C39" s="370" t="str">
        <f>IFERROR(IF(ISTEXT(B38),"Nákupo HW a krabicový SW",""),)</f>
        <v>Nákupo HW a krabicový SW</v>
      </c>
      <c r="D39" s="367"/>
      <c r="E39" s="367"/>
      <c r="F39" s="367"/>
      <c r="G39" s="551"/>
      <c r="H39" s="370">
        <f t="shared" si="9"/>
        <v>-1</v>
      </c>
      <c r="I39" s="551">
        <v>0</v>
      </c>
      <c r="J39" s="370">
        <f t="shared" si="12"/>
        <v>-1</v>
      </c>
    </row>
    <row r="40" spans="1:10">
      <c r="A40" s="835"/>
      <c r="B40" s="837"/>
      <c r="C40" s="370" t="str">
        <f>IFERROR(IF(ISTEXT(B38),"Implementácia",""),)</f>
        <v>Implementácia</v>
      </c>
      <c r="D40" s="367"/>
      <c r="E40" s="367"/>
      <c r="F40" s="367"/>
      <c r="G40" s="551">
        <v>4</v>
      </c>
      <c r="H40" s="370">
        <f t="shared" si="9"/>
        <v>3</v>
      </c>
      <c r="I40" s="551">
        <v>7</v>
      </c>
      <c r="J40" s="370">
        <f t="shared" si="12"/>
        <v>10</v>
      </c>
    </row>
    <row r="41" spans="1:10">
      <c r="A41" s="835"/>
      <c r="B41" s="837"/>
      <c r="C41" s="370" t="str">
        <f>IFERROR(IF(ISTEXT(B38),"Testovanie",""),)</f>
        <v>Testovanie</v>
      </c>
      <c r="D41" s="367"/>
      <c r="E41" s="367"/>
      <c r="F41" s="367"/>
      <c r="G41" s="551">
        <v>11</v>
      </c>
      <c r="H41" s="370">
        <f t="shared" si="9"/>
        <v>10</v>
      </c>
      <c r="I41" s="551">
        <v>2</v>
      </c>
      <c r="J41" s="370">
        <f t="shared" si="12"/>
        <v>12</v>
      </c>
    </row>
    <row r="42" spans="1:10">
      <c r="A42" s="835"/>
      <c r="B42" s="837"/>
      <c r="C42" s="370" t="str">
        <f>IFERROR(IF(ISTEXT(B38),"Nasadenie",""),)</f>
        <v>Nasadenie</v>
      </c>
      <c r="D42" s="367"/>
      <c r="E42" s="367"/>
      <c r="F42" s="367"/>
      <c r="G42" s="551"/>
      <c r="H42" s="370">
        <f t="shared" si="9"/>
        <v>-1</v>
      </c>
      <c r="I42" s="370">
        <f>J42-H42</f>
        <v>13</v>
      </c>
      <c r="J42" s="370">
        <f>IFERROR(ROUND((F38-$E$3+1)/30,0),)</f>
        <v>12</v>
      </c>
    </row>
    <row r="43" spans="1:10">
      <c r="A43" s="835">
        <v>9</v>
      </c>
      <c r="B43" s="837" t="s">
        <v>261</v>
      </c>
      <c r="C43" s="370" t="str">
        <f>IFERROR(IF(ISTEXT(B43),"Analýza a dizajn",""),)</f>
        <v>Analýza a dizajn</v>
      </c>
      <c r="D43" s="370" t="str">
        <f>IFERROR(VLOOKUP(B43,MODULY_CBA!$B$3:$I$23,6,0),"")</f>
        <v>Inkrement 3</v>
      </c>
      <c r="E43" s="371">
        <f>IFERROR(VLOOKUP(D43,INKREMENTY!$A$2:$F$21,2,0),"")</f>
        <v>47119</v>
      </c>
      <c r="F43" s="371">
        <f>IFERROR(VLOOKUP(D43,INKREMENTY!$A$2:$F$21,4,0),"")</f>
        <v>47483</v>
      </c>
      <c r="G43" s="370">
        <f>IFERROR(ROUND(((E43-$E$3)+1)/30,0)+1,)</f>
        <v>13</v>
      </c>
      <c r="H43" s="370">
        <f t="shared" si="9"/>
        <v>12</v>
      </c>
      <c r="I43" s="551">
        <v>3</v>
      </c>
      <c r="J43" s="370">
        <f t="shared" ref="J43:J46" si="13">H43+I43</f>
        <v>15</v>
      </c>
    </row>
    <row r="44" spans="1:10">
      <c r="A44" s="835"/>
      <c r="B44" s="837"/>
      <c r="C44" s="370" t="str">
        <f>IFERROR(IF(ISTEXT(B43),"Nákupo HW a krabicový SW",""),)</f>
        <v>Nákupo HW a krabicový SW</v>
      </c>
      <c r="D44" s="367"/>
      <c r="E44" s="367"/>
      <c r="F44" s="367"/>
      <c r="G44" s="551"/>
      <c r="H44" s="370">
        <f t="shared" si="9"/>
        <v>-1</v>
      </c>
      <c r="I44" s="551">
        <v>0</v>
      </c>
      <c r="J44" s="370">
        <f t="shared" si="13"/>
        <v>-1</v>
      </c>
    </row>
    <row r="45" spans="1:10">
      <c r="A45" s="835"/>
      <c r="B45" s="837"/>
      <c r="C45" s="370" t="str">
        <f>IFERROR(IF(ISTEXT(B43),"Implementácia",""),)</f>
        <v>Implementácia</v>
      </c>
      <c r="D45" s="367"/>
      <c r="E45" s="367"/>
      <c r="F45" s="367"/>
      <c r="G45" s="551">
        <v>4</v>
      </c>
      <c r="H45" s="370">
        <f t="shared" si="9"/>
        <v>3</v>
      </c>
      <c r="I45" s="551">
        <v>7</v>
      </c>
      <c r="J45" s="370">
        <f t="shared" si="13"/>
        <v>10</v>
      </c>
    </row>
    <row r="46" spans="1:10">
      <c r="A46" s="835"/>
      <c r="B46" s="837"/>
      <c r="C46" s="370" t="str">
        <f>IFERROR(IF(ISTEXT(B43),"Testovanie",""),)</f>
        <v>Testovanie</v>
      </c>
      <c r="D46" s="367"/>
      <c r="E46" s="367"/>
      <c r="F46" s="367"/>
      <c r="G46" s="551">
        <v>11</v>
      </c>
      <c r="H46" s="370">
        <f t="shared" si="9"/>
        <v>10</v>
      </c>
      <c r="I46" s="551">
        <v>2</v>
      </c>
      <c r="J46" s="370">
        <f t="shared" si="13"/>
        <v>12</v>
      </c>
    </row>
    <row r="47" spans="1:10">
      <c r="A47" s="835"/>
      <c r="B47" s="837"/>
      <c r="C47" s="370" t="str">
        <f>IFERROR(IF(ISTEXT(B43),"Nasadenie",""),)</f>
        <v>Nasadenie</v>
      </c>
      <c r="D47" s="367"/>
      <c r="E47" s="367"/>
      <c r="F47" s="367"/>
      <c r="G47" s="551"/>
      <c r="H47" s="370">
        <f t="shared" si="9"/>
        <v>-1</v>
      </c>
      <c r="I47" s="370">
        <f>J47-H47</f>
        <v>25</v>
      </c>
      <c r="J47" s="370">
        <f>IFERROR(ROUND((F43-$E$3+1)/30,0),)</f>
        <v>24</v>
      </c>
    </row>
    <row r="48" spans="1:10">
      <c r="A48" s="835">
        <v>10</v>
      </c>
      <c r="B48" s="837" t="s">
        <v>263</v>
      </c>
      <c r="C48" s="370" t="str">
        <f>IFERROR(IF(ISTEXT(B48),"Analýza a dizajn",""),)</f>
        <v>Analýza a dizajn</v>
      </c>
      <c r="D48" s="370" t="str">
        <f>IFERROR(VLOOKUP(B48,MODULY_CBA!$B$3:$I$23,6,0),"")</f>
        <v>Inkrement 1</v>
      </c>
      <c r="E48" s="371">
        <f>IFERROR(VLOOKUP(D48,INKREMENTY!$A$2:$F$21,2,0),"")</f>
        <v>46388</v>
      </c>
      <c r="F48" s="371">
        <f>IFERROR(VLOOKUP(D48,INKREMENTY!$A$2:$F$21,4,0),"")</f>
        <v>46752</v>
      </c>
      <c r="G48" s="370">
        <f>IFERROR(ROUND(((E48-$E$3)+1)/30,0)+1,)</f>
        <v>-11</v>
      </c>
      <c r="H48" s="370">
        <f t="shared" si="9"/>
        <v>-12</v>
      </c>
      <c r="I48" s="551"/>
      <c r="J48" s="370">
        <f t="shared" ref="J48:J51" si="14">H48+I48</f>
        <v>-12</v>
      </c>
    </row>
    <row r="49" spans="1:10">
      <c r="A49" s="835"/>
      <c r="B49" s="837"/>
      <c r="C49" s="370" t="str">
        <f>IFERROR(IF(ISTEXT(B48),"Nákupo HW a krabicový SW",""),)</f>
        <v>Nákupo HW a krabicový SW</v>
      </c>
      <c r="D49" s="367"/>
      <c r="E49" s="367"/>
      <c r="F49" s="367"/>
      <c r="G49" s="551"/>
      <c r="H49" s="370">
        <f t="shared" si="9"/>
        <v>-1</v>
      </c>
      <c r="I49" s="551"/>
      <c r="J49" s="370">
        <f t="shared" si="14"/>
        <v>-1</v>
      </c>
    </row>
    <row r="50" spans="1:10">
      <c r="A50" s="835"/>
      <c r="B50" s="837"/>
      <c r="C50" s="370" t="str">
        <f>IFERROR(IF(ISTEXT(B48),"Implementácia",""),)</f>
        <v>Implementácia</v>
      </c>
      <c r="D50" s="367"/>
      <c r="E50" s="367"/>
      <c r="F50" s="367"/>
      <c r="G50" s="551"/>
      <c r="H50" s="370">
        <f t="shared" si="9"/>
        <v>-1</v>
      </c>
      <c r="I50" s="551"/>
      <c r="J50" s="370">
        <f t="shared" si="14"/>
        <v>-1</v>
      </c>
    </row>
    <row r="51" spans="1:10">
      <c r="A51" s="835"/>
      <c r="B51" s="837"/>
      <c r="C51" s="370" t="str">
        <f>IFERROR(IF(ISTEXT(B48),"Testovanie",""),)</f>
        <v>Testovanie</v>
      </c>
      <c r="D51" s="367"/>
      <c r="E51" s="367"/>
      <c r="F51" s="367"/>
      <c r="G51" s="551"/>
      <c r="H51" s="370">
        <f t="shared" si="9"/>
        <v>-1</v>
      </c>
      <c r="I51" s="551"/>
      <c r="J51" s="370">
        <f t="shared" si="14"/>
        <v>-1</v>
      </c>
    </row>
    <row r="52" spans="1:10">
      <c r="A52" s="835"/>
      <c r="B52" s="837"/>
      <c r="C52" s="370" t="str">
        <f>IFERROR(IF(ISTEXT(B48),"Nasadenie",""),)</f>
        <v>Nasadenie</v>
      </c>
      <c r="D52" s="367"/>
      <c r="E52" s="367"/>
      <c r="F52" s="367"/>
      <c r="G52" s="551"/>
      <c r="H52" s="370">
        <f t="shared" si="9"/>
        <v>-1</v>
      </c>
      <c r="I52" s="370">
        <f>J52-H52</f>
        <v>1</v>
      </c>
      <c r="J52" s="370">
        <f>IFERROR(ROUND((F48-$E$3+1)/30,0),)</f>
        <v>0</v>
      </c>
    </row>
    <row r="53" spans="1:10">
      <c r="A53" s="835">
        <v>11</v>
      </c>
      <c r="B53" s="837" t="s">
        <v>265</v>
      </c>
      <c r="C53" s="370" t="str">
        <f>IFERROR(IF(ISTEXT(B53),"Analýza a dizajn",""),)</f>
        <v>Analýza a dizajn</v>
      </c>
      <c r="D53" s="370" t="str">
        <f>IFERROR(VLOOKUP(B53,MODULY_CBA!$B$3:$I$23,6,0),"")</f>
        <v>Inkrement 3</v>
      </c>
      <c r="E53" s="371">
        <f>IFERROR(VLOOKUP(D53,INKREMENTY!$A$2:$F$21,2,0),"")</f>
        <v>47119</v>
      </c>
      <c r="F53" s="371">
        <f>IFERROR(VLOOKUP(D53,INKREMENTY!$A$2:$F$21,4,0),"")</f>
        <v>47483</v>
      </c>
      <c r="G53" s="370">
        <f>IFERROR(ROUND(((E53-$E$3)+1)/30,0)+1,)</f>
        <v>13</v>
      </c>
      <c r="H53" s="370">
        <f t="shared" si="9"/>
        <v>12</v>
      </c>
      <c r="I53" s="551"/>
      <c r="J53" s="370">
        <f t="shared" ref="J53:J56" si="15">H53+I53</f>
        <v>12</v>
      </c>
    </row>
    <row r="54" spans="1:10">
      <c r="A54" s="835"/>
      <c r="B54" s="837"/>
      <c r="C54" s="370" t="str">
        <f>IFERROR(IF(ISTEXT(B53),"Nákupo HW a krabicový SW",""),)</f>
        <v>Nákupo HW a krabicový SW</v>
      </c>
      <c r="D54" s="367"/>
      <c r="E54" s="367"/>
      <c r="F54" s="367"/>
      <c r="G54" s="551"/>
      <c r="H54" s="370">
        <f t="shared" si="9"/>
        <v>-1</v>
      </c>
      <c r="I54" s="551"/>
      <c r="J54" s="370">
        <f t="shared" si="15"/>
        <v>-1</v>
      </c>
    </row>
    <row r="55" spans="1:10">
      <c r="A55" s="835"/>
      <c r="B55" s="837"/>
      <c r="C55" s="370" t="str">
        <f>IFERROR(IF(ISTEXT(B53),"Implementácia",""),)</f>
        <v>Implementácia</v>
      </c>
      <c r="D55" s="367"/>
      <c r="E55" s="367"/>
      <c r="F55" s="367"/>
      <c r="G55" s="551"/>
      <c r="H55" s="370">
        <f t="shared" si="9"/>
        <v>-1</v>
      </c>
      <c r="I55" s="551"/>
      <c r="J55" s="370">
        <f t="shared" si="15"/>
        <v>-1</v>
      </c>
    </row>
    <row r="56" spans="1:10">
      <c r="A56" s="835"/>
      <c r="B56" s="837"/>
      <c r="C56" s="370" t="str">
        <f>IFERROR(IF(ISTEXT(B53),"Testovanie",""),)</f>
        <v>Testovanie</v>
      </c>
      <c r="D56" s="367"/>
      <c r="E56" s="367"/>
      <c r="F56" s="367"/>
      <c r="G56" s="551"/>
      <c r="H56" s="370">
        <f t="shared" si="9"/>
        <v>-1</v>
      </c>
      <c r="I56" s="551"/>
      <c r="J56" s="370">
        <f t="shared" si="15"/>
        <v>-1</v>
      </c>
    </row>
    <row r="57" spans="1:10">
      <c r="A57" s="835"/>
      <c r="B57" s="837"/>
      <c r="C57" s="370" t="str">
        <f>IFERROR(IF(ISTEXT(B53),"Nasadenie",""),)</f>
        <v>Nasadenie</v>
      </c>
      <c r="D57" s="367"/>
      <c r="E57" s="367"/>
      <c r="F57" s="367"/>
      <c r="G57" s="551"/>
      <c r="H57" s="370">
        <f t="shared" si="9"/>
        <v>-1</v>
      </c>
      <c r="I57" s="370">
        <f>J57-H57</f>
        <v>25</v>
      </c>
      <c r="J57" s="370">
        <f>IFERROR(ROUND((F53-$E$3+1)/30,0),)</f>
        <v>24</v>
      </c>
    </row>
    <row r="58" spans="1:10">
      <c r="A58" s="835">
        <v>12</v>
      </c>
      <c r="B58" s="837" t="s">
        <v>267</v>
      </c>
      <c r="C58" s="370" t="str">
        <f>IFERROR(IF(ISTEXT(B58),"Analýza a dizajn",""),)</f>
        <v>Analýza a dizajn</v>
      </c>
      <c r="D58" s="370" t="str">
        <f>IFERROR(VLOOKUP(B58,MODULY_CBA!$B$3:$I$23,6,0),"")</f>
        <v>Inkrement 2</v>
      </c>
      <c r="E58" s="371">
        <f>IFERROR(VLOOKUP(D58,INKREMENTY!$A$2:$F$21,2,0),"")</f>
        <v>46753</v>
      </c>
      <c r="F58" s="371">
        <f>IFERROR(VLOOKUP(D58,INKREMENTY!$A$2:$F$21,4,0),"")</f>
        <v>47118</v>
      </c>
      <c r="G58" s="370">
        <f>IFERROR(ROUND(((E58-$E$3)+1)/30,0)+1,)</f>
        <v>1</v>
      </c>
      <c r="H58" s="370">
        <f t="shared" si="9"/>
        <v>0</v>
      </c>
      <c r="I58" s="551"/>
      <c r="J58" s="370">
        <f t="shared" ref="J58:J61" si="16">H58+I58</f>
        <v>0</v>
      </c>
    </row>
    <row r="59" spans="1:10">
      <c r="A59" s="835"/>
      <c r="B59" s="837"/>
      <c r="C59" s="370" t="str">
        <f>IFERROR(IF(ISTEXT(B58),"Nákupo HW a krabicový SW",""),)</f>
        <v>Nákupo HW a krabicový SW</v>
      </c>
      <c r="D59" s="367"/>
      <c r="E59" s="367"/>
      <c r="F59" s="367"/>
      <c r="G59" s="551"/>
      <c r="H59" s="370">
        <f t="shared" si="9"/>
        <v>-1</v>
      </c>
      <c r="I59" s="551"/>
      <c r="J59" s="370">
        <f t="shared" si="16"/>
        <v>-1</v>
      </c>
    </row>
    <row r="60" spans="1:10">
      <c r="A60" s="835"/>
      <c r="B60" s="837"/>
      <c r="C60" s="370" t="str">
        <f>IFERROR(IF(ISTEXT(B58),"Implementácia",""),)</f>
        <v>Implementácia</v>
      </c>
      <c r="D60" s="367"/>
      <c r="E60" s="367"/>
      <c r="F60" s="367"/>
      <c r="G60" s="551"/>
      <c r="H60" s="370">
        <f t="shared" si="9"/>
        <v>-1</v>
      </c>
      <c r="I60" s="551"/>
      <c r="J60" s="370">
        <f t="shared" si="16"/>
        <v>-1</v>
      </c>
    </row>
    <row r="61" spans="1:10">
      <c r="A61" s="835"/>
      <c r="B61" s="837"/>
      <c r="C61" s="370" t="str">
        <f>IFERROR(IF(ISTEXT(B58),"Testovanie",""),)</f>
        <v>Testovanie</v>
      </c>
      <c r="D61" s="367"/>
      <c r="E61" s="367"/>
      <c r="F61" s="367"/>
      <c r="G61" s="551"/>
      <c r="H61" s="370">
        <f t="shared" si="9"/>
        <v>-1</v>
      </c>
      <c r="I61" s="551"/>
      <c r="J61" s="370">
        <f t="shared" si="16"/>
        <v>-1</v>
      </c>
    </row>
    <row r="62" spans="1:10">
      <c r="A62" s="835"/>
      <c r="B62" s="837"/>
      <c r="C62" s="370" t="str">
        <f>IFERROR(IF(ISTEXT(B58),"Nasadenie",""),)</f>
        <v>Nasadenie</v>
      </c>
      <c r="D62" s="367"/>
      <c r="E62" s="367"/>
      <c r="F62" s="367"/>
      <c r="G62" s="551"/>
      <c r="H62" s="370">
        <f t="shared" si="9"/>
        <v>-1</v>
      </c>
      <c r="I62" s="370">
        <f>J62-H62</f>
        <v>13</v>
      </c>
      <c r="J62" s="370">
        <f>IFERROR(ROUND((F58-$E$3+1)/30,0),)</f>
        <v>12</v>
      </c>
    </row>
    <row r="63" spans="1:10">
      <c r="A63" s="835">
        <v>13</v>
      </c>
      <c r="B63" s="837" t="s">
        <v>269</v>
      </c>
      <c r="C63" s="370" t="str">
        <f>IFERROR(IF(ISTEXT(B63),"Analýza a dizajn",""),)</f>
        <v>Analýza a dizajn</v>
      </c>
      <c r="D63" s="370" t="str">
        <f>IFERROR(VLOOKUP(B63,MODULY_CBA!$B$3:$I$23,6,0),"")</f>
        <v>Inkrement 1</v>
      </c>
      <c r="E63" s="371">
        <f>IFERROR(VLOOKUP(D63,INKREMENTY!$A$2:$F$21,2,0),"")</f>
        <v>46388</v>
      </c>
      <c r="F63" s="371">
        <f>IFERROR(VLOOKUP(D63,INKREMENTY!$A$2:$F$21,4,0),"")</f>
        <v>46752</v>
      </c>
      <c r="G63" s="370">
        <f>IFERROR(ROUND(((E63-$E$3)+1)/30,0)+1,)</f>
        <v>-11</v>
      </c>
      <c r="H63" s="370">
        <f t="shared" si="9"/>
        <v>-12</v>
      </c>
      <c r="I63" s="551"/>
      <c r="J63" s="370">
        <f t="shared" ref="J63:J66" si="17">H63+I63</f>
        <v>-12</v>
      </c>
    </row>
    <row r="64" spans="1:10">
      <c r="A64" s="835"/>
      <c r="B64" s="837"/>
      <c r="C64" s="370" t="str">
        <f>IFERROR(IF(ISTEXT(B63),"Nákupo HW a krabicový SW",""),)</f>
        <v>Nákupo HW a krabicový SW</v>
      </c>
      <c r="D64" s="367"/>
      <c r="E64" s="367"/>
      <c r="F64" s="367"/>
      <c r="G64" s="551"/>
      <c r="H64" s="370">
        <f t="shared" si="9"/>
        <v>-1</v>
      </c>
      <c r="I64" s="551"/>
      <c r="J64" s="370">
        <f t="shared" si="17"/>
        <v>-1</v>
      </c>
    </row>
    <row r="65" spans="1:10">
      <c r="A65" s="835"/>
      <c r="B65" s="837"/>
      <c r="C65" s="370" t="str">
        <f>IFERROR(IF(ISTEXT(B63),"Implementácia",""),)</f>
        <v>Implementácia</v>
      </c>
      <c r="D65" s="367"/>
      <c r="E65" s="367"/>
      <c r="F65" s="367"/>
      <c r="G65" s="551"/>
      <c r="H65" s="370">
        <f t="shared" si="9"/>
        <v>-1</v>
      </c>
      <c r="I65" s="551"/>
      <c r="J65" s="370">
        <f t="shared" si="17"/>
        <v>-1</v>
      </c>
    </row>
    <row r="66" spans="1:10">
      <c r="A66" s="835"/>
      <c r="B66" s="837"/>
      <c r="C66" s="370" t="str">
        <f>IFERROR(IF(ISTEXT(B63),"Testovanie",""),)</f>
        <v>Testovanie</v>
      </c>
      <c r="D66" s="367"/>
      <c r="E66" s="367"/>
      <c r="F66" s="367"/>
      <c r="G66" s="551"/>
      <c r="H66" s="370">
        <f t="shared" si="9"/>
        <v>-1</v>
      </c>
      <c r="I66" s="551"/>
      <c r="J66" s="370">
        <f t="shared" si="17"/>
        <v>-1</v>
      </c>
    </row>
    <row r="67" spans="1:10">
      <c r="A67" s="835"/>
      <c r="B67" s="837"/>
      <c r="C67" s="370" t="str">
        <f>IFERROR(IF(ISTEXT(B63),"Nasadenie",""),)</f>
        <v>Nasadenie</v>
      </c>
      <c r="D67" s="367"/>
      <c r="E67" s="367"/>
      <c r="F67" s="367"/>
      <c r="G67" s="551"/>
      <c r="H67" s="370">
        <f t="shared" si="9"/>
        <v>-1</v>
      </c>
      <c r="I67" s="370">
        <f>J67-H67</f>
        <v>1</v>
      </c>
      <c r="J67" s="370">
        <f>IFERROR(ROUND((F63-$E$3+1)/30,0),)</f>
        <v>0</v>
      </c>
    </row>
    <row r="68" spans="1:10">
      <c r="A68" s="835">
        <v>14</v>
      </c>
      <c r="B68" s="837"/>
      <c r="C68" s="370" t="str">
        <f>IFERROR(IF(ISTEXT(B68),"Analýza a dizajn",""),)</f>
        <v/>
      </c>
      <c r="D68" s="370" t="str">
        <f>IFERROR(VLOOKUP(B68,MODULY_CBA!$B$3:$I$23,6,0),"")</f>
        <v/>
      </c>
      <c r="E68" s="371" t="str">
        <f>IFERROR(VLOOKUP(D68,INKREMENTY!$A$2:$F$21,2,0),"")</f>
        <v/>
      </c>
      <c r="F68" s="371" t="str">
        <f>IFERROR(VLOOKUP(D68,INKREMENTY!$A$2:$F$21,4,0),"")</f>
        <v/>
      </c>
      <c r="G68" s="370">
        <f>IFERROR(ROUND(((E68-$E$3)+1)/30,0)+1,)</f>
        <v>0</v>
      </c>
      <c r="H68" s="370">
        <f t="shared" si="9"/>
        <v>-1</v>
      </c>
      <c r="I68" s="551"/>
      <c r="J68" s="370">
        <f t="shared" ref="J68:J71" si="18">H68+I68</f>
        <v>-1</v>
      </c>
    </row>
    <row r="69" spans="1:10">
      <c r="A69" s="835"/>
      <c r="B69" s="837"/>
      <c r="C69" s="370" t="str">
        <f>IFERROR(IF(ISTEXT(B68),"Nákupo HW a krabicový SW",""),)</f>
        <v/>
      </c>
      <c r="D69" s="367"/>
      <c r="E69" s="367"/>
      <c r="F69" s="367"/>
      <c r="G69" s="551"/>
      <c r="H69" s="370">
        <f t="shared" si="9"/>
        <v>-1</v>
      </c>
      <c r="I69" s="551"/>
      <c r="J69" s="370">
        <f t="shared" si="18"/>
        <v>-1</v>
      </c>
    </row>
    <row r="70" spans="1:10">
      <c r="A70" s="835"/>
      <c r="B70" s="837"/>
      <c r="C70" s="370" t="str">
        <f>IFERROR(IF(ISTEXT(B68),"Implementácia",""),)</f>
        <v/>
      </c>
      <c r="D70" s="367"/>
      <c r="E70" s="367"/>
      <c r="F70" s="367"/>
      <c r="G70" s="551"/>
      <c r="H70" s="370">
        <f t="shared" si="9"/>
        <v>-1</v>
      </c>
      <c r="I70" s="551"/>
      <c r="J70" s="370">
        <f t="shared" si="18"/>
        <v>-1</v>
      </c>
    </row>
    <row r="71" spans="1:10">
      <c r="A71" s="835"/>
      <c r="B71" s="837"/>
      <c r="C71" s="370" t="str">
        <f>IFERROR(IF(ISTEXT(B68),"Testovanie",""),)</f>
        <v/>
      </c>
      <c r="D71" s="367"/>
      <c r="E71" s="367"/>
      <c r="F71" s="367"/>
      <c r="G71" s="551"/>
      <c r="H71" s="370">
        <f t="shared" si="9"/>
        <v>-1</v>
      </c>
      <c r="I71" s="551"/>
      <c r="J71" s="370">
        <f t="shared" si="18"/>
        <v>-1</v>
      </c>
    </row>
    <row r="72" spans="1:10">
      <c r="A72" s="835"/>
      <c r="B72" s="837"/>
      <c r="C72" s="370" t="str">
        <f>IFERROR(IF(ISTEXT(B68),"Nasadenie",""),)</f>
        <v/>
      </c>
      <c r="D72" s="367"/>
      <c r="E72" s="367"/>
      <c r="F72" s="367"/>
      <c r="G72" s="551"/>
      <c r="H72" s="370">
        <f t="shared" si="9"/>
        <v>-1</v>
      </c>
      <c r="I72" s="370">
        <f>J72-H72</f>
        <v>1</v>
      </c>
      <c r="J72" s="370">
        <f>IFERROR(ROUND((F68-$E$3+1)/30,0),)</f>
        <v>0</v>
      </c>
    </row>
    <row r="73" spans="1:10">
      <c r="A73" s="835">
        <v>15</v>
      </c>
      <c r="B73" s="836"/>
      <c r="C73" s="370" t="str">
        <f>IFERROR(IF(ISTEXT(B73),"Analýza a dizajn",""),)</f>
        <v/>
      </c>
      <c r="D73" s="370" t="str">
        <f>IFERROR(VLOOKUP(B73,MODULY_CBA!$B$3:$I$23,6,0),"")</f>
        <v/>
      </c>
      <c r="E73" s="371" t="str">
        <f>IFERROR(VLOOKUP(D73,INKREMENTY!$A$2:$F$21,2,0),"")</f>
        <v/>
      </c>
      <c r="F73" s="371" t="str">
        <f>IFERROR(VLOOKUP(D73,INKREMENTY!$A$2:$F$21,4,0),"")</f>
        <v/>
      </c>
      <c r="G73" s="370">
        <f>IFERROR(ROUND(((E73-$E$3)+1)/30,0)+1,)</f>
        <v>0</v>
      </c>
      <c r="H73" s="370">
        <f t="shared" si="9"/>
        <v>-1</v>
      </c>
      <c r="I73" s="551"/>
      <c r="J73" s="370">
        <f t="shared" ref="J73:J76" si="19">H73+I73</f>
        <v>-1</v>
      </c>
    </row>
    <row r="74" spans="1:10">
      <c r="A74" s="835"/>
      <c r="B74" s="836"/>
      <c r="C74" s="370" t="str">
        <f>IFERROR(IF(ISTEXT(B73),"Nákupo HW a krabicový SW",""),)</f>
        <v/>
      </c>
      <c r="D74" s="367"/>
      <c r="E74" s="367"/>
      <c r="F74" s="367"/>
      <c r="G74" s="551"/>
      <c r="H74" s="370">
        <f t="shared" si="9"/>
        <v>-1</v>
      </c>
      <c r="I74" s="551"/>
      <c r="J74" s="370">
        <f t="shared" si="19"/>
        <v>-1</v>
      </c>
    </row>
    <row r="75" spans="1:10">
      <c r="A75" s="835"/>
      <c r="B75" s="836"/>
      <c r="C75" s="370" t="str">
        <f>IFERROR(IF(ISTEXT(B73),"Implementácia",""),)</f>
        <v/>
      </c>
      <c r="D75" s="367"/>
      <c r="E75" s="367"/>
      <c r="F75" s="367"/>
      <c r="G75" s="551"/>
      <c r="H75" s="370">
        <f t="shared" si="9"/>
        <v>-1</v>
      </c>
      <c r="I75" s="551"/>
      <c r="J75" s="370">
        <f t="shared" si="19"/>
        <v>-1</v>
      </c>
    </row>
    <row r="76" spans="1:10">
      <c r="A76" s="835"/>
      <c r="B76" s="836"/>
      <c r="C76" s="370" t="str">
        <f>IFERROR(IF(ISTEXT(B73),"Testovanie",""),)</f>
        <v/>
      </c>
      <c r="D76" s="367"/>
      <c r="E76" s="367"/>
      <c r="F76" s="367"/>
      <c r="G76" s="551"/>
      <c r="H76" s="370">
        <f t="shared" si="9"/>
        <v>-1</v>
      </c>
      <c r="I76" s="551"/>
      <c r="J76" s="370">
        <f t="shared" si="19"/>
        <v>-1</v>
      </c>
    </row>
    <row r="77" spans="1:10">
      <c r="A77" s="835"/>
      <c r="B77" s="836"/>
      <c r="C77" s="370" t="str">
        <f>IFERROR(IF(ISTEXT(B73),"Nasadenie",""),)</f>
        <v/>
      </c>
      <c r="D77" s="367"/>
      <c r="E77" s="367"/>
      <c r="F77" s="367"/>
      <c r="G77" s="551"/>
      <c r="H77" s="370">
        <f t="shared" si="9"/>
        <v>-1</v>
      </c>
      <c r="I77" s="370">
        <f>J77-H77</f>
        <v>1</v>
      </c>
      <c r="J77" s="370">
        <f>IFERROR(ROUND((F73-$E$3+1)/30,0),)</f>
        <v>0</v>
      </c>
    </row>
    <row r="78" spans="1:10">
      <c r="A78" s="835">
        <v>16</v>
      </c>
      <c r="B78" s="836"/>
      <c r="C78" s="370" t="str">
        <f>IFERROR(IF(ISTEXT(B78),"Analýza a dizajn",""),)</f>
        <v/>
      </c>
      <c r="D78" s="370" t="str">
        <f>IFERROR(VLOOKUP(B78,MODULY_CBA!$B$3:$I$23,6,0),"")</f>
        <v/>
      </c>
      <c r="E78" s="371" t="str">
        <f>IFERROR(VLOOKUP(D78,INKREMENTY!$A$2:$F$21,2,0),"")</f>
        <v/>
      </c>
      <c r="F78" s="371" t="str">
        <f>IFERROR(VLOOKUP(D78,INKREMENTY!$A$2:$F$21,4,0),"")</f>
        <v/>
      </c>
      <c r="G78" s="370">
        <f>IFERROR(ROUND(((E78-$E$3)+1)/30,0)+1,)</f>
        <v>0</v>
      </c>
      <c r="H78" s="370">
        <f t="shared" si="9"/>
        <v>-1</v>
      </c>
      <c r="I78" s="551"/>
      <c r="J78" s="370">
        <f t="shared" ref="J78:J81" si="20">H78+I78</f>
        <v>-1</v>
      </c>
    </row>
    <row r="79" spans="1:10">
      <c r="A79" s="835"/>
      <c r="B79" s="836"/>
      <c r="C79" s="370" t="str">
        <f>IFERROR(IF(ISTEXT(B78),"Nákupo HW a krabicový SW",""),)</f>
        <v/>
      </c>
      <c r="D79" s="367"/>
      <c r="E79" s="367"/>
      <c r="F79" s="367"/>
      <c r="G79" s="551"/>
      <c r="H79" s="370">
        <f t="shared" si="9"/>
        <v>-1</v>
      </c>
      <c r="I79" s="551"/>
      <c r="J79" s="370">
        <f t="shared" si="20"/>
        <v>-1</v>
      </c>
    </row>
    <row r="80" spans="1:10">
      <c r="A80" s="835"/>
      <c r="B80" s="836"/>
      <c r="C80" s="370" t="str">
        <f>IFERROR(IF(ISTEXT(B78),"Implementácia",""),)</f>
        <v/>
      </c>
      <c r="D80" s="367"/>
      <c r="E80" s="367"/>
      <c r="F80" s="367"/>
      <c r="G80" s="551"/>
      <c r="H80" s="370">
        <f t="shared" si="9"/>
        <v>-1</v>
      </c>
      <c r="I80" s="551"/>
      <c r="J80" s="370">
        <f t="shared" si="20"/>
        <v>-1</v>
      </c>
    </row>
    <row r="81" spans="1:10">
      <c r="A81" s="835"/>
      <c r="B81" s="836"/>
      <c r="C81" s="370" t="str">
        <f>IFERROR(IF(ISTEXT(B78),"Testovanie",""),)</f>
        <v/>
      </c>
      <c r="D81" s="367"/>
      <c r="E81" s="367"/>
      <c r="F81" s="367"/>
      <c r="G81" s="551"/>
      <c r="H81" s="370">
        <f t="shared" si="9"/>
        <v>-1</v>
      </c>
      <c r="I81" s="551"/>
      <c r="J81" s="370">
        <f t="shared" si="20"/>
        <v>-1</v>
      </c>
    </row>
    <row r="82" spans="1:10">
      <c r="A82" s="835"/>
      <c r="B82" s="836"/>
      <c r="C82" s="370" t="str">
        <f>IFERROR(IF(ISTEXT(B78),"Nasadenie",""),)</f>
        <v/>
      </c>
      <c r="D82" s="367"/>
      <c r="E82" s="367"/>
      <c r="F82" s="367"/>
      <c r="G82" s="551"/>
      <c r="H82" s="370">
        <f t="shared" si="9"/>
        <v>-1</v>
      </c>
      <c r="I82" s="370">
        <f>J82-H82</f>
        <v>1</v>
      </c>
      <c r="J82" s="370">
        <f>IFERROR(ROUND((F78-$E$3+1)/30,0),)</f>
        <v>0</v>
      </c>
    </row>
    <row r="83" spans="1:10">
      <c r="A83" s="835">
        <v>17</v>
      </c>
      <c r="B83" s="836"/>
      <c r="C83" s="370" t="str">
        <f>IFERROR(IF(ISTEXT(B83),"Analýza a dizajn",""),)</f>
        <v/>
      </c>
      <c r="D83" s="370" t="str">
        <f>IFERROR(VLOOKUP(B83,MODULY_CBA!$B$3:$I$23,6,0),"")</f>
        <v/>
      </c>
      <c r="E83" s="371" t="str">
        <f>IFERROR(VLOOKUP(D83,INKREMENTY!$A$2:$F$21,2,0),"")</f>
        <v/>
      </c>
      <c r="F83" s="371" t="str">
        <f>IFERROR(VLOOKUP(D83,INKREMENTY!$A$2:$F$21,4,0),"")</f>
        <v/>
      </c>
      <c r="G83" s="370">
        <f>IFERROR(ROUND(((E83-$E$3)+1)/30,0)+1,)</f>
        <v>0</v>
      </c>
      <c r="H83" s="370">
        <f t="shared" si="9"/>
        <v>-1</v>
      </c>
      <c r="I83" s="551"/>
      <c r="J83" s="370">
        <f t="shared" ref="J83:J86" si="21">H83+I83</f>
        <v>-1</v>
      </c>
    </row>
    <row r="84" spans="1:10">
      <c r="A84" s="835"/>
      <c r="B84" s="836"/>
      <c r="C84" s="370" t="str">
        <f>IFERROR(IF(ISTEXT(B83),"Nákupo HW a krabicový SW",""),)</f>
        <v/>
      </c>
      <c r="D84" s="367"/>
      <c r="E84" s="367"/>
      <c r="F84" s="367"/>
      <c r="G84" s="551"/>
      <c r="H84" s="370">
        <f t="shared" si="9"/>
        <v>-1</v>
      </c>
      <c r="I84" s="551"/>
      <c r="J84" s="370">
        <f t="shared" si="21"/>
        <v>-1</v>
      </c>
    </row>
    <row r="85" spans="1:10">
      <c r="A85" s="835"/>
      <c r="B85" s="836"/>
      <c r="C85" s="370" t="str">
        <f>IFERROR(IF(ISTEXT(B83),"Implementácia",""),)</f>
        <v/>
      </c>
      <c r="D85" s="367"/>
      <c r="E85" s="367"/>
      <c r="F85" s="367"/>
      <c r="G85" s="551"/>
      <c r="H85" s="370">
        <f t="shared" si="9"/>
        <v>-1</v>
      </c>
      <c r="I85" s="551"/>
      <c r="J85" s="370">
        <f t="shared" si="21"/>
        <v>-1</v>
      </c>
    </row>
    <row r="86" spans="1:10">
      <c r="A86" s="835"/>
      <c r="B86" s="836"/>
      <c r="C86" s="370" t="str">
        <f>IFERROR(IF(ISTEXT(B83),"Testovanie",""),)</f>
        <v/>
      </c>
      <c r="D86" s="367"/>
      <c r="E86" s="367"/>
      <c r="F86" s="367"/>
      <c r="G86" s="551"/>
      <c r="H86" s="370">
        <f t="shared" si="9"/>
        <v>-1</v>
      </c>
      <c r="I86" s="551"/>
      <c r="J86" s="370">
        <f t="shared" si="21"/>
        <v>-1</v>
      </c>
    </row>
    <row r="87" spans="1:10">
      <c r="A87" s="835"/>
      <c r="B87" s="836"/>
      <c r="C87" s="370" t="str">
        <f>IFERROR(IF(ISTEXT(B83),"Nasadenie",""),)</f>
        <v/>
      </c>
      <c r="D87" s="367"/>
      <c r="E87" s="367"/>
      <c r="F87" s="367"/>
      <c r="G87" s="551"/>
      <c r="H87" s="370">
        <f t="shared" si="9"/>
        <v>-1</v>
      </c>
      <c r="I87" s="370">
        <f>J87-H87</f>
        <v>1</v>
      </c>
      <c r="J87" s="370">
        <f>IFERROR(ROUND((F83-$E$3+1)/30,0),)</f>
        <v>0</v>
      </c>
    </row>
    <row r="88" spans="1:10">
      <c r="A88" s="835">
        <v>18</v>
      </c>
      <c r="B88" s="836"/>
      <c r="C88" s="370" t="str">
        <f>IFERROR(IF(ISTEXT(B88),"Analýza a dizajn",""),)</f>
        <v/>
      </c>
      <c r="D88" s="370" t="str">
        <f>IFERROR(VLOOKUP(B88,MODULY_CBA!$B$3:$I$23,6,0),"")</f>
        <v/>
      </c>
      <c r="E88" s="371" t="str">
        <f>IFERROR(VLOOKUP(D88,INKREMENTY!$A$2:$F$21,2,0),"")</f>
        <v/>
      </c>
      <c r="F88" s="371" t="str">
        <f>IFERROR(VLOOKUP(D88,INKREMENTY!$A$2:$F$21,4,0),"")</f>
        <v/>
      </c>
      <c r="G88" s="370">
        <f>IFERROR(ROUND(((E88-$E$3)+1)/30,0)+1,)</f>
        <v>0</v>
      </c>
      <c r="H88" s="370">
        <f t="shared" si="9"/>
        <v>-1</v>
      </c>
      <c r="I88" s="551"/>
      <c r="J88" s="370">
        <f t="shared" ref="J88:J91" si="22">H88+I88</f>
        <v>-1</v>
      </c>
    </row>
    <row r="89" spans="1:10">
      <c r="A89" s="835"/>
      <c r="B89" s="836"/>
      <c r="C89" s="370" t="str">
        <f>IFERROR(IF(ISTEXT(B88),"Nákupo HW a krabicový SW",""),)</f>
        <v/>
      </c>
      <c r="D89" s="367"/>
      <c r="E89" s="367"/>
      <c r="F89" s="367"/>
      <c r="G89" s="551"/>
      <c r="H89" s="370">
        <f t="shared" si="9"/>
        <v>-1</v>
      </c>
      <c r="I89" s="551"/>
      <c r="J89" s="370">
        <f t="shared" si="22"/>
        <v>-1</v>
      </c>
    </row>
    <row r="90" spans="1:10">
      <c r="A90" s="835"/>
      <c r="B90" s="836"/>
      <c r="C90" s="370" t="str">
        <f>IFERROR(IF(ISTEXT(B88),"Implementácia",""),)</f>
        <v/>
      </c>
      <c r="D90" s="367"/>
      <c r="E90" s="367"/>
      <c r="F90" s="367"/>
      <c r="G90" s="551"/>
      <c r="H90" s="370">
        <f t="shared" si="9"/>
        <v>-1</v>
      </c>
      <c r="I90" s="551"/>
      <c r="J90" s="370">
        <f t="shared" si="22"/>
        <v>-1</v>
      </c>
    </row>
    <row r="91" spans="1:10">
      <c r="A91" s="835"/>
      <c r="B91" s="836"/>
      <c r="C91" s="370" t="str">
        <f>IFERROR(IF(ISTEXT(B88),"Testovanie",""),)</f>
        <v/>
      </c>
      <c r="D91" s="367"/>
      <c r="E91" s="367"/>
      <c r="F91" s="367"/>
      <c r="G91" s="551"/>
      <c r="H91" s="370">
        <f t="shared" si="9"/>
        <v>-1</v>
      </c>
      <c r="I91" s="551"/>
      <c r="J91" s="370">
        <f t="shared" si="22"/>
        <v>-1</v>
      </c>
    </row>
    <row r="92" spans="1:10">
      <c r="A92" s="835"/>
      <c r="B92" s="836"/>
      <c r="C92" s="370" t="str">
        <f>IFERROR(IF(ISTEXT(B88),"Nasadenie",""),)</f>
        <v/>
      </c>
      <c r="D92" s="367"/>
      <c r="E92" s="367"/>
      <c r="F92" s="367"/>
      <c r="G92" s="551"/>
      <c r="H92" s="370">
        <f t="shared" ref="H92:H107" si="23">G92-1</f>
        <v>-1</v>
      </c>
      <c r="I92" s="370">
        <f>J92-H92</f>
        <v>1</v>
      </c>
      <c r="J92" s="370">
        <f>IFERROR(ROUND((F88-$E$3+1)/30,0),)</f>
        <v>0</v>
      </c>
    </row>
    <row r="93" spans="1:10">
      <c r="A93" s="835">
        <v>19</v>
      </c>
      <c r="B93" s="836"/>
      <c r="C93" s="370" t="str">
        <f>IFERROR(IF(ISTEXT(B93),"Analýza a dizajn",""),)</f>
        <v/>
      </c>
      <c r="D93" s="370" t="str">
        <f>IFERROR(VLOOKUP(B93,MODULY_CBA!$B$3:$I$23,6,0),"")</f>
        <v/>
      </c>
      <c r="E93" s="371" t="str">
        <f>IFERROR(VLOOKUP(D93,INKREMENTY!$A$2:$F$21,2,0),"")</f>
        <v/>
      </c>
      <c r="F93" s="371" t="str">
        <f>IFERROR(VLOOKUP(D93,INKREMENTY!$A$2:$F$21,4,0),"")</f>
        <v/>
      </c>
      <c r="G93" s="370">
        <f>IFERROR(ROUND(((E93-$E$3)+1)/30,0)+1,)</f>
        <v>0</v>
      </c>
      <c r="H93" s="370">
        <f t="shared" si="23"/>
        <v>-1</v>
      </c>
      <c r="I93" s="551"/>
      <c r="J93" s="370">
        <f t="shared" ref="J93:J96" si="24">H93+I93</f>
        <v>-1</v>
      </c>
    </row>
    <row r="94" spans="1:10">
      <c r="A94" s="835"/>
      <c r="B94" s="836"/>
      <c r="C94" s="370" t="str">
        <f>IFERROR(IF(ISTEXT(B93),"Nákupo HW a krabicový SW",""),)</f>
        <v/>
      </c>
      <c r="D94" s="367"/>
      <c r="E94" s="367"/>
      <c r="F94" s="367"/>
      <c r="G94" s="551"/>
      <c r="H94" s="370">
        <f t="shared" si="23"/>
        <v>-1</v>
      </c>
      <c r="I94" s="551"/>
      <c r="J94" s="370">
        <f t="shared" si="24"/>
        <v>-1</v>
      </c>
    </row>
    <row r="95" spans="1:10">
      <c r="A95" s="835"/>
      <c r="B95" s="836"/>
      <c r="C95" s="370" t="str">
        <f>IFERROR(IF(ISTEXT(B93),"Implementácia",""),)</f>
        <v/>
      </c>
      <c r="D95" s="367"/>
      <c r="E95" s="367"/>
      <c r="F95" s="367"/>
      <c r="G95" s="551"/>
      <c r="H95" s="370">
        <f t="shared" si="23"/>
        <v>-1</v>
      </c>
      <c r="I95" s="551"/>
      <c r="J95" s="370">
        <f t="shared" si="24"/>
        <v>-1</v>
      </c>
    </row>
    <row r="96" spans="1:10">
      <c r="A96" s="835"/>
      <c r="B96" s="836"/>
      <c r="C96" s="370" t="str">
        <f>IFERROR(IF(ISTEXT(B93),"Testovanie",""),)</f>
        <v/>
      </c>
      <c r="D96" s="367"/>
      <c r="E96" s="367"/>
      <c r="F96" s="367"/>
      <c r="G96" s="551"/>
      <c r="H96" s="370">
        <f t="shared" si="23"/>
        <v>-1</v>
      </c>
      <c r="I96" s="551"/>
      <c r="J96" s="370">
        <f t="shared" si="24"/>
        <v>-1</v>
      </c>
    </row>
    <row r="97" spans="1:10">
      <c r="A97" s="835"/>
      <c r="B97" s="836"/>
      <c r="C97" s="370" t="str">
        <f>IFERROR(IF(ISTEXT(B93),"Nasadenie",""),)</f>
        <v/>
      </c>
      <c r="D97" s="367"/>
      <c r="E97" s="367"/>
      <c r="F97" s="367"/>
      <c r="G97" s="551"/>
      <c r="H97" s="370">
        <f t="shared" si="23"/>
        <v>-1</v>
      </c>
      <c r="I97" s="370">
        <f>J97-H97</f>
        <v>1</v>
      </c>
      <c r="J97" s="370">
        <f>IFERROR(ROUND((F93-$E$3+1)/30,0),)</f>
        <v>0</v>
      </c>
    </row>
    <row r="98" spans="1:10">
      <c r="A98" s="835">
        <v>20</v>
      </c>
      <c r="B98" s="836"/>
      <c r="C98" s="370" t="str">
        <f>IFERROR(IF(ISTEXT(B98),"Analýza a dizajn",""),)</f>
        <v/>
      </c>
      <c r="D98" s="370" t="str">
        <f>IFERROR(VLOOKUP(B98,MODULY_CBA!$B$3:$I$23,6,0),"")</f>
        <v/>
      </c>
      <c r="E98" s="371" t="str">
        <f>IFERROR(VLOOKUP(D98,INKREMENTY!$A$2:$F$21,2,0),"")</f>
        <v/>
      </c>
      <c r="F98" s="371" t="str">
        <f>IFERROR(VLOOKUP(D98,INKREMENTY!$A$2:$F$21,4,0),"")</f>
        <v/>
      </c>
      <c r="G98" s="370">
        <f>IFERROR(ROUND(((E98-$E$3)+1)/30,0)+1,)</f>
        <v>0</v>
      </c>
      <c r="H98" s="370">
        <f t="shared" si="23"/>
        <v>-1</v>
      </c>
      <c r="I98" s="551"/>
      <c r="J98" s="370">
        <f t="shared" ref="J98:J101" si="25">H98+I98</f>
        <v>-1</v>
      </c>
    </row>
    <row r="99" spans="1:10">
      <c r="A99" s="835"/>
      <c r="B99" s="836"/>
      <c r="C99" s="370" t="str">
        <f>IFERROR(IF(ISTEXT(B98),"Nákupo HW a krabicový SW",""),)</f>
        <v/>
      </c>
      <c r="D99" s="367"/>
      <c r="E99" s="367"/>
      <c r="F99" s="367"/>
      <c r="G99" s="551"/>
      <c r="H99" s="370">
        <f t="shared" si="23"/>
        <v>-1</v>
      </c>
      <c r="I99" s="551"/>
      <c r="J99" s="370">
        <f t="shared" si="25"/>
        <v>-1</v>
      </c>
    </row>
    <row r="100" spans="1:10">
      <c r="A100" s="835"/>
      <c r="B100" s="836"/>
      <c r="C100" s="370" t="str">
        <f>IFERROR(IF(ISTEXT(B98),"Implementácia",""),)</f>
        <v/>
      </c>
      <c r="D100" s="367"/>
      <c r="E100" s="367"/>
      <c r="F100" s="367"/>
      <c r="G100" s="551"/>
      <c r="H100" s="370">
        <f t="shared" si="23"/>
        <v>-1</v>
      </c>
      <c r="I100" s="551"/>
      <c r="J100" s="370">
        <f t="shared" si="25"/>
        <v>-1</v>
      </c>
    </row>
    <row r="101" spans="1:10">
      <c r="A101" s="835"/>
      <c r="B101" s="836"/>
      <c r="C101" s="370" t="str">
        <f>IFERROR(IF(ISTEXT(B98),"Testovanie",""),)</f>
        <v/>
      </c>
      <c r="D101" s="367"/>
      <c r="E101" s="367"/>
      <c r="F101" s="367"/>
      <c r="G101" s="551"/>
      <c r="H101" s="370">
        <f t="shared" si="23"/>
        <v>-1</v>
      </c>
      <c r="I101" s="551"/>
      <c r="J101" s="370">
        <f t="shared" si="25"/>
        <v>-1</v>
      </c>
    </row>
    <row r="102" spans="1:10">
      <c r="A102" s="835"/>
      <c r="B102" s="836"/>
      <c r="C102" s="370" t="str">
        <f>IFERROR(IF(ISTEXT(B98),"Nasadenie",""),)</f>
        <v/>
      </c>
      <c r="D102" s="367"/>
      <c r="E102" s="367"/>
      <c r="F102" s="367"/>
      <c r="G102" s="551"/>
      <c r="H102" s="370">
        <f t="shared" si="23"/>
        <v>-1</v>
      </c>
      <c r="I102" s="370">
        <f>J102-H102</f>
        <v>1</v>
      </c>
      <c r="J102" s="370">
        <f>IFERROR(ROUND((F98-$E$3+1)/30,0),)</f>
        <v>0</v>
      </c>
    </row>
    <row r="103" spans="1:10">
      <c r="A103" s="835">
        <v>21</v>
      </c>
      <c r="B103" s="836"/>
      <c r="C103" s="370" t="str">
        <f>IFERROR(IF(ISTEXT(B103),"Analýza a dizajn",""),)</f>
        <v/>
      </c>
      <c r="D103" s="370" t="str">
        <f>IFERROR(VLOOKUP(B103,MODULY_CBA!$B$3:$I$23,6,0),"")</f>
        <v/>
      </c>
      <c r="E103" s="371" t="str">
        <f>IFERROR(VLOOKUP(D103,INKREMENTY!$A$2:$F$21,2,0),"")</f>
        <v/>
      </c>
      <c r="F103" s="371" t="str">
        <f>IFERROR(VLOOKUP(D103,INKREMENTY!$A$2:$F$21,4,0),"")</f>
        <v/>
      </c>
      <c r="G103" s="370">
        <f>IFERROR(ROUND(((E103-$E$3)+1)/30,0)+1,)</f>
        <v>0</v>
      </c>
      <c r="H103" s="370">
        <f t="shared" si="23"/>
        <v>-1</v>
      </c>
      <c r="I103" s="551"/>
      <c r="J103" s="370">
        <f t="shared" ref="J103:J106" si="26">H103+I103</f>
        <v>-1</v>
      </c>
    </row>
    <row r="104" spans="1:10">
      <c r="A104" s="835"/>
      <c r="B104" s="836"/>
      <c r="C104" s="370" t="str">
        <f>IFERROR(IF(ISTEXT(B103),"Nákupo HW a krabicový SW",""),)</f>
        <v/>
      </c>
      <c r="D104" s="367"/>
      <c r="E104" s="367"/>
      <c r="F104" s="367"/>
      <c r="G104" s="551"/>
      <c r="H104" s="370">
        <f t="shared" si="23"/>
        <v>-1</v>
      </c>
      <c r="I104" s="551"/>
      <c r="J104" s="370">
        <f t="shared" si="26"/>
        <v>-1</v>
      </c>
    </row>
    <row r="105" spans="1:10">
      <c r="A105" s="835"/>
      <c r="B105" s="836"/>
      <c r="C105" s="370" t="str">
        <f>IFERROR(IF(ISTEXT(B103),"Implementácia",""),)</f>
        <v/>
      </c>
      <c r="D105" s="367"/>
      <c r="E105" s="367"/>
      <c r="F105" s="367"/>
      <c r="G105" s="551"/>
      <c r="H105" s="370">
        <f t="shared" si="23"/>
        <v>-1</v>
      </c>
      <c r="I105" s="551"/>
      <c r="J105" s="370">
        <f t="shared" si="26"/>
        <v>-1</v>
      </c>
    </row>
    <row r="106" spans="1:10">
      <c r="A106" s="835"/>
      <c r="B106" s="836"/>
      <c r="C106" s="370" t="str">
        <f>IFERROR(IF(ISTEXT(B103),"Testovanie",""),)</f>
        <v/>
      </c>
      <c r="D106" s="367"/>
      <c r="E106" s="367"/>
      <c r="F106" s="367"/>
      <c r="G106" s="551"/>
      <c r="H106" s="370">
        <f t="shared" si="23"/>
        <v>-1</v>
      </c>
      <c r="I106" s="551"/>
      <c r="J106" s="370">
        <f t="shared" si="26"/>
        <v>-1</v>
      </c>
    </row>
    <row r="107" spans="1:10">
      <c r="A107" s="835"/>
      <c r="B107" s="836"/>
      <c r="C107" s="370" t="str">
        <f>IFERROR(IF(ISTEXT(B103),"Nasadenie",""),)</f>
        <v/>
      </c>
      <c r="D107" s="367"/>
      <c r="E107" s="367"/>
      <c r="F107" s="367"/>
      <c r="G107" s="551"/>
      <c r="H107" s="370">
        <f t="shared" si="23"/>
        <v>-1</v>
      </c>
      <c r="I107" s="370">
        <f>J107-H107</f>
        <v>1</v>
      </c>
      <c r="J107" s="370">
        <f>IFERROR(ROUND((F103-$E$3+1)/30,0),)</f>
        <v>0</v>
      </c>
    </row>
  </sheetData>
  <mergeCells count="43">
    <mergeCell ref="G1:J1"/>
    <mergeCell ref="B28:B32"/>
    <mergeCell ref="B3:B7"/>
    <mergeCell ref="B8:B12"/>
    <mergeCell ref="B13:B17"/>
    <mergeCell ref="B18:B22"/>
    <mergeCell ref="B23:B27"/>
    <mergeCell ref="B33:B37"/>
    <mergeCell ref="B38:B42"/>
    <mergeCell ref="B43:B47"/>
    <mergeCell ref="B48:B52"/>
    <mergeCell ref="B53:B57"/>
    <mergeCell ref="B88:B92"/>
    <mergeCell ref="B93:B97"/>
    <mergeCell ref="B98:B102"/>
    <mergeCell ref="B103:B107"/>
    <mergeCell ref="B58:B62"/>
    <mergeCell ref="B63:B67"/>
    <mergeCell ref="B68:B72"/>
    <mergeCell ref="B73:B77"/>
    <mergeCell ref="B78:B82"/>
    <mergeCell ref="A53:A57"/>
    <mergeCell ref="A58:A62"/>
    <mergeCell ref="A63:A67"/>
    <mergeCell ref="A68:A72"/>
    <mergeCell ref="B83:B87"/>
    <mergeCell ref="A28:A32"/>
    <mergeCell ref="A33:A37"/>
    <mergeCell ref="A38:A42"/>
    <mergeCell ref="A43:A47"/>
    <mergeCell ref="A48:A52"/>
    <mergeCell ref="A3:A7"/>
    <mergeCell ref="A8:A12"/>
    <mergeCell ref="A13:A17"/>
    <mergeCell ref="A18:A22"/>
    <mergeCell ref="A23:A27"/>
    <mergeCell ref="A98:A102"/>
    <mergeCell ref="A103:A107"/>
    <mergeCell ref="A73:A77"/>
    <mergeCell ref="A78:A82"/>
    <mergeCell ref="A83:A87"/>
    <mergeCell ref="A88:A92"/>
    <mergeCell ref="A93:A97"/>
  </mergeCells>
  <conditionalFormatting sqref="C3:C32">
    <cfRule type="expression" dxfId="2" priority="1">
      <formula>ISTEXT($B$28)</formula>
    </cfRule>
  </conditionalFormatting>
  <dataValidations count="1">
    <dataValidation type="list" allowBlank="1" showInputMessage="1" showErrorMessage="1" sqref="B3:B107" xr:uid="{00000000-0002-0000-1400-000000000000}">
      <formula1>MODULY</formula1>
    </dataValidation>
  </dataValidations>
  <pageMargins left="0.7" right="0.7" top="0.75" bottom="0.75" header="0.3" footer="0.3"/>
  <pageSetup paperSize="9" orientation="portrait" horizontalDpi="1200" verticalDpi="1200"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E46557-1781-4F64-9C90-04DA1AE7E797}">
  <dimension ref="A1"/>
  <sheetViews>
    <sheetView workbookViewId="0"/>
  </sheetViews>
  <sheetFormatPr defaultRowHeight="14.5"/>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E4C9BF-5AA8-4D3D-A2D6-FDE13A935B9D}">
  <dimension ref="A1"/>
  <sheetViews>
    <sheetView workbookViewId="0"/>
  </sheetViews>
  <sheetFormatPr defaultRowHeight="14.5"/>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Hárok9">
    <tabColor theme="0" tint="-0.34998626667073579"/>
    <outlinePr summaryBelow="0" summaryRight="0"/>
  </sheetPr>
  <dimension ref="A1:M44"/>
  <sheetViews>
    <sheetView view="pageBreakPreview" topLeftCell="A3" zoomScaleNormal="85" zoomScaleSheetLayoutView="100" workbookViewId="0">
      <selection activeCell="C9" sqref="C9:G9"/>
    </sheetView>
  </sheetViews>
  <sheetFormatPr defaultColWidth="8.81640625" defaultRowHeight="14.5" outlineLevelCol="1"/>
  <cols>
    <col min="2" max="2" width="54.1796875" customWidth="1"/>
    <col min="3" max="3" width="18.81640625" customWidth="1"/>
    <col min="4" max="13" width="16" customWidth="1" outlineLevel="1"/>
  </cols>
  <sheetData>
    <row r="1" spans="1:13" ht="21">
      <c r="A1" s="94" t="s">
        <v>2090</v>
      </c>
      <c r="B1" s="95"/>
      <c r="E1" s="84"/>
      <c r="F1" s="84"/>
      <c r="G1" s="84"/>
      <c r="H1" s="84"/>
      <c r="I1" s="84"/>
      <c r="J1" s="84"/>
      <c r="K1" s="84"/>
      <c r="L1" s="84"/>
      <c r="M1" s="80"/>
    </row>
    <row r="2" spans="1:13" ht="15.5">
      <c r="A2" s="96"/>
      <c r="B2" s="82"/>
      <c r="D2" s="82"/>
      <c r="E2" s="82"/>
      <c r="F2" s="82"/>
      <c r="G2" s="82"/>
      <c r="H2" s="82"/>
      <c r="I2" s="82"/>
      <c r="J2" s="82"/>
      <c r="K2" s="82"/>
      <c r="L2" s="82"/>
      <c r="M2" s="76"/>
    </row>
    <row r="3" spans="1:13" ht="15.5">
      <c r="A3" s="160" t="s">
        <v>2091</v>
      </c>
      <c r="B3" s="82"/>
      <c r="D3" s="76"/>
      <c r="E3" s="76"/>
      <c r="F3" s="76"/>
      <c r="G3" s="76"/>
      <c r="H3" s="76"/>
      <c r="I3" s="76"/>
      <c r="J3" s="76"/>
      <c r="K3" s="76"/>
      <c r="L3" s="76"/>
      <c r="M3" s="76"/>
    </row>
    <row r="4" spans="1:13">
      <c r="D4" s="77"/>
      <c r="E4" s="77"/>
      <c r="F4" s="77"/>
      <c r="G4" s="77"/>
      <c r="H4" s="77"/>
      <c r="I4" s="77"/>
      <c r="J4" s="77"/>
      <c r="K4" s="77"/>
      <c r="L4" s="77"/>
      <c r="M4" s="77"/>
    </row>
    <row r="5" spans="1:13" ht="15" thickBot="1">
      <c r="B5" s="77"/>
      <c r="C5" s="81"/>
      <c r="D5" s="839" t="s">
        <v>194</v>
      </c>
      <c r="E5" s="839"/>
      <c r="F5" s="839"/>
      <c r="G5" s="839"/>
      <c r="H5" s="839"/>
      <c r="I5" s="839"/>
      <c r="J5" s="839"/>
      <c r="K5" s="839"/>
      <c r="L5" s="839"/>
      <c r="M5" s="839"/>
    </row>
    <row r="6" spans="1:13">
      <c r="A6" s="130"/>
      <c r="B6" s="155" t="s">
        <v>164</v>
      </c>
      <c r="C6" s="88" t="s">
        <v>99</v>
      </c>
      <c r="D6" s="100" t="s">
        <v>166</v>
      </c>
      <c r="E6" s="101" t="s">
        <v>167</v>
      </c>
      <c r="F6" s="101" t="s">
        <v>168</v>
      </c>
      <c r="G6" s="101" t="s">
        <v>169</v>
      </c>
      <c r="H6" s="101" t="s">
        <v>170</v>
      </c>
      <c r="I6" s="101" t="s">
        <v>171</v>
      </c>
      <c r="J6" s="101" t="s">
        <v>172</v>
      </c>
      <c r="K6" s="101" t="s">
        <v>173</v>
      </c>
      <c r="L6" s="101" t="s">
        <v>174</v>
      </c>
      <c r="M6" s="102" t="s">
        <v>175</v>
      </c>
    </row>
    <row r="7" spans="1:13">
      <c r="A7" s="158"/>
      <c r="B7" s="156" t="s">
        <v>2092</v>
      </c>
      <c r="C7" s="89">
        <f t="shared" ref="C7:C14" si="0">SUM(D7:M7)</f>
        <v>16360749</v>
      </c>
      <c r="D7" s="103">
        <f>'TCO TO BE- SW'!$E6+'TCO TO BE- SW'!$E26+'TCO TO BE- SW'!$E16</f>
        <v>16360749</v>
      </c>
      <c r="E7" s="86">
        <f>'TCO TO BE- SW'!$E7+'TCO TO BE- SW'!$E27+'TCO TO BE- SW'!$E17</f>
        <v>0</v>
      </c>
      <c r="F7" s="86">
        <f>'TCO TO BE- SW'!$E8+'TCO TO BE- SW'!$E28+'TCO TO BE- SW'!$E18</f>
        <v>0</v>
      </c>
      <c r="G7" s="86">
        <f>'TCO TO BE- SW'!$E9+'TCO TO BE- SW'!$E29+'TCO TO BE- SW'!$E19</f>
        <v>0</v>
      </c>
      <c r="H7" s="86">
        <f>'TCO TO BE- SW'!$E10+'TCO TO BE- SW'!$E30+'TCO TO BE- SW'!$E20</f>
        <v>0</v>
      </c>
      <c r="I7" s="86">
        <f>'TCO TO BE- SW'!$E11+'TCO TO BE- SW'!$E31+'TCO TO BE- SW'!$E21</f>
        <v>0</v>
      </c>
      <c r="J7" s="86">
        <f>'TCO TO BE- SW'!$E12+'TCO TO BE- SW'!$E32+'TCO TO BE- SW'!$E22</f>
        <v>0</v>
      </c>
      <c r="K7" s="86">
        <f>'TCO TO BE- SW'!$E13+'TCO TO BE- SW'!$E33+'TCO TO BE- SW'!$E23</f>
        <v>0</v>
      </c>
      <c r="L7" s="86">
        <f>'TCO TO BE- SW'!$E14+'TCO TO BE- SW'!$E34+'TCO TO BE- SW'!$E24</f>
        <v>0</v>
      </c>
      <c r="M7" s="104">
        <f>'TCO TO BE- SW'!$E15+'TCO TO BE- SW'!$E35+'TCO TO BE- SW'!$E25</f>
        <v>0</v>
      </c>
    </row>
    <row r="8" spans="1:13">
      <c r="A8" s="158"/>
      <c r="B8" s="156" t="s">
        <v>2093</v>
      </c>
      <c r="C8" s="89">
        <f t="shared" si="0"/>
        <v>0</v>
      </c>
      <c r="D8" s="103">
        <f>'TCO TO BE- SW'!$E79+'TCO TO BE- SW'!$E89</f>
        <v>0</v>
      </c>
      <c r="E8" s="86">
        <f>'TCO TO BE- SW'!$E80+'TCO TO BE- SW'!$E90</f>
        <v>0</v>
      </c>
      <c r="F8" s="86">
        <f>'TCO TO BE- SW'!$E81+'TCO TO BE- SW'!$E91</f>
        <v>0</v>
      </c>
      <c r="G8" s="86">
        <f>'TCO TO BE- SW'!$E82+'TCO TO BE- SW'!$E92</f>
        <v>0</v>
      </c>
      <c r="H8" s="86">
        <f>'TCO TO BE- SW'!$E83+'TCO TO BE- SW'!$E93</f>
        <v>0</v>
      </c>
      <c r="I8" s="86">
        <f>'TCO TO BE- SW'!$E84+'TCO TO BE- SW'!$E94</f>
        <v>0</v>
      </c>
      <c r="J8" s="86">
        <f>'TCO TO BE- SW'!$E85+'TCO TO BE- SW'!$E95</f>
        <v>0</v>
      </c>
      <c r="K8" s="86">
        <f>'TCO TO BE- SW'!$E86+'TCO TO BE- SW'!$E96</f>
        <v>0</v>
      </c>
      <c r="L8" s="86">
        <f>'TCO TO BE- SW'!$E87+'TCO TO BE- SW'!$E97</f>
        <v>0</v>
      </c>
      <c r="M8" s="104">
        <f>'TCO TO BE- SW'!$E88+'TCO TO BE- SW'!$E98</f>
        <v>0</v>
      </c>
    </row>
    <row r="9" spans="1:13">
      <c r="A9" s="158"/>
      <c r="B9" s="156" t="s">
        <v>2094</v>
      </c>
      <c r="C9" s="89">
        <f t="shared" si="0"/>
        <v>26775626.069999997</v>
      </c>
      <c r="D9" s="103">
        <f>'TCO TO BE- SW'!$E37+'TCO TO BE- SW'!$E47+'TCO TO BE- SW'!$E67+'TCO TO BE- SW'!E57</f>
        <v>8026487.7474440038</v>
      </c>
      <c r="E9" s="86">
        <f>'TCO TO BE- SW'!$E38+'TCO TO BE- SW'!$E48+'TCO TO BE- SW'!$E68+'TCO TO BE- SW'!E58</f>
        <v>0</v>
      </c>
      <c r="F9" s="86">
        <f>'TCO TO BE- SW'!$E39+'TCO TO BE- SW'!$E49+'TCO TO BE- SW'!$E69+'TCO TO BE- SW'!E59</f>
        <v>14927691.116781145</v>
      </c>
      <c r="G9" s="86">
        <f>'TCO TO BE- SW'!$E40+'TCO TO BE- SW'!$E50+'TCO TO BE- SW'!$E70+'TCO TO BE- SW'!E60</f>
        <v>3821447.2057748488</v>
      </c>
      <c r="H9" s="86">
        <f>'TCO TO BE- SW'!$E41+'TCO TO BE- SW'!$E51+'TCO TO BE- SW'!$E71+'TCO TO BE- SW'!E61</f>
        <v>0</v>
      </c>
      <c r="I9" s="86">
        <f>'TCO TO BE- SW'!$E42+'TCO TO BE- SW'!$E52+'TCO TO BE- SW'!$E72+'TCO TO BE- SW'!E62</f>
        <v>0</v>
      </c>
      <c r="J9" s="86">
        <f>'TCO TO BE- SW'!$E43+'TCO TO BE- SW'!$E53+'TCO TO BE- SW'!$E73+'TCO TO BE- SW'!E63</f>
        <v>0</v>
      </c>
      <c r="K9" s="86">
        <f>'TCO TO BE- SW'!$E44+'TCO TO BE- SW'!$E54+'TCO TO BE- SW'!$E74+'TCO TO BE- SW'!E64</f>
        <v>0</v>
      </c>
      <c r="L9" s="86">
        <f>'TCO TO BE- SW'!$E45+'TCO TO BE- SW'!$E55+'TCO TO BE- SW'!$E75+'TCO TO BE- SW'!E65</f>
        <v>0</v>
      </c>
      <c r="M9" s="104">
        <f>'TCO TO BE- SW'!$E46+'TCO TO BE- SW'!$E56+'TCO TO BE- SW'!$E76+'TCO TO BE- SW'!E66</f>
        <v>0</v>
      </c>
    </row>
    <row r="10" spans="1:13">
      <c r="A10" s="158"/>
      <c r="B10" s="156" t="s">
        <v>2095</v>
      </c>
      <c r="C10" s="89">
        <f t="shared" si="0"/>
        <v>31874402.169160787</v>
      </c>
      <c r="D10" s="103">
        <f>'TCO TO BE- SW'!$E100+'TCO TO BE- SW'!$E110+'TCO TO BE- SW'!$E120+'TCO TO BE- SW'!$E130+'TCO TO BE- SW'!$E140</f>
        <v>0</v>
      </c>
      <c r="E10" s="86">
        <f>'TCO TO BE- SW'!$E101+'TCO TO BE- SW'!$E111+'TCO TO BE- SW'!$E121+'TCO TO BE- SW'!$E131+'TCO TO BE- SW'!$E141</f>
        <v>1165091.4443629163</v>
      </c>
      <c r="F10" s="86">
        <f>'TCO TO BE- SW'!$E102+'TCO TO BE- SW'!$E112+'TCO TO BE- SW'!$E122+'TCO TO BE- SW'!$E132+'TCO TO BE- SW'!$E142</f>
        <v>3502844.2312978641</v>
      </c>
      <c r="G10" s="86">
        <f>'TCO TO BE- SW'!$E103+'TCO TO BE- SW'!$E113+'TCO TO BE- SW'!$E123+'TCO TO BE- SW'!$E133+'TCO TO BE- SW'!$E143</f>
        <v>3886638.0705000004</v>
      </c>
      <c r="H10" s="86">
        <f>'TCO TO BE- SW'!$E104+'TCO TO BE- SW'!$E114+'TCO TO BE- SW'!$E124+'TCO TO BE- SW'!$E134+'TCO TO BE- SW'!$E144</f>
        <v>3886638.0705000004</v>
      </c>
      <c r="I10" s="86">
        <f>'TCO TO BE- SW'!$E105+'TCO TO BE- SW'!$E115+'TCO TO BE- SW'!$E125+'TCO TO BE- SW'!$E135+'TCO TO BE- SW'!$E145</f>
        <v>3886638.0705000004</v>
      </c>
      <c r="J10" s="86">
        <f>'TCO TO BE- SW'!$E106+'TCO TO BE- SW'!$E116+'TCO TO BE- SW'!$E126+'TCO TO BE- SW'!$E136+'TCO TO BE- SW'!$E146</f>
        <v>3886638.0705000004</v>
      </c>
      <c r="K10" s="86">
        <f>'TCO TO BE- SW'!$E107+'TCO TO BE- SW'!$E117+'TCO TO BE- SW'!$E127+'TCO TO BE- SW'!$E137+'TCO TO BE- SW'!$E147</f>
        <v>3886638.0705000004</v>
      </c>
      <c r="L10" s="86">
        <f>'TCO TO BE- SW'!$E108+'TCO TO BE- SW'!$E118+'TCO TO BE- SW'!$E128+'TCO TO BE- SW'!$E138+'TCO TO BE- SW'!$E148</f>
        <v>3886638.0705000004</v>
      </c>
      <c r="M10" s="104">
        <f>'TCO TO BE- SW'!$E109+'TCO TO BE- SW'!$E119+'TCO TO BE- SW'!$E129+'TCO TO BE- SW'!$E139+'TCO TO BE- SW'!$E149</f>
        <v>3886638.0705000004</v>
      </c>
    </row>
    <row r="11" spans="1:13">
      <c r="A11" s="158"/>
      <c r="B11" s="156" t="s">
        <v>2096</v>
      </c>
      <c r="C11" s="89">
        <f t="shared" si="0"/>
        <v>0</v>
      </c>
      <c r="D11" s="103">
        <f>'TCO TO BE- SW'!E172+'TCO TO BE- SW'!E182</f>
        <v>0</v>
      </c>
      <c r="E11" s="86">
        <f>'TCO TO BE- SW'!E173+'TCO TO BE- SW'!E183</f>
        <v>0</v>
      </c>
      <c r="F11" s="86">
        <f>'TCO TO BE- SW'!E174+'TCO TO BE- SW'!E184</f>
        <v>0</v>
      </c>
      <c r="G11" s="86">
        <f>'TCO TO BE- SW'!E175+'TCO TO BE- SW'!E185</f>
        <v>0</v>
      </c>
      <c r="H11" s="86">
        <f>'TCO TO BE- SW'!E176+'TCO TO BE- SW'!E186</f>
        <v>0</v>
      </c>
      <c r="I11" s="86">
        <f>'TCO TO BE- SW'!E177+'TCO TO BE- SW'!E187</f>
        <v>0</v>
      </c>
      <c r="J11" s="86">
        <f>'TCO TO BE- SW'!E178+'TCO TO BE- SW'!E188</f>
        <v>0</v>
      </c>
      <c r="K11" s="86">
        <f>'TCO TO BE- SW'!E179+'TCO TO BE- SW'!E189</f>
        <v>0</v>
      </c>
      <c r="L11" s="86">
        <f>'TCO TO BE- SW'!E180+'TCO TO BE- SW'!E190</f>
        <v>0</v>
      </c>
      <c r="M11" s="104">
        <f>'TCO TO BE- SW'!E181+'TCO TO BE- SW'!E191</f>
        <v>0</v>
      </c>
    </row>
    <row r="12" spans="1:13">
      <c r="A12" s="158"/>
      <c r="B12" s="156" t="s">
        <v>2097</v>
      </c>
      <c r="C12" s="89">
        <f t="shared" si="0"/>
        <v>0</v>
      </c>
      <c r="D12" s="103">
        <f>'TCO TO BE - HW'!$E5+'TCO TO BE - HW'!$E15+'TCO TO BE - HW'!$E45+'TCO TO BE - HW'!$E25+'TCO TO BE - HW'!$E35</f>
        <v>0</v>
      </c>
      <c r="E12" s="86">
        <f>'TCO TO BE - HW'!$E6+'TCO TO BE - HW'!$E16+'TCO TO BE - HW'!$E46+'TCO TO BE - HW'!$E26+'TCO TO BE - HW'!$E36</f>
        <v>0</v>
      </c>
      <c r="F12" s="86">
        <f>'TCO TO BE - HW'!$E7+'TCO TO BE - HW'!$E17+'TCO TO BE - HW'!$E47+'TCO TO BE - HW'!$E27+'TCO TO BE - HW'!$E37</f>
        <v>0</v>
      </c>
      <c r="G12" s="86">
        <f>'TCO TO BE - HW'!$E8+'TCO TO BE - HW'!$E18+'TCO TO BE - HW'!$E48+'TCO TO BE - HW'!$E28+'TCO TO BE - HW'!$E38</f>
        <v>0</v>
      </c>
      <c r="H12" s="86">
        <f>'TCO TO BE - HW'!$E9+'TCO TO BE - HW'!$E19+'TCO TO BE - HW'!$E49+'TCO TO BE - HW'!$E29+'TCO TO BE - HW'!$E39</f>
        <v>0</v>
      </c>
      <c r="I12" s="86">
        <f>'TCO TO BE - HW'!$E10+'TCO TO BE - HW'!$E20+'TCO TO BE - HW'!$E50+'TCO TO BE - HW'!$E30+'TCO TO BE - HW'!$E40</f>
        <v>0</v>
      </c>
      <c r="J12" s="86">
        <f>'TCO TO BE - HW'!$E11+'TCO TO BE - HW'!$E21+'TCO TO BE - HW'!$E51+'TCO TO BE - HW'!$E31+'TCO TO BE - HW'!$E41</f>
        <v>0</v>
      </c>
      <c r="K12" s="86">
        <f>'TCO TO BE - HW'!$E12+'TCO TO BE - HW'!$E22+'TCO TO BE - HW'!$E52+'TCO TO BE - HW'!$E32+'TCO TO BE - HW'!$E42</f>
        <v>0</v>
      </c>
      <c r="L12" s="86">
        <f>'TCO TO BE - HW'!$E13+'TCO TO BE - HW'!$E23+'TCO TO BE - HW'!$E53+'TCO TO BE - HW'!$E33+'TCO TO BE - HW'!$E43</f>
        <v>0</v>
      </c>
      <c r="M12" s="104">
        <f>'TCO TO BE - HW'!$E14+'TCO TO BE - HW'!$E24+'TCO TO BE - HW'!$E54+'TCO TO BE - HW'!$E34+'TCO TO BE - HW'!$E44</f>
        <v>0</v>
      </c>
    </row>
    <row r="13" spans="1:13">
      <c r="A13" s="158"/>
      <c r="B13" s="156" t="s">
        <v>2098</v>
      </c>
      <c r="C13" s="89">
        <f t="shared" si="0"/>
        <v>0</v>
      </c>
      <c r="D13" s="103">
        <f>'TCO TO BE - HW'!$E56+'TCO TO BE - HW'!$E66+'TCO TO BE - HW'!$E76+'TCO TO BE - HW'!$E86+'TCO TO BE - HW'!$E96</f>
        <v>0</v>
      </c>
      <c r="E13" s="86">
        <f>'TCO TO BE - HW'!$E57+'TCO TO BE - HW'!$E67+'TCO TO BE - HW'!$E77+'TCO TO BE - HW'!$E87+'TCO TO BE - HW'!$E97</f>
        <v>0</v>
      </c>
      <c r="F13" s="86">
        <f>'TCO TO BE - HW'!$E58+'TCO TO BE - HW'!$E68+'TCO TO BE - HW'!$E78+'TCO TO BE - HW'!$E88+'TCO TO BE - HW'!$E98</f>
        <v>0</v>
      </c>
      <c r="G13" s="86">
        <f>'TCO TO BE - HW'!$E59+'TCO TO BE - HW'!$E69+'TCO TO BE - HW'!$E79+'TCO TO BE - HW'!$E89+'TCO TO BE - HW'!$E99</f>
        <v>0</v>
      </c>
      <c r="H13" s="86">
        <f>'TCO TO BE - HW'!$E60+'TCO TO BE - HW'!$E70+'TCO TO BE - HW'!$E80+'TCO TO BE - HW'!$E90+'TCO TO BE - HW'!$E100</f>
        <v>0</v>
      </c>
      <c r="I13" s="86">
        <f>'TCO TO BE - HW'!$E61+'TCO TO BE - HW'!$E71+'TCO TO BE - HW'!$E81+'TCO TO BE - HW'!$E91+'TCO TO BE - HW'!$E101</f>
        <v>0</v>
      </c>
      <c r="J13" s="86">
        <f>'TCO TO BE - HW'!$E62+'TCO TO BE - HW'!$E72+'TCO TO BE - HW'!$E82+'TCO TO BE - HW'!$E92+'TCO TO BE - HW'!$E102</f>
        <v>0</v>
      </c>
      <c r="K13" s="86">
        <f>'TCO TO BE - HW'!$E63+'TCO TO BE - HW'!$E73+'TCO TO BE - HW'!$E83+'TCO TO BE - HW'!$E93+'TCO TO BE - HW'!$E103</f>
        <v>0</v>
      </c>
      <c r="L13" s="86">
        <f>'TCO TO BE - HW'!$E64+'TCO TO BE - HW'!$E74+'TCO TO BE - HW'!$E84+'TCO TO BE - HW'!$E94+'TCO TO BE - HW'!$E104</f>
        <v>0</v>
      </c>
      <c r="M13" s="104">
        <f>'TCO TO BE - HW'!$E65+'TCO TO BE - HW'!$E75+'TCO TO BE - HW'!$E85+'TCO TO BE - HW'!$E95+'TCO TO BE - HW'!$E105</f>
        <v>0</v>
      </c>
    </row>
    <row r="14" spans="1:13" ht="15" thickBot="1">
      <c r="A14" s="158"/>
      <c r="B14" s="319" t="s">
        <v>2099</v>
      </c>
      <c r="C14" s="320">
        <f t="shared" si="0"/>
        <v>3019546.2548999996</v>
      </c>
      <c r="D14" s="321">
        <f>'TCO TO BE- SW'!E151+'TCO TO BE- SW'!E161</f>
        <v>1006515.4182999999</v>
      </c>
      <c r="E14" s="322">
        <f>'TCO TO BE- SW'!E152+'TCO TO BE- SW'!E162</f>
        <v>1006515.4182999999</v>
      </c>
      <c r="F14" s="322">
        <f>'TCO TO BE- SW'!E153+'TCO TO BE- SW'!E163</f>
        <v>1006515.4182999999</v>
      </c>
      <c r="G14" s="322">
        <f>'TCO TO BE- SW'!E154+'TCO TO BE- SW'!E164</f>
        <v>0</v>
      </c>
      <c r="H14" s="322">
        <f>'TCO TO BE- SW'!E155+'TCO TO BE- SW'!E165</f>
        <v>0</v>
      </c>
      <c r="I14" s="322">
        <f>'TCO TO BE- SW'!E156+'TCO TO BE- SW'!E166</f>
        <v>0</v>
      </c>
      <c r="J14" s="322">
        <f>'TCO TO BE- SW'!E157+'TCO TO BE- SW'!E167</f>
        <v>0</v>
      </c>
      <c r="K14" s="322">
        <f>'TCO TO BE- SW'!E158+'TCO TO BE- SW'!E168</f>
        <v>0</v>
      </c>
      <c r="L14" s="322">
        <f>'TCO TO BE- SW'!E159+'TCO TO BE- SW'!E169</f>
        <v>0</v>
      </c>
      <c r="M14" s="323">
        <f>'TCO TO BE- SW'!E160+'TCO TO BE- SW'!E170</f>
        <v>0</v>
      </c>
    </row>
    <row r="15" spans="1:13" ht="15" thickBot="1">
      <c r="A15" s="159"/>
      <c r="B15" s="157" t="s">
        <v>2100</v>
      </c>
      <c r="C15" s="91">
        <f>SUM(C7:C14)</f>
        <v>78030323.49406077</v>
      </c>
      <c r="D15" s="87">
        <f>SUM(D7:D14)</f>
        <v>25393752.165744003</v>
      </c>
      <c r="E15" s="87">
        <f t="shared" ref="E15:M15" si="1">SUM(E7:E14)</f>
        <v>2171606.8626629161</v>
      </c>
      <c r="F15" s="87">
        <f t="shared" si="1"/>
        <v>19437050.76637901</v>
      </c>
      <c r="G15" s="87">
        <f t="shared" si="1"/>
        <v>7708085.2762748487</v>
      </c>
      <c r="H15" s="87">
        <f t="shared" si="1"/>
        <v>3886638.0705000004</v>
      </c>
      <c r="I15" s="87">
        <f t="shared" si="1"/>
        <v>3886638.0705000004</v>
      </c>
      <c r="J15" s="87">
        <f t="shared" si="1"/>
        <v>3886638.0705000004</v>
      </c>
      <c r="K15" s="87">
        <f t="shared" si="1"/>
        <v>3886638.0705000004</v>
      </c>
      <c r="L15" s="87">
        <f t="shared" si="1"/>
        <v>3886638.0705000004</v>
      </c>
      <c r="M15" s="87">
        <f t="shared" si="1"/>
        <v>3886638.0705000004</v>
      </c>
    </row>
    <row r="16" spans="1:13">
      <c r="A16" s="77"/>
      <c r="B16" s="77"/>
      <c r="C16" s="77"/>
      <c r="D16" s="77"/>
      <c r="E16" s="77"/>
      <c r="F16" s="77"/>
      <c r="G16" s="77"/>
      <c r="H16" s="77"/>
      <c r="I16" s="77"/>
      <c r="J16" s="77"/>
      <c r="K16" s="77"/>
      <c r="L16" s="77"/>
      <c r="M16" s="77"/>
    </row>
    <row r="17" spans="1:13">
      <c r="A17" s="77"/>
      <c r="B17" s="77"/>
      <c r="C17" s="77"/>
      <c r="D17" s="77"/>
      <c r="E17" s="77"/>
      <c r="F17" s="77"/>
      <c r="G17" s="77"/>
      <c r="H17" s="77"/>
      <c r="I17" s="77"/>
      <c r="J17" s="77"/>
      <c r="K17" s="77"/>
      <c r="L17" s="77"/>
      <c r="M17" s="77"/>
    </row>
    <row r="18" spans="1:13" ht="32.25" customHeight="1">
      <c r="A18" s="840" t="s">
        <v>2101</v>
      </c>
      <c r="B18" s="840"/>
      <c r="C18" s="840"/>
      <c r="D18" s="83"/>
      <c r="E18" s="82"/>
      <c r="F18" s="82"/>
      <c r="G18" s="82"/>
      <c r="H18" s="82"/>
      <c r="I18" s="82"/>
      <c r="J18" s="82"/>
      <c r="K18" s="82"/>
      <c r="L18" s="82"/>
      <c r="M18" s="76"/>
    </row>
    <row r="19" spans="1:13">
      <c r="A19" s="77"/>
      <c r="B19" s="77"/>
      <c r="C19" s="77"/>
      <c r="D19" s="77"/>
      <c r="E19" s="77"/>
      <c r="F19" s="77"/>
      <c r="G19" s="77"/>
      <c r="H19" s="77"/>
      <c r="I19" s="77"/>
      <c r="J19" s="77"/>
      <c r="K19" s="77"/>
      <c r="L19" s="77"/>
      <c r="M19" s="77"/>
    </row>
    <row r="20" spans="1:13" ht="15" thickBot="1">
      <c r="B20" s="77"/>
      <c r="C20" s="81"/>
      <c r="D20" s="839" t="s">
        <v>194</v>
      </c>
      <c r="E20" s="839"/>
      <c r="F20" s="839"/>
      <c r="G20" s="839"/>
      <c r="H20" s="839"/>
      <c r="I20" s="839"/>
      <c r="J20" s="839"/>
      <c r="K20" s="839"/>
      <c r="L20" s="839"/>
      <c r="M20" s="839"/>
    </row>
    <row r="21" spans="1:13" ht="17.149999999999999" customHeight="1">
      <c r="A21" s="130"/>
      <c r="B21" s="154" t="s">
        <v>163</v>
      </c>
      <c r="C21" s="88" t="s">
        <v>99</v>
      </c>
      <c r="D21" s="100" t="s">
        <v>166</v>
      </c>
      <c r="E21" s="101" t="s">
        <v>167</v>
      </c>
      <c r="F21" s="101" t="s">
        <v>168</v>
      </c>
      <c r="G21" s="101" t="s">
        <v>169</v>
      </c>
      <c r="H21" s="101" t="s">
        <v>170</v>
      </c>
      <c r="I21" s="101" t="s">
        <v>171</v>
      </c>
      <c r="J21" s="101" t="s">
        <v>172</v>
      </c>
      <c r="K21" s="101" t="s">
        <v>173</v>
      </c>
      <c r="L21" s="101" t="s">
        <v>174</v>
      </c>
      <c r="M21" s="102" t="s">
        <v>175</v>
      </c>
    </row>
    <row r="22" spans="1:13" ht="15" customHeight="1">
      <c r="A22" s="158"/>
      <c r="B22" s="98" t="s">
        <v>2092</v>
      </c>
      <c r="C22" s="89">
        <v>0</v>
      </c>
      <c r="D22" s="103">
        <v>0</v>
      </c>
      <c r="E22" s="86">
        <v>0</v>
      </c>
      <c r="F22" s="86">
        <v>0</v>
      </c>
      <c r="G22" s="86">
        <v>0</v>
      </c>
      <c r="H22" s="86">
        <v>0</v>
      </c>
      <c r="I22" s="86">
        <v>0</v>
      </c>
      <c r="J22" s="86">
        <v>0</v>
      </c>
      <c r="K22" s="86">
        <v>0</v>
      </c>
      <c r="L22" s="86">
        <v>0</v>
      </c>
      <c r="M22" s="104">
        <v>0</v>
      </c>
    </row>
    <row r="23" spans="1:13" ht="17.25" customHeight="1">
      <c r="A23" s="158"/>
      <c r="B23" s="98" t="s">
        <v>2093</v>
      </c>
      <c r="C23" s="89">
        <f>SUM(D23:M23)</f>
        <v>0</v>
      </c>
      <c r="D23" s="103">
        <f>'TCO AS IS - SW'!E5+'TCO AS IS - SW'!E15</f>
        <v>0</v>
      </c>
      <c r="E23" s="86">
        <f>'TCO AS IS - SW'!E6+'TCO AS IS - SW'!E16</f>
        <v>0</v>
      </c>
      <c r="F23" s="86">
        <f>'TCO AS IS - SW'!E7+'TCO AS IS - SW'!E17</f>
        <v>0</v>
      </c>
      <c r="G23" s="86">
        <f>'TCO AS IS - SW'!E8+'TCO AS IS - SW'!E18</f>
        <v>0</v>
      </c>
      <c r="H23" s="86">
        <f>'TCO AS IS - SW'!E9+'TCO AS IS - SW'!E19</f>
        <v>0</v>
      </c>
      <c r="I23" s="86">
        <f>'TCO AS IS - SW'!E10+'TCO AS IS - SW'!E20</f>
        <v>0</v>
      </c>
      <c r="J23" s="86">
        <f>'TCO AS IS - SW'!E11+'TCO AS IS - SW'!E21</f>
        <v>0</v>
      </c>
      <c r="K23" s="86">
        <f>'TCO AS IS - SW'!E12+'TCO AS IS - SW'!E22</f>
        <v>0</v>
      </c>
      <c r="L23" s="86">
        <f>'TCO AS IS - SW'!E13+'TCO AS IS - SW'!E23</f>
        <v>0</v>
      </c>
      <c r="M23" s="104">
        <f>'TCO AS IS - SW'!E14+'TCO AS IS - SW'!E24</f>
        <v>0</v>
      </c>
    </row>
    <row r="24" spans="1:13">
      <c r="A24" s="158"/>
      <c r="B24" s="98" t="s">
        <v>2094</v>
      </c>
      <c r="C24" s="89">
        <v>0</v>
      </c>
      <c r="D24" s="103">
        <v>0</v>
      </c>
      <c r="E24" s="86">
        <v>0</v>
      </c>
      <c r="F24" s="86">
        <v>0</v>
      </c>
      <c r="G24" s="86">
        <v>0</v>
      </c>
      <c r="H24" s="86">
        <v>0</v>
      </c>
      <c r="I24" s="86">
        <v>0</v>
      </c>
      <c r="J24" s="86">
        <v>0</v>
      </c>
      <c r="K24" s="86">
        <v>0</v>
      </c>
      <c r="L24" s="86">
        <v>0</v>
      </c>
      <c r="M24" s="104">
        <v>0</v>
      </c>
    </row>
    <row r="25" spans="1:13">
      <c r="A25" s="158"/>
      <c r="B25" s="98" t="s">
        <v>2095</v>
      </c>
      <c r="C25" s="89">
        <f>SUM(D25:M25)</f>
        <v>0</v>
      </c>
      <c r="D25" s="103">
        <f>'TCO AS IS - SW'!E26+'TCO AS IS - SW'!E36+'TCO AS IS - SW'!E46+'TCO AS IS - SW'!E56+'TCO AS IS - SW'!E66</f>
        <v>0</v>
      </c>
      <c r="E25" s="86">
        <f>'TCO AS IS - SW'!E27+'TCO AS IS - SW'!E37+'TCO AS IS - SW'!E47+'TCO AS IS - SW'!E57+'TCO AS IS - SW'!E67</f>
        <v>0</v>
      </c>
      <c r="F25" s="86">
        <f>'TCO AS IS - SW'!E28+'TCO AS IS - SW'!E38+'TCO AS IS - SW'!E48+'TCO AS IS - SW'!E58+'TCO AS IS - SW'!E68</f>
        <v>0</v>
      </c>
      <c r="G25" s="86">
        <f>'TCO AS IS - SW'!E29+'TCO AS IS - SW'!E39+'TCO AS IS - SW'!E49+'TCO AS IS - SW'!E59+'TCO AS IS - SW'!E69</f>
        <v>0</v>
      </c>
      <c r="H25" s="86">
        <f>'TCO AS IS - SW'!E30+'TCO AS IS - SW'!E40+'TCO AS IS - SW'!E50+'TCO AS IS - SW'!E60+'TCO AS IS - SW'!E70</f>
        <v>0</v>
      </c>
      <c r="I25" s="86">
        <f>'TCO AS IS - SW'!E31+'TCO AS IS - SW'!E41+'TCO AS IS - SW'!E51+'TCO AS IS - SW'!E61+'TCO AS IS - SW'!E71</f>
        <v>0</v>
      </c>
      <c r="J25" s="86">
        <f>'TCO AS IS - SW'!E32+'TCO AS IS - SW'!E42+'TCO AS IS - SW'!E52+'TCO AS IS - SW'!E62+'TCO AS IS - SW'!E72</f>
        <v>0</v>
      </c>
      <c r="K25" s="86">
        <f>'TCO AS IS - SW'!E33+'TCO AS IS - SW'!E43+'TCO AS IS - SW'!E53+'TCO AS IS - SW'!E63+'TCO AS IS - SW'!E73</f>
        <v>0</v>
      </c>
      <c r="L25" s="86">
        <f>'TCO AS IS - SW'!E34+'TCO AS IS - SW'!E44+'TCO AS IS - SW'!E54+'TCO AS IS - SW'!E64+'TCO AS IS - SW'!E74</f>
        <v>0</v>
      </c>
      <c r="M25" s="104">
        <f>'TCO AS IS - SW'!E35+'TCO AS IS - SW'!E45+'TCO AS IS - SW'!E55+'TCO AS IS - SW'!E65+'TCO AS IS - SW'!E75</f>
        <v>0</v>
      </c>
    </row>
    <row r="26" spans="1:13">
      <c r="A26" s="158"/>
      <c r="B26" s="98" t="s">
        <v>2097</v>
      </c>
      <c r="C26" s="89">
        <v>0</v>
      </c>
      <c r="D26" s="103">
        <v>0</v>
      </c>
      <c r="E26" s="86">
        <v>0</v>
      </c>
      <c r="F26" s="86">
        <v>0</v>
      </c>
      <c r="G26" s="86">
        <v>0</v>
      </c>
      <c r="H26" s="86">
        <v>0</v>
      </c>
      <c r="I26" s="86">
        <v>0</v>
      </c>
      <c r="J26" s="86">
        <v>0</v>
      </c>
      <c r="K26" s="86">
        <v>0</v>
      </c>
      <c r="L26" s="86">
        <v>0</v>
      </c>
      <c r="M26" s="104">
        <v>0</v>
      </c>
    </row>
    <row r="27" spans="1:13" ht="15" thickBot="1">
      <c r="A27" s="158"/>
      <c r="B27" s="99" t="s">
        <v>2098</v>
      </c>
      <c r="C27" s="90">
        <f>SUM(D27:M27)</f>
        <v>0</v>
      </c>
      <c r="D27" s="105">
        <f>'TCO AS IS - HW'!E4+'TCO AS IS - HW'!E14+'TCO AS IS - HW'!E24+'TCO AS IS - HW'!E34+'TCO AS IS - HW'!E44</f>
        <v>0</v>
      </c>
      <c r="E27" s="106">
        <f>'TCO AS IS - HW'!E5+'TCO AS IS - HW'!E15+'TCO AS IS - HW'!E25+'TCO AS IS - HW'!E35+'TCO AS IS - HW'!E45</f>
        <v>0</v>
      </c>
      <c r="F27" s="106">
        <f>'TCO AS IS - HW'!E6+'TCO AS IS - HW'!E16+'TCO AS IS - HW'!E26+'TCO AS IS - HW'!E36+'TCO AS IS - HW'!E46</f>
        <v>0</v>
      </c>
      <c r="G27" s="106">
        <f>'TCO AS IS - HW'!E7+'TCO AS IS - HW'!E17+'TCO AS IS - HW'!E27+'TCO AS IS - HW'!E37+'TCO AS IS - HW'!E47</f>
        <v>0</v>
      </c>
      <c r="H27" s="106">
        <f>'TCO AS IS - HW'!E8+'TCO AS IS - HW'!E18+'TCO AS IS - HW'!E28+'TCO AS IS - HW'!E38+'TCO AS IS - HW'!E48</f>
        <v>0</v>
      </c>
      <c r="I27" s="106">
        <f>'TCO AS IS - HW'!E9+'TCO AS IS - HW'!E19+'TCO AS IS - HW'!E29+'TCO AS IS - HW'!E39+'TCO AS IS - HW'!E49</f>
        <v>0</v>
      </c>
      <c r="J27" s="106">
        <f>'TCO AS IS - HW'!E10+'TCO AS IS - HW'!E20+'TCO AS IS - HW'!E30+'TCO AS IS - HW'!E40+'TCO AS IS - HW'!E50</f>
        <v>0</v>
      </c>
      <c r="K27" s="106">
        <f>'TCO AS IS - HW'!E11+'TCO AS IS - HW'!E21+'TCO AS IS - HW'!E31+'TCO AS IS - HW'!E41+'TCO AS IS - HW'!E51</f>
        <v>0</v>
      </c>
      <c r="L27" s="106">
        <f>'TCO AS IS - HW'!E12+'TCO AS IS - HW'!E22+'TCO AS IS - HW'!E32+'TCO AS IS - HW'!E42+'TCO AS IS - HW'!E52</f>
        <v>0</v>
      </c>
      <c r="M27" s="107">
        <f>'TCO AS IS - HW'!E13+'TCO AS IS - HW'!E23+'TCO AS IS - HW'!E33+'TCO AS IS - HW'!E43+'TCO AS IS - HW'!E53</f>
        <v>0</v>
      </c>
    </row>
    <row r="28" spans="1:13" ht="15" thickBot="1">
      <c r="A28" s="159"/>
      <c r="B28" s="85" t="s">
        <v>2100</v>
      </c>
      <c r="C28" s="91">
        <f t="shared" ref="C28:M28" si="2">SUM(C22:C27)</f>
        <v>0</v>
      </c>
      <c r="D28" s="87">
        <f t="shared" si="2"/>
        <v>0</v>
      </c>
      <c r="E28" s="79">
        <f t="shared" si="2"/>
        <v>0</v>
      </c>
      <c r="F28" s="79">
        <f t="shared" si="2"/>
        <v>0</v>
      </c>
      <c r="G28" s="79">
        <f t="shared" si="2"/>
        <v>0</v>
      </c>
      <c r="H28" s="79">
        <f t="shared" si="2"/>
        <v>0</v>
      </c>
      <c r="I28" s="79">
        <f t="shared" si="2"/>
        <v>0</v>
      </c>
      <c r="J28" s="79">
        <f t="shared" si="2"/>
        <v>0</v>
      </c>
      <c r="K28" s="79">
        <f t="shared" si="2"/>
        <v>0</v>
      </c>
      <c r="L28" s="93">
        <f t="shared" si="2"/>
        <v>0</v>
      </c>
      <c r="M28" s="92">
        <f t="shared" si="2"/>
        <v>0</v>
      </c>
    </row>
    <row r="29" spans="1:13">
      <c r="A29" s="151"/>
      <c r="B29" s="152"/>
      <c r="C29" s="153"/>
      <c r="D29" s="153"/>
      <c r="E29" s="153"/>
      <c r="F29" s="153"/>
      <c r="G29" s="153"/>
      <c r="H29" s="153"/>
      <c r="I29" s="153"/>
      <c r="J29" s="153"/>
      <c r="K29" s="153"/>
      <c r="L29" s="153"/>
      <c r="M29" s="153"/>
    </row>
    <row r="32" spans="1:13" ht="15.75" customHeight="1">
      <c r="A32" s="840" t="s">
        <v>2102</v>
      </c>
      <c r="B32" s="840"/>
      <c r="C32" s="840"/>
    </row>
    <row r="34" spans="1:13" ht="15" thickBot="1"/>
    <row r="35" spans="1:13">
      <c r="A35" s="130"/>
      <c r="B35" s="154" t="s">
        <v>210</v>
      </c>
      <c r="C35" s="117" t="s">
        <v>99</v>
      </c>
      <c r="D35" s="118" t="s">
        <v>166</v>
      </c>
      <c r="E35" s="119" t="s">
        <v>167</v>
      </c>
      <c r="F35" s="119" t="s">
        <v>168</v>
      </c>
      <c r="G35" s="119" t="s">
        <v>169</v>
      </c>
      <c r="H35" s="119" t="s">
        <v>170</v>
      </c>
      <c r="I35" s="119" t="s">
        <v>171</v>
      </c>
      <c r="J35" s="119" t="s">
        <v>172</v>
      </c>
      <c r="K35" s="119" t="s">
        <v>173</v>
      </c>
      <c r="L35" s="119" t="s">
        <v>174</v>
      </c>
      <c r="M35" s="120" t="s">
        <v>175</v>
      </c>
    </row>
    <row r="36" spans="1:13">
      <c r="A36" s="158"/>
      <c r="B36" s="121" t="s">
        <v>2092</v>
      </c>
      <c r="C36" s="89">
        <f>SUM(D36:M36)</f>
        <v>16360749</v>
      </c>
      <c r="D36" s="103">
        <f t="shared" ref="D36:M36" si="3">D7-D22</f>
        <v>16360749</v>
      </c>
      <c r="E36" s="86">
        <f t="shared" si="3"/>
        <v>0</v>
      </c>
      <c r="F36" s="86">
        <f t="shared" si="3"/>
        <v>0</v>
      </c>
      <c r="G36" s="86">
        <f t="shared" si="3"/>
        <v>0</v>
      </c>
      <c r="H36" s="86">
        <f t="shared" si="3"/>
        <v>0</v>
      </c>
      <c r="I36" s="86">
        <f t="shared" si="3"/>
        <v>0</v>
      </c>
      <c r="J36" s="86">
        <f t="shared" si="3"/>
        <v>0</v>
      </c>
      <c r="K36" s="86">
        <f t="shared" si="3"/>
        <v>0</v>
      </c>
      <c r="L36" s="86">
        <f t="shared" si="3"/>
        <v>0</v>
      </c>
      <c r="M36" s="122">
        <f t="shared" si="3"/>
        <v>0</v>
      </c>
    </row>
    <row r="37" spans="1:13">
      <c r="A37" s="158"/>
      <c r="B37" s="98" t="s">
        <v>2093</v>
      </c>
      <c r="C37" s="89">
        <f t="shared" ref="C37:C43" si="4">SUM(D37:M37)</f>
        <v>0</v>
      </c>
      <c r="D37" s="103">
        <f t="shared" ref="D37:M37" si="5">D8-D23</f>
        <v>0</v>
      </c>
      <c r="E37" s="86">
        <f t="shared" si="5"/>
        <v>0</v>
      </c>
      <c r="F37" s="86">
        <f t="shared" si="5"/>
        <v>0</v>
      </c>
      <c r="G37" s="86">
        <f t="shared" si="5"/>
        <v>0</v>
      </c>
      <c r="H37" s="86">
        <f t="shared" si="5"/>
        <v>0</v>
      </c>
      <c r="I37" s="86">
        <f t="shared" si="5"/>
        <v>0</v>
      </c>
      <c r="J37" s="86">
        <f t="shared" si="5"/>
        <v>0</v>
      </c>
      <c r="K37" s="86">
        <f t="shared" si="5"/>
        <v>0</v>
      </c>
      <c r="L37" s="123">
        <f t="shared" si="5"/>
        <v>0</v>
      </c>
      <c r="M37" s="104">
        <f t="shared" si="5"/>
        <v>0</v>
      </c>
    </row>
    <row r="38" spans="1:13">
      <c r="A38" s="158"/>
      <c r="B38" s="121" t="s">
        <v>2094</v>
      </c>
      <c r="C38" s="89">
        <f t="shared" si="4"/>
        <v>26775626.069999997</v>
      </c>
      <c r="D38" s="103">
        <f t="shared" ref="D38:M38" si="6">D9-D24</f>
        <v>8026487.7474440038</v>
      </c>
      <c r="E38" s="86">
        <f t="shared" si="6"/>
        <v>0</v>
      </c>
      <c r="F38" s="86">
        <f t="shared" si="6"/>
        <v>14927691.116781145</v>
      </c>
      <c r="G38" s="86">
        <f t="shared" si="6"/>
        <v>3821447.2057748488</v>
      </c>
      <c r="H38" s="86">
        <f t="shared" si="6"/>
        <v>0</v>
      </c>
      <c r="I38" s="86">
        <f t="shared" si="6"/>
        <v>0</v>
      </c>
      <c r="J38" s="86">
        <f t="shared" si="6"/>
        <v>0</v>
      </c>
      <c r="K38" s="86">
        <f t="shared" si="6"/>
        <v>0</v>
      </c>
      <c r="L38" s="123">
        <f t="shared" si="6"/>
        <v>0</v>
      </c>
      <c r="M38" s="104">
        <f t="shared" si="6"/>
        <v>0</v>
      </c>
    </row>
    <row r="39" spans="1:13">
      <c r="A39" s="158"/>
      <c r="B39" s="98" t="s">
        <v>2095</v>
      </c>
      <c r="C39" s="89">
        <f t="shared" si="4"/>
        <v>31874402.169160787</v>
      </c>
      <c r="D39" s="103">
        <f t="shared" ref="D39:M39" si="7">D10-D25</f>
        <v>0</v>
      </c>
      <c r="E39" s="86">
        <f t="shared" si="7"/>
        <v>1165091.4443629163</v>
      </c>
      <c r="F39" s="86">
        <f t="shared" si="7"/>
        <v>3502844.2312978641</v>
      </c>
      <c r="G39" s="86">
        <f t="shared" si="7"/>
        <v>3886638.0705000004</v>
      </c>
      <c r="H39" s="86">
        <f t="shared" si="7"/>
        <v>3886638.0705000004</v>
      </c>
      <c r="I39" s="86">
        <f t="shared" si="7"/>
        <v>3886638.0705000004</v>
      </c>
      <c r="J39" s="86">
        <f t="shared" si="7"/>
        <v>3886638.0705000004</v>
      </c>
      <c r="K39" s="86">
        <f t="shared" si="7"/>
        <v>3886638.0705000004</v>
      </c>
      <c r="L39" s="123">
        <f t="shared" si="7"/>
        <v>3886638.0705000004</v>
      </c>
      <c r="M39" s="104">
        <f t="shared" si="7"/>
        <v>3886638.0705000004</v>
      </c>
    </row>
    <row r="40" spans="1:13">
      <c r="A40" s="158"/>
      <c r="B40" s="98" t="s">
        <v>2096</v>
      </c>
      <c r="C40" s="89">
        <f t="shared" si="4"/>
        <v>0</v>
      </c>
      <c r="D40" s="103">
        <f t="shared" ref="D40:M40" si="8">D11</f>
        <v>0</v>
      </c>
      <c r="E40" s="86">
        <f t="shared" si="8"/>
        <v>0</v>
      </c>
      <c r="F40" s="86">
        <f t="shared" si="8"/>
        <v>0</v>
      </c>
      <c r="G40" s="86">
        <f t="shared" si="8"/>
        <v>0</v>
      </c>
      <c r="H40" s="86">
        <f t="shared" si="8"/>
        <v>0</v>
      </c>
      <c r="I40" s="86">
        <f t="shared" si="8"/>
        <v>0</v>
      </c>
      <c r="J40" s="86">
        <f t="shared" si="8"/>
        <v>0</v>
      </c>
      <c r="K40" s="86">
        <f t="shared" si="8"/>
        <v>0</v>
      </c>
      <c r="L40" s="123">
        <f t="shared" si="8"/>
        <v>0</v>
      </c>
      <c r="M40" s="104">
        <f t="shared" si="8"/>
        <v>0</v>
      </c>
    </row>
    <row r="41" spans="1:13">
      <c r="A41" s="158"/>
      <c r="B41" s="98" t="s">
        <v>2103</v>
      </c>
      <c r="C41" s="89">
        <f t="shared" si="4"/>
        <v>0</v>
      </c>
      <c r="D41" s="103">
        <f t="shared" ref="D41:M41" si="9">D12-D26</f>
        <v>0</v>
      </c>
      <c r="E41" s="86">
        <f t="shared" si="9"/>
        <v>0</v>
      </c>
      <c r="F41" s="86">
        <f t="shared" si="9"/>
        <v>0</v>
      </c>
      <c r="G41" s="86">
        <f t="shared" si="9"/>
        <v>0</v>
      </c>
      <c r="H41" s="86">
        <f t="shared" si="9"/>
        <v>0</v>
      </c>
      <c r="I41" s="86">
        <f t="shared" si="9"/>
        <v>0</v>
      </c>
      <c r="J41" s="86">
        <f t="shared" si="9"/>
        <v>0</v>
      </c>
      <c r="K41" s="86">
        <f t="shared" si="9"/>
        <v>0</v>
      </c>
      <c r="L41" s="123">
        <f t="shared" si="9"/>
        <v>0</v>
      </c>
      <c r="M41" s="104">
        <f t="shared" si="9"/>
        <v>0</v>
      </c>
    </row>
    <row r="42" spans="1:13">
      <c r="A42" s="158"/>
      <c r="B42" s="99" t="s">
        <v>2104</v>
      </c>
      <c r="C42" s="90">
        <f t="shared" si="4"/>
        <v>0</v>
      </c>
      <c r="D42" s="103">
        <f t="shared" ref="D42:M42" si="10">D13-D27</f>
        <v>0</v>
      </c>
      <c r="E42" s="86">
        <f t="shared" si="10"/>
        <v>0</v>
      </c>
      <c r="F42" s="86">
        <f t="shared" si="10"/>
        <v>0</v>
      </c>
      <c r="G42" s="86">
        <f t="shared" si="10"/>
        <v>0</v>
      </c>
      <c r="H42" s="86">
        <f t="shared" si="10"/>
        <v>0</v>
      </c>
      <c r="I42" s="86">
        <f t="shared" si="10"/>
        <v>0</v>
      </c>
      <c r="J42" s="86">
        <f t="shared" si="10"/>
        <v>0</v>
      </c>
      <c r="K42" s="86">
        <f t="shared" si="10"/>
        <v>0</v>
      </c>
      <c r="L42" s="123">
        <f t="shared" si="10"/>
        <v>0</v>
      </c>
      <c r="M42" s="104">
        <f t="shared" si="10"/>
        <v>0</v>
      </c>
    </row>
    <row r="43" spans="1:13" ht="15" thickBot="1">
      <c r="A43" s="158"/>
      <c r="B43" s="98" t="s">
        <v>2099</v>
      </c>
      <c r="C43" s="89">
        <f t="shared" si="4"/>
        <v>3019546.2548999996</v>
      </c>
      <c r="D43" s="103">
        <f t="shared" ref="D43:M43" si="11">D14</f>
        <v>1006515.4182999999</v>
      </c>
      <c r="E43" s="86">
        <f t="shared" si="11"/>
        <v>1006515.4182999999</v>
      </c>
      <c r="F43" s="86">
        <f t="shared" si="11"/>
        <v>1006515.4182999999</v>
      </c>
      <c r="G43" s="86">
        <f t="shared" si="11"/>
        <v>0</v>
      </c>
      <c r="H43" s="86">
        <f t="shared" si="11"/>
        <v>0</v>
      </c>
      <c r="I43" s="86">
        <f t="shared" si="11"/>
        <v>0</v>
      </c>
      <c r="J43" s="86">
        <f t="shared" si="11"/>
        <v>0</v>
      </c>
      <c r="K43" s="86">
        <f t="shared" si="11"/>
        <v>0</v>
      </c>
      <c r="L43" s="123">
        <f t="shared" si="11"/>
        <v>0</v>
      </c>
      <c r="M43" s="104">
        <f t="shared" si="11"/>
        <v>0</v>
      </c>
    </row>
    <row r="44" spans="1:13" ht="15" thickBot="1">
      <c r="A44" s="159"/>
      <c r="B44" s="85" t="s">
        <v>2100</v>
      </c>
      <c r="C44" s="91">
        <f>SUM(D44:M44)</f>
        <v>78030323.494060785</v>
      </c>
      <c r="D44" s="87">
        <f>SUM(D36:D43)</f>
        <v>25393752.165744003</v>
      </c>
      <c r="E44" s="87">
        <f t="shared" ref="E44:M44" si="12">SUM(E36:E43)</f>
        <v>2171606.8626629161</v>
      </c>
      <c r="F44" s="87">
        <f t="shared" si="12"/>
        <v>19437050.76637901</v>
      </c>
      <c r="G44" s="87">
        <f t="shared" si="12"/>
        <v>7708085.2762748487</v>
      </c>
      <c r="H44" s="87">
        <f t="shared" si="12"/>
        <v>3886638.0705000004</v>
      </c>
      <c r="I44" s="87">
        <f t="shared" si="12"/>
        <v>3886638.0705000004</v>
      </c>
      <c r="J44" s="87">
        <f t="shared" si="12"/>
        <v>3886638.0705000004</v>
      </c>
      <c r="K44" s="87">
        <f t="shared" si="12"/>
        <v>3886638.0705000004</v>
      </c>
      <c r="L44" s="87">
        <f t="shared" si="12"/>
        <v>3886638.0705000004</v>
      </c>
      <c r="M44" s="87">
        <f t="shared" si="12"/>
        <v>3886638.0705000004</v>
      </c>
    </row>
  </sheetData>
  <mergeCells count="4">
    <mergeCell ref="D5:M5"/>
    <mergeCell ref="A18:C18"/>
    <mergeCell ref="D20:M20"/>
    <mergeCell ref="A32:C32"/>
  </mergeCells>
  <pageMargins left="0.7" right="0.7" top="0.75" bottom="0.75" header="0.3" footer="0.3"/>
  <pageSetup paperSize="9" scale="36"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Hárok10">
    <tabColor rgb="FFFFFF00"/>
    <outlinePr summaryBelow="0" summaryRight="0"/>
  </sheetPr>
  <dimension ref="A1:E75"/>
  <sheetViews>
    <sheetView zoomScale="80" zoomScaleNormal="80" workbookViewId="0">
      <pane xSplit="3" ySplit="4" topLeftCell="D5" activePane="bottomRight" state="frozen"/>
      <selection pane="topRight" activeCell="G18" sqref="G18"/>
      <selection pane="bottomLeft" activeCell="G18" sqref="G18"/>
      <selection pane="bottomRight" activeCell="E15" sqref="E15"/>
    </sheetView>
  </sheetViews>
  <sheetFormatPr defaultColWidth="8.81640625" defaultRowHeight="14.5" outlineLevelRow="2"/>
  <cols>
    <col min="1" max="1" width="22.453125" customWidth="1"/>
    <col min="2" max="2" width="24.7265625" customWidth="1"/>
    <col min="3" max="3" width="22.453125" customWidth="1"/>
    <col min="4" max="4" width="11" customWidth="1"/>
    <col min="5" max="5" width="17.81640625" customWidth="1"/>
  </cols>
  <sheetData>
    <row r="1" spans="1:5" ht="25.4" customHeight="1" thickBot="1">
      <c r="A1" s="843" t="s">
        <v>2105</v>
      </c>
      <c r="B1" s="843"/>
      <c r="C1" s="843"/>
      <c r="D1" s="844"/>
      <c r="E1" s="66" t="s">
        <v>152</v>
      </c>
    </row>
    <row r="2" spans="1:5" ht="15" collapsed="1" thickBot="1">
      <c r="A2" s="36" t="s">
        <v>2106</v>
      </c>
      <c r="B2" s="70" t="s">
        <v>2107</v>
      </c>
      <c r="C2" s="70" t="s">
        <v>2108</v>
      </c>
      <c r="D2" s="70" t="s">
        <v>162</v>
      </c>
      <c r="E2" s="17"/>
    </row>
    <row r="3" spans="1:5" ht="15" thickBot="1">
      <c r="A3" s="845" t="s">
        <v>2109</v>
      </c>
      <c r="B3" s="846"/>
      <c r="C3" s="846"/>
      <c r="D3" s="75"/>
      <c r="E3" s="72">
        <f>E4+E25</f>
        <v>0</v>
      </c>
    </row>
    <row r="4" spans="1:5" ht="15" outlineLevel="1" thickBot="1">
      <c r="A4" s="17" t="s">
        <v>2110</v>
      </c>
      <c r="B4" s="17"/>
      <c r="C4" s="17"/>
      <c r="D4" s="27"/>
      <c r="E4" s="108">
        <f>SUM(E5:E24)</f>
        <v>0</v>
      </c>
    </row>
    <row r="5" spans="1:5" outlineLevel="2">
      <c r="A5" s="841" t="s">
        <v>2111</v>
      </c>
      <c r="B5" s="842" t="s">
        <v>2112</v>
      </c>
      <c r="C5" s="842">
        <v>635009</v>
      </c>
      <c r="D5" s="63" t="s">
        <v>166</v>
      </c>
      <c r="E5" s="566">
        <v>0</v>
      </c>
    </row>
    <row r="6" spans="1:5" outlineLevel="2">
      <c r="A6" s="841"/>
      <c r="B6" s="842"/>
      <c r="C6" s="842"/>
      <c r="D6" s="64" t="s">
        <v>167</v>
      </c>
      <c r="E6" s="567">
        <v>0</v>
      </c>
    </row>
    <row r="7" spans="1:5" outlineLevel="2">
      <c r="A7" s="841"/>
      <c r="B7" s="842"/>
      <c r="C7" s="842"/>
      <c r="D7" s="64" t="s">
        <v>168</v>
      </c>
      <c r="E7" s="567">
        <v>0</v>
      </c>
    </row>
    <row r="8" spans="1:5" outlineLevel="2">
      <c r="A8" s="841"/>
      <c r="B8" s="842"/>
      <c r="C8" s="842"/>
      <c r="D8" s="64" t="s">
        <v>169</v>
      </c>
      <c r="E8" s="567">
        <v>0</v>
      </c>
    </row>
    <row r="9" spans="1:5" outlineLevel="2">
      <c r="A9" s="841"/>
      <c r="B9" s="842"/>
      <c r="C9" s="842"/>
      <c r="D9" s="64" t="s">
        <v>170</v>
      </c>
      <c r="E9" s="567">
        <v>0</v>
      </c>
    </row>
    <row r="10" spans="1:5" outlineLevel="2">
      <c r="A10" s="841"/>
      <c r="B10" s="842"/>
      <c r="C10" s="842"/>
      <c r="D10" s="64" t="s">
        <v>171</v>
      </c>
      <c r="E10" s="567">
        <v>0</v>
      </c>
    </row>
    <row r="11" spans="1:5" outlineLevel="2">
      <c r="A11" s="841"/>
      <c r="B11" s="842"/>
      <c r="C11" s="842"/>
      <c r="D11" s="64" t="s">
        <v>172</v>
      </c>
      <c r="E11" s="567">
        <v>0</v>
      </c>
    </row>
    <row r="12" spans="1:5" outlineLevel="2">
      <c r="A12" s="841"/>
      <c r="B12" s="842"/>
      <c r="C12" s="842"/>
      <c r="D12" s="64" t="s">
        <v>173</v>
      </c>
      <c r="E12" s="567">
        <v>0</v>
      </c>
    </row>
    <row r="13" spans="1:5" outlineLevel="2">
      <c r="A13" s="841"/>
      <c r="B13" s="842"/>
      <c r="C13" s="842"/>
      <c r="D13" s="64" t="s">
        <v>174</v>
      </c>
      <c r="E13" s="567">
        <v>0</v>
      </c>
    </row>
    <row r="14" spans="1:5" ht="15" outlineLevel="2" thickBot="1">
      <c r="A14" s="841"/>
      <c r="B14" s="842"/>
      <c r="C14" s="842"/>
      <c r="D14" s="65" t="s">
        <v>175</v>
      </c>
      <c r="E14" s="568">
        <v>0</v>
      </c>
    </row>
    <row r="15" spans="1:5" outlineLevel="2">
      <c r="A15" s="841" t="s">
        <v>2113</v>
      </c>
      <c r="B15" s="842" t="s">
        <v>2031</v>
      </c>
      <c r="C15" s="842">
        <v>718006</v>
      </c>
      <c r="D15" s="63" t="s">
        <v>166</v>
      </c>
      <c r="E15" s="567">
        <v>0</v>
      </c>
    </row>
    <row r="16" spans="1:5" outlineLevel="2">
      <c r="A16" s="841"/>
      <c r="B16" s="842"/>
      <c r="C16" s="842"/>
      <c r="D16" s="64" t="s">
        <v>167</v>
      </c>
      <c r="E16" s="567">
        <v>0</v>
      </c>
    </row>
    <row r="17" spans="1:5" outlineLevel="2">
      <c r="A17" s="841"/>
      <c r="B17" s="842"/>
      <c r="C17" s="842"/>
      <c r="D17" s="64" t="s">
        <v>168</v>
      </c>
      <c r="E17" s="567">
        <v>0</v>
      </c>
    </row>
    <row r="18" spans="1:5" outlineLevel="2">
      <c r="A18" s="841"/>
      <c r="B18" s="842"/>
      <c r="C18" s="842"/>
      <c r="D18" s="64" t="s">
        <v>169</v>
      </c>
      <c r="E18" s="567">
        <v>0</v>
      </c>
    </row>
    <row r="19" spans="1:5" outlineLevel="2">
      <c r="A19" s="841"/>
      <c r="B19" s="842"/>
      <c r="C19" s="842"/>
      <c r="D19" s="64" t="s">
        <v>170</v>
      </c>
      <c r="E19" s="567">
        <v>0</v>
      </c>
    </row>
    <row r="20" spans="1:5" outlineLevel="2">
      <c r="A20" s="841"/>
      <c r="B20" s="842"/>
      <c r="C20" s="842"/>
      <c r="D20" s="64" t="s">
        <v>171</v>
      </c>
      <c r="E20" s="567">
        <v>0</v>
      </c>
    </row>
    <row r="21" spans="1:5" outlineLevel="2">
      <c r="A21" s="841"/>
      <c r="B21" s="842"/>
      <c r="C21" s="842"/>
      <c r="D21" s="64" t="s">
        <v>172</v>
      </c>
      <c r="E21" s="567">
        <v>0</v>
      </c>
    </row>
    <row r="22" spans="1:5" outlineLevel="2">
      <c r="A22" s="841"/>
      <c r="B22" s="842"/>
      <c r="C22" s="842"/>
      <c r="D22" s="64" t="s">
        <v>173</v>
      </c>
      <c r="E22" s="567">
        <v>0</v>
      </c>
    </row>
    <row r="23" spans="1:5" outlineLevel="2">
      <c r="A23" s="841"/>
      <c r="B23" s="842"/>
      <c r="C23" s="842"/>
      <c r="D23" s="64" t="s">
        <v>174</v>
      </c>
      <c r="E23" s="567">
        <v>0</v>
      </c>
    </row>
    <row r="24" spans="1:5" ht="15" outlineLevel="2" thickBot="1">
      <c r="A24" s="841"/>
      <c r="B24" s="842"/>
      <c r="C24" s="842"/>
      <c r="D24" s="65" t="s">
        <v>175</v>
      </c>
      <c r="E24" s="568">
        <v>0</v>
      </c>
    </row>
    <row r="25" spans="1:5" ht="15" outlineLevel="1" thickBot="1">
      <c r="A25" s="17" t="s">
        <v>103</v>
      </c>
      <c r="B25" s="17"/>
      <c r="C25" s="17"/>
      <c r="D25" s="27"/>
      <c r="E25" s="110">
        <f>SUM(E26:E75)</f>
        <v>0</v>
      </c>
    </row>
    <row r="26" spans="1:5" outlineLevel="2">
      <c r="A26" s="841" t="s">
        <v>2114</v>
      </c>
      <c r="B26" s="842" t="s">
        <v>2112</v>
      </c>
      <c r="C26" s="842">
        <v>635009</v>
      </c>
      <c r="D26" s="63" t="s">
        <v>166</v>
      </c>
      <c r="E26" s="569">
        <v>0</v>
      </c>
    </row>
    <row r="27" spans="1:5" outlineLevel="2">
      <c r="A27" s="841"/>
      <c r="B27" s="842"/>
      <c r="C27" s="842"/>
      <c r="D27" s="64" t="s">
        <v>167</v>
      </c>
      <c r="E27" s="570">
        <v>0</v>
      </c>
    </row>
    <row r="28" spans="1:5" outlineLevel="2">
      <c r="A28" s="841"/>
      <c r="B28" s="842"/>
      <c r="C28" s="842"/>
      <c r="D28" s="64" t="s">
        <v>168</v>
      </c>
      <c r="E28" s="570">
        <v>0</v>
      </c>
    </row>
    <row r="29" spans="1:5" outlineLevel="2">
      <c r="A29" s="841"/>
      <c r="B29" s="842"/>
      <c r="C29" s="842"/>
      <c r="D29" s="64" t="s">
        <v>169</v>
      </c>
      <c r="E29" s="570">
        <v>0</v>
      </c>
    </row>
    <row r="30" spans="1:5" outlineLevel="2">
      <c r="A30" s="841"/>
      <c r="B30" s="842"/>
      <c r="C30" s="842"/>
      <c r="D30" s="64" t="s">
        <v>170</v>
      </c>
      <c r="E30" s="570">
        <v>0</v>
      </c>
    </row>
    <row r="31" spans="1:5" outlineLevel="2">
      <c r="A31" s="841"/>
      <c r="B31" s="842"/>
      <c r="C31" s="842"/>
      <c r="D31" s="64" t="s">
        <v>171</v>
      </c>
      <c r="E31" s="570">
        <v>0</v>
      </c>
    </row>
    <row r="32" spans="1:5" outlineLevel="2">
      <c r="A32" s="841"/>
      <c r="B32" s="842"/>
      <c r="C32" s="842"/>
      <c r="D32" s="64" t="s">
        <v>172</v>
      </c>
      <c r="E32" s="570">
        <v>0</v>
      </c>
    </row>
    <row r="33" spans="1:5" outlineLevel="2">
      <c r="A33" s="841"/>
      <c r="B33" s="842"/>
      <c r="C33" s="842"/>
      <c r="D33" s="64" t="s">
        <v>173</v>
      </c>
      <c r="E33" s="570">
        <v>0</v>
      </c>
    </row>
    <row r="34" spans="1:5" outlineLevel="2">
      <c r="A34" s="841"/>
      <c r="B34" s="842"/>
      <c r="C34" s="842"/>
      <c r="D34" s="64" t="s">
        <v>174</v>
      </c>
      <c r="E34" s="570">
        <v>0</v>
      </c>
    </row>
    <row r="35" spans="1:5" ht="15" outlineLevel="2" thickBot="1">
      <c r="A35" s="841"/>
      <c r="B35" s="842"/>
      <c r="C35" s="842"/>
      <c r="D35" s="65" t="s">
        <v>175</v>
      </c>
      <c r="E35" s="571">
        <v>0</v>
      </c>
    </row>
    <row r="36" spans="1:5" outlineLevel="2">
      <c r="A36" s="841" t="s">
        <v>2115</v>
      </c>
      <c r="B36" s="842" t="s">
        <v>2112</v>
      </c>
      <c r="C36" s="842">
        <v>635009</v>
      </c>
      <c r="D36" s="63" t="s">
        <v>166</v>
      </c>
      <c r="E36" s="569">
        <v>0</v>
      </c>
    </row>
    <row r="37" spans="1:5" outlineLevel="2">
      <c r="A37" s="841"/>
      <c r="B37" s="842"/>
      <c r="C37" s="842"/>
      <c r="D37" s="64" t="s">
        <v>167</v>
      </c>
      <c r="E37" s="570">
        <v>0</v>
      </c>
    </row>
    <row r="38" spans="1:5" outlineLevel="2">
      <c r="A38" s="841"/>
      <c r="B38" s="842"/>
      <c r="C38" s="842"/>
      <c r="D38" s="64" t="s">
        <v>168</v>
      </c>
      <c r="E38" s="570">
        <v>0</v>
      </c>
    </row>
    <row r="39" spans="1:5" outlineLevel="2">
      <c r="A39" s="841"/>
      <c r="B39" s="842"/>
      <c r="C39" s="842"/>
      <c r="D39" s="64" t="s">
        <v>169</v>
      </c>
      <c r="E39" s="570">
        <v>0</v>
      </c>
    </row>
    <row r="40" spans="1:5" outlineLevel="2">
      <c r="A40" s="841"/>
      <c r="B40" s="842"/>
      <c r="C40" s="842"/>
      <c r="D40" s="64" t="s">
        <v>170</v>
      </c>
      <c r="E40" s="570">
        <v>0</v>
      </c>
    </row>
    <row r="41" spans="1:5" outlineLevel="2">
      <c r="A41" s="841"/>
      <c r="B41" s="842"/>
      <c r="C41" s="842"/>
      <c r="D41" s="64" t="s">
        <v>171</v>
      </c>
      <c r="E41" s="570">
        <v>0</v>
      </c>
    </row>
    <row r="42" spans="1:5" outlineLevel="2">
      <c r="A42" s="841"/>
      <c r="B42" s="842"/>
      <c r="C42" s="842"/>
      <c r="D42" s="64" t="s">
        <v>172</v>
      </c>
      <c r="E42" s="570">
        <v>0</v>
      </c>
    </row>
    <row r="43" spans="1:5" outlineLevel="2">
      <c r="A43" s="841"/>
      <c r="B43" s="842"/>
      <c r="C43" s="842"/>
      <c r="D43" s="64" t="s">
        <v>173</v>
      </c>
      <c r="E43" s="570">
        <v>0</v>
      </c>
    </row>
    <row r="44" spans="1:5" outlineLevel="2">
      <c r="A44" s="841"/>
      <c r="B44" s="842"/>
      <c r="C44" s="842"/>
      <c r="D44" s="64" t="s">
        <v>174</v>
      </c>
      <c r="E44" s="570">
        <v>0</v>
      </c>
    </row>
    <row r="45" spans="1:5" ht="15" outlineLevel="2" thickBot="1">
      <c r="A45" s="841"/>
      <c r="B45" s="842"/>
      <c r="C45" s="842"/>
      <c r="D45" s="65" t="s">
        <v>175</v>
      </c>
      <c r="E45" s="571">
        <v>0</v>
      </c>
    </row>
    <row r="46" spans="1:5" outlineLevel="2">
      <c r="A46" s="841" t="s">
        <v>2116</v>
      </c>
      <c r="B46" s="842" t="s">
        <v>2031</v>
      </c>
      <c r="C46" s="842">
        <v>718006</v>
      </c>
      <c r="D46" s="63" t="s">
        <v>166</v>
      </c>
      <c r="E46" s="570">
        <v>0</v>
      </c>
    </row>
    <row r="47" spans="1:5" outlineLevel="2">
      <c r="A47" s="841"/>
      <c r="B47" s="842"/>
      <c r="C47" s="842"/>
      <c r="D47" s="64" t="s">
        <v>167</v>
      </c>
      <c r="E47" s="570">
        <v>0</v>
      </c>
    </row>
    <row r="48" spans="1:5" outlineLevel="2">
      <c r="A48" s="841"/>
      <c r="B48" s="842"/>
      <c r="C48" s="842"/>
      <c r="D48" s="64" t="s">
        <v>168</v>
      </c>
      <c r="E48" s="570">
        <v>0</v>
      </c>
    </row>
    <row r="49" spans="1:5" outlineLevel="2">
      <c r="A49" s="841"/>
      <c r="B49" s="842"/>
      <c r="C49" s="842"/>
      <c r="D49" s="64" t="s">
        <v>169</v>
      </c>
      <c r="E49" s="570">
        <v>0</v>
      </c>
    </row>
    <row r="50" spans="1:5" outlineLevel="2">
      <c r="A50" s="841"/>
      <c r="B50" s="842"/>
      <c r="C50" s="842"/>
      <c r="D50" s="64" t="s">
        <v>170</v>
      </c>
      <c r="E50" s="570">
        <v>0</v>
      </c>
    </row>
    <row r="51" spans="1:5" outlineLevel="2">
      <c r="A51" s="841"/>
      <c r="B51" s="842"/>
      <c r="C51" s="842"/>
      <c r="D51" s="64" t="s">
        <v>171</v>
      </c>
      <c r="E51" s="570">
        <v>0</v>
      </c>
    </row>
    <row r="52" spans="1:5" outlineLevel="2">
      <c r="A52" s="841"/>
      <c r="B52" s="842"/>
      <c r="C52" s="842"/>
      <c r="D52" s="64" t="s">
        <v>172</v>
      </c>
      <c r="E52" s="570">
        <v>0</v>
      </c>
    </row>
    <row r="53" spans="1:5" outlineLevel="2">
      <c r="A53" s="841"/>
      <c r="B53" s="842"/>
      <c r="C53" s="842"/>
      <c r="D53" s="64" t="s">
        <v>173</v>
      </c>
      <c r="E53" s="570">
        <v>0</v>
      </c>
    </row>
    <row r="54" spans="1:5" outlineLevel="2">
      <c r="A54" s="841"/>
      <c r="B54" s="842"/>
      <c r="C54" s="842"/>
      <c r="D54" s="64" t="s">
        <v>174</v>
      </c>
      <c r="E54" s="570">
        <v>0</v>
      </c>
    </row>
    <row r="55" spans="1:5" ht="15" outlineLevel="2" thickBot="1">
      <c r="A55" s="841"/>
      <c r="B55" s="842"/>
      <c r="C55" s="842"/>
      <c r="D55" s="65" t="s">
        <v>175</v>
      </c>
      <c r="E55" s="570">
        <v>0</v>
      </c>
    </row>
    <row r="56" spans="1:5" outlineLevel="2">
      <c r="A56" s="841" t="s">
        <v>2117</v>
      </c>
      <c r="B56" s="842" t="s">
        <v>2118</v>
      </c>
      <c r="C56" s="842">
        <v>610</v>
      </c>
      <c r="D56" s="63" t="s">
        <v>166</v>
      </c>
      <c r="E56" s="569">
        <v>0</v>
      </c>
    </row>
    <row r="57" spans="1:5" outlineLevel="2">
      <c r="A57" s="841"/>
      <c r="B57" s="842"/>
      <c r="C57" s="842"/>
      <c r="D57" s="64" t="s">
        <v>167</v>
      </c>
      <c r="E57" s="570">
        <v>0</v>
      </c>
    </row>
    <row r="58" spans="1:5" outlineLevel="2">
      <c r="A58" s="841"/>
      <c r="B58" s="842"/>
      <c r="C58" s="842"/>
      <c r="D58" s="64" t="s">
        <v>168</v>
      </c>
      <c r="E58" s="570">
        <v>0</v>
      </c>
    </row>
    <row r="59" spans="1:5" outlineLevel="2">
      <c r="A59" s="841"/>
      <c r="B59" s="842"/>
      <c r="C59" s="842"/>
      <c r="D59" s="64" t="s">
        <v>169</v>
      </c>
      <c r="E59" s="570">
        <v>0</v>
      </c>
    </row>
    <row r="60" spans="1:5" outlineLevel="2">
      <c r="A60" s="841"/>
      <c r="B60" s="842"/>
      <c r="C60" s="842"/>
      <c r="D60" s="64" t="s">
        <v>170</v>
      </c>
      <c r="E60" s="570">
        <v>0</v>
      </c>
    </row>
    <row r="61" spans="1:5" outlineLevel="2">
      <c r="A61" s="841"/>
      <c r="B61" s="842"/>
      <c r="C61" s="842"/>
      <c r="D61" s="64" t="s">
        <v>171</v>
      </c>
      <c r="E61" s="570">
        <v>0</v>
      </c>
    </row>
    <row r="62" spans="1:5" outlineLevel="2">
      <c r="A62" s="841"/>
      <c r="B62" s="842"/>
      <c r="C62" s="842"/>
      <c r="D62" s="64" t="s">
        <v>172</v>
      </c>
      <c r="E62" s="570">
        <v>0</v>
      </c>
    </row>
    <row r="63" spans="1:5" outlineLevel="2">
      <c r="A63" s="841"/>
      <c r="B63" s="842"/>
      <c r="C63" s="842"/>
      <c r="D63" s="64" t="s">
        <v>173</v>
      </c>
      <c r="E63" s="570">
        <v>0</v>
      </c>
    </row>
    <row r="64" spans="1:5" outlineLevel="2">
      <c r="A64" s="841"/>
      <c r="B64" s="842"/>
      <c r="C64" s="842"/>
      <c r="D64" s="64" t="s">
        <v>174</v>
      </c>
      <c r="E64" s="570">
        <v>0</v>
      </c>
    </row>
    <row r="65" spans="1:5" ht="15" outlineLevel="2" thickBot="1">
      <c r="A65" s="841"/>
      <c r="B65" s="842"/>
      <c r="C65" s="842"/>
      <c r="D65" s="65" t="s">
        <v>175</v>
      </c>
      <c r="E65" s="571">
        <v>0</v>
      </c>
    </row>
    <row r="66" spans="1:5" outlineLevel="2">
      <c r="A66" s="841" t="s">
        <v>2119</v>
      </c>
      <c r="B66" s="842" t="s">
        <v>2120</v>
      </c>
      <c r="C66" s="842">
        <v>637040</v>
      </c>
      <c r="D66" s="63" t="s">
        <v>166</v>
      </c>
      <c r="E66" s="570">
        <v>0</v>
      </c>
    </row>
    <row r="67" spans="1:5" outlineLevel="2">
      <c r="A67" s="841"/>
      <c r="B67" s="842"/>
      <c r="C67" s="842"/>
      <c r="D67" s="64" t="s">
        <v>167</v>
      </c>
      <c r="E67" s="570">
        <v>0</v>
      </c>
    </row>
    <row r="68" spans="1:5" outlineLevel="2">
      <c r="A68" s="841"/>
      <c r="B68" s="842"/>
      <c r="C68" s="842"/>
      <c r="D68" s="64" t="s">
        <v>168</v>
      </c>
      <c r="E68" s="570">
        <v>0</v>
      </c>
    </row>
    <row r="69" spans="1:5" outlineLevel="2">
      <c r="A69" s="841"/>
      <c r="B69" s="842"/>
      <c r="C69" s="842"/>
      <c r="D69" s="64" t="s">
        <v>169</v>
      </c>
      <c r="E69" s="570">
        <v>0</v>
      </c>
    </row>
    <row r="70" spans="1:5" outlineLevel="2">
      <c r="A70" s="841"/>
      <c r="B70" s="842"/>
      <c r="C70" s="842"/>
      <c r="D70" s="64" t="s">
        <v>170</v>
      </c>
      <c r="E70" s="570">
        <v>0</v>
      </c>
    </row>
    <row r="71" spans="1:5" outlineLevel="2">
      <c r="A71" s="841"/>
      <c r="B71" s="842"/>
      <c r="C71" s="842"/>
      <c r="D71" s="64" t="s">
        <v>171</v>
      </c>
      <c r="E71" s="570">
        <v>0</v>
      </c>
    </row>
    <row r="72" spans="1:5" outlineLevel="2">
      <c r="A72" s="841"/>
      <c r="B72" s="842"/>
      <c r="C72" s="842"/>
      <c r="D72" s="64" t="s">
        <v>172</v>
      </c>
      <c r="E72" s="570">
        <v>0</v>
      </c>
    </row>
    <row r="73" spans="1:5" outlineLevel="2">
      <c r="A73" s="841"/>
      <c r="B73" s="842"/>
      <c r="C73" s="842"/>
      <c r="D73" s="64" t="s">
        <v>173</v>
      </c>
      <c r="E73" s="570">
        <v>0</v>
      </c>
    </row>
    <row r="74" spans="1:5" outlineLevel="2">
      <c r="A74" s="841"/>
      <c r="B74" s="842"/>
      <c r="C74" s="842"/>
      <c r="D74" s="64" t="s">
        <v>174</v>
      </c>
      <c r="E74" s="570">
        <v>0</v>
      </c>
    </row>
    <row r="75" spans="1:5" ht="15" outlineLevel="2" thickBot="1">
      <c r="A75" s="841"/>
      <c r="B75" s="842"/>
      <c r="C75" s="842"/>
      <c r="D75" s="65" t="s">
        <v>175</v>
      </c>
      <c r="E75" s="571">
        <v>0</v>
      </c>
    </row>
  </sheetData>
  <mergeCells count="23">
    <mergeCell ref="A1:D1"/>
    <mergeCell ref="A3:C3"/>
    <mergeCell ref="A5:A14"/>
    <mergeCell ref="B5:B14"/>
    <mergeCell ref="C5:C14"/>
    <mergeCell ref="A15:A24"/>
    <mergeCell ref="B15:B24"/>
    <mergeCell ref="C15:C24"/>
    <mergeCell ref="A26:A35"/>
    <mergeCell ref="B26:B35"/>
    <mergeCell ref="C26:C35"/>
    <mergeCell ref="A36:A45"/>
    <mergeCell ref="B36:B45"/>
    <mergeCell ref="C36:C45"/>
    <mergeCell ref="A46:A55"/>
    <mergeCell ref="B46:B55"/>
    <mergeCell ref="C46:C55"/>
    <mergeCell ref="A56:A65"/>
    <mergeCell ref="B56:B65"/>
    <mergeCell ref="C56:C65"/>
    <mergeCell ref="A66:A75"/>
    <mergeCell ref="B66:B75"/>
    <mergeCell ref="C66:C75"/>
  </mergeCells>
  <pageMargins left="0.7" right="0.7" top="0.75" bottom="0.75" header="0.3" footer="0.3"/>
  <pageSetup paperSize="9" scale="66"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Hárok11">
    <tabColor rgb="FFFFFF00"/>
    <outlinePr summaryBelow="0" summaryRight="0"/>
  </sheetPr>
  <dimension ref="A1:E53"/>
  <sheetViews>
    <sheetView view="pageBreakPreview" zoomScale="70" zoomScaleNormal="85" zoomScaleSheetLayoutView="70" workbookViewId="0">
      <selection activeCell="E12" sqref="E12"/>
    </sheetView>
  </sheetViews>
  <sheetFormatPr defaultColWidth="8.81640625" defaultRowHeight="14.5" outlineLevelRow="1"/>
  <cols>
    <col min="1" max="1" width="22.453125" customWidth="1"/>
    <col min="2" max="2" width="23.26953125" customWidth="1"/>
    <col min="3" max="3" width="22.453125" customWidth="1"/>
    <col min="5" max="5" width="17.81640625" customWidth="1"/>
  </cols>
  <sheetData>
    <row r="1" spans="1:5" ht="25.4" customHeight="1" thickBot="1">
      <c r="A1" s="843" t="s">
        <v>2121</v>
      </c>
      <c r="B1" s="843"/>
      <c r="C1" s="843"/>
      <c r="D1" s="844"/>
      <c r="E1" s="66" t="s">
        <v>152</v>
      </c>
    </row>
    <row r="2" spans="1:5" ht="15" thickBot="1">
      <c r="A2" s="36" t="s">
        <v>2106</v>
      </c>
      <c r="B2" s="70" t="s">
        <v>2107</v>
      </c>
      <c r="C2" s="70" t="s">
        <v>2108</v>
      </c>
      <c r="D2" s="70" t="s">
        <v>162</v>
      </c>
      <c r="E2" s="17"/>
    </row>
    <row r="3" spans="1:5" ht="15" thickBot="1">
      <c r="A3" s="847" t="s">
        <v>2122</v>
      </c>
      <c r="B3" s="847"/>
      <c r="C3" s="847"/>
      <c r="D3" s="71"/>
      <c r="E3" s="72">
        <f>SUM(E4:E53)</f>
        <v>0</v>
      </c>
    </row>
    <row r="4" spans="1:5" outlineLevel="1">
      <c r="A4" s="841" t="s">
        <v>2123</v>
      </c>
      <c r="B4" s="842" t="s">
        <v>2112</v>
      </c>
      <c r="C4" s="842">
        <v>635002</v>
      </c>
      <c r="D4" s="63" t="s">
        <v>166</v>
      </c>
      <c r="E4" s="569">
        <v>0</v>
      </c>
    </row>
    <row r="5" spans="1:5" outlineLevel="1">
      <c r="A5" s="841"/>
      <c r="B5" s="842"/>
      <c r="C5" s="842"/>
      <c r="D5" s="64" t="s">
        <v>167</v>
      </c>
      <c r="E5" s="570">
        <v>0</v>
      </c>
    </row>
    <row r="6" spans="1:5" outlineLevel="1">
      <c r="A6" s="841"/>
      <c r="B6" s="842"/>
      <c r="C6" s="842"/>
      <c r="D6" s="64" t="s">
        <v>168</v>
      </c>
      <c r="E6" s="570">
        <v>0</v>
      </c>
    </row>
    <row r="7" spans="1:5" outlineLevel="1">
      <c r="A7" s="841"/>
      <c r="B7" s="842"/>
      <c r="C7" s="842"/>
      <c r="D7" s="64" t="s">
        <v>169</v>
      </c>
      <c r="E7" s="570">
        <v>0</v>
      </c>
    </row>
    <row r="8" spans="1:5" outlineLevel="1">
      <c r="A8" s="841"/>
      <c r="B8" s="842"/>
      <c r="C8" s="842"/>
      <c r="D8" s="64" t="s">
        <v>170</v>
      </c>
      <c r="E8" s="570">
        <v>0</v>
      </c>
    </row>
    <row r="9" spans="1:5" outlineLevel="1">
      <c r="A9" s="841"/>
      <c r="B9" s="842"/>
      <c r="C9" s="842"/>
      <c r="D9" s="64" t="s">
        <v>171</v>
      </c>
      <c r="E9" s="570">
        <v>0</v>
      </c>
    </row>
    <row r="10" spans="1:5" outlineLevel="1">
      <c r="A10" s="841"/>
      <c r="B10" s="842"/>
      <c r="C10" s="842"/>
      <c r="D10" s="64" t="s">
        <v>172</v>
      </c>
      <c r="E10" s="570">
        <v>0</v>
      </c>
    </row>
    <row r="11" spans="1:5" outlineLevel="1">
      <c r="A11" s="841"/>
      <c r="B11" s="842"/>
      <c r="C11" s="842"/>
      <c r="D11" s="64" t="s">
        <v>173</v>
      </c>
      <c r="E11" s="570">
        <v>0</v>
      </c>
    </row>
    <row r="12" spans="1:5" outlineLevel="1">
      <c r="A12" s="841"/>
      <c r="B12" s="842"/>
      <c r="C12" s="842"/>
      <c r="D12" s="64" t="s">
        <v>174</v>
      </c>
      <c r="E12" s="570">
        <v>0</v>
      </c>
    </row>
    <row r="13" spans="1:5" ht="15" outlineLevel="1" thickBot="1">
      <c r="A13" s="841"/>
      <c r="B13" s="842"/>
      <c r="C13" s="842"/>
      <c r="D13" s="65" t="s">
        <v>175</v>
      </c>
      <c r="E13" s="571">
        <v>0</v>
      </c>
    </row>
    <row r="14" spans="1:5" outlineLevel="1">
      <c r="A14" s="841" t="s">
        <v>2124</v>
      </c>
      <c r="B14" s="841" t="s">
        <v>2125</v>
      </c>
      <c r="C14" s="842">
        <v>718002</v>
      </c>
      <c r="D14" s="63" t="s">
        <v>166</v>
      </c>
      <c r="E14" s="570">
        <v>0</v>
      </c>
    </row>
    <row r="15" spans="1:5" outlineLevel="1">
      <c r="A15" s="841"/>
      <c r="B15" s="842"/>
      <c r="C15" s="842"/>
      <c r="D15" s="64" t="s">
        <v>167</v>
      </c>
      <c r="E15" s="570">
        <v>0</v>
      </c>
    </row>
    <row r="16" spans="1:5" outlineLevel="1">
      <c r="A16" s="841"/>
      <c r="B16" s="842"/>
      <c r="C16" s="842"/>
      <c r="D16" s="64" t="s">
        <v>168</v>
      </c>
      <c r="E16" s="570">
        <v>0</v>
      </c>
    </row>
    <row r="17" spans="1:5" outlineLevel="1">
      <c r="A17" s="841"/>
      <c r="B17" s="842"/>
      <c r="C17" s="842"/>
      <c r="D17" s="64" t="s">
        <v>169</v>
      </c>
      <c r="E17" s="570">
        <v>0</v>
      </c>
    </row>
    <row r="18" spans="1:5" outlineLevel="1">
      <c r="A18" s="841"/>
      <c r="B18" s="842"/>
      <c r="C18" s="842"/>
      <c r="D18" s="64" t="s">
        <v>170</v>
      </c>
      <c r="E18" s="570">
        <v>0</v>
      </c>
    </row>
    <row r="19" spans="1:5" outlineLevel="1">
      <c r="A19" s="841"/>
      <c r="B19" s="842"/>
      <c r="C19" s="842"/>
      <c r="D19" s="64" t="s">
        <v>171</v>
      </c>
      <c r="E19" s="570">
        <v>0</v>
      </c>
    </row>
    <row r="20" spans="1:5" outlineLevel="1">
      <c r="A20" s="841"/>
      <c r="B20" s="842"/>
      <c r="C20" s="842"/>
      <c r="D20" s="64" t="s">
        <v>172</v>
      </c>
      <c r="E20" s="570">
        <v>0</v>
      </c>
    </row>
    <row r="21" spans="1:5" outlineLevel="1">
      <c r="A21" s="841"/>
      <c r="B21" s="842"/>
      <c r="C21" s="842"/>
      <c r="D21" s="64" t="s">
        <v>173</v>
      </c>
      <c r="E21" s="570">
        <v>0</v>
      </c>
    </row>
    <row r="22" spans="1:5" outlineLevel="1">
      <c r="A22" s="841"/>
      <c r="B22" s="842"/>
      <c r="C22" s="842"/>
      <c r="D22" s="64" t="s">
        <v>174</v>
      </c>
      <c r="E22" s="570">
        <v>0</v>
      </c>
    </row>
    <row r="23" spans="1:5" ht="15" outlineLevel="1" thickBot="1">
      <c r="A23" s="841"/>
      <c r="B23" s="842"/>
      <c r="C23" s="842"/>
      <c r="D23" s="65" t="s">
        <v>175</v>
      </c>
      <c r="E23" s="571">
        <v>0</v>
      </c>
    </row>
    <row r="24" spans="1:5" outlineLevel="1">
      <c r="A24" s="841" t="s">
        <v>2126</v>
      </c>
      <c r="B24" s="842"/>
      <c r="C24" s="842"/>
      <c r="D24" s="63" t="s">
        <v>166</v>
      </c>
      <c r="E24" s="570">
        <v>0</v>
      </c>
    </row>
    <row r="25" spans="1:5" outlineLevel="1">
      <c r="A25" s="841"/>
      <c r="B25" s="842"/>
      <c r="C25" s="842"/>
      <c r="D25" s="64" t="s">
        <v>167</v>
      </c>
      <c r="E25" s="570">
        <v>0</v>
      </c>
    </row>
    <row r="26" spans="1:5" outlineLevel="1">
      <c r="A26" s="841"/>
      <c r="B26" s="842"/>
      <c r="C26" s="842"/>
      <c r="D26" s="64" t="s">
        <v>168</v>
      </c>
      <c r="E26" s="570">
        <v>0</v>
      </c>
    </row>
    <row r="27" spans="1:5" outlineLevel="1">
      <c r="A27" s="841"/>
      <c r="B27" s="842"/>
      <c r="C27" s="842"/>
      <c r="D27" s="64" t="s">
        <v>169</v>
      </c>
      <c r="E27" s="570">
        <v>0</v>
      </c>
    </row>
    <row r="28" spans="1:5" outlineLevel="1">
      <c r="A28" s="841"/>
      <c r="B28" s="842"/>
      <c r="C28" s="842"/>
      <c r="D28" s="64" t="s">
        <v>170</v>
      </c>
      <c r="E28" s="570">
        <v>0</v>
      </c>
    </row>
    <row r="29" spans="1:5" outlineLevel="1">
      <c r="A29" s="841"/>
      <c r="B29" s="842"/>
      <c r="C29" s="842"/>
      <c r="D29" s="64" t="s">
        <v>171</v>
      </c>
      <c r="E29" s="570">
        <v>0</v>
      </c>
    </row>
    <row r="30" spans="1:5" outlineLevel="1">
      <c r="A30" s="841"/>
      <c r="B30" s="842"/>
      <c r="C30" s="842"/>
      <c r="D30" s="64" t="s">
        <v>172</v>
      </c>
      <c r="E30" s="570">
        <v>0</v>
      </c>
    </row>
    <row r="31" spans="1:5" outlineLevel="1">
      <c r="A31" s="841"/>
      <c r="B31" s="842"/>
      <c r="C31" s="842"/>
      <c r="D31" s="64" t="s">
        <v>173</v>
      </c>
      <c r="E31" s="570">
        <v>0</v>
      </c>
    </row>
    <row r="32" spans="1:5" outlineLevel="1">
      <c r="A32" s="841"/>
      <c r="B32" s="842"/>
      <c r="C32" s="842"/>
      <c r="D32" s="64" t="s">
        <v>174</v>
      </c>
      <c r="E32" s="570">
        <v>0</v>
      </c>
    </row>
    <row r="33" spans="1:5" ht="15" outlineLevel="1" thickBot="1">
      <c r="A33" s="841"/>
      <c r="B33" s="842"/>
      <c r="C33" s="842"/>
      <c r="D33" s="65" t="s">
        <v>175</v>
      </c>
      <c r="E33" s="571">
        <v>0</v>
      </c>
    </row>
    <row r="34" spans="1:5" outlineLevel="1">
      <c r="A34" s="841" t="s">
        <v>2127</v>
      </c>
      <c r="B34" s="842" t="s">
        <v>2118</v>
      </c>
      <c r="C34" s="842">
        <v>610</v>
      </c>
      <c r="D34" s="63" t="s">
        <v>166</v>
      </c>
      <c r="E34" s="570">
        <v>0</v>
      </c>
    </row>
    <row r="35" spans="1:5" outlineLevel="1">
      <c r="A35" s="841"/>
      <c r="B35" s="842"/>
      <c r="C35" s="842"/>
      <c r="D35" s="64" t="s">
        <v>167</v>
      </c>
      <c r="E35" s="570">
        <v>0</v>
      </c>
    </row>
    <row r="36" spans="1:5" outlineLevel="1">
      <c r="A36" s="841"/>
      <c r="B36" s="842"/>
      <c r="C36" s="842"/>
      <c r="D36" s="64" t="s">
        <v>168</v>
      </c>
      <c r="E36" s="570">
        <v>0</v>
      </c>
    </row>
    <row r="37" spans="1:5" outlineLevel="1">
      <c r="A37" s="841"/>
      <c r="B37" s="842"/>
      <c r="C37" s="842"/>
      <c r="D37" s="64" t="s">
        <v>169</v>
      </c>
      <c r="E37" s="570">
        <v>0</v>
      </c>
    </row>
    <row r="38" spans="1:5" outlineLevel="1">
      <c r="A38" s="841"/>
      <c r="B38" s="842"/>
      <c r="C38" s="842"/>
      <c r="D38" s="64" t="s">
        <v>170</v>
      </c>
      <c r="E38" s="570">
        <v>0</v>
      </c>
    </row>
    <row r="39" spans="1:5" outlineLevel="1">
      <c r="A39" s="841"/>
      <c r="B39" s="842"/>
      <c r="C39" s="842"/>
      <c r="D39" s="64" t="s">
        <v>171</v>
      </c>
      <c r="E39" s="570">
        <v>0</v>
      </c>
    </row>
    <row r="40" spans="1:5" outlineLevel="1">
      <c r="A40" s="841"/>
      <c r="B40" s="842"/>
      <c r="C40" s="842"/>
      <c r="D40" s="64" t="s">
        <v>172</v>
      </c>
      <c r="E40" s="570">
        <v>0</v>
      </c>
    </row>
    <row r="41" spans="1:5" outlineLevel="1">
      <c r="A41" s="841"/>
      <c r="B41" s="842"/>
      <c r="C41" s="842"/>
      <c r="D41" s="64" t="s">
        <v>173</v>
      </c>
      <c r="E41" s="570">
        <v>0</v>
      </c>
    </row>
    <row r="42" spans="1:5" outlineLevel="1">
      <c r="A42" s="841"/>
      <c r="B42" s="842"/>
      <c r="C42" s="842"/>
      <c r="D42" s="64" t="s">
        <v>174</v>
      </c>
      <c r="E42" s="570">
        <v>0</v>
      </c>
    </row>
    <row r="43" spans="1:5" ht="15" outlineLevel="1" thickBot="1">
      <c r="A43" s="841"/>
      <c r="B43" s="842"/>
      <c r="C43" s="842"/>
      <c r="D43" s="65" t="s">
        <v>175</v>
      </c>
      <c r="E43" s="571">
        <v>0</v>
      </c>
    </row>
    <row r="44" spans="1:5" outlineLevel="1">
      <c r="A44" s="841" t="s">
        <v>2128</v>
      </c>
      <c r="B44" s="842" t="s">
        <v>2120</v>
      </c>
      <c r="C44" s="842">
        <v>637040</v>
      </c>
      <c r="D44" s="63" t="s">
        <v>166</v>
      </c>
      <c r="E44" s="570">
        <v>0</v>
      </c>
    </row>
    <row r="45" spans="1:5" outlineLevel="1">
      <c r="A45" s="841"/>
      <c r="B45" s="842"/>
      <c r="C45" s="842"/>
      <c r="D45" s="64" t="s">
        <v>167</v>
      </c>
      <c r="E45" s="570">
        <v>0</v>
      </c>
    </row>
    <row r="46" spans="1:5" outlineLevel="1">
      <c r="A46" s="841"/>
      <c r="B46" s="842"/>
      <c r="C46" s="842"/>
      <c r="D46" s="64" t="s">
        <v>168</v>
      </c>
      <c r="E46" s="570">
        <v>0</v>
      </c>
    </row>
    <row r="47" spans="1:5" outlineLevel="1">
      <c r="A47" s="841"/>
      <c r="B47" s="842"/>
      <c r="C47" s="842"/>
      <c r="D47" s="64" t="s">
        <v>169</v>
      </c>
      <c r="E47" s="570">
        <v>0</v>
      </c>
    </row>
    <row r="48" spans="1:5" outlineLevel="1">
      <c r="A48" s="841"/>
      <c r="B48" s="842"/>
      <c r="C48" s="842"/>
      <c r="D48" s="64" t="s">
        <v>170</v>
      </c>
      <c r="E48" s="570">
        <v>0</v>
      </c>
    </row>
    <row r="49" spans="1:5" outlineLevel="1">
      <c r="A49" s="841"/>
      <c r="B49" s="842"/>
      <c r="C49" s="842"/>
      <c r="D49" s="64" t="s">
        <v>171</v>
      </c>
      <c r="E49" s="570">
        <v>0</v>
      </c>
    </row>
    <row r="50" spans="1:5" outlineLevel="1">
      <c r="A50" s="841"/>
      <c r="B50" s="842"/>
      <c r="C50" s="842"/>
      <c r="D50" s="64" t="s">
        <v>172</v>
      </c>
      <c r="E50" s="570">
        <v>0</v>
      </c>
    </row>
    <row r="51" spans="1:5" outlineLevel="1">
      <c r="A51" s="841"/>
      <c r="B51" s="842"/>
      <c r="C51" s="842"/>
      <c r="D51" s="64" t="s">
        <v>173</v>
      </c>
      <c r="E51" s="570">
        <v>0</v>
      </c>
    </row>
    <row r="52" spans="1:5" outlineLevel="1">
      <c r="A52" s="841"/>
      <c r="B52" s="842"/>
      <c r="C52" s="842"/>
      <c r="D52" s="64" t="s">
        <v>174</v>
      </c>
      <c r="E52" s="570">
        <v>0</v>
      </c>
    </row>
    <row r="53" spans="1:5" ht="15" outlineLevel="1" thickBot="1">
      <c r="A53" s="841"/>
      <c r="B53" s="842"/>
      <c r="C53" s="842"/>
      <c r="D53" s="65" t="s">
        <v>175</v>
      </c>
      <c r="E53" s="571">
        <v>0</v>
      </c>
    </row>
  </sheetData>
  <mergeCells count="17">
    <mergeCell ref="A1:D1"/>
    <mergeCell ref="A3:C3"/>
    <mergeCell ref="A4:A13"/>
    <mergeCell ref="B4:B13"/>
    <mergeCell ref="C4:C13"/>
    <mergeCell ref="A14:A23"/>
    <mergeCell ref="B14:B23"/>
    <mergeCell ref="C14:C23"/>
    <mergeCell ref="A24:A33"/>
    <mergeCell ref="B24:B33"/>
    <mergeCell ref="C24:C33"/>
    <mergeCell ref="A34:A43"/>
    <mergeCell ref="B34:B43"/>
    <mergeCell ref="C34:C43"/>
    <mergeCell ref="A44:A53"/>
    <mergeCell ref="B44:B53"/>
    <mergeCell ref="C44:C53"/>
  </mergeCells>
  <pageMargins left="0.7" right="0.7" top="0.75" bottom="0.75" header="0.3" footer="0.3"/>
  <pageSetup paperSize="9" scale="92"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Hárok12">
    <tabColor rgb="FFFFFF00"/>
    <outlinePr summaryBelow="0" summaryRight="0"/>
  </sheetPr>
  <dimension ref="A1:AA191"/>
  <sheetViews>
    <sheetView zoomScaleNormal="70" workbookViewId="0">
      <pane xSplit="3" ySplit="5" topLeftCell="D94" activePane="bottomRight" state="frozen"/>
      <selection pane="topRight" activeCell="G18" sqref="G18"/>
      <selection pane="bottomLeft" activeCell="G18" sqref="G18"/>
      <selection pane="bottomRight" activeCell="I103" sqref="I103"/>
    </sheetView>
  </sheetViews>
  <sheetFormatPr defaultColWidth="8.81640625" defaultRowHeight="14.5" outlineLevelRow="2" outlineLevelCol="1"/>
  <cols>
    <col min="1" max="1" width="22.453125" customWidth="1"/>
    <col min="2" max="2" width="23.26953125" customWidth="1"/>
    <col min="3" max="3" width="22.453125" customWidth="1"/>
    <col min="5" max="5" width="17.81640625" customWidth="1"/>
    <col min="6" max="26" width="18" customWidth="1" outlineLevel="1"/>
  </cols>
  <sheetData>
    <row r="1" spans="1:26" ht="26">
      <c r="A1" s="853"/>
      <c r="B1" s="853"/>
      <c r="C1" s="853"/>
      <c r="D1" s="853"/>
      <c r="F1" s="850" t="s">
        <v>227</v>
      </c>
      <c r="G1" s="850"/>
      <c r="H1" s="850"/>
      <c r="I1" s="850"/>
      <c r="J1" s="850"/>
      <c r="K1" s="850"/>
      <c r="L1" s="850"/>
      <c r="M1" s="850"/>
      <c r="N1" s="850"/>
      <c r="O1" s="850"/>
      <c r="P1" s="850"/>
      <c r="Q1" s="850"/>
      <c r="R1" s="850"/>
      <c r="S1" s="850"/>
      <c r="T1" s="850"/>
      <c r="U1" s="850"/>
      <c r="V1" s="850"/>
      <c r="W1" s="850"/>
      <c r="X1" s="850"/>
      <c r="Y1" s="850"/>
      <c r="Z1" s="850"/>
    </row>
    <row r="2" spans="1:26" ht="35.25" customHeight="1" thickBot="1">
      <c r="A2" s="843" t="s">
        <v>2105</v>
      </c>
      <c r="B2" s="843"/>
      <c r="C2" s="843"/>
      <c r="D2" s="844"/>
      <c r="E2" s="66" t="s">
        <v>152</v>
      </c>
      <c r="F2" s="572" t="str">
        <f>MODULY_CBA!$B3</f>
        <v>Grafické rozhranie agendového systému -  správa podaní a konaní</v>
      </c>
      <c r="G2" s="572" t="str">
        <f>MODULY_CBA!$B4</f>
        <v>Grafické rozhranie agendového systému - poskytovanie udajov a platby</v>
      </c>
      <c r="H2" s="572" t="str">
        <f>MODULY_CBA!$B5</f>
        <v>Grafické rozhranie agendového systému - správa údajov katastra</v>
      </c>
      <c r="I2" s="572" t="str">
        <f>MODULY_CBA!$B6</f>
        <v>Integračné služby - poskytovanie udajov a platby</v>
      </c>
      <c r="J2" s="572" t="str">
        <f>MODULY_CBA!$B7</f>
        <v xml:space="preserve">Integračné služby - správa podaní a konaní </v>
      </c>
      <c r="K2" s="572" t="str">
        <f>MODULY_CBA!$B8</f>
        <v>Integračné služby - správa údajov katastra</v>
      </c>
      <c r="L2" s="572" t="str">
        <f>MODULY_CBA!$B9</f>
        <v xml:space="preserve">Registratúrne stredisko - Platby </v>
      </c>
      <c r="M2" s="572" t="str">
        <f>MODULY_CBA!$B10</f>
        <v>Registratúrne stredisko - Podania a konania</v>
      </c>
      <c r="N2" s="572" t="str">
        <f>MODULY_CBA!$B11</f>
        <v xml:space="preserve">Registratúrne stredisko - Poskytovanie údajov  </v>
      </c>
      <c r="O2" s="572" t="str">
        <f>MODULY_CBA!$B12</f>
        <v>Stredisko katastrálneho operátu</v>
      </c>
      <c r="P2" s="572" t="str">
        <f>MODULY_CBA!$B13</f>
        <v>Stredisko podporných služieb - poskytovanie udajov a platby</v>
      </c>
      <c r="Q2" s="572" t="str">
        <f>MODULY_CBA!$B14</f>
        <v>Stredisko podporných služieb - správa podaní a konaní</v>
      </c>
      <c r="R2" s="572" t="str">
        <f>MODULY_CBA!$B15</f>
        <v>Stredisko podporných služieb - správa údajov katastra</v>
      </c>
      <c r="S2" s="572" t="str">
        <f>MODULY_CBA!$B16</f>
        <v>Grafické rozhranie agendového systému -  prototypové data</v>
      </c>
      <c r="T2" s="572">
        <f>MODULY_CBA!$B17</f>
        <v>0</v>
      </c>
      <c r="U2" s="572">
        <f>MODULY_CBA!$B18</f>
        <v>0</v>
      </c>
      <c r="V2" s="572" t="str">
        <f>MODULY_CBA!$B19</f>
        <v>Technologické vybavenie</v>
      </c>
      <c r="W2" s="572" t="str">
        <f>MODULY_CBA!$B20</f>
        <v>Aplikačno-platformové vybavenie</v>
      </c>
      <c r="X2" s="572" t="str">
        <f>MODULY_CBA!$B21</f>
        <v>Dokumentácia riešenia</v>
      </c>
      <c r="Y2" s="572" t="str">
        <f>MODULY_CBA!$B22</f>
        <v>ISKN 2.0</v>
      </c>
      <c r="Z2" s="572">
        <f>MODULY_CBA!$B23</f>
        <v>0</v>
      </c>
    </row>
    <row r="3" spans="1:26" ht="15" thickBot="1">
      <c r="A3" s="36" t="s">
        <v>2106</v>
      </c>
      <c r="B3" s="70" t="s">
        <v>2107</v>
      </c>
      <c r="C3" s="70" t="s">
        <v>2108</v>
      </c>
      <c r="D3" s="70" t="s">
        <v>162</v>
      </c>
      <c r="E3" s="17"/>
      <c r="F3" s="17"/>
      <c r="G3" s="17"/>
      <c r="H3" s="17"/>
      <c r="I3" s="17"/>
      <c r="J3" s="17"/>
      <c r="K3" s="17"/>
      <c r="L3" s="17"/>
      <c r="M3" s="17"/>
      <c r="N3" s="17"/>
      <c r="O3" s="17"/>
      <c r="P3" s="17"/>
      <c r="Q3" s="17"/>
      <c r="R3" s="17"/>
      <c r="S3" s="17"/>
      <c r="T3" s="17"/>
      <c r="U3" s="17"/>
      <c r="V3" s="17"/>
      <c r="W3" s="17"/>
      <c r="X3" s="17"/>
      <c r="Y3" s="17"/>
      <c r="Z3" s="17"/>
    </row>
    <row r="4" spans="1:26" ht="15" thickBot="1">
      <c r="A4" s="851" t="s">
        <v>2129</v>
      </c>
      <c r="B4" s="852"/>
      <c r="C4" s="852"/>
      <c r="D4" s="74"/>
      <c r="E4" s="72">
        <f t="shared" ref="E4:F4" si="0">E5+E36</f>
        <v>43136375.07</v>
      </c>
      <c r="F4" s="73">
        <f t="shared" si="0"/>
        <v>241629.03484580922</v>
      </c>
      <c r="G4" s="73">
        <f t="shared" ref="G4:Z4" si="1">G5+G36</f>
        <v>0</v>
      </c>
      <c r="H4" s="73">
        <f t="shared" si="1"/>
        <v>496005.88447964686</v>
      </c>
      <c r="I4" s="73">
        <f t="shared" si="1"/>
        <v>1297959.323871973</v>
      </c>
      <c r="J4" s="73">
        <f t="shared" si="1"/>
        <v>693597.01369408553</v>
      </c>
      <c r="K4" s="73">
        <f t="shared" si="1"/>
        <v>419518.99575147696</v>
      </c>
      <c r="L4" s="73">
        <f t="shared" si="1"/>
        <v>617110.12496591569</v>
      </c>
      <c r="M4" s="73">
        <f t="shared" si="1"/>
        <v>9900995.9674108941</v>
      </c>
      <c r="N4" s="73">
        <f t="shared" si="1"/>
        <v>1177434.5295124326</v>
      </c>
      <c r="O4" s="73">
        <f t="shared" si="1"/>
        <v>5675674.8113062382</v>
      </c>
      <c r="P4" s="73">
        <f t="shared" si="1"/>
        <v>728943.22742452775</v>
      </c>
      <c r="Q4" s="73">
        <f t="shared" si="1"/>
        <v>4091469.1008303575</v>
      </c>
      <c r="R4" s="73">
        <f t="shared" si="1"/>
        <v>1435288.0559066415</v>
      </c>
      <c r="S4" s="73">
        <f t="shared" si="1"/>
        <v>16360749</v>
      </c>
      <c r="T4" s="73">
        <f t="shared" si="1"/>
        <v>0</v>
      </c>
      <c r="U4" s="73">
        <f t="shared" si="1"/>
        <v>0</v>
      </c>
      <c r="V4" s="73">
        <f t="shared" si="1"/>
        <v>0</v>
      </c>
      <c r="W4" s="73">
        <f t="shared" si="1"/>
        <v>0</v>
      </c>
      <c r="X4" s="73">
        <f t="shared" si="1"/>
        <v>0</v>
      </c>
      <c r="Y4" s="73">
        <f t="shared" si="1"/>
        <v>0</v>
      </c>
      <c r="Z4" s="73">
        <f t="shared" si="1"/>
        <v>0</v>
      </c>
    </row>
    <row r="5" spans="1:26" ht="15" outlineLevel="1" thickBot="1">
      <c r="A5" s="17" t="s">
        <v>2110</v>
      </c>
      <c r="B5" s="17"/>
      <c r="C5" s="17"/>
      <c r="D5" s="27"/>
      <c r="E5" s="72">
        <f t="shared" ref="E5:F5" si="2">SUM(E6:E35)</f>
        <v>16360749</v>
      </c>
      <c r="F5" s="73">
        <f t="shared" si="2"/>
        <v>0</v>
      </c>
      <c r="G5" s="73">
        <f t="shared" ref="G5:Z5" si="3">SUM(G6:G35)</f>
        <v>0</v>
      </c>
      <c r="H5" s="73">
        <f t="shared" si="3"/>
        <v>0</v>
      </c>
      <c r="I5" s="73">
        <f t="shared" si="3"/>
        <v>0</v>
      </c>
      <c r="J5" s="73">
        <f t="shared" si="3"/>
        <v>0</v>
      </c>
      <c r="K5" s="73">
        <f t="shared" si="3"/>
        <v>0</v>
      </c>
      <c r="L5" s="73">
        <f t="shared" si="3"/>
        <v>0</v>
      </c>
      <c r="M5" s="73">
        <f t="shared" si="3"/>
        <v>0</v>
      </c>
      <c r="N5" s="73">
        <f t="shared" si="3"/>
        <v>0</v>
      </c>
      <c r="O5" s="73">
        <f t="shared" si="3"/>
        <v>0</v>
      </c>
      <c r="P5" s="73">
        <f t="shared" si="3"/>
        <v>0</v>
      </c>
      <c r="Q5" s="73">
        <f t="shared" si="3"/>
        <v>0</v>
      </c>
      <c r="R5" s="73">
        <f t="shared" si="3"/>
        <v>0</v>
      </c>
      <c r="S5" s="73">
        <f t="shared" si="3"/>
        <v>16360749</v>
      </c>
      <c r="T5" s="73">
        <f t="shared" si="3"/>
        <v>0</v>
      </c>
      <c r="U5" s="73">
        <f t="shared" si="3"/>
        <v>0</v>
      </c>
      <c r="V5" s="73">
        <f t="shared" si="3"/>
        <v>0</v>
      </c>
      <c r="W5" s="73">
        <f t="shared" si="3"/>
        <v>0</v>
      </c>
      <c r="X5" s="73">
        <f t="shared" si="3"/>
        <v>0</v>
      </c>
      <c r="Y5" s="73">
        <f t="shared" si="3"/>
        <v>0</v>
      </c>
      <c r="Z5" s="73">
        <f t="shared" si="3"/>
        <v>0</v>
      </c>
    </row>
    <row r="6" spans="1:26" outlineLevel="2">
      <c r="A6" s="841" t="s">
        <v>2130</v>
      </c>
      <c r="B6" s="842" t="s">
        <v>2031</v>
      </c>
      <c r="C6" s="842">
        <v>711003</v>
      </c>
      <c r="D6" s="63">
        <v>1</v>
      </c>
      <c r="E6" s="60">
        <f>SUM(F6:Z6)</f>
        <v>16360749</v>
      </c>
      <c r="F6" s="575">
        <f>IFERROR(SUMIFS('Rozpočet - HW a licencie'!$I$3:$I$102,'Rozpočet - HW a licencie'!$A$3:$A$102,'TCO TO BE- SW'!F$2,'Rozpočet - HW a licencie'!$C$3:$C$102,"SW",'Rozpočet - HW a licencie'!$G$3:$G$102,'TCO TO BE- SW'!$D6,'Rozpočet - HW a licencie'!$D$3:$D$102,$B$6),)</f>
        <v>0</v>
      </c>
      <c r="G6" s="575">
        <f>IFERROR(SUMIFS('Rozpočet - HW a licencie'!$I$3:$I$102,'Rozpočet - HW a licencie'!$A$3:$A$102,'TCO TO BE- SW'!G$2,'Rozpočet - HW a licencie'!$C$3:$C$102,"SW",'Rozpočet - HW a licencie'!$G$3:$G$102,'TCO TO BE- SW'!$D6,'Rozpočet - HW a licencie'!$D$3:$D$102,$B$6),)</f>
        <v>0</v>
      </c>
      <c r="H6" s="575">
        <f>IFERROR(SUMIFS('Rozpočet - HW a licencie'!$I$3:$I$102,'Rozpočet - HW a licencie'!$A$3:$A$102,'TCO TO BE- SW'!H$2,'Rozpočet - HW a licencie'!$C$3:$C$102,"SW",'Rozpočet - HW a licencie'!$G$3:$G$102,'TCO TO BE- SW'!$D6,'Rozpočet - HW a licencie'!$D$3:$D$102,$B$6),)</f>
        <v>0</v>
      </c>
      <c r="I6" s="575">
        <f>IFERROR(SUMIFS('Rozpočet - HW a licencie'!$I$3:$I$102,'Rozpočet - HW a licencie'!$A$3:$A$102,'TCO TO BE- SW'!I$2,'Rozpočet - HW a licencie'!$C$3:$C$102,"SW",'Rozpočet - HW a licencie'!$G$3:$G$102,'TCO TO BE- SW'!$D6,'Rozpočet - HW a licencie'!$D$3:$D$102,$B$6),)</f>
        <v>0</v>
      </c>
      <c r="J6" s="575">
        <f>IFERROR(SUMIFS('Rozpočet - HW a licencie'!$I$3:$I$102,'Rozpočet - HW a licencie'!$A$3:$A$102,'TCO TO BE- SW'!J$2,'Rozpočet - HW a licencie'!$C$3:$C$102,"SW",'Rozpočet - HW a licencie'!$G$3:$G$102,'TCO TO BE- SW'!$D6,'Rozpočet - HW a licencie'!$D$3:$D$102,$B$6),)</f>
        <v>0</v>
      </c>
      <c r="K6" s="575">
        <f>IFERROR(SUMIFS('Rozpočet - HW a licencie'!$I$3:$I$102,'Rozpočet - HW a licencie'!$A$3:$A$102,'TCO TO BE- SW'!K$2,'Rozpočet - HW a licencie'!$C$3:$C$102,"SW",'Rozpočet - HW a licencie'!$G$3:$G$102,'TCO TO BE- SW'!$D6,'Rozpočet - HW a licencie'!$D$3:$D$102,$B$6),)</f>
        <v>0</v>
      </c>
      <c r="L6" s="575">
        <f>IFERROR(SUMIFS('Rozpočet - HW a licencie'!$I$3:$I$102,'Rozpočet - HW a licencie'!$A$3:$A$102,'TCO TO BE- SW'!L$2,'Rozpočet - HW a licencie'!$C$3:$C$102,"SW",'Rozpočet - HW a licencie'!$G$3:$G$102,'TCO TO BE- SW'!$D6,'Rozpočet - HW a licencie'!$D$3:$D$102,$B$6),)</f>
        <v>0</v>
      </c>
      <c r="M6" s="575">
        <f>IFERROR(SUMIFS('Rozpočet - HW a licencie'!$I$3:$I$102,'Rozpočet - HW a licencie'!$A$3:$A$102,'TCO TO BE- SW'!M$2,'Rozpočet - HW a licencie'!$C$3:$C$102,"SW",'Rozpočet - HW a licencie'!$G$3:$G$102,'TCO TO BE- SW'!$D6,'Rozpočet - HW a licencie'!$D$3:$D$102,$B$6),)</f>
        <v>0</v>
      </c>
      <c r="N6" s="575">
        <f>IFERROR(SUMIFS('Rozpočet - HW a licencie'!$I$3:$I$102,'Rozpočet - HW a licencie'!$A$3:$A$102,'TCO TO BE- SW'!N$2,'Rozpočet - HW a licencie'!$C$3:$C$102,"SW",'Rozpočet - HW a licencie'!$G$3:$G$102,'TCO TO BE- SW'!$D6,'Rozpočet - HW a licencie'!$D$3:$D$102,$B$6),)</f>
        <v>0</v>
      </c>
      <c r="O6" s="575">
        <f>IFERROR(SUMIFS('Rozpočet - HW a licencie'!$I$3:$I$102,'Rozpočet - HW a licencie'!$A$3:$A$102,'TCO TO BE- SW'!O$2,'Rozpočet - HW a licencie'!$C$3:$C$102,"SW",'Rozpočet - HW a licencie'!$G$3:$G$102,'TCO TO BE- SW'!$D6,'Rozpočet - HW a licencie'!$D$3:$D$102,$B$6),)</f>
        <v>0</v>
      </c>
      <c r="P6" s="575">
        <f>IFERROR(SUMIFS('Rozpočet - HW a licencie'!$I$3:$I$102,'Rozpočet - HW a licencie'!$A$3:$A$102,'TCO TO BE- SW'!P$2,'Rozpočet - HW a licencie'!$C$3:$C$102,"SW",'Rozpočet - HW a licencie'!$G$3:$G$102,'TCO TO BE- SW'!$D6,'Rozpočet - HW a licencie'!$D$3:$D$102,$B$6),)</f>
        <v>0</v>
      </c>
      <c r="Q6" s="575">
        <f>IFERROR(SUMIFS('Rozpočet - HW a licencie'!$I$3:$I$102,'Rozpočet - HW a licencie'!$A$3:$A$102,'TCO TO BE- SW'!Q$2,'Rozpočet - HW a licencie'!$C$3:$C$102,"SW",'Rozpočet - HW a licencie'!$G$3:$G$102,'TCO TO BE- SW'!$D6,'Rozpočet - HW a licencie'!$D$3:$D$102,$B$6),)</f>
        <v>0</v>
      </c>
      <c r="R6" s="575">
        <f>IFERROR(SUMIFS('Rozpočet - HW a licencie'!$I$3:$I$102,'Rozpočet - HW a licencie'!$A$3:$A$102,'TCO TO BE- SW'!R$2,'Rozpočet - HW a licencie'!$C$3:$C$102,"SW",'Rozpočet - HW a licencie'!$G$3:$G$102,'TCO TO BE- SW'!$D6,'Rozpočet - HW a licencie'!$D$3:$D$102,$B$6),)</f>
        <v>0</v>
      </c>
      <c r="S6" s="575">
        <f>IFERROR(SUMIFS('Rozpočet - HW a licencie'!$I$3:$I$102,'Rozpočet - HW a licencie'!$A$3:$A$102,'TCO TO BE- SW'!S$2,'Rozpočet - HW a licencie'!$C$3:$C$102,"SW",'Rozpočet - HW a licencie'!$G$3:$G$102,'TCO TO BE- SW'!$D6,'Rozpočet - HW a licencie'!$D$3:$D$102,$B$6),)</f>
        <v>16360749</v>
      </c>
      <c r="T6" s="575">
        <f>IFERROR(SUMIFS('Rozpočet - HW a licencie'!$I$3:$I$102,'Rozpočet - HW a licencie'!$A$3:$A$102,'TCO TO BE- SW'!T$2,'Rozpočet - HW a licencie'!$C$3:$C$102,"SW",'Rozpočet - HW a licencie'!$G$3:$G$102,'TCO TO BE- SW'!$D6,'Rozpočet - HW a licencie'!$D$3:$D$102,$B$6),)</f>
        <v>0</v>
      </c>
      <c r="U6" s="575">
        <f>IFERROR(SUMIFS('Rozpočet - HW a licencie'!$I$3:$I$102,'Rozpočet - HW a licencie'!$A$3:$A$102,'TCO TO BE- SW'!U$2,'Rozpočet - HW a licencie'!$C$3:$C$102,"SW",'Rozpočet - HW a licencie'!$G$3:$G$102,'TCO TO BE- SW'!$D6,'Rozpočet - HW a licencie'!$D$3:$D$102,$B$6),)</f>
        <v>0</v>
      </c>
      <c r="V6" s="575">
        <f>IFERROR(SUMIFS('Rozpočet - HW a licencie'!$I$3:$I$102,'Rozpočet - HW a licencie'!$A$3:$A$102,'TCO TO BE- SW'!V$2,'Rozpočet - HW a licencie'!$C$3:$C$102,"SW",'Rozpočet - HW a licencie'!$G$3:$G$102,'TCO TO BE- SW'!$D6,'Rozpočet - HW a licencie'!$D$3:$D$102,$B$6),)</f>
        <v>0</v>
      </c>
      <c r="W6" s="575">
        <f>IFERROR(SUMIFS('Rozpočet - HW a licencie'!$I$3:$I$102,'Rozpočet - HW a licencie'!$A$3:$A$102,'TCO TO BE- SW'!W$2,'Rozpočet - HW a licencie'!$C$3:$C$102,"SW",'Rozpočet - HW a licencie'!$G$3:$G$102,'TCO TO BE- SW'!$D6,'Rozpočet - HW a licencie'!$D$3:$D$102,$B$6),)</f>
        <v>0</v>
      </c>
      <c r="X6" s="575">
        <f>IFERROR(SUMIFS('Rozpočet - HW a licencie'!$I$3:$I$102,'Rozpočet - HW a licencie'!$A$3:$A$102,'TCO TO BE- SW'!X$2,'Rozpočet - HW a licencie'!$C$3:$C$102,"SW",'Rozpočet - HW a licencie'!$G$3:$G$102,'TCO TO BE- SW'!$D6,'Rozpočet - HW a licencie'!$D$3:$D$102,$B$6),)</f>
        <v>0</v>
      </c>
      <c r="Y6" s="575">
        <f>IFERROR(SUMIFS('Rozpočet - HW a licencie'!$I$3:$I$102,'Rozpočet - HW a licencie'!$A$3:$A$102,'TCO TO BE- SW'!Y$2,'Rozpočet - HW a licencie'!$C$3:$C$102,"SW",'Rozpočet - HW a licencie'!$G$3:$G$102,'TCO TO BE- SW'!$D6,'Rozpočet - HW a licencie'!$D$3:$D$102,$B$6),)</f>
        <v>0</v>
      </c>
      <c r="Z6" s="575">
        <f>IFERROR(SUMIFS('Rozpočet - HW a licencie'!$I$3:$I$102,'Rozpočet - HW a licencie'!$A$3:$A$102,'TCO TO BE- SW'!Z$2,'Rozpočet - HW a licencie'!$C$3:$C$102,"SW",'Rozpočet - HW a licencie'!$G$3:$G$102,'TCO TO BE- SW'!$D6,'Rozpočet - HW a licencie'!$D$3:$D$102,$B$6),)</f>
        <v>0</v>
      </c>
    </row>
    <row r="7" spans="1:26" outlineLevel="2">
      <c r="A7" s="841"/>
      <c r="B7" s="842"/>
      <c r="C7" s="842"/>
      <c r="D7" s="64">
        <v>2</v>
      </c>
      <c r="E7" s="61">
        <f t="shared" ref="E7:E35" si="4">SUM(F7:Z7)</f>
        <v>0</v>
      </c>
      <c r="F7" s="576">
        <f>IFERROR(SUMIFS('Rozpočet - HW a licencie'!$I$3:$I$102,'Rozpočet - HW a licencie'!$A$3:$A$102,'TCO TO BE- SW'!F$2,'Rozpočet - HW a licencie'!$C$3:$C$102,"SW",'Rozpočet - HW a licencie'!$G$3:$G$102,'TCO TO BE- SW'!$D7,'Rozpočet - HW a licencie'!$D$3:$D$102,$B$6),)</f>
        <v>0</v>
      </c>
      <c r="G7" s="576">
        <f>IFERROR(SUMIFS('Rozpočet - HW a licencie'!$I$3:$I$102,'Rozpočet - HW a licencie'!$A$3:$A$102,'TCO TO BE- SW'!G$2,'Rozpočet - HW a licencie'!$C$3:$C$102,"SW",'Rozpočet - HW a licencie'!$G$3:$G$102,'TCO TO BE- SW'!$D7,'Rozpočet - HW a licencie'!$D$3:$D$102,$B$6),)</f>
        <v>0</v>
      </c>
      <c r="H7" s="576">
        <f>IFERROR(SUMIFS('Rozpočet - HW a licencie'!$I$3:$I$102,'Rozpočet - HW a licencie'!$A$3:$A$102,'TCO TO BE- SW'!H$2,'Rozpočet - HW a licencie'!$C$3:$C$102,"SW",'Rozpočet - HW a licencie'!$G$3:$G$102,'TCO TO BE- SW'!$D7,'Rozpočet - HW a licencie'!$D$3:$D$102,$B$6),)</f>
        <v>0</v>
      </c>
      <c r="I7" s="576">
        <f>IFERROR(SUMIFS('Rozpočet - HW a licencie'!$I$3:$I$102,'Rozpočet - HW a licencie'!$A$3:$A$102,'TCO TO BE- SW'!I$2,'Rozpočet - HW a licencie'!$C$3:$C$102,"SW",'Rozpočet - HW a licencie'!$G$3:$G$102,'TCO TO BE- SW'!$D7,'Rozpočet - HW a licencie'!$D$3:$D$102,$B$6),)</f>
        <v>0</v>
      </c>
      <c r="J7" s="576">
        <f>IFERROR(SUMIFS('Rozpočet - HW a licencie'!$I$3:$I$102,'Rozpočet - HW a licencie'!$A$3:$A$102,'TCO TO BE- SW'!J$2,'Rozpočet - HW a licencie'!$C$3:$C$102,"SW",'Rozpočet - HW a licencie'!$G$3:$G$102,'TCO TO BE- SW'!$D7,'Rozpočet - HW a licencie'!$D$3:$D$102,$B$6),)</f>
        <v>0</v>
      </c>
      <c r="K7" s="576">
        <f>IFERROR(SUMIFS('Rozpočet - HW a licencie'!$I$3:$I$102,'Rozpočet - HW a licencie'!$A$3:$A$102,'TCO TO BE- SW'!K$2,'Rozpočet - HW a licencie'!$C$3:$C$102,"SW",'Rozpočet - HW a licencie'!$G$3:$G$102,'TCO TO BE- SW'!$D7,'Rozpočet - HW a licencie'!$D$3:$D$102,$B$6),)</f>
        <v>0</v>
      </c>
      <c r="L7" s="576">
        <f>IFERROR(SUMIFS('Rozpočet - HW a licencie'!$I$3:$I$102,'Rozpočet - HW a licencie'!$A$3:$A$102,'TCO TO BE- SW'!L$2,'Rozpočet - HW a licencie'!$C$3:$C$102,"SW",'Rozpočet - HW a licencie'!$G$3:$G$102,'TCO TO BE- SW'!$D7,'Rozpočet - HW a licencie'!$D$3:$D$102,$B$6),)</f>
        <v>0</v>
      </c>
      <c r="M7" s="576">
        <f>IFERROR(SUMIFS('Rozpočet - HW a licencie'!$I$3:$I$102,'Rozpočet - HW a licencie'!$A$3:$A$102,'TCO TO BE- SW'!M$2,'Rozpočet - HW a licencie'!$C$3:$C$102,"SW",'Rozpočet - HW a licencie'!$G$3:$G$102,'TCO TO BE- SW'!$D7,'Rozpočet - HW a licencie'!$D$3:$D$102,$B$6),)</f>
        <v>0</v>
      </c>
      <c r="N7" s="576">
        <f>IFERROR(SUMIFS('Rozpočet - HW a licencie'!$I$3:$I$102,'Rozpočet - HW a licencie'!$A$3:$A$102,'TCO TO BE- SW'!N$2,'Rozpočet - HW a licencie'!$C$3:$C$102,"SW",'Rozpočet - HW a licencie'!$G$3:$G$102,'TCO TO BE- SW'!$D7,'Rozpočet - HW a licencie'!$D$3:$D$102,$B$6),)</f>
        <v>0</v>
      </c>
      <c r="O7" s="576">
        <f>IFERROR(SUMIFS('Rozpočet - HW a licencie'!$I$3:$I$102,'Rozpočet - HW a licencie'!$A$3:$A$102,'TCO TO BE- SW'!O$2,'Rozpočet - HW a licencie'!$C$3:$C$102,"SW",'Rozpočet - HW a licencie'!$G$3:$G$102,'TCO TO BE- SW'!$D7,'Rozpočet - HW a licencie'!$D$3:$D$102,$B$6),)</f>
        <v>0</v>
      </c>
      <c r="P7" s="576">
        <f>IFERROR(SUMIFS('Rozpočet - HW a licencie'!$I$3:$I$102,'Rozpočet - HW a licencie'!$A$3:$A$102,'TCO TO BE- SW'!P$2,'Rozpočet - HW a licencie'!$C$3:$C$102,"SW",'Rozpočet - HW a licencie'!$G$3:$G$102,'TCO TO BE- SW'!$D7,'Rozpočet - HW a licencie'!$D$3:$D$102,$B$6),)</f>
        <v>0</v>
      </c>
      <c r="Q7" s="576">
        <f>IFERROR(SUMIFS('Rozpočet - HW a licencie'!$I$3:$I$102,'Rozpočet - HW a licencie'!$A$3:$A$102,'TCO TO BE- SW'!Q$2,'Rozpočet - HW a licencie'!$C$3:$C$102,"SW",'Rozpočet - HW a licencie'!$G$3:$G$102,'TCO TO BE- SW'!$D7,'Rozpočet - HW a licencie'!$D$3:$D$102,$B$6),)</f>
        <v>0</v>
      </c>
      <c r="R7" s="576">
        <f>IFERROR(SUMIFS('Rozpočet - HW a licencie'!$I$3:$I$102,'Rozpočet - HW a licencie'!$A$3:$A$102,'TCO TO BE- SW'!R$2,'Rozpočet - HW a licencie'!$C$3:$C$102,"SW",'Rozpočet - HW a licencie'!$G$3:$G$102,'TCO TO BE- SW'!$D7,'Rozpočet - HW a licencie'!$D$3:$D$102,$B$6),)</f>
        <v>0</v>
      </c>
      <c r="S7" s="576">
        <f>IFERROR(SUMIFS('Rozpočet - HW a licencie'!$I$3:$I$102,'Rozpočet - HW a licencie'!$A$3:$A$102,'TCO TO BE- SW'!S$2,'Rozpočet - HW a licencie'!$C$3:$C$102,"SW",'Rozpočet - HW a licencie'!$G$3:$G$102,'TCO TO BE- SW'!$D7,'Rozpočet - HW a licencie'!$D$3:$D$102,$B$6),)</f>
        <v>0</v>
      </c>
      <c r="T7" s="576">
        <f>IFERROR(SUMIFS('Rozpočet - HW a licencie'!$I$3:$I$102,'Rozpočet - HW a licencie'!$A$3:$A$102,'TCO TO BE- SW'!T$2,'Rozpočet - HW a licencie'!$C$3:$C$102,"SW",'Rozpočet - HW a licencie'!$G$3:$G$102,'TCO TO BE- SW'!$D7,'Rozpočet - HW a licencie'!$D$3:$D$102,$B$6),)</f>
        <v>0</v>
      </c>
      <c r="U7" s="576">
        <f>IFERROR(SUMIFS('Rozpočet - HW a licencie'!$I$3:$I$102,'Rozpočet - HW a licencie'!$A$3:$A$102,'TCO TO BE- SW'!U$2,'Rozpočet - HW a licencie'!$C$3:$C$102,"SW",'Rozpočet - HW a licencie'!$G$3:$G$102,'TCO TO BE- SW'!$D7,'Rozpočet - HW a licencie'!$D$3:$D$102,$B$6),)</f>
        <v>0</v>
      </c>
      <c r="V7" s="576">
        <f>IFERROR(SUMIFS('Rozpočet - HW a licencie'!$I$3:$I$102,'Rozpočet - HW a licencie'!$A$3:$A$102,'TCO TO BE- SW'!V$2,'Rozpočet - HW a licencie'!$C$3:$C$102,"SW",'Rozpočet - HW a licencie'!$G$3:$G$102,'TCO TO BE- SW'!$D7,'Rozpočet - HW a licencie'!$D$3:$D$102,$B$6),)</f>
        <v>0</v>
      </c>
      <c r="W7" s="576">
        <f>IFERROR(SUMIFS('Rozpočet - HW a licencie'!$I$3:$I$102,'Rozpočet - HW a licencie'!$A$3:$A$102,'TCO TO BE- SW'!W$2,'Rozpočet - HW a licencie'!$C$3:$C$102,"SW",'Rozpočet - HW a licencie'!$G$3:$G$102,'TCO TO BE- SW'!$D7,'Rozpočet - HW a licencie'!$D$3:$D$102,$B$6),)</f>
        <v>0</v>
      </c>
      <c r="X7" s="576">
        <f>IFERROR(SUMIFS('Rozpočet - HW a licencie'!$I$3:$I$102,'Rozpočet - HW a licencie'!$A$3:$A$102,'TCO TO BE- SW'!X$2,'Rozpočet - HW a licencie'!$C$3:$C$102,"SW",'Rozpočet - HW a licencie'!$G$3:$G$102,'TCO TO BE- SW'!$D7,'Rozpočet - HW a licencie'!$D$3:$D$102,$B$6),)</f>
        <v>0</v>
      </c>
      <c r="Y7" s="576">
        <f>IFERROR(SUMIFS('Rozpočet - HW a licencie'!$I$3:$I$102,'Rozpočet - HW a licencie'!$A$3:$A$102,'TCO TO BE- SW'!Y$2,'Rozpočet - HW a licencie'!$C$3:$C$102,"SW",'Rozpočet - HW a licencie'!$G$3:$G$102,'TCO TO BE- SW'!$D7,'Rozpočet - HW a licencie'!$D$3:$D$102,$B$6),)</f>
        <v>0</v>
      </c>
      <c r="Z7" s="576">
        <f>IFERROR(SUMIFS('Rozpočet - HW a licencie'!$I$3:$I$102,'Rozpočet - HW a licencie'!$A$3:$A$102,'TCO TO BE- SW'!Z$2,'Rozpočet - HW a licencie'!$C$3:$C$102,"SW",'Rozpočet - HW a licencie'!$G$3:$G$102,'TCO TO BE- SW'!$D7,'Rozpočet - HW a licencie'!$D$3:$D$102,$B$6),)</f>
        <v>0</v>
      </c>
    </row>
    <row r="8" spans="1:26" outlineLevel="2">
      <c r="A8" s="841"/>
      <c r="B8" s="842"/>
      <c r="C8" s="842"/>
      <c r="D8" s="64">
        <v>3</v>
      </c>
      <c r="E8" s="61">
        <f t="shared" si="4"/>
        <v>0</v>
      </c>
      <c r="F8" s="576">
        <f>IFERROR(SUMIFS('Rozpočet - HW a licencie'!$I$3:$I$102,'Rozpočet - HW a licencie'!$A$3:$A$102,'TCO TO BE- SW'!F$2,'Rozpočet - HW a licencie'!$C$3:$C$102,"SW",'Rozpočet - HW a licencie'!$G$3:$G$102,'TCO TO BE- SW'!$D8,'Rozpočet - HW a licencie'!$D$3:$D$102,$B$6),)</f>
        <v>0</v>
      </c>
      <c r="G8" s="576">
        <f>IFERROR(SUMIFS('Rozpočet - HW a licencie'!$I$3:$I$102,'Rozpočet - HW a licencie'!$A$3:$A$102,'TCO TO BE- SW'!G$2,'Rozpočet - HW a licencie'!$C$3:$C$102,"SW",'Rozpočet - HW a licencie'!$G$3:$G$102,'TCO TO BE- SW'!$D8,'Rozpočet - HW a licencie'!$D$3:$D$102,$B$6),)</f>
        <v>0</v>
      </c>
      <c r="H8" s="576">
        <f>IFERROR(SUMIFS('Rozpočet - HW a licencie'!$I$3:$I$102,'Rozpočet - HW a licencie'!$A$3:$A$102,'TCO TO BE- SW'!H$2,'Rozpočet - HW a licencie'!$C$3:$C$102,"SW",'Rozpočet - HW a licencie'!$G$3:$G$102,'TCO TO BE- SW'!$D8,'Rozpočet - HW a licencie'!$D$3:$D$102,$B$6),)</f>
        <v>0</v>
      </c>
      <c r="I8" s="576">
        <f>IFERROR(SUMIFS('Rozpočet - HW a licencie'!$I$3:$I$102,'Rozpočet - HW a licencie'!$A$3:$A$102,'TCO TO BE- SW'!I$2,'Rozpočet - HW a licencie'!$C$3:$C$102,"SW",'Rozpočet - HW a licencie'!$G$3:$G$102,'TCO TO BE- SW'!$D8,'Rozpočet - HW a licencie'!$D$3:$D$102,$B$6),)</f>
        <v>0</v>
      </c>
      <c r="J8" s="576">
        <f>IFERROR(SUMIFS('Rozpočet - HW a licencie'!$I$3:$I$102,'Rozpočet - HW a licencie'!$A$3:$A$102,'TCO TO BE- SW'!J$2,'Rozpočet - HW a licencie'!$C$3:$C$102,"SW",'Rozpočet - HW a licencie'!$G$3:$G$102,'TCO TO BE- SW'!$D8,'Rozpočet - HW a licencie'!$D$3:$D$102,$B$6),)</f>
        <v>0</v>
      </c>
      <c r="K8" s="576">
        <f>IFERROR(SUMIFS('Rozpočet - HW a licencie'!$I$3:$I$102,'Rozpočet - HW a licencie'!$A$3:$A$102,'TCO TO BE- SW'!K$2,'Rozpočet - HW a licencie'!$C$3:$C$102,"SW",'Rozpočet - HW a licencie'!$G$3:$G$102,'TCO TO BE- SW'!$D8,'Rozpočet - HW a licencie'!$D$3:$D$102,$B$6),)</f>
        <v>0</v>
      </c>
      <c r="L8" s="576">
        <f>IFERROR(SUMIFS('Rozpočet - HW a licencie'!$I$3:$I$102,'Rozpočet - HW a licencie'!$A$3:$A$102,'TCO TO BE- SW'!L$2,'Rozpočet - HW a licencie'!$C$3:$C$102,"SW",'Rozpočet - HW a licencie'!$G$3:$G$102,'TCO TO BE- SW'!$D8,'Rozpočet - HW a licencie'!$D$3:$D$102,$B$6),)</f>
        <v>0</v>
      </c>
      <c r="M8" s="576">
        <f>IFERROR(SUMIFS('Rozpočet - HW a licencie'!$I$3:$I$102,'Rozpočet - HW a licencie'!$A$3:$A$102,'TCO TO BE- SW'!M$2,'Rozpočet - HW a licencie'!$C$3:$C$102,"SW",'Rozpočet - HW a licencie'!$G$3:$G$102,'TCO TO BE- SW'!$D8,'Rozpočet - HW a licencie'!$D$3:$D$102,$B$6),)</f>
        <v>0</v>
      </c>
      <c r="N8" s="576">
        <f>IFERROR(SUMIFS('Rozpočet - HW a licencie'!$I$3:$I$102,'Rozpočet - HW a licencie'!$A$3:$A$102,'TCO TO BE- SW'!N$2,'Rozpočet - HW a licencie'!$C$3:$C$102,"SW",'Rozpočet - HW a licencie'!$G$3:$G$102,'TCO TO BE- SW'!$D8,'Rozpočet - HW a licencie'!$D$3:$D$102,$B$6),)</f>
        <v>0</v>
      </c>
      <c r="O8" s="576">
        <f>IFERROR(SUMIFS('Rozpočet - HW a licencie'!$I$3:$I$102,'Rozpočet - HW a licencie'!$A$3:$A$102,'TCO TO BE- SW'!O$2,'Rozpočet - HW a licencie'!$C$3:$C$102,"SW",'Rozpočet - HW a licencie'!$G$3:$G$102,'TCO TO BE- SW'!$D8,'Rozpočet - HW a licencie'!$D$3:$D$102,$B$6),)</f>
        <v>0</v>
      </c>
      <c r="P8" s="576">
        <f>IFERROR(SUMIFS('Rozpočet - HW a licencie'!$I$3:$I$102,'Rozpočet - HW a licencie'!$A$3:$A$102,'TCO TO BE- SW'!P$2,'Rozpočet - HW a licencie'!$C$3:$C$102,"SW",'Rozpočet - HW a licencie'!$G$3:$G$102,'TCO TO BE- SW'!$D8,'Rozpočet - HW a licencie'!$D$3:$D$102,$B$6),)</f>
        <v>0</v>
      </c>
      <c r="Q8" s="576">
        <f>IFERROR(SUMIFS('Rozpočet - HW a licencie'!$I$3:$I$102,'Rozpočet - HW a licencie'!$A$3:$A$102,'TCO TO BE- SW'!Q$2,'Rozpočet - HW a licencie'!$C$3:$C$102,"SW",'Rozpočet - HW a licencie'!$G$3:$G$102,'TCO TO BE- SW'!$D8,'Rozpočet - HW a licencie'!$D$3:$D$102,$B$6),)</f>
        <v>0</v>
      </c>
      <c r="R8" s="576">
        <f>IFERROR(SUMIFS('Rozpočet - HW a licencie'!$I$3:$I$102,'Rozpočet - HW a licencie'!$A$3:$A$102,'TCO TO BE- SW'!R$2,'Rozpočet - HW a licencie'!$C$3:$C$102,"SW",'Rozpočet - HW a licencie'!$G$3:$G$102,'TCO TO BE- SW'!$D8,'Rozpočet - HW a licencie'!$D$3:$D$102,$B$6),)</f>
        <v>0</v>
      </c>
      <c r="S8" s="576">
        <f>IFERROR(SUMIFS('Rozpočet - HW a licencie'!$I$3:$I$102,'Rozpočet - HW a licencie'!$A$3:$A$102,'TCO TO BE- SW'!S$2,'Rozpočet - HW a licencie'!$C$3:$C$102,"SW",'Rozpočet - HW a licencie'!$G$3:$G$102,'TCO TO BE- SW'!$D8,'Rozpočet - HW a licencie'!$D$3:$D$102,$B$6),)</f>
        <v>0</v>
      </c>
      <c r="T8" s="576">
        <f>IFERROR(SUMIFS('Rozpočet - HW a licencie'!$I$3:$I$102,'Rozpočet - HW a licencie'!$A$3:$A$102,'TCO TO BE- SW'!T$2,'Rozpočet - HW a licencie'!$C$3:$C$102,"SW",'Rozpočet - HW a licencie'!$G$3:$G$102,'TCO TO BE- SW'!$D8,'Rozpočet - HW a licencie'!$D$3:$D$102,$B$6),)</f>
        <v>0</v>
      </c>
      <c r="U8" s="576">
        <f>IFERROR(SUMIFS('Rozpočet - HW a licencie'!$I$3:$I$102,'Rozpočet - HW a licencie'!$A$3:$A$102,'TCO TO BE- SW'!U$2,'Rozpočet - HW a licencie'!$C$3:$C$102,"SW",'Rozpočet - HW a licencie'!$G$3:$G$102,'TCO TO BE- SW'!$D8,'Rozpočet - HW a licencie'!$D$3:$D$102,$B$6),)</f>
        <v>0</v>
      </c>
      <c r="V8" s="576">
        <f>IFERROR(SUMIFS('Rozpočet - HW a licencie'!$I$3:$I$102,'Rozpočet - HW a licencie'!$A$3:$A$102,'TCO TO BE- SW'!V$2,'Rozpočet - HW a licencie'!$C$3:$C$102,"SW",'Rozpočet - HW a licencie'!$G$3:$G$102,'TCO TO BE- SW'!$D8,'Rozpočet - HW a licencie'!$D$3:$D$102,$B$6),)</f>
        <v>0</v>
      </c>
      <c r="W8" s="576">
        <f>IFERROR(SUMIFS('Rozpočet - HW a licencie'!$I$3:$I$102,'Rozpočet - HW a licencie'!$A$3:$A$102,'TCO TO BE- SW'!W$2,'Rozpočet - HW a licencie'!$C$3:$C$102,"SW",'Rozpočet - HW a licencie'!$G$3:$G$102,'TCO TO BE- SW'!$D8,'Rozpočet - HW a licencie'!$D$3:$D$102,$B$6),)</f>
        <v>0</v>
      </c>
      <c r="X8" s="576">
        <f>IFERROR(SUMIFS('Rozpočet - HW a licencie'!$I$3:$I$102,'Rozpočet - HW a licencie'!$A$3:$A$102,'TCO TO BE- SW'!X$2,'Rozpočet - HW a licencie'!$C$3:$C$102,"SW",'Rozpočet - HW a licencie'!$G$3:$G$102,'TCO TO BE- SW'!$D8,'Rozpočet - HW a licencie'!$D$3:$D$102,$B$6),)</f>
        <v>0</v>
      </c>
      <c r="Y8" s="576">
        <f>IFERROR(SUMIFS('Rozpočet - HW a licencie'!$I$3:$I$102,'Rozpočet - HW a licencie'!$A$3:$A$102,'TCO TO BE- SW'!Y$2,'Rozpočet - HW a licencie'!$C$3:$C$102,"SW",'Rozpočet - HW a licencie'!$G$3:$G$102,'TCO TO BE- SW'!$D8,'Rozpočet - HW a licencie'!$D$3:$D$102,$B$6),)</f>
        <v>0</v>
      </c>
      <c r="Z8" s="576">
        <f>IFERROR(SUMIFS('Rozpočet - HW a licencie'!$I$3:$I$102,'Rozpočet - HW a licencie'!$A$3:$A$102,'TCO TO BE- SW'!Z$2,'Rozpočet - HW a licencie'!$C$3:$C$102,"SW",'Rozpočet - HW a licencie'!$G$3:$G$102,'TCO TO BE- SW'!$D8,'Rozpočet - HW a licencie'!$D$3:$D$102,$B$6),)</f>
        <v>0</v>
      </c>
    </row>
    <row r="9" spans="1:26" outlineLevel="2">
      <c r="A9" s="841"/>
      <c r="B9" s="842"/>
      <c r="C9" s="842"/>
      <c r="D9" s="64">
        <v>4</v>
      </c>
      <c r="E9" s="61">
        <f t="shared" si="4"/>
        <v>0</v>
      </c>
      <c r="F9" s="576">
        <f>IFERROR(SUMIFS('Rozpočet - HW a licencie'!$I$3:$I$102,'Rozpočet - HW a licencie'!$A$3:$A$102,'TCO TO BE- SW'!F$2,'Rozpočet - HW a licencie'!$C$3:$C$102,"SW",'Rozpočet - HW a licencie'!$G$3:$G$102,'TCO TO BE- SW'!$D9,'Rozpočet - HW a licencie'!$D$3:$D$102,$B$6),)</f>
        <v>0</v>
      </c>
      <c r="G9" s="576">
        <f>IFERROR(SUMIFS('Rozpočet - HW a licencie'!$I$3:$I$102,'Rozpočet - HW a licencie'!$A$3:$A$102,'TCO TO BE- SW'!G$2,'Rozpočet - HW a licencie'!$C$3:$C$102,"SW",'Rozpočet - HW a licencie'!$G$3:$G$102,'TCO TO BE- SW'!$D9,'Rozpočet - HW a licencie'!$D$3:$D$102,$B$6),)</f>
        <v>0</v>
      </c>
      <c r="H9" s="576">
        <f>IFERROR(SUMIFS('Rozpočet - HW a licencie'!$I$3:$I$102,'Rozpočet - HW a licencie'!$A$3:$A$102,'TCO TO BE- SW'!H$2,'Rozpočet - HW a licencie'!$C$3:$C$102,"SW",'Rozpočet - HW a licencie'!$G$3:$G$102,'TCO TO BE- SW'!$D9,'Rozpočet - HW a licencie'!$D$3:$D$102,$B$6),)</f>
        <v>0</v>
      </c>
      <c r="I9" s="576">
        <f>IFERROR(SUMIFS('Rozpočet - HW a licencie'!$I$3:$I$102,'Rozpočet - HW a licencie'!$A$3:$A$102,'TCO TO BE- SW'!I$2,'Rozpočet - HW a licencie'!$C$3:$C$102,"SW",'Rozpočet - HW a licencie'!$G$3:$G$102,'TCO TO BE- SW'!$D9,'Rozpočet - HW a licencie'!$D$3:$D$102,$B$6),)</f>
        <v>0</v>
      </c>
      <c r="J9" s="576">
        <f>IFERROR(SUMIFS('Rozpočet - HW a licencie'!$I$3:$I$102,'Rozpočet - HW a licencie'!$A$3:$A$102,'TCO TO BE- SW'!J$2,'Rozpočet - HW a licencie'!$C$3:$C$102,"SW",'Rozpočet - HW a licencie'!$G$3:$G$102,'TCO TO BE- SW'!$D9,'Rozpočet - HW a licencie'!$D$3:$D$102,$B$6),)</f>
        <v>0</v>
      </c>
      <c r="K9" s="576">
        <f>IFERROR(SUMIFS('Rozpočet - HW a licencie'!$I$3:$I$102,'Rozpočet - HW a licencie'!$A$3:$A$102,'TCO TO BE- SW'!K$2,'Rozpočet - HW a licencie'!$C$3:$C$102,"SW",'Rozpočet - HW a licencie'!$G$3:$G$102,'TCO TO BE- SW'!$D9,'Rozpočet - HW a licencie'!$D$3:$D$102,$B$6),)</f>
        <v>0</v>
      </c>
      <c r="L9" s="576">
        <f>IFERROR(SUMIFS('Rozpočet - HW a licencie'!$I$3:$I$102,'Rozpočet - HW a licencie'!$A$3:$A$102,'TCO TO BE- SW'!L$2,'Rozpočet - HW a licencie'!$C$3:$C$102,"SW",'Rozpočet - HW a licencie'!$G$3:$G$102,'TCO TO BE- SW'!$D9,'Rozpočet - HW a licencie'!$D$3:$D$102,$B$6),)</f>
        <v>0</v>
      </c>
      <c r="M9" s="576">
        <f>IFERROR(SUMIFS('Rozpočet - HW a licencie'!$I$3:$I$102,'Rozpočet - HW a licencie'!$A$3:$A$102,'TCO TO BE- SW'!M$2,'Rozpočet - HW a licencie'!$C$3:$C$102,"SW",'Rozpočet - HW a licencie'!$G$3:$G$102,'TCO TO BE- SW'!$D9,'Rozpočet - HW a licencie'!$D$3:$D$102,$B$6),)</f>
        <v>0</v>
      </c>
      <c r="N9" s="576">
        <f>IFERROR(SUMIFS('Rozpočet - HW a licencie'!$I$3:$I$102,'Rozpočet - HW a licencie'!$A$3:$A$102,'TCO TO BE- SW'!N$2,'Rozpočet - HW a licencie'!$C$3:$C$102,"SW",'Rozpočet - HW a licencie'!$G$3:$G$102,'TCO TO BE- SW'!$D9,'Rozpočet - HW a licencie'!$D$3:$D$102,$B$6),)</f>
        <v>0</v>
      </c>
      <c r="O9" s="576">
        <f>IFERROR(SUMIFS('Rozpočet - HW a licencie'!$I$3:$I$102,'Rozpočet - HW a licencie'!$A$3:$A$102,'TCO TO BE- SW'!O$2,'Rozpočet - HW a licencie'!$C$3:$C$102,"SW",'Rozpočet - HW a licencie'!$G$3:$G$102,'TCO TO BE- SW'!$D9,'Rozpočet - HW a licencie'!$D$3:$D$102,$B$6),)</f>
        <v>0</v>
      </c>
      <c r="P9" s="576">
        <f>IFERROR(SUMIFS('Rozpočet - HW a licencie'!$I$3:$I$102,'Rozpočet - HW a licencie'!$A$3:$A$102,'TCO TO BE- SW'!P$2,'Rozpočet - HW a licencie'!$C$3:$C$102,"SW",'Rozpočet - HW a licencie'!$G$3:$G$102,'TCO TO BE- SW'!$D9,'Rozpočet - HW a licencie'!$D$3:$D$102,$B$6),)</f>
        <v>0</v>
      </c>
      <c r="Q9" s="576">
        <f>IFERROR(SUMIFS('Rozpočet - HW a licencie'!$I$3:$I$102,'Rozpočet - HW a licencie'!$A$3:$A$102,'TCO TO BE- SW'!Q$2,'Rozpočet - HW a licencie'!$C$3:$C$102,"SW",'Rozpočet - HW a licencie'!$G$3:$G$102,'TCO TO BE- SW'!$D9,'Rozpočet - HW a licencie'!$D$3:$D$102,$B$6),)</f>
        <v>0</v>
      </c>
      <c r="R9" s="576">
        <f>IFERROR(SUMIFS('Rozpočet - HW a licencie'!$I$3:$I$102,'Rozpočet - HW a licencie'!$A$3:$A$102,'TCO TO BE- SW'!R$2,'Rozpočet - HW a licencie'!$C$3:$C$102,"SW",'Rozpočet - HW a licencie'!$G$3:$G$102,'TCO TO BE- SW'!$D9,'Rozpočet - HW a licencie'!$D$3:$D$102,$B$6),)</f>
        <v>0</v>
      </c>
      <c r="S9" s="576">
        <f>IFERROR(SUMIFS('Rozpočet - HW a licencie'!$I$3:$I$102,'Rozpočet - HW a licencie'!$A$3:$A$102,'TCO TO BE- SW'!S$2,'Rozpočet - HW a licencie'!$C$3:$C$102,"SW",'Rozpočet - HW a licencie'!$G$3:$G$102,'TCO TO BE- SW'!$D9,'Rozpočet - HW a licencie'!$D$3:$D$102,$B$6),)</f>
        <v>0</v>
      </c>
      <c r="T9" s="576">
        <f>IFERROR(SUMIFS('Rozpočet - HW a licencie'!$I$3:$I$102,'Rozpočet - HW a licencie'!$A$3:$A$102,'TCO TO BE- SW'!T$2,'Rozpočet - HW a licencie'!$C$3:$C$102,"SW",'Rozpočet - HW a licencie'!$G$3:$G$102,'TCO TO BE- SW'!$D9,'Rozpočet - HW a licencie'!$D$3:$D$102,$B$6),)</f>
        <v>0</v>
      </c>
      <c r="U9" s="576">
        <f>IFERROR(SUMIFS('Rozpočet - HW a licencie'!$I$3:$I$102,'Rozpočet - HW a licencie'!$A$3:$A$102,'TCO TO BE- SW'!U$2,'Rozpočet - HW a licencie'!$C$3:$C$102,"SW",'Rozpočet - HW a licencie'!$G$3:$G$102,'TCO TO BE- SW'!$D9,'Rozpočet - HW a licencie'!$D$3:$D$102,$B$6),)</f>
        <v>0</v>
      </c>
      <c r="V9" s="576">
        <f>IFERROR(SUMIFS('Rozpočet - HW a licencie'!$I$3:$I$102,'Rozpočet - HW a licencie'!$A$3:$A$102,'TCO TO BE- SW'!V$2,'Rozpočet - HW a licencie'!$C$3:$C$102,"SW",'Rozpočet - HW a licencie'!$G$3:$G$102,'TCO TO BE- SW'!$D9,'Rozpočet - HW a licencie'!$D$3:$D$102,$B$6),)</f>
        <v>0</v>
      </c>
      <c r="W9" s="576">
        <f>IFERROR(SUMIFS('Rozpočet - HW a licencie'!$I$3:$I$102,'Rozpočet - HW a licencie'!$A$3:$A$102,'TCO TO BE- SW'!W$2,'Rozpočet - HW a licencie'!$C$3:$C$102,"SW",'Rozpočet - HW a licencie'!$G$3:$G$102,'TCO TO BE- SW'!$D9,'Rozpočet - HW a licencie'!$D$3:$D$102,$B$6),)</f>
        <v>0</v>
      </c>
      <c r="X9" s="576">
        <f>IFERROR(SUMIFS('Rozpočet - HW a licencie'!$I$3:$I$102,'Rozpočet - HW a licencie'!$A$3:$A$102,'TCO TO BE- SW'!X$2,'Rozpočet - HW a licencie'!$C$3:$C$102,"SW",'Rozpočet - HW a licencie'!$G$3:$G$102,'TCO TO BE- SW'!$D9,'Rozpočet - HW a licencie'!$D$3:$D$102,$B$6),)</f>
        <v>0</v>
      </c>
      <c r="Y9" s="576">
        <f>IFERROR(SUMIFS('Rozpočet - HW a licencie'!$I$3:$I$102,'Rozpočet - HW a licencie'!$A$3:$A$102,'TCO TO BE- SW'!Y$2,'Rozpočet - HW a licencie'!$C$3:$C$102,"SW",'Rozpočet - HW a licencie'!$G$3:$G$102,'TCO TO BE- SW'!$D9,'Rozpočet - HW a licencie'!$D$3:$D$102,$B$6),)</f>
        <v>0</v>
      </c>
      <c r="Z9" s="576">
        <f>IFERROR(SUMIFS('Rozpočet - HW a licencie'!$I$3:$I$102,'Rozpočet - HW a licencie'!$A$3:$A$102,'TCO TO BE- SW'!Z$2,'Rozpočet - HW a licencie'!$C$3:$C$102,"SW",'Rozpočet - HW a licencie'!$G$3:$G$102,'TCO TO BE- SW'!$D9,'Rozpočet - HW a licencie'!$D$3:$D$102,$B$6),)</f>
        <v>0</v>
      </c>
    </row>
    <row r="10" spans="1:26" outlineLevel="2">
      <c r="A10" s="841"/>
      <c r="B10" s="842"/>
      <c r="C10" s="842"/>
      <c r="D10" s="64">
        <v>5</v>
      </c>
      <c r="E10" s="61">
        <f t="shared" si="4"/>
        <v>0</v>
      </c>
      <c r="F10" s="576">
        <f>IFERROR(SUMIFS('Rozpočet - HW a licencie'!$I$3:$I$102,'Rozpočet - HW a licencie'!$A$3:$A$102,'TCO TO BE- SW'!F$2,'Rozpočet - HW a licencie'!$C$3:$C$102,"SW",'Rozpočet - HW a licencie'!$G$3:$G$102,'TCO TO BE- SW'!$D10,'Rozpočet - HW a licencie'!$D$3:$D$102,$B$6),)</f>
        <v>0</v>
      </c>
      <c r="G10" s="576">
        <f>IFERROR(SUMIFS('Rozpočet - HW a licencie'!$I$3:$I$102,'Rozpočet - HW a licencie'!$A$3:$A$102,'TCO TO BE- SW'!G$2,'Rozpočet - HW a licencie'!$C$3:$C$102,"SW",'Rozpočet - HW a licencie'!$G$3:$G$102,'TCO TO BE- SW'!$D10,'Rozpočet - HW a licencie'!$D$3:$D$102,$B$6),)</f>
        <v>0</v>
      </c>
      <c r="H10" s="576">
        <f>IFERROR(SUMIFS('Rozpočet - HW a licencie'!$I$3:$I$102,'Rozpočet - HW a licencie'!$A$3:$A$102,'TCO TO BE- SW'!H$2,'Rozpočet - HW a licencie'!$C$3:$C$102,"SW",'Rozpočet - HW a licencie'!$G$3:$G$102,'TCO TO BE- SW'!$D10,'Rozpočet - HW a licencie'!$D$3:$D$102,$B$6),)</f>
        <v>0</v>
      </c>
      <c r="I10" s="576">
        <f>IFERROR(SUMIFS('Rozpočet - HW a licencie'!$I$3:$I$102,'Rozpočet - HW a licencie'!$A$3:$A$102,'TCO TO BE- SW'!I$2,'Rozpočet - HW a licencie'!$C$3:$C$102,"SW",'Rozpočet - HW a licencie'!$G$3:$G$102,'TCO TO BE- SW'!$D10,'Rozpočet - HW a licencie'!$D$3:$D$102,$B$6),)</f>
        <v>0</v>
      </c>
      <c r="J10" s="576">
        <f>IFERROR(SUMIFS('Rozpočet - HW a licencie'!$I$3:$I$102,'Rozpočet - HW a licencie'!$A$3:$A$102,'TCO TO BE- SW'!J$2,'Rozpočet - HW a licencie'!$C$3:$C$102,"SW",'Rozpočet - HW a licencie'!$G$3:$G$102,'TCO TO BE- SW'!$D10,'Rozpočet - HW a licencie'!$D$3:$D$102,$B$6),)</f>
        <v>0</v>
      </c>
      <c r="K10" s="576">
        <f>IFERROR(SUMIFS('Rozpočet - HW a licencie'!$I$3:$I$102,'Rozpočet - HW a licencie'!$A$3:$A$102,'TCO TO BE- SW'!K$2,'Rozpočet - HW a licencie'!$C$3:$C$102,"SW",'Rozpočet - HW a licencie'!$G$3:$G$102,'TCO TO BE- SW'!$D10,'Rozpočet - HW a licencie'!$D$3:$D$102,$B$6),)</f>
        <v>0</v>
      </c>
      <c r="L10" s="576">
        <f>IFERROR(SUMIFS('Rozpočet - HW a licencie'!$I$3:$I$102,'Rozpočet - HW a licencie'!$A$3:$A$102,'TCO TO BE- SW'!L$2,'Rozpočet - HW a licencie'!$C$3:$C$102,"SW",'Rozpočet - HW a licencie'!$G$3:$G$102,'TCO TO BE- SW'!$D10,'Rozpočet - HW a licencie'!$D$3:$D$102,$B$6),)</f>
        <v>0</v>
      </c>
      <c r="M10" s="576">
        <f>IFERROR(SUMIFS('Rozpočet - HW a licencie'!$I$3:$I$102,'Rozpočet - HW a licencie'!$A$3:$A$102,'TCO TO BE- SW'!M$2,'Rozpočet - HW a licencie'!$C$3:$C$102,"SW",'Rozpočet - HW a licencie'!$G$3:$G$102,'TCO TO BE- SW'!$D10,'Rozpočet - HW a licencie'!$D$3:$D$102,$B$6),)</f>
        <v>0</v>
      </c>
      <c r="N10" s="576">
        <f>IFERROR(SUMIFS('Rozpočet - HW a licencie'!$I$3:$I$102,'Rozpočet - HW a licencie'!$A$3:$A$102,'TCO TO BE- SW'!N$2,'Rozpočet - HW a licencie'!$C$3:$C$102,"SW",'Rozpočet - HW a licencie'!$G$3:$G$102,'TCO TO BE- SW'!$D10,'Rozpočet - HW a licencie'!$D$3:$D$102,$B$6),)</f>
        <v>0</v>
      </c>
      <c r="O10" s="576">
        <f>IFERROR(SUMIFS('Rozpočet - HW a licencie'!$I$3:$I$102,'Rozpočet - HW a licencie'!$A$3:$A$102,'TCO TO BE- SW'!O$2,'Rozpočet - HW a licencie'!$C$3:$C$102,"SW",'Rozpočet - HW a licencie'!$G$3:$G$102,'TCO TO BE- SW'!$D10,'Rozpočet - HW a licencie'!$D$3:$D$102,$B$6),)</f>
        <v>0</v>
      </c>
      <c r="P10" s="576">
        <f>IFERROR(SUMIFS('Rozpočet - HW a licencie'!$I$3:$I$102,'Rozpočet - HW a licencie'!$A$3:$A$102,'TCO TO BE- SW'!P$2,'Rozpočet - HW a licencie'!$C$3:$C$102,"SW",'Rozpočet - HW a licencie'!$G$3:$G$102,'TCO TO BE- SW'!$D10,'Rozpočet - HW a licencie'!$D$3:$D$102,$B$6),)</f>
        <v>0</v>
      </c>
      <c r="Q10" s="576">
        <f>IFERROR(SUMIFS('Rozpočet - HW a licencie'!$I$3:$I$102,'Rozpočet - HW a licencie'!$A$3:$A$102,'TCO TO BE- SW'!Q$2,'Rozpočet - HW a licencie'!$C$3:$C$102,"SW",'Rozpočet - HW a licencie'!$G$3:$G$102,'TCO TO BE- SW'!$D10,'Rozpočet - HW a licencie'!$D$3:$D$102,$B$6),)</f>
        <v>0</v>
      </c>
      <c r="R10" s="576">
        <f>IFERROR(SUMIFS('Rozpočet - HW a licencie'!$I$3:$I$102,'Rozpočet - HW a licencie'!$A$3:$A$102,'TCO TO BE- SW'!R$2,'Rozpočet - HW a licencie'!$C$3:$C$102,"SW",'Rozpočet - HW a licencie'!$G$3:$G$102,'TCO TO BE- SW'!$D10,'Rozpočet - HW a licencie'!$D$3:$D$102,$B$6),)</f>
        <v>0</v>
      </c>
      <c r="S10" s="576">
        <f>IFERROR(SUMIFS('Rozpočet - HW a licencie'!$I$3:$I$102,'Rozpočet - HW a licencie'!$A$3:$A$102,'TCO TO BE- SW'!S$2,'Rozpočet - HW a licencie'!$C$3:$C$102,"SW",'Rozpočet - HW a licencie'!$G$3:$G$102,'TCO TO BE- SW'!$D10,'Rozpočet - HW a licencie'!$D$3:$D$102,$B$6),)</f>
        <v>0</v>
      </c>
      <c r="T10" s="576">
        <f>IFERROR(SUMIFS('Rozpočet - HW a licencie'!$I$3:$I$102,'Rozpočet - HW a licencie'!$A$3:$A$102,'TCO TO BE- SW'!T$2,'Rozpočet - HW a licencie'!$C$3:$C$102,"SW",'Rozpočet - HW a licencie'!$G$3:$G$102,'TCO TO BE- SW'!$D10,'Rozpočet - HW a licencie'!$D$3:$D$102,$B$6),)</f>
        <v>0</v>
      </c>
      <c r="U10" s="576">
        <f>IFERROR(SUMIFS('Rozpočet - HW a licencie'!$I$3:$I$102,'Rozpočet - HW a licencie'!$A$3:$A$102,'TCO TO BE- SW'!U$2,'Rozpočet - HW a licencie'!$C$3:$C$102,"SW",'Rozpočet - HW a licencie'!$G$3:$G$102,'TCO TO BE- SW'!$D10,'Rozpočet - HW a licencie'!$D$3:$D$102,$B$6),)</f>
        <v>0</v>
      </c>
      <c r="V10" s="576">
        <f>IFERROR(SUMIFS('Rozpočet - HW a licencie'!$I$3:$I$102,'Rozpočet - HW a licencie'!$A$3:$A$102,'TCO TO BE- SW'!V$2,'Rozpočet - HW a licencie'!$C$3:$C$102,"SW",'Rozpočet - HW a licencie'!$G$3:$G$102,'TCO TO BE- SW'!$D10,'Rozpočet - HW a licencie'!$D$3:$D$102,$B$6),)</f>
        <v>0</v>
      </c>
      <c r="W10" s="576">
        <f>IFERROR(SUMIFS('Rozpočet - HW a licencie'!$I$3:$I$102,'Rozpočet - HW a licencie'!$A$3:$A$102,'TCO TO BE- SW'!W$2,'Rozpočet - HW a licencie'!$C$3:$C$102,"SW",'Rozpočet - HW a licencie'!$G$3:$G$102,'TCO TO BE- SW'!$D10,'Rozpočet - HW a licencie'!$D$3:$D$102,$B$6),)</f>
        <v>0</v>
      </c>
      <c r="X10" s="576">
        <f>IFERROR(SUMIFS('Rozpočet - HW a licencie'!$I$3:$I$102,'Rozpočet - HW a licencie'!$A$3:$A$102,'TCO TO BE- SW'!X$2,'Rozpočet - HW a licencie'!$C$3:$C$102,"SW",'Rozpočet - HW a licencie'!$G$3:$G$102,'TCO TO BE- SW'!$D10,'Rozpočet - HW a licencie'!$D$3:$D$102,$B$6),)</f>
        <v>0</v>
      </c>
      <c r="Y10" s="576">
        <f>IFERROR(SUMIFS('Rozpočet - HW a licencie'!$I$3:$I$102,'Rozpočet - HW a licencie'!$A$3:$A$102,'TCO TO BE- SW'!Y$2,'Rozpočet - HW a licencie'!$C$3:$C$102,"SW",'Rozpočet - HW a licencie'!$G$3:$G$102,'TCO TO BE- SW'!$D10,'Rozpočet - HW a licencie'!$D$3:$D$102,$B$6),)</f>
        <v>0</v>
      </c>
      <c r="Z10" s="576">
        <f>IFERROR(SUMIFS('Rozpočet - HW a licencie'!$I$3:$I$102,'Rozpočet - HW a licencie'!$A$3:$A$102,'TCO TO BE- SW'!Z$2,'Rozpočet - HW a licencie'!$C$3:$C$102,"SW",'Rozpočet - HW a licencie'!$G$3:$G$102,'TCO TO BE- SW'!$D10,'Rozpočet - HW a licencie'!$D$3:$D$102,$B$6),)</f>
        <v>0</v>
      </c>
    </row>
    <row r="11" spans="1:26" outlineLevel="2">
      <c r="A11" s="841"/>
      <c r="B11" s="842"/>
      <c r="C11" s="842"/>
      <c r="D11" s="64">
        <v>6</v>
      </c>
      <c r="E11" s="61">
        <f t="shared" si="4"/>
        <v>0</v>
      </c>
      <c r="F11" s="576">
        <f>IFERROR(SUMIFS('Rozpočet - HW a licencie'!$I$3:$I$102,'Rozpočet - HW a licencie'!$A$3:$A$102,'TCO TO BE- SW'!F$2,'Rozpočet - HW a licencie'!$C$3:$C$102,"SW",'Rozpočet - HW a licencie'!$G$3:$G$102,'TCO TO BE- SW'!$D11,'Rozpočet - HW a licencie'!$D$3:$D$102,$B$6),)</f>
        <v>0</v>
      </c>
      <c r="G11" s="576">
        <f>IFERROR(SUMIFS('Rozpočet - HW a licencie'!$I$3:$I$102,'Rozpočet - HW a licencie'!$A$3:$A$102,'TCO TO BE- SW'!G$2,'Rozpočet - HW a licencie'!$C$3:$C$102,"SW",'Rozpočet - HW a licencie'!$G$3:$G$102,'TCO TO BE- SW'!$D11,'Rozpočet - HW a licencie'!$D$3:$D$102,$B$6),)</f>
        <v>0</v>
      </c>
      <c r="H11" s="576">
        <f>IFERROR(SUMIFS('Rozpočet - HW a licencie'!$I$3:$I$102,'Rozpočet - HW a licencie'!$A$3:$A$102,'TCO TO BE- SW'!H$2,'Rozpočet - HW a licencie'!$C$3:$C$102,"SW",'Rozpočet - HW a licencie'!$G$3:$G$102,'TCO TO BE- SW'!$D11,'Rozpočet - HW a licencie'!$D$3:$D$102,$B$6),)</f>
        <v>0</v>
      </c>
      <c r="I11" s="576">
        <f>IFERROR(SUMIFS('Rozpočet - HW a licencie'!$I$3:$I$102,'Rozpočet - HW a licencie'!$A$3:$A$102,'TCO TO BE- SW'!I$2,'Rozpočet - HW a licencie'!$C$3:$C$102,"SW",'Rozpočet - HW a licencie'!$G$3:$G$102,'TCO TO BE- SW'!$D11,'Rozpočet - HW a licencie'!$D$3:$D$102,$B$6),)</f>
        <v>0</v>
      </c>
      <c r="J11" s="576">
        <f>IFERROR(SUMIFS('Rozpočet - HW a licencie'!$I$3:$I$102,'Rozpočet - HW a licencie'!$A$3:$A$102,'TCO TO BE- SW'!J$2,'Rozpočet - HW a licencie'!$C$3:$C$102,"SW",'Rozpočet - HW a licencie'!$G$3:$G$102,'TCO TO BE- SW'!$D11,'Rozpočet - HW a licencie'!$D$3:$D$102,$B$6),)</f>
        <v>0</v>
      </c>
      <c r="K11" s="576">
        <f>IFERROR(SUMIFS('Rozpočet - HW a licencie'!$I$3:$I$102,'Rozpočet - HW a licencie'!$A$3:$A$102,'TCO TO BE- SW'!K$2,'Rozpočet - HW a licencie'!$C$3:$C$102,"SW",'Rozpočet - HW a licencie'!$G$3:$G$102,'TCO TO BE- SW'!$D11,'Rozpočet - HW a licencie'!$D$3:$D$102,$B$6),)</f>
        <v>0</v>
      </c>
      <c r="L11" s="576">
        <f>IFERROR(SUMIFS('Rozpočet - HW a licencie'!$I$3:$I$102,'Rozpočet - HW a licencie'!$A$3:$A$102,'TCO TO BE- SW'!L$2,'Rozpočet - HW a licencie'!$C$3:$C$102,"SW",'Rozpočet - HW a licencie'!$G$3:$G$102,'TCO TO BE- SW'!$D11,'Rozpočet - HW a licencie'!$D$3:$D$102,$B$6),)</f>
        <v>0</v>
      </c>
      <c r="M11" s="576">
        <f>IFERROR(SUMIFS('Rozpočet - HW a licencie'!$I$3:$I$102,'Rozpočet - HW a licencie'!$A$3:$A$102,'TCO TO BE- SW'!M$2,'Rozpočet - HW a licencie'!$C$3:$C$102,"SW",'Rozpočet - HW a licencie'!$G$3:$G$102,'TCO TO BE- SW'!$D11,'Rozpočet - HW a licencie'!$D$3:$D$102,$B$6),)</f>
        <v>0</v>
      </c>
      <c r="N11" s="576">
        <f>IFERROR(SUMIFS('Rozpočet - HW a licencie'!$I$3:$I$102,'Rozpočet - HW a licencie'!$A$3:$A$102,'TCO TO BE- SW'!N$2,'Rozpočet - HW a licencie'!$C$3:$C$102,"SW",'Rozpočet - HW a licencie'!$G$3:$G$102,'TCO TO BE- SW'!$D11,'Rozpočet - HW a licencie'!$D$3:$D$102,$B$6),)</f>
        <v>0</v>
      </c>
      <c r="O11" s="576">
        <f>IFERROR(SUMIFS('Rozpočet - HW a licencie'!$I$3:$I$102,'Rozpočet - HW a licencie'!$A$3:$A$102,'TCO TO BE- SW'!O$2,'Rozpočet - HW a licencie'!$C$3:$C$102,"SW",'Rozpočet - HW a licencie'!$G$3:$G$102,'TCO TO BE- SW'!$D11,'Rozpočet - HW a licencie'!$D$3:$D$102,$B$6),)</f>
        <v>0</v>
      </c>
      <c r="P11" s="576">
        <f>IFERROR(SUMIFS('Rozpočet - HW a licencie'!$I$3:$I$102,'Rozpočet - HW a licencie'!$A$3:$A$102,'TCO TO BE- SW'!P$2,'Rozpočet - HW a licencie'!$C$3:$C$102,"SW",'Rozpočet - HW a licencie'!$G$3:$G$102,'TCO TO BE- SW'!$D11,'Rozpočet - HW a licencie'!$D$3:$D$102,$B$6),)</f>
        <v>0</v>
      </c>
      <c r="Q11" s="576">
        <f>IFERROR(SUMIFS('Rozpočet - HW a licencie'!$I$3:$I$102,'Rozpočet - HW a licencie'!$A$3:$A$102,'TCO TO BE- SW'!Q$2,'Rozpočet - HW a licencie'!$C$3:$C$102,"SW",'Rozpočet - HW a licencie'!$G$3:$G$102,'TCO TO BE- SW'!$D11,'Rozpočet - HW a licencie'!$D$3:$D$102,$B$6),)</f>
        <v>0</v>
      </c>
      <c r="R11" s="576">
        <f>IFERROR(SUMIFS('Rozpočet - HW a licencie'!$I$3:$I$102,'Rozpočet - HW a licencie'!$A$3:$A$102,'TCO TO BE- SW'!R$2,'Rozpočet - HW a licencie'!$C$3:$C$102,"SW",'Rozpočet - HW a licencie'!$G$3:$G$102,'TCO TO BE- SW'!$D11,'Rozpočet - HW a licencie'!$D$3:$D$102,$B$6),)</f>
        <v>0</v>
      </c>
      <c r="S11" s="576">
        <f>IFERROR(SUMIFS('Rozpočet - HW a licencie'!$I$3:$I$102,'Rozpočet - HW a licencie'!$A$3:$A$102,'TCO TO BE- SW'!S$2,'Rozpočet - HW a licencie'!$C$3:$C$102,"SW",'Rozpočet - HW a licencie'!$G$3:$G$102,'TCO TO BE- SW'!$D11,'Rozpočet - HW a licencie'!$D$3:$D$102,$B$6),)</f>
        <v>0</v>
      </c>
      <c r="T11" s="576">
        <f>IFERROR(SUMIFS('Rozpočet - HW a licencie'!$I$3:$I$102,'Rozpočet - HW a licencie'!$A$3:$A$102,'TCO TO BE- SW'!T$2,'Rozpočet - HW a licencie'!$C$3:$C$102,"SW",'Rozpočet - HW a licencie'!$G$3:$G$102,'TCO TO BE- SW'!$D11,'Rozpočet - HW a licencie'!$D$3:$D$102,$B$6),)</f>
        <v>0</v>
      </c>
      <c r="U11" s="576">
        <f>IFERROR(SUMIFS('Rozpočet - HW a licencie'!$I$3:$I$102,'Rozpočet - HW a licencie'!$A$3:$A$102,'TCO TO BE- SW'!U$2,'Rozpočet - HW a licencie'!$C$3:$C$102,"SW",'Rozpočet - HW a licencie'!$G$3:$G$102,'TCO TO BE- SW'!$D11,'Rozpočet - HW a licencie'!$D$3:$D$102,$B$6),)</f>
        <v>0</v>
      </c>
      <c r="V11" s="576">
        <f>IFERROR(SUMIFS('Rozpočet - HW a licencie'!$I$3:$I$102,'Rozpočet - HW a licencie'!$A$3:$A$102,'TCO TO BE- SW'!V$2,'Rozpočet - HW a licencie'!$C$3:$C$102,"SW",'Rozpočet - HW a licencie'!$G$3:$G$102,'TCO TO BE- SW'!$D11,'Rozpočet - HW a licencie'!$D$3:$D$102,$B$6),)</f>
        <v>0</v>
      </c>
      <c r="W11" s="576">
        <f>IFERROR(SUMIFS('Rozpočet - HW a licencie'!$I$3:$I$102,'Rozpočet - HW a licencie'!$A$3:$A$102,'TCO TO BE- SW'!W$2,'Rozpočet - HW a licencie'!$C$3:$C$102,"SW",'Rozpočet - HW a licencie'!$G$3:$G$102,'TCO TO BE- SW'!$D11,'Rozpočet - HW a licencie'!$D$3:$D$102,$B$6),)</f>
        <v>0</v>
      </c>
      <c r="X11" s="576">
        <f>IFERROR(SUMIFS('Rozpočet - HW a licencie'!$I$3:$I$102,'Rozpočet - HW a licencie'!$A$3:$A$102,'TCO TO BE- SW'!X$2,'Rozpočet - HW a licencie'!$C$3:$C$102,"SW",'Rozpočet - HW a licencie'!$G$3:$G$102,'TCO TO BE- SW'!$D11,'Rozpočet - HW a licencie'!$D$3:$D$102,$B$6),)</f>
        <v>0</v>
      </c>
      <c r="Y11" s="576">
        <f>IFERROR(SUMIFS('Rozpočet - HW a licencie'!$I$3:$I$102,'Rozpočet - HW a licencie'!$A$3:$A$102,'TCO TO BE- SW'!Y$2,'Rozpočet - HW a licencie'!$C$3:$C$102,"SW",'Rozpočet - HW a licencie'!$G$3:$G$102,'TCO TO BE- SW'!$D11,'Rozpočet - HW a licencie'!$D$3:$D$102,$B$6),)</f>
        <v>0</v>
      </c>
      <c r="Z11" s="576">
        <f>IFERROR(SUMIFS('Rozpočet - HW a licencie'!$I$3:$I$102,'Rozpočet - HW a licencie'!$A$3:$A$102,'TCO TO BE- SW'!Z$2,'Rozpočet - HW a licencie'!$C$3:$C$102,"SW",'Rozpočet - HW a licencie'!$G$3:$G$102,'TCO TO BE- SW'!$D11,'Rozpočet - HW a licencie'!$D$3:$D$102,$B$6),)</f>
        <v>0</v>
      </c>
    </row>
    <row r="12" spans="1:26" outlineLevel="2">
      <c r="A12" s="841"/>
      <c r="B12" s="842"/>
      <c r="C12" s="842"/>
      <c r="D12" s="64">
        <v>7</v>
      </c>
      <c r="E12" s="61">
        <f t="shared" si="4"/>
        <v>0</v>
      </c>
      <c r="F12" s="576">
        <f>IFERROR(SUMIFS('Rozpočet - HW a licencie'!$I$3:$I$102,'Rozpočet - HW a licencie'!$A$3:$A$102,'TCO TO BE- SW'!F$2,'Rozpočet - HW a licencie'!$C$3:$C$102,"SW",'Rozpočet - HW a licencie'!$G$3:$G$102,'TCO TO BE- SW'!$D12,'Rozpočet - HW a licencie'!$D$3:$D$102,$B$6),)</f>
        <v>0</v>
      </c>
      <c r="G12" s="576">
        <f>IFERROR(SUMIFS('Rozpočet - HW a licencie'!$I$3:$I$102,'Rozpočet - HW a licencie'!$A$3:$A$102,'TCO TO BE- SW'!G$2,'Rozpočet - HW a licencie'!$C$3:$C$102,"SW",'Rozpočet - HW a licencie'!$G$3:$G$102,'TCO TO BE- SW'!$D12,'Rozpočet - HW a licencie'!$D$3:$D$102,$B$6),)</f>
        <v>0</v>
      </c>
      <c r="H12" s="576">
        <f>IFERROR(SUMIFS('Rozpočet - HW a licencie'!$I$3:$I$102,'Rozpočet - HW a licencie'!$A$3:$A$102,'TCO TO BE- SW'!H$2,'Rozpočet - HW a licencie'!$C$3:$C$102,"SW",'Rozpočet - HW a licencie'!$G$3:$G$102,'TCO TO BE- SW'!$D12,'Rozpočet - HW a licencie'!$D$3:$D$102,$B$6),)</f>
        <v>0</v>
      </c>
      <c r="I12" s="576">
        <f>IFERROR(SUMIFS('Rozpočet - HW a licencie'!$I$3:$I$102,'Rozpočet - HW a licencie'!$A$3:$A$102,'TCO TO BE- SW'!I$2,'Rozpočet - HW a licencie'!$C$3:$C$102,"SW",'Rozpočet - HW a licencie'!$G$3:$G$102,'TCO TO BE- SW'!$D12,'Rozpočet - HW a licencie'!$D$3:$D$102,$B$6),)</f>
        <v>0</v>
      </c>
      <c r="J12" s="576">
        <f>IFERROR(SUMIFS('Rozpočet - HW a licencie'!$I$3:$I$102,'Rozpočet - HW a licencie'!$A$3:$A$102,'TCO TO BE- SW'!J$2,'Rozpočet - HW a licencie'!$C$3:$C$102,"SW",'Rozpočet - HW a licencie'!$G$3:$G$102,'TCO TO BE- SW'!$D12,'Rozpočet - HW a licencie'!$D$3:$D$102,$B$6),)</f>
        <v>0</v>
      </c>
      <c r="K12" s="576">
        <f>IFERROR(SUMIFS('Rozpočet - HW a licencie'!$I$3:$I$102,'Rozpočet - HW a licencie'!$A$3:$A$102,'TCO TO BE- SW'!K$2,'Rozpočet - HW a licencie'!$C$3:$C$102,"SW",'Rozpočet - HW a licencie'!$G$3:$G$102,'TCO TO BE- SW'!$D12,'Rozpočet - HW a licencie'!$D$3:$D$102,$B$6),)</f>
        <v>0</v>
      </c>
      <c r="L12" s="576">
        <f>IFERROR(SUMIFS('Rozpočet - HW a licencie'!$I$3:$I$102,'Rozpočet - HW a licencie'!$A$3:$A$102,'TCO TO BE- SW'!L$2,'Rozpočet - HW a licencie'!$C$3:$C$102,"SW",'Rozpočet - HW a licencie'!$G$3:$G$102,'TCO TO BE- SW'!$D12,'Rozpočet - HW a licencie'!$D$3:$D$102,$B$6),)</f>
        <v>0</v>
      </c>
      <c r="M12" s="576">
        <f>IFERROR(SUMIFS('Rozpočet - HW a licencie'!$I$3:$I$102,'Rozpočet - HW a licencie'!$A$3:$A$102,'TCO TO BE- SW'!M$2,'Rozpočet - HW a licencie'!$C$3:$C$102,"SW",'Rozpočet - HW a licencie'!$G$3:$G$102,'TCO TO BE- SW'!$D12,'Rozpočet - HW a licencie'!$D$3:$D$102,$B$6),)</f>
        <v>0</v>
      </c>
      <c r="N12" s="576">
        <f>IFERROR(SUMIFS('Rozpočet - HW a licencie'!$I$3:$I$102,'Rozpočet - HW a licencie'!$A$3:$A$102,'TCO TO BE- SW'!N$2,'Rozpočet - HW a licencie'!$C$3:$C$102,"SW",'Rozpočet - HW a licencie'!$G$3:$G$102,'TCO TO BE- SW'!$D12,'Rozpočet - HW a licencie'!$D$3:$D$102,$B$6),)</f>
        <v>0</v>
      </c>
      <c r="O12" s="576">
        <f>IFERROR(SUMIFS('Rozpočet - HW a licencie'!$I$3:$I$102,'Rozpočet - HW a licencie'!$A$3:$A$102,'TCO TO BE- SW'!O$2,'Rozpočet - HW a licencie'!$C$3:$C$102,"SW",'Rozpočet - HW a licencie'!$G$3:$G$102,'TCO TO BE- SW'!$D12,'Rozpočet - HW a licencie'!$D$3:$D$102,$B$6),)</f>
        <v>0</v>
      </c>
      <c r="P12" s="576">
        <f>IFERROR(SUMIFS('Rozpočet - HW a licencie'!$I$3:$I$102,'Rozpočet - HW a licencie'!$A$3:$A$102,'TCO TO BE- SW'!P$2,'Rozpočet - HW a licencie'!$C$3:$C$102,"SW",'Rozpočet - HW a licencie'!$G$3:$G$102,'TCO TO BE- SW'!$D12,'Rozpočet - HW a licencie'!$D$3:$D$102,$B$6),)</f>
        <v>0</v>
      </c>
      <c r="Q12" s="576">
        <f>IFERROR(SUMIFS('Rozpočet - HW a licencie'!$I$3:$I$102,'Rozpočet - HW a licencie'!$A$3:$A$102,'TCO TO BE- SW'!Q$2,'Rozpočet - HW a licencie'!$C$3:$C$102,"SW",'Rozpočet - HW a licencie'!$G$3:$G$102,'TCO TO BE- SW'!$D12,'Rozpočet - HW a licencie'!$D$3:$D$102,$B$6),)</f>
        <v>0</v>
      </c>
      <c r="R12" s="576">
        <f>IFERROR(SUMIFS('Rozpočet - HW a licencie'!$I$3:$I$102,'Rozpočet - HW a licencie'!$A$3:$A$102,'TCO TO BE- SW'!R$2,'Rozpočet - HW a licencie'!$C$3:$C$102,"SW",'Rozpočet - HW a licencie'!$G$3:$G$102,'TCO TO BE- SW'!$D12,'Rozpočet - HW a licencie'!$D$3:$D$102,$B$6),)</f>
        <v>0</v>
      </c>
      <c r="S12" s="576">
        <f>IFERROR(SUMIFS('Rozpočet - HW a licencie'!$I$3:$I$102,'Rozpočet - HW a licencie'!$A$3:$A$102,'TCO TO BE- SW'!S$2,'Rozpočet - HW a licencie'!$C$3:$C$102,"SW",'Rozpočet - HW a licencie'!$G$3:$G$102,'TCO TO BE- SW'!$D12,'Rozpočet - HW a licencie'!$D$3:$D$102,$B$6),)</f>
        <v>0</v>
      </c>
      <c r="T12" s="576">
        <f>IFERROR(SUMIFS('Rozpočet - HW a licencie'!$I$3:$I$102,'Rozpočet - HW a licencie'!$A$3:$A$102,'TCO TO BE- SW'!T$2,'Rozpočet - HW a licencie'!$C$3:$C$102,"SW",'Rozpočet - HW a licencie'!$G$3:$G$102,'TCO TO BE- SW'!$D12,'Rozpočet - HW a licencie'!$D$3:$D$102,$B$6),)</f>
        <v>0</v>
      </c>
      <c r="U12" s="576">
        <f>IFERROR(SUMIFS('Rozpočet - HW a licencie'!$I$3:$I$102,'Rozpočet - HW a licencie'!$A$3:$A$102,'TCO TO BE- SW'!U$2,'Rozpočet - HW a licencie'!$C$3:$C$102,"SW",'Rozpočet - HW a licencie'!$G$3:$G$102,'TCO TO BE- SW'!$D12,'Rozpočet - HW a licencie'!$D$3:$D$102,$B$6),)</f>
        <v>0</v>
      </c>
      <c r="V12" s="576">
        <f>IFERROR(SUMIFS('Rozpočet - HW a licencie'!$I$3:$I$102,'Rozpočet - HW a licencie'!$A$3:$A$102,'TCO TO BE- SW'!V$2,'Rozpočet - HW a licencie'!$C$3:$C$102,"SW",'Rozpočet - HW a licencie'!$G$3:$G$102,'TCO TO BE- SW'!$D12,'Rozpočet - HW a licencie'!$D$3:$D$102,$B$6),)</f>
        <v>0</v>
      </c>
      <c r="W12" s="576">
        <f>IFERROR(SUMIFS('Rozpočet - HW a licencie'!$I$3:$I$102,'Rozpočet - HW a licencie'!$A$3:$A$102,'TCO TO BE- SW'!W$2,'Rozpočet - HW a licencie'!$C$3:$C$102,"SW",'Rozpočet - HW a licencie'!$G$3:$G$102,'TCO TO BE- SW'!$D12,'Rozpočet - HW a licencie'!$D$3:$D$102,$B$6),)</f>
        <v>0</v>
      </c>
      <c r="X12" s="576">
        <f>IFERROR(SUMIFS('Rozpočet - HW a licencie'!$I$3:$I$102,'Rozpočet - HW a licencie'!$A$3:$A$102,'TCO TO BE- SW'!X$2,'Rozpočet - HW a licencie'!$C$3:$C$102,"SW",'Rozpočet - HW a licencie'!$G$3:$G$102,'TCO TO BE- SW'!$D12,'Rozpočet - HW a licencie'!$D$3:$D$102,$B$6),)</f>
        <v>0</v>
      </c>
      <c r="Y12" s="576">
        <f>IFERROR(SUMIFS('Rozpočet - HW a licencie'!$I$3:$I$102,'Rozpočet - HW a licencie'!$A$3:$A$102,'TCO TO BE- SW'!Y$2,'Rozpočet - HW a licencie'!$C$3:$C$102,"SW",'Rozpočet - HW a licencie'!$G$3:$G$102,'TCO TO BE- SW'!$D12,'Rozpočet - HW a licencie'!$D$3:$D$102,$B$6),)</f>
        <v>0</v>
      </c>
      <c r="Z12" s="576">
        <f>IFERROR(SUMIFS('Rozpočet - HW a licencie'!$I$3:$I$102,'Rozpočet - HW a licencie'!$A$3:$A$102,'TCO TO BE- SW'!Z$2,'Rozpočet - HW a licencie'!$C$3:$C$102,"SW",'Rozpočet - HW a licencie'!$G$3:$G$102,'TCO TO BE- SW'!$D12,'Rozpočet - HW a licencie'!$D$3:$D$102,$B$6),)</f>
        <v>0</v>
      </c>
    </row>
    <row r="13" spans="1:26" outlineLevel="2">
      <c r="A13" s="841"/>
      <c r="B13" s="842"/>
      <c r="C13" s="842"/>
      <c r="D13" s="64">
        <v>8</v>
      </c>
      <c r="E13" s="61">
        <f t="shared" si="4"/>
        <v>0</v>
      </c>
      <c r="F13" s="576">
        <f>IFERROR(SUMIFS('Rozpočet - HW a licencie'!$I$3:$I$102,'Rozpočet - HW a licencie'!$A$3:$A$102,'TCO TO BE- SW'!F$2,'Rozpočet - HW a licencie'!$C$3:$C$102,"SW",'Rozpočet - HW a licencie'!$G$3:$G$102,'TCO TO BE- SW'!$D13,'Rozpočet - HW a licencie'!$D$3:$D$102,$B$6),)</f>
        <v>0</v>
      </c>
      <c r="G13" s="576">
        <f>IFERROR(SUMIFS('Rozpočet - HW a licencie'!$I$3:$I$102,'Rozpočet - HW a licencie'!$A$3:$A$102,'TCO TO BE- SW'!G$2,'Rozpočet - HW a licencie'!$C$3:$C$102,"SW",'Rozpočet - HW a licencie'!$G$3:$G$102,'TCO TO BE- SW'!$D13,'Rozpočet - HW a licencie'!$D$3:$D$102,$B$6),)</f>
        <v>0</v>
      </c>
      <c r="H13" s="576">
        <f>IFERROR(SUMIFS('Rozpočet - HW a licencie'!$I$3:$I$102,'Rozpočet - HW a licencie'!$A$3:$A$102,'TCO TO BE- SW'!H$2,'Rozpočet - HW a licencie'!$C$3:$C$102,"SW",'Rozpočet - HW a licencie'!$G$3:$G$102,'TCO TO BE- SW'!$D13,'Rozpočet - HW a licencie'!$D$3:$D$102,$B$6),)</f>
        <v>0</v>
      </c>
      <c r="I13" s="576">
        <f>IFERROR(SUMIFS('Rozpočet - HW a licencie'!$I$3:$I$102,'Rozpočet - HW a licencie'!$A$3:$A$102,'TCO TO BE- SW'!I$2,'Rozpočet - HW a licencie'!$C$3:$C$102,"SW",'Rozpočet - HW a licencie'!$G$3:$G$102,'TCO TO BE- SW'!$D13,'Rozpočet - HW a licencie'!$D$3:$D$102,$B$6),)</f>
        <v>0</v>
      </c>
      <c r="J13" s="576">
        <f>IFERROR(SUMIFS('Rozpočet - HW a licencie'!$I$3:$I$102,'Rozpočet - HW a licencie'!$A$3:$A$102,'TCO TO BE- SW'!J$2,'Rozpočet - HW a licencie'!$C$3:$C$102,"SW",'Rozpočet - HW a licencie'!$G$3:$G$102,'TCO TO BE- SW'!$D13,'Rozpočet - HW a licencie'!$D$3:$D$102,$B$6),)</f>
        <v>0</v>
      </c>
      <c r="K13" s="576">
        <f>IFERROR(SUMIFS('Rozpočet - HW a licencie'!$I$3:$I$102,'Rozpočet - HW a licencie'!$A$3:$A$102,'TCO TO BE- SW'!K$2,'Rozpočet - HW a licencie'!$C$3:$C$102,"SW",'Rozpočet - HW a licencie'!$G$3:$G$102,'TCO TO BE- SW'!$D13,'Rozpočet - HW a licencie'!$D$3:$D$102,$B$6),)</f>
        <v>0</v>
      </c>
      <c r="L13" s="576">
        <f>IFERROR(SUMIFS('Rozpočet - HW a licencie'!$I$3:$I$102,'Rozpočet - HW a licencie'!$A$3:$A$102,'TCO TO BE- SW'!L$2,'Rozpočet - HW a licencie'!$C$3:$C$102,"SW",'Rozpočet - HW a licencie'!$G$3:$G$102,'TCO TO BE- SW'!$D13,'Rozpočet - HW a licencie'!$D$3:$D$102,$B$6),)</f>
        <v>0</v>
      </c>
      <c r="M13" s="576">
        <f>IFERROR(SUMIFS('Rozpočet - HW a licencie'!$I$3:$I$102,'Rozpočet - HW a licencie'!$A$3:$A$102,'TCO TO BE- SW'!M$2,'Rozpočet - HW a licencie'!$C$3:$C$102,"SW",'Rozpočet - HW a licencie'!$G$3:$G$102,'TCO TO BE- SW'!$D13,'Rozpočet - HW a licencie'!$D$3:$D$102,$B$6),)</f>
        <v>0</v>
      </c>
      <c r="N13" s="576">
        <f>IFERROR(SUMIFS('Rozpočet - HW a licencie'!$I$3:$I$102,'Rozpočet - HW a licencie'!$A$3:$A$102,'TCO TO BE- SW'!N$2,'Rozpočet - HW a licencie'!$C$3:$C$102,"SW",'Rozpočet - HW a licencie'!$G$3:$G$102,'TCO TO BE- SW'!$D13,'Rozpočet - HW a licencie'!$D$3:$D$102,$B$6),)</f>
        <v>0</v>
      </c>
      <c r="O13" s="576">
        <f>IFERROR(SUMIFS('Rozpočet - HW a licencie'!$I$3:$I$102,'Rozpočet - HW a licencie'!$A$3:$A$102,'TCO TO BE- SW'!O$2,'Rozpočet - HW a licencie'!$C$3:$C$102,"SW",'Rozpočet - HW a licencie'!$G$3:$G$102,'TCO TO BE- SW'!$D13,'Rozpočet - HW a licencie'!$D$3:$D$102,$B$6),)</f>
        <v>0</v>
      </c>
      <c r="P13" s="576">
        <f>IFERROR(SUMIFS('Rozpočet - HW a licencie'!$I$3:$I$102,'Rozpočet - HW a licencie'!$A$3:$A$102,'TCO TO BE- SW'!P$2,'Rozpočet - HW a licencie'!$C$3:$C$102,"SW",'Rozpočet - HW a licencie'!$G$3:$G$102,'TCO TO BE- SW'!$D13,'Rozpočet - HW a licencie'!$D$3:$D$102,$B$6),)</f>
        <v>0</v>
      </c>
      <c r="Q13" s="576">
        <f>IFERROR(SUMIFS('Rozpočet - HW a licencie'!$I$3:$I$102,'Rozpočet - HW a licencie'!$A$3:$A$102,'TCO TO BE- SW'!Q$2,'Rozpočet - HW a licencie'!$C$3:$C$102,"SW",'Rozpočet - HW a licencie'!$G$3:$G$102,'TCO TO BE- SW'!$D13,'Rozpočet - HW a licencie'!$D$3:$D$102,$B$6),)</f>
        <v>0</v>
      </c>
      <c r="R13" s="576">
        <f>IFERROR(SUMIFS('Rozpočet - HW a licencie'!$I$3:$I$102,'Rozpočet - HW a licencie'!$A$3:$A$102,'TCO TO BE- SW'!R$2,'Rozpočet - HW a licencie'!$C$3:$C$102,"SW",'Rozpočet - HW a licencie'!$G$3:$G$102,'TCO TO BE- SW'!$D13,'Rozpočet - HW a licencie'!$D$3:$D$102,$B$6),)</f>
        <v>0</v>
      </c>
      <c r="S13" s="576">
        <f>IFERROR(SUMIFS('Rozpočet - HW a licencie'!$I$3:$I$102,'Rozpočet - HW a licencie'!$A$3:$A$102,'TCO TO BE- SW'!S$2,'Rozpočet - HW a licencie'!$C$3:$C$102,"SW",'Rozpočet - HW a licencie'!$G$3:$G$102,'TCO TO BE- SW'!$D13,'Rozpočet - HW a licencie'!$D$3:$D$102,$B$6),)</f>
        <v>0</v>
      </c>
      <c r="T13" s="576">
        <f>IFERROR(SUMIFS('Rozpočet - HW a licencie'!$I$3:$I$102,'Rozpočet - HW a licencie'!$A$3:$A$102,'TCO TO BE- SW'!T$2,'Rozpočet - HW a licencie'!$C$3:$C$102,"SW",'Rozpočet - HW a licencie'!$G$3:$G$102,'TCO TO BE- SW'!$D13,'Rozpočet - HW a licencie'!$D$3:$D$102,$B$6),)</f>
        <v>0</v>
      </c>
      <c r="U13" s="576">
        <f>IFERROR(SUMIFS('Rozpočet - HW a licencie'!$I$3:$I$102,'Rozpočet - HW a licencie'!$A$3:$A$102,'TCO TO BE- SW'!U$2,'Rozpočet - HW a licencie'!$C$3:$C$102,"SW",'Rozpočet - HW a licencie'!$G$3:$G$102,'TCO TO BE- SW'!$D13,'Rozpočet - HW a licencie'!$D$3:$D$102,$B$6),)</f>
        <v>0</v>
      </c>
      <c r="V13" s="576">
        <f>IFERROR(SUMIFS('Rozpočet - HW a licencie'!$I$3:$I$102,'Rozpočet - HW a licencie'!$A$3:$A$102,'TCO TO BE- SW'!V$2,'Rozpočet - HW a licencie'!$C$3:$C$102,"SW",'Rozpočet - HW a licencie'!$G$3:$G$102,'TCO TO BE- SW'!$D13,'Rozpočet - HW a licencie'!$D$3:$D$102,$B$6),)</f>
        <v>0</v>
      </c>
      <c r="W13" s="576">
        <f>IFERROR(SUMIFS('Rozpočet - HW a licencie'!$I$3:$I$102,'Rozpočet - HW a licencie'!$A$3:$A$102,'TCO TO BE- SW'!W$2,'Rozpočet - HW a licencie'!$C$3:$C$102,"SW",'Rozpočet - HW a licencie'!$G$3:$G$102,'TCO TO BE- SW'!$D13,'Rozpočet - HW a licencie'!$D$3:$D$102,$B$6),)</f>
        <v>0</v>
      </c>
      <c r="X13" s="576">
        <f>IFERROR(SUMIFS('Rozpočet - HW a licencie'!$I$3:$I$102,'Rozpočet - HW a licencie'!$A$3:$A$102,'TCO TO BE- SW'!X$2,'Rozpočet - HW a licencie'!$C$3:$C$102,"SW",'Rozpočet - HW a licencie'!$G$3:$G$102,'TCO TO BE- SW'!$D13,'Rozpočet - HW a licencie'!$D$3:$D$102,$B$6),)</f>
        <v>0</v>
      </c>
      <c r="Y13" s="576">
        <f>IFERROR(SUMIFS('Rozpočet - HW a licencie'!$I$3:$I$102,'Rozpočet - HW a licencie'!$A$3:$A$102,'TCO TO BE- SW'!Y$2,'Rozpočet - HW a licencie'!$C$3:$C$102,"SW",'Rozpočet - HW a licencie'!$G$3:$G$102,'TCO TO BE- SW'!$D13,'Rozpočet - HW a licencie'!$D$3:$D$102,$B$6),)</f>
        <v>0</v>
      </c>
      <c r="Z13" s="576">
        <f>IFERROR(SUMIFS('Rozpočet - HW a licencie'!$I$3:$I$102,'Rozpočet - HW a licencie'!$A$3:$A$102,'TCO TO BE- SW'!Z$2,'Rozpočet - HW a licencie'!$C$3:$C$102,"SW",'Rozpočet - HW a licencie'!$G$3:$G$102,'TCO TO BE- SW'!$D13,'Rozpočet - HW a licencie'!$D$3:$D$102,$B$6),)</f>
        <v>0</v>
      </c>
    </row>
    <row r="14" spans="1:26" outlineLevel="2">
      <c r="A14" s="841"/>
      <c r="B14" s="842"/>
      <c r="C14" s="842"/>
      <c r="D14" s="64">
        <v>9</v>
      </c>
      <c r="E14" s="61">
        <f t="shared" si="4"/>
        <v>0</v>
      </c>
      <c r="F14" s="576">
        <f>IFERROR(SUMIFS('Rozpočet - HW a licencie'!$I$3:$I$102,'Rozpočet - HW a licencie'!$A$3:$A$102,'TCO TO BE- SW'!F$2,'Rozpočet - HW a licencie'!$C$3:$C$102,"SW",'Rozpočet - HW a licencie'!$G$3:$G$102,'TCO TO BE- SW'!$D14,'Rozpočet - HW a licencie'!$D$3:$D$102,$B$6),)</f>
        <v>0</v>
      </c>
      <c r="G14" s="576">
        <f>IFERROR(SUMIFS('Rozpočet - HW a licencie'!$I$3:$I$102,'Rozpočet - HW a licencie'!$A$3:$A$102,'TCO TO BE- SW'!G$2,'Rozpočet - HW a licencie'!$C$3:$C$102,"SW",'Rozpočet - HW a licencie'!$G$3:$G$102,'TCO TO BE- SW'!$D14,'Rozpočet - HW a licencie'!$D$3:$D$102,$B$6),)</f>
        <v>0</v>
      </c>
      <c r="H14" s="576">
        <f>IFERROR(SUMIFS('Rozpočet - HW a licencie'!$I$3:$I$102,'Rozpočet - HW a licencie'!$A$3:$A$102,'TCO TO BE- SW'!H$2,'Rozpočet - HW a licencie'!$C$3:$C$102,"SW",'Rozpočet - HW a licencie'!$G$3:$G$102,'TCO TO BE- SW'!$D14,'Rozpočet - HW a licencie'!$D$3:$D$102,$B$6),)</f>
        <v>0</v>
      </c>
      <c r="I14" s="576">
        <f>IFERROR(SUMIFS('Rozpočet - HW a licencie'!$I$3:$I$102,'Rozpočet - HW a licencie'!$A$3:$A$102,'TCO TO BE- SW'!I$2,'Rozpočet - HW a licencie'!$C$3:$C$102,"SW",'Rozpočet - HW a licencie'!$G$3:$G$102,'TCO TO BE- SW'!$D14,'Rozpočet - HW a licencie'!$D$3:$D$102,$B$6),)</f>
        <v>0</v>
      </c>
      <c r="J14" s="576">
        <f>IFERROR(SUMIFS('Rozpočet - HW a licencie'!$I$3:$I$102,'Rozpočet - HW a licencie'!$A$3:$A$102,'TCO TO BE- SW'!J$2,'Rozpočet - HW a licencie'!$C$3:$C$102,"SW",'Rozpočet - HW a licencie'!$G$3:$G$102,'TCO TO BE- SW'!$D14,'Rozpočet - HW a licencie'!$D$3:$D$102,$B$6),)</f>
        <v>0</v>
      </c>
      <c r="K14" s="576">
        <f>IFERROR(SUMIFS('Rozpočet - HW a licencie'!$I$3:$I$102,'Rozpočet - HW a licencie'!$A$3:$A$102,'TCO TO BE- SW'!K$2,'Rozpočet - HW a licencie'!$C$3:$C$102,"SW",'Rozpočet - HW a licencie'!$G$3:$G$102,'TCO TO BE- SW'!$D14,'Rozpočet - HW a licencie'!$D$3:$D$102,$B$6),)</f>
        <v>0</v>
      </c>
      <c r="L14" s="576">
        <f>IFERROR(SUMIFS('Rozpočet - HW a licencie'!$I$3:$I$102,'Rozpočet - HW a licencie'!$A$3:$A$102,'TCO TO BE- SW'!L$2,'Rozpočet - HW a licencie'!$C$3:$C$102,"SW",'Rozpočet - HW a licencie'!$G$3:$G$102,'TCO TO BE- SW'!$D14,'Rozpočet - HW a licencie'!$D$3:$D$102,$B$6),)</f>
        <v>0</v>
      </c>
      <c r="M14" s="576">
        <f>IFERROR(SUMIFS('Rozpočet - HW a licencie'!$I$3:$I$102,'Rozpočet - HW a licencie'!$A$3:$A$102,'TCO TO BE- SW'!M$2,'Rozpočet - HW a licencie'!$C$3:$C$102,"SW",'Rozpočet - HW a licencie'!$G$3:$G$102,'TCO TO BE- SW'!$D14,'Rozpočet - HW a licencie'!$D$3:$D$102,$B$6),)</f>
        <v>0</v>
      </c>
      <c r="N14" s="576">
        <f>IFERROR(SUMIFS('Rozpočet - HW a licencie'!$I$3:$I$102,'Rozpočet - HW a licencie'!$A$3:$A$102,'TCO TO BE- SW'!N$2,'Rozpočet - HW a licencie'!$C$3:$C$102,"SW",'Rozpočet - HW a licencie'!$G$3:$G$102,'TCO TO BE- SW'!$D14,'Rozpočet - HW a licencie'!$D$3:$D$102,$B$6),)</f>
        <v>0</v>
      </c>
      <c r="O14" s="576">
        <f>IFERROR(SUMIFS('Rozpočet - HW a licencie'!$I$3:$I$102,'Rozpočet - HW a licencie'!$A$3:$A$102,'TCO TO BE- SW'!O$2,'Rozpočet - HW a licencie'!$C$3:$C$102,"SW",'Rozpočet - HW a licencie'!$G$3:$G$102,'TCO TO BE- SW'!$D14,'Rozpočet - HW a licencie'!$D$3:$D$102,$B$6),)</f>
        <v>0</v>
      </c>
      <c r="P14" s="576">
        <f>IFERROR(SUMIFS('Rozpočet - HW a licencie'!$I$3:$I$102,'Rozpočet - HW a licencie'!$A$3:$A$102,'TCO TO BE- SW'!P$2,'Rozpočet - HW a licencie'!$C$3:$C$102,"SW",'Rozpočet - HW a licencie'!$G$3:$G$102,'TCO TO BE- SW'!$D14,'Rozpočet - HW a licencie'!$D$3:$D$102,$B$6),)</f>
        <v>0</v>
      </c>
      <c r="Q14" s="576">
        <f>IFERROR(SUMIFS('Rozpočet - HW a licencie'!$I$3:$I$102,'Rozpočet - HW a licencie'!$A$3:$A$102,'TCO TO BE- SW'!Q$2,'Rozpočet - HW a licencie'!$C$3:$C$102,"SW",'Rozpočet - HW a licencie'!$G$3:$G$102,'TCO TO BE- SW'!$D14,'Rozpočet - HW a licencie'!$D$3:$D$102,$B$6),)</f>
        <v>0</v>
      </c>
      <c r="R14" s="576">
        <f>IFERROR(SUMIFS('Rozpočet - HW a licencie'!$I$3:$I$102,'Rozpočet - HW a licencie'!$A$3:$A$102,'TCO TO BE- SW'!R$2,'Rozpočet - HW a licencie'!$C$3:$C$102,"SW",'Rozpočet - HW a licencie'!$G$3:$G$102,'TCO TO BE- SW'!$D14,'Rozpočet - HW a licencie'!$D$3:$D$102,$B$6),)</f>
        <v>0</v>
      </c>
      <c r="S14" s="576">
        <f>IFERROR(SUMIFS('Rozpočet - HW a licencie'!$I$3:$I$102,'Rozpočet - HW a licencie'!$A$3:$A$102,'TCO TO BE- SW'!S$2,'Rozpočet - HW a licencie'!$C$3:$C$102,"SW",'Rozpočet - HW a licencie'!$G$3:$G$102,'TCO TO BE- SW'!$D14,'Rozpočet - HW a licencie'!$D$3:$D$102,$B$6),)</f>
        <v>0</v>
      </c>
      <c r="T14" s="576">
        <f>IFERROR(SUMIFS('Rozpočet - HW a licencie'!$I$3:$I$102,'Rozpočet - HW a licencie'!$A$3:$A$102,'TCO TO BE- SW'!T$2,'Rozpočet - HW a licencie'!$C$3:$C$102,"SW",'Rozpočet - HW a licencie'!$G$3:$G$102,'TCO TO BE- SW'!$D14,'Rozpočet - HW a licencie'!$D$3:$D$102,$B$6),)</f>
        <v>0</v>
      </c>
      <c r="U14" s="576">
        <f>IFERROR(SUMIFS('Rozpočet - HW a licencie'!$I$3:$I$102,'Rozpočet - HW a licencie'!$A$3:$A$102,'TCO TO BE- SW'!U$2,'Rozpočet - HW a licencie'!$C$3:$C$102,"SW",'Rozpočet - HW a licencie'!$G$3:$G$102,'TCO TO BE- SW'!$D14,'Rozpočet - HW a licencie'!$D$3:$D$102,$B$6),)</f>
        <v>0</v>
      </c>
      <c r="V14" s="576">
        <f>IFERROR(SUMIFS('Rozpočet - HW a licencie'!$I$3:$I$102,'Rozpočet - HW a licencie'!$A$3:$A$102,'TCO TO BE- SW'!V$2,'Rozpočet - HW a licencie'!$C$3:$C$102,"SW",'Rozpočet - HW a licencie'!$G$3:$G$102,'TCO TO BE- SW'!$D14,'Rozpočet - HW a licencie'!$D$3:$D$102,$B$6),)</f>
        <v>0</v>
      </c>
      <c r="W14" s="576">
        <f>IFERROR(SUMIFS('Rozpočet - HW a licencie'!$I$3:$I$102,'Rozpočet - HW a licencie'!$A$3:$A$102,'TCO TO BE- SW'!W$2,'Rozpočet - HW a licencie'!$C$3:$C$102,"SW",'Rozpočet - HW a licencie'!$G$3:$G$102,'TCO TO BE- SW'!$D14,'Rozpočet - HW a licencie'!$D$3:$D$102,$B$6),)</f>
        <v>0</v>
      </c>
      <c r="X14" s="576">
        <f>IFERROR(SUMIFS('Rozpočet - HW a licencie'!$I$3:$I$102,'Rozpočet - HW a licencie'!$A$3:$A$102,'TCO TO BE- SW'!X$2,'Rozpočet - HW a licencie'!$C$3:$C$102,"SW",'Rozpočet - HW a licencie'!$G$3:$G$102,'TCO TO BE- SW'!$D14,'Rozpočet - HW a licencie'!$D$3:$D$102,$B$6),)</f>
        <v>0</v>
      </c>
      <c r="Y14" s="576">
        <f>IFERROR(SUMIFS('Rozpočet - HW a licencie'!$I$3:$I$102,'Rozpočet - HW a licencie'!$A$3:$A$102,'TCO TO BE- SW'!Y$2,'Rozpočet - HW a licencie'!$C$3:$C$102,"SW",'Rozpočet - HW a licencie'!$G$3:$G$102,'TCO TO BE- SW'!$D14,'Rozpočet - HW a licencie'!$D$3:$D$102,$B$6),)</f>
        <v>0</v>
      </c>
      <c r="Z14" s="576">
        <f>IFERROR(SUMIFS('Rozpočet - HW a licencie'!$I$3:$I$102,'Rozpočet - HW a licencie'!$A$3:$A$102,'TCO TO BE- SW'!Z$2,'Rozpočet - HW a licencie'!$C$3:$C$102,"SW",'Rozpočet - HW a licencie'!$G$3:$G$102,'TCO TO BE- SW'!$D14,'Rozpočet - HW a licencie'!$D$3:$D$102,$B$6),)</f>
        <v>0</v>
      </c>
    </row>
    <row r="15" spans="1:26" ht="15" outlineLevel="2" thickBot="1">
      <c r="A15" s="841"/>
      <c r="B15" s="842"/>
      <c r="C15" s="842"/>
      <c r="D15" s="65">
        <v>10</v>
      </c>
      <c r="E15" s="61">
        <f t="shared" si="4"/>
        <v>0</v>
      </c>
      <c r="F15" s="577">
        <f>IFERROR(SUMIFS('Rozpočet - HW a licencie'!$I$3:$I$102,'Rozpočet - HW a licencie'!$A$3:$A$102,'TCO TO BE- SW'!F$2,'Rozpočet - HW a licencie'!$C$3:$C$102,"SW",'Rozpočet - HW a licencie'!$G$3:$G$102,'TCO TO BE- SW'!$D15,'Rozpočet - HW a licencie'!$D$3:$D$102,$B$6),)</f>
        <v>0</v>
      </c>
      <c r="G15" s="577">
        <f>IFERROR(SUMIFS('Rozpočet - HW a licencie'!$I$3:$I$102,'Rozpočet - HW a licencie'!$A$3:$A$102,'TCO TO BE- SW'!G$2,'Rozpočet - HW a licencie'!$C$3:$C$102,"SW",'Rozpočet - HW a licencie'!$G$3:$G$102,'TCO TO BE- SW'!$D15,'Rozpočet - HW a licencie'!$D$3:$D$102,$B$6),)</f>
        <v>0</v>
      </c>
      <c r="H15" s="577">
        <f>IFERROR(SUMIFS('Rozpočet - HW a licencie'!$I$3:$I$102,'Rozpočet - HW a licencie'!$A$3:$A$102,'TCO TO BE- SW'!H$2,'Rozpočet - HW a licencie'!$C$3:$C$102,"SW",'Rozpočet - HW a licencie'!$G$3:$G$102,'TCO TO BE- SW'!$D15,'Rozpočet - HW a licencie'!$D$3:$D$102,$B$6),)</f>
        <v>0</v>
      </c>
      <c r="I15" s="577">
        <f>IFERROR(SUMIFS('Rozpočet - HW a licencie'!$I$3:$I$102,'Rozpočet - HW a licencie'!$A$3:$A$102,'TCO TO BE- SW'!I$2,'Rozpočet - HW a licencie'!$C$3:$C$102,"SW",'Rozpočet - HW a licencie'!$G$3:$G$102,'TCO TO BE- SW'!$D15,'Rozpočet - HW a licencie'!$D$3:$D$102,$B$6),)</f>
        <v>0</v>
      </c>
      <c r="J15" s="577">
        <f>IFERROR(SUMIFS('Rozpočet - HW a licencie'!$I$3:$I$102,'Rozpočet - HW a licencie'!$A$3:$A$102,'TCO TO BE- SW'!J$2,'Rozpočet - HW a licencie'!$C$3:$C$102,"SW",'Rozpočet - HW a licencie'!$G$3:$G$102,'TCO TO BE- SW'!$D15,'Rozpočet - HW a licencie'!$D$3:$D$102,$B$6),)</f>
        <v>0</v>
      </c>
      <c r="K15" s="577">
        <f>IFERROR(SUMIFS('Rozpočet - HW a licencie'!$I$3:$I$102,'Rozpočet - HW a licencie'!$A$3:$A$102,'TCO TO BE- SW'!K$2,'Rozpočet - HW a licencie'!$C$3:$C$102,"SW",'Rozpočet - HW a licencie'!$G$3:$G$102,'TCO TO BE- SW'!$D15,'Rozpočet - HW a licencie'!$D$3:$D$102,$B$6),)</f>
        <v>0</v>
      </c>
      <c r="L15" s="577">
        <f>IFERROR(SUMIFS('Rozpočet - HW a licencie'!$I$3:$I$102,'Rozpočet - HW a licencie'!$A$3:$A$102,'TCO TO BE- SW'!L$2,'Rozpočet - HW a licencie'!$C$3:$C$102,"SW",'Rozpočet - HW a licencie'!$G$3:$G$102,'TCO TO BE- SW'!$D15,'Rozpočet - HW a licencie'!$D$3:$D$102,$B$6),)</f>
        <v>0</v>
      </c>
      <c r="M15" s="577">
        <f>IFERROR(SUMIFS('Rozpočet - HW a licencie'!$I$3:$I$102,'Rozpočet - HW a licencie'!$A$3:$A$102,'TCO TO BE- SW'!M$2,'Rozpočet - HW a licencie'!$C$3:$C$102,"SW",'Rozpočet - HW a licencie'!$G$3:$G$102,'TCO TO BE- SW'!$D15,'Rozpočet - HW a licencie'!$D$3:$D$102,$B$6),)</f>
        <v>0</v>
      </c>
      <c r="N15" s="577">
        <f>IFERROR(SUMIFS('Rozpočet - HW a licencie'!$I$3:$I$102,'Rozpočet - HW a licencie'!$A$3:$A$102,'TCO TO BE- SW'!N$2,'Rozpočet - HW a licencie'!$C$3:$C$102,"SW",'Rozpočet - HW a licencie'!$G$3:$G$102,'TCO TO BE- SW'!$D15,'Rozpočet - HW a licencie'!$D$3:$D$102,$B$6),)</f>
        <v>0</v>
      </c>
      <c r="O15" s="577">
        <f>IFERROR(SUMIFS('Rozpočet - HW a licencie'!$I$3:$I$102,'Rozpočet - HW a licencie'!$A$3:$A$102,'TCO TO BE- SW'!O$2,'Rozpočet - HW a licencie'!$C$3:$C$102,"SW",'Rozpočet - HW a licencie'!$G$3:$G$102,'TCO TO BE- SW'!$D15,'Rozpočet - HW a licencie'!$D$3:$D$102,$B$6),)</f>
        <v>0</v>
      </c>
      <c r="P15" s="577">
        <f>IFERROR(SUMIFS('Rozpočet - HW a licencie'!$I$3:$I$102,'Rozpočet - HW a licencie'!$A$3:$A$102,'TCO TO BE- SW'!P$2,'Rozpočet - HW a licencie'!$C$3:$C$102,"SW",'Rozpočet - HW a licencie'!$G$3:$G$102,'TCO TO BE- SW'!$D15,'Rozpočet - HW a licencie'!$D$3:$D$102,$B$6),)</f>
        <v>0</v>
      </c>
      <c r="Q15" s="577">
        <f>IFERROR(SUMIFS('Rozpočet - HW a licencie'!$I$3:$I$102,'Rozpočet - HW a licencie'!$A$3:$A$102,'TCO TO BE- SW'!Q$2,'Rozpočet - HW a licencie'!$C$3:$C$102,"SW",'Rozpočet - HW a licencie'!$G$3:$G$102,'TCO TO BE- SW'!$D15,'Rozpočet - HW a licencie'!$D$3:$D$102,$B$6),)</f>
        <v>0</v>
      </c>
      <c r="R15" s="577">
        <f>IFERROR(SUMIFS('Rozpočet - HW a licencie'!$I$3:$I$102,'Rozpočet - HW a licencie'!$A$3:$A$102,'TCO TO BE- SW'!R$2,'Rozpočet - HW a licencie'!$C$3:$C$102,"SW",'Rozpočet - HW a licencie'!$G$3:$G$102,'TCO TO BE- SW'!$D15,'Rozpočet - HW a licencie'!$D$3:$D$102,$B$6),)</f>
        <v>0</v>
      </c>
      <c r="S15" s="577">
        <f>IFERROR(SUMIFS('Rozpočet - HW a licencie'!$I$3:$I$102,'Rozpočet - HW a licencie'!$A$3:$A$102,'TCO TO BE- SW'!S$2,'Rozpočet - HW a licencie'!$C$3:$C$102,"SW",'Rozpočet - HW a licencie'!$G$3:$G$102,'TCO TO BE- SW'!$D15,'Rozpočet - HW a licencie'!$D$3:$D$102,$B$6),)</f>
        <v>0</v>
      </c>
      <c r="T15" s="577">
        <f>IFERROR(SUMIFS('Rozpočet - HW a licencie'!$I$3:$I$102,'Rozpočet - HW a licencie'!$A$3:$A$102,'TCO TO BE- SW'!T$2,'Rozpočet - HW a licencie'!$C$3:$C$102,"SW",'Rozpočet - HW a licencie'!$G$3:$G$102,'TCO TO BE- SW'!$D15,'Rozpočet - HW a licencie'!$D$3:$D$102,$B$6),)</f>
        <v>0</v>
      </c>
      <c r="U15" s="577">
        <f>IFERROR(SUMIFS('Rozpočet - HW a licencie'!$I$3:$I$102,'Rozpočet - HW a licencie'!$A$3:$A$102,'TCO TO BE- SW'!U$2,'Rozpočet - HW a licencie'!$C$3:$C$102,"SW",'Rozpočet - HW a licencie'!$G$3:$G$102,'TCO TO BE- SW'!$D15,'Rozpočet - HW a licencie'!$D$3:$D$102,$B$6),)</f>
        <v>0</v>
      </c>
      <c r="V15" s="577">
        <f>IFERROR(SUMIFS('Rozpočet - HW a licencie'!$I$3:$I$102,'Rozpočet - HW a licencie'!$A$3:$A$102,'TCO TO BE- SW'!V$2,'Rozpočet - HW a licencie'!$C$3:$C$102,"SW",'Rozpočet - HW a licencie'!$G$3:$G$102,'TCO TO BE- SW'!$D15,'Rozpočet - HW a licencie'!$D$3:$D$102,$B$6),)</f>
        <v>0</v>
      </c>
      <c r="W15" s="577">
        <f>IFERROR(SUMIFS('Rozpočet - HW a licencie'!$I$3:$I$102,'Rozpočet - HW a licencie'!$A$3:$A$102,'TCO TO BE- SW'!W$2,'Rozpočet - HW a licencie'!$C$3:$C$102,"SW",'Rozpočet - HW a licencie'!$G$3:$G$102,'TCO TO BE- SW'!$D15,'Rozpočet - HW a licencie'!$D$3:$D$102,$B$6),)</f>
        <v>0</v>
      </c>
      <c r="X15" s="577">
        <f>IFERROR(SUMIFS('Rozpočet - HW a licencie'!$I$3:$I$102,'Rozpočet - HW a licencie'!$A$3:$A$102,'TCO TO BE- SW'!X$2,'Rozpočet - HW a licencie'!$C$3:$C$102,"SW",'Rozpočet - HW a licencie'!$G$3:$G$102,'TCO TO BE- SW'!$D15,'Rozpočet - HW a licencie'!$D$3:$D$102,$B$6),)</f>
        <v>0</v>
      </c>
      <c r="Y15" s="577">
        <f>IFERROR(SUMIFS('Rozpočet - HW a licencie'!$I$3:$I$102,'Rozpočet - HW a licencie'!$A$3:$A$102,'TCO TO BE- SW'!Y$2,'Rozpočet - HW a licencie'!$C$3:$C$102,"SW",'Rozpočet - HW a licencie'!$G$3:$G$102,'TCO TO BE- SW'!$D15,'Rozpočet - HW a licencie'!$D$3:$D$102,$B$6),)</f>
        <v>0</v>
      </c>
      <c r="Z15" s="577">
        <f>IFERROR(SUMIFS('Rozpočet - HW a licencie'!$I$3:$I$102,'Rozpočet - HW a licencie'!$A$3:$A$102,'TCO TO BE- SW'!Z$2,'Rozpočet - HW a licencie'!$C$3:$C$102,"SW",'Rozpočet - HW a licencie'!$G$3:$G$102,'TCO TO BE- SW'!$D15,'Rozpočet - HW a licencie'!$D$3:$D$102,$B$6),)</f>
        <v>0</v>
      </c>
    </row>
    <row r="16" spans="1:26" outlineLevel="2">
      <c r="A16" s="841" t="s">
        <v>2131</v>
      </c>
      <c r="B16" s="842" t="s">
        <v>2118</v>
      </c>
      <c r="C16" s="842">
        <v>610</v>
      </c>
      <c r="D16" s="63">
        <v>1</v>
      </c>
      <c r="E16" s="60">
        <f t="shared" si="4"/>
        <v>0</v>
      </c>
      <c r="F16" s="578">
        <v>0</v>
      </c>
      <c r="G16" s="578">
        <v>0</v>
      </c>
      <c r="H16" s="578">
        <v>0</v>
      </c>
      <c r="I16" s="578">
        <v>0</v>
      </c>
      <c r="J16" s="578">
        <v>0</v>
      </c>
      <c r="K16" s="578">
        <v>0</v>
      </c>
      <c r="L16" s="578">
        <v>0</v>
      </c>
      <c r="M16" s="578">
        <v>0</v>
      </c>
      <c r="N16" s="578">
        <v>0</v>
      </c>
      <c r="O16" s="578">
        <v>0</v>
      </c>
      <c r="P16" s="578">
        <v>0</v>
      </c>
      <c r="Q16" s="578">
        <v>0</v>
      </c>
      <c r="R16" s="578">
        <v>0</v>
      </c>
      <c r="S16" s="578">
        <v>0</v>
      </c>
      <c r="T16" s="578">
        <v>0</v>
      </c>
      <c r="U16" s="578">
        <v>0</v>
      </c>
      <c r="V16" s="578">
        <v>0</v>
      </c>
      <c r="W16" s="578">
        <v>0</v>
      </c>
      <c r="X16" s="578">
        <v>0</v>
      </c>
      <c r="Y16" s="578">
        <v>0</v>
      </c>
      <c r="Z16" s="578">
        <v>0</v>
      </c>
    </row>
    <row r="17" spans="1:26" outlineLevel="2">
      <c r="A17" s="841"/>
      <c r="B17" s="842"/>
      <c r="C17" s="842"/>
      <c r="D17" s="64">
        <v>2</v>
      </c>
      <c r="E17" s="61">
        <f t="shared" si="4"/>
        <v>0</v>
      </c>
      <c r="F17" s="579">
        <v>0</v>
      </c>
      <c r="G17" s="579">
        <v>0</v>
      </c>
      <c r="H17" s="579">
        <v>0</v>
      </c>
      <c r="I17" s="579">
        <v>0</v>
      </c>
      <c r="J17" s="579">
        <v>0</v>
      </c>
      <c r="K17" s="579">
        <v>0</v>
      </c>
      <c r="L17" s="579">
        <v>0</v>
      </c>
      <c r="M17" s="579">
        <v>0</v>
      </c>
      <c r="N17" s="579">
        <v>0</v>
      </c>
      <c r="O17" s="579">
        <v>0</v>
      </c>
      <c r="P17" s="579">
        <v>0</v>
      </c>
      <c r="Q17" s="579">
        <v>0</v>
      </c>
      <c r="R17" s="579">
        <v>0</v>
      </c>
      <c r="S17" s="579">
        <v>0</v>
      </c>
      <c r="T17" s="579">
        <v>0</v>
      </c>
      <c r="U17" s="579">
        <v>0</v>
      </c>
      <c r="V17" s="579">
        <v>0</v>
      </c>
      <c r="W17" s="579">
        <v>0</v>
      </c>
      <c r="X17" s="579">
        <v>0</v>
      </c>
      <c r="Y17" s="579">
        <v>0</v>
      </c>
      <c r="Z17" s="579">
        <v>0</v>
      </c>
    </row>
    <row r="18" spans="1:26" outlineLevel="2">
      <c r="A18" s="841"/>
      <c r="B18" s="842"/>
      <c r="C18" s="842"/>
      <c r="D18" s="64">
        <v>3</v>
      </c>
      <c r="E18" s="61">
        <f t="shared" si="4"/>
        <v>0</v>
      </c>
      <c r="F18" s="579">
        <v>0</v>
      </c>
      <c r="G18" s="579">
        <v>0</v>
      </c>
      <c r="H18" s="579">
        <v>0</v>
      </c>
      <c r="I18" s="579">
        <v>0</v>
      </c>
      <c r="J18" s="579">
        <v>0</v>
      </c>
      <c r="K18" s="579">
        <v>0</v>
      </c>
      <c r="L18" s="579">
        <v>0</v>
      </c>
      <c r="M18" s="579">
        <v>0</v>
      </c>
      <c r="N18" s="579">
        <v>0</v>
      </c>
      <c r="O18" s="579">
        <v>0</v>
      </c>
      <c r="P18" s="579">
        <v>0</v>
      </c>
      <c r="Q18" s="579">
        <v>0</v>
      </c>
      <c r="R18" s="579">
        <v>0</v>
      </c>
      <c r="S18" s="579">
        <v>0</v>
      </c>
      <c r="T18" s="579">
        <v>0</v>
      </c>
      <c r="U18" s="579">
        <v>0</v>
      </c>
      <c r="V18" s="579">
        <v>0</v>
      </c>
      <c r="W18" s="579">
        <v>0</v>
      </c>
      <c r="X18" s="579">
        <v>0</v>
      </c>
      <c r="Y18" s="579">
        <v>0</v>
      </c>
      <c r="Z18" s="579">
        <v>0</v>
      </c>
    </row>
    <row r="19" spans="1:26" outlineLevel="2">
      <c r="A19" s="841"/>
      <c r="B19" s="842"/>
      <c r="C19" s="842"/>
      <c r="D19" s="64">
        <v>4</v>
      </c>
      <c r="E19" s="61">
        <f t="shared" si="4"/>
        <v>0</v>
      </c>
      <c r="F19" s="579">
        <v>0</v>
      </c>
      <c r="G19" s="579">
        <v>0</v>
      </c>
      <c r="H19" s="579">
        <v>0</v>
      </c>
      <c r="I19" s="579">
        <v>0</v>
      </c>
      <c r="J19" s="579">
        <v>0</v>
      </c>
      <c r="K19" s="579">
        <v>0</v>
      </c>
      <c r="L19" s="579">
        <v>0</v>
      </c>
      <c r="M19" s="579">
        <v>0</v>
      </c>
      <c r="N19" s="579">
        <v>0</v>
      </c>
      <c r="O19" s="579">
        <v>0</v>
      </c>
      <c r="P19" s="579">
        <v>0</v>
      </c>
      <c r="Q19" s="579">
        <v>0</v>
      </c>
      <c r="R19" s="579">
        <v>0</v>
      </c>
      <c r="S19" s="579">
        <v>0</v>
      </c>
      <c r="T19" s="579">
        <v>0</v>
      </c>
      <c r="U19" s="579">
        <v>0</v>
      </c>
      <c r="V19" s="579">
        <v>0</v>
      </c>
      <c r="W19" s="579">
        <v>0</v>
      </c>
      <c r="X19" s="579">
        <v>0</v>
      </c>
      <c r="Y19" s="579">
        <v>0</v>
      </c>
      <c r="Z19" s="579">
        <v>0</v>
      </c>
    </row>
    <row r="20" spans="1:26" outlineLevel="2">
      <c r="A20" s="841"/>
      <c r="B20" s="842"/>
      <c r="C20" s="842"/>
      <c r="D20" s="64">
        <v>5</v>
      </c>
      <c r="E20" s="61">
        <f t="shared" si="4"/>
        <v>0</v>
      </c>
      <c r="F20" s="579">
        <v>0</v>
      </c>
      <c r="G20" s="579">
        <v>0</v>
      </c>
      <c r="H20" s="579">
        <v>0</v>
      </c>
      <c r="I20" s="579">
        <v>0</v>
      </c>
      <c r="J20" s="579">
        <v>0</v>
      </c>
      <c r="K20" s="579">
        <v>0</v>
      </c>
      <c r="L20" s="579">
        <v>0</v>
      </c>
      <c r="M20" s="579">
        <v>0</v>
      </c>
      <c r="N20" s="579">
        <v>0</v>
      </c>
      <c r="O20" s="579">
        <v>0</v>
      </c>
      <c r="P20" s="579">
        <v>0</v>
      </c>
      <c r="Q20" s="579">
        <v>0</v>
      </c>
      <c r="R20" s="579">
        <v>0</v>
      </c>
      <c r="S20" s="579">
        <v>0</v>
      </c>
      <c r="T20" s="579">
        <v>0</v>
      </c>
      <c r="U20" s="579">
        <v>0</v>
      </c>
      <c r="V20" s="579">
        <v>0</v>
      </c>
      <c r="W20" s="579">
        <v>0</v>
      </c>
      <c r="X20" s="579">
        <v>0</v>
      </c>
      <c r="Y20" s="579">
        <v>0</v>
      </c>
      <c r="Z20" s="579">
        <v>0</v>
      </c>
    </row>
    <row r="21" spans="1:26" outlineLevel="2">
      <c r="A21" s="841"/>
      <c r="B21" s="842"/>
      <c r="C21" s="842"/>
      <c r="D21" s="64">
        <v>6</v>
      </c>
      <c r="E21" s="61">
        <f t="shared" si="4"/>
        <v>0</v>
      </c>
      <c r="F21" s="579">
        <v>0</v>
      </c>
      <c r="G21" s="579">
        <v>0</v>
      </c>
      <c r="H21" s="579">
        <v>0</v>
      </c>
      <c r="I21" s="579">
        <v>0</v>
      </c>
      <c r="J21" s="579">
        <v>0</v>
      </c>
      <c r="K21" s="579">
        <v>0</v>
      </c>
      <c r="L21" s="579">
        <v>0</v>
      </c>
      <c r="M21" s="579">
        <v>0</v>
      </c>
      <c r="N21" s="579">
        <v>0</v>
      </c>
      <c r="O21" s="579">
        <v>0</v>
      </c>
      <c r="P21" s="579">
        <v>0</v>
      </c>
      <c r="Q21" s="579">
        <v>0</v>
      </c>
      <c r="R21" s="579">
        <v>0</v>
      </c>
      <c r="S21" s="579">
        <v>0</v>
      </c>
      <c r="T21" s="579">
        <v>0</v>
      </c>
      <c r="U21" s="579">
        <v>0</v>
      </c>
      <c r="V21" s="579">
        <v>0</v>
      </c>
      <c r="W21" s="579">
        <v>0</v>
      </c>
      <c r="X21" s="579">
        <v>0</v>
      </c>
      <c r="Y21" s="579">
        <v>0</v>
      </c>
      <c r="Z21" s="579">
        <v>0</v>
      </c>
    </row>
    <row r="22" spans="1:26" outlineLevel="2">
      <c r="A22" s="841"/>
      <c r="B22" s="842"/>
      <c r="C22" s="842"/>
      <c r="D22" s="64">
        <v>7</v>
      </c>
      <c r="E22" s="61">
        <f t="shared" si="4"/>
        <v>0</v>
      </c>
      <c r="F22" s="579">
        <v>0</v>
      </c>
      <c r="G22" s="579">
        <v>0</v>
      </c>
      <c r="H22" s="579">
        <v>0</v>
      </c>
      <c r="I22" s="579">
        <v>0</v>
      </c>
      <c r="J22" s="579">
        <v>0</v>
      </c>
      <c r="K22" s="579">
        <v>0</v>
      </c>
      <c r="L22" s="579">
        <v>0</v>
      </c>
      <c r="M22" s="579">
        <v>0</v>
      </c>
      <c r="N22" s="579">
        <v>0</v>
      </c>
      <c r="O22" s="579">
        <v>0</v>
      </c>
      <c r="P22" s="579">
        <v>0</v>
      </c>
      <c r="Q22" s="579">
        <v>0</v>
      </c>
      <c r="R22" s="579">
        <v>0</v>
      </c>
      <c r="S22" s="579">
        <v>0</v>
      </c>
      <c r="T22" s="579">
        <v>0</v>
      </c>
      <c r="U22" s="579">
        <v>0</v>
      </c>
      <c r="V22" s="579">
        <v>0</v>
      </c>
      <c r="W22" s="579">
        <v>0</v>
      </c>
      <c r="X22" s="579">
        <v>0</v>
      </c>
      <c r="Y22" s="579">
        <v>0</v>
      </c>
      <c r="Z22" s="579">
        <v>0</v>
      </c>
    </row>
    <row r="23" spans="1:26" outlineLevel="2">
      <c r="A23" s="841"/>
      <c r="B23" s="842"/>
      <c r="C23" s="842"/>
      <c r="D23" s="64">
        <v>8</v>
      </c>
      <c r="E23" s="61">
        <f t="shared" si="4"/>
        <v>0</v>
      </c>
      <c r="F23" s="579">
        <v>0</v>
      </c>
      <c r="G23" s="579">
        <v>0</v>
      </c>
      <c r="H23" s="579">
        <v>0</v>
      </c>
      <c r="I23" s="579">
        <v>0</v>
      </c>
      <c r="J23" s="579">
        <v>0</v>
      </c>
      <c r="K23" s="579">
        <v>0</v>
      </c>
      <c r="L23" s="579">
        <v>0</v>
      </c>
      <c r="M23" s="579">
        <v>0</v>
      </c>
      <c r="N23" s="579">
        <v>0</v>
      </c>
      <c r="O23" s="579">
        <v>0</v>
      </c>
      <c r="P23" s="579">
        <v>0</v>
      </c>
      <c r="Q23" s="579">
        <v>0</v>
      </c>
      <c r="R23" s="579">
        <v>0</v>
      </c>
      <c r="S23" s="579">
        <v>0</v>
      </c>
      <c r="T23" s="579">
        <v>0</v>
      </c>
      <c r="U23" s="579">
        <v>0</v>
      </c>
      <c r="V23" s="579">
        <v>0</v>
      </c>
      <c r="W23" s="579">
        <v>0</v>
      </c>
      <c r="X23" s="579">
        <v>0</v>
      </c>
      <c r="Y23" s="579">
        <v>0</v>
      </c>
      <c r="Z23" s="579">
        <v>0</v>
      </c>
    </row>
    <row r="24" spans="1:26" outlineLevel="2">
      <c r="A24" s="841"/>
      <c r="B24" s="842"/>
      <c r="C24" s="842"/>
      <c r="D24" s="64">
        <v>9</v>
      </c>
      <c r="E24" s="61">
        <f t="shared" si="4"/>
        <v>0</v>
      </c>
      <c r="F24" s="579">
        <v>0</v>
      </c>
      <c r="G24" s="579">
        <v>0</v>
      </c>
      <c r="H24" s="579">
        <v>0</v>
      </c>
      <c r="I24" s="579">
        <v>0</v>
      </c>
      <c r="J24" s="579">
        <v>0</v>
      </c>
      <c r="K24" s="579">
        <v>0</v>
      </c>
      <c r="L24" s="579">
        <v>0</v>
      </c>
      <c r="M24" s="579">
        <v>0</v>
      </c>
      <c r="N24" s="579">
        <v>0</v>
      </c>
      <c r="O24" s="579">
        <v>0</v>
      </c>
      <c r="P24" s="579">
        <v>0</v>
      </c>
      <c r="Q24" s="579">
        <v>0</v>
      </c>
      <c r="R24" s="579">
        <v>0</v>
      </c>
      <c r="S24" s="579">
        <v>0</v>
      </c>
      <c r="T24" s="579">
        <v>0</v>
      </c>
      <c r="U24" s="579">
        <v>0</v>
      </c>
      <c r="V24" s="579">
        <v>0</v>
      </c>
      <c r="W24" s="579">
        <v>0</v>
      </c>
      <c r="X24" s="579">
        <v>0</v>
      </c>
      <c r="Y24" s="579">
        <v>0</v>
      </c>
      <c r="Z24" s="579">
        <v>0</v>
      </c>
    </row>
    <row r="25" spans="1:26" ht="15" outlineLevel="2" thickBot="1">
      <c r="A25" s="841"/>
      <c r="B25" s="842"/>
      <c r="C25" s="842"/>
      <c r="D25" s="65">
        <v>10</v>
      </c>
      <c r="E25" s="61">
        <f t="shared" si="4"/>
        <v>0</v>
      </c>
      <c r="F25" s="579">
        <v>0</v>
      </c>
      <c r="G25" s="579">
        <v>0</v>
      </c>
      <c r="H25" s="579">
        <v>0</v>
      </c>
      <c r="I25" s="579">
        <v>0</v>
      </c>
      <c r="J25" s="579">
        <v>0</v>
      </c>
      <c r="K25" s="579">
        <v>0</v>
      </c>
      <c r="L25" s="579">
        <v>0</v>
      </c>
      <c r="M25" s="579">
        <v>0</v>
      </c>
      <c r="N25" s="579">
        <v>0</v>
      </c>
      <c r="O25" s="579">
        <v>0</v>
      </c>
      <c r="P25" s="579">
        <v>0</v>
      </c>
      <c r="Q25" s="579">
        <v>0</v>
      </c>
      <c r="R25" s="579">
        <v>0</v>
      </c>
      <c r="S25" s="579">
        <v>0</v>
      </c>
      <c r="T25" s="579">
        <v>0</v>
      </c>
      <c r="U25" s="579">
        <v>0</v>
      </c>
      <c r="V25" s="579">
        <v>0</v>
      </c>
      <c r="W25" s="579">
        <v>0</v>
      </c>
      <c r="X25" s="579">
        <v>0</v>
      </c>
      <c r="Y25" s="579">
        <v>0</v>
      </c>
      <c r="Z25" s="579">
        <v>0</v>
      </c>
    </row>
    <row r="26" spans="1:26" outlineLevel="2">
      <c r="A26" s="841" t="s">
        <v>2130</v>
      </c>
      <c r="B26" s="842" t="s">
        <v>2120</v>
      </c>
      <c r="C26" s="842">
        <v>633013</v>
      </c>
      <c r="D26" s="63">
        <v>1</v>
      </c>
      <c r="E26" s="60">
        <f t="shared" si="4"/>
        <v>0</v>
      </c>
      <c r="F26" s="580">
        <v>0</v>
      </c>
      <c r="G26" s="580">
        <v>0</v>
      </c>
      <c r="H26" s="580">
        <v>0</v>
      </c>
      <c r="I26" s="580">
        <v>0</v>
      </c>
      <c r="J26" s="580">
        <v>0</v>
      </c>
      <c r="K26" s="580">
        <v>0</v>
      </c>
      <c r="L26" s="580">
        <v>0</v>
      </c>
      <c r="M26" s="580">
        <v>0</v>
      </c>
      <c r="N26" s="580">
        <v>0</v>
      </c>
      <c r="O26" s="580">
        <v>0</v>
      </c>
      <c r="P26" s="580">
        <v>0</v>
      </c>
      <c r="Q26" s="580">
        <v>0</v>
      </c>
      <c r="R26" s="580">
        <v>0</v>
      </c>
      <c r="S26" s="580">
        <v>0</v>
      </c>
      <c r="T26" s="580">
        <v>0</v>
      </c>
      <c r="U26" s="580">
        <v>0</v>
      </c>
      <c r="V26" s="580">
        <v>0</v>
      </c>
      <c r="W26" s="580">
        <v>0</v>
      </c>
      <c r="X26" s="580">
        <v>0</v>
      </c>
      <c r="Y26" s="580">
        <v>0</v>
      </c>
      <c r="Z26" s="580">
        <v>0</v>
      </c>
    </row>
    <row r="27" spans="1:26" outlineLevel="2">
      <c r="A27" s="841"/>
      <c r="B27" s="842"/>
      <c r="C27" s="842"/>
      <c r="D27" s="64">
        <v>2</v>
      </c>
      <c r="E27" s="61">
        <f t="shared" si="4"/>
        <v>0</v>
      </c>
      <c r="F27" s="581">
        <v>0</v>
      </c>
      <c r="G27" s="581">
        <v>0</v>
      </c>
      <c r="H27" s="581">
        <v>0</v>
      </c>
      <c r="I27" s="581">
        <v>0</v>
      </c>
      <c r="J27" s="581">
        <v>0</v>
      </c>
      <c r="K27" s="581">
        <v>0</v>
      </c>
      <c r="L27" s="581">
        <v>0</v>
      </c>
      <c r="M27" s="581">
        <v>0</v>
      </c>
      <c r="N27" s="581">
        <v>0</v>
      </c>
      <c r="O27" s="581">
        <v>0</v>
      </c>
      <c r="P27" s="581">
        <v>0</v>
      </c>
      <c r="Q27" s="581">
        <v>0</v>
      </c>
      <c r="R27" s="581">
        <v>0</v>
      </c>
      <c r="S27" s="581">
        <v>0</v>
      </c>
      <c r="T27" s="581">
        <v>0</v>
      </c>
      <c r="U27" s="581">
        <v>0</v>
      </c>
      <c r="V27" s="581">
        <v>0</v>
      </c>
      <c r="W27" s="581">
        <v>0</v>
      </c>
      <c r="X27" s="581">
        <v>0</v>
      </c>
      <c r="Y27" s="581">
        <v>0</v>
      </c>
      <c r="Z27" s="581">
        <v>0</v>
      </c>
    </row>
    <row r="28" spans="1:26" outlineLevel="2">
      <c r="A28" s="841"/>
      <c r="B28" s="842"/>
      <c r="C28" s="842"/>
      <c r="D28" s="64">
        <v>3</v>
      </c>
      <c r="E28" s="61">
        <f t="shared" si="4"/>
        <v>0</v>
      </c>
      <c r="F28" s="581">
        <v>0</v>
      </c>
      <c r="G28" s="581">
        <v>0</v>
      </c>
      <c r="H28" s="581">
        <v>0</v>
      </c>
      <c r="I28" s="581">
        <v>0</v>
      </c>
      <c r="J28" s="581">
        <v>0</v>
      </c>
      <c r="K28" s="581">
        <v>0</v>
      </c>
      <c r="L28" s="581">
        <v>0</v>
      </c>
      <c r="M28" s="581">
        <v>0</v>
      </c>
      <c r="N28" s="581">
        <v>0</v>
      </c>
      <c r="O28" s="581">
        <v>0</v>
      </c>
      <c r="P28" s="581">
        <v>0</v>
      </c>
      <c r="Q28" s="581">
        <v>0</v>
      </c>
      <c r="R28" s="581">
        <v>0</v>
      </c>
      <c r="S28" s="581">
        <v>0</v>
      </c>
      <c r="T28" s="581">
        <v>0</v>
      </c>
      <c r="U28" s="581">
        <v>0</v>
      </c>
      <c r="V28" s="581">
        <v>0</v>
      </c>
      <c r="W28" s="581">
        <v>0</v>
      </c>
      <c r="X28" s="581">
        <v>0</v>
      </c>
      <c r="Y28" s="581">
        <v>0</v>
      </c>
      <c r="Z28" s="581">
        <v>0</v>
      </c>
    </row>
    <row r="29" spans="1:26" outlineLevel="2">
      <c r="A29" s="841"/>
      <c r="B29" s="842"/>
      <c r="C29" s="842"/>
      <c r="D29" s="64">
        <v>4</v>
      </c>
      <c r="E29" s="61">
        <f t="shared" si="4"/>
        <v>0</v>
      </c>
      <c r="F29" s="581">
        <v>0</v>
      </c>
      <c r="G29" s="581">
        <v>0</v>
      </c>
      <c r="H29" s="581">
        <v>0</v>
      </c>
      <c r="I29" s="581">
        <v>0</v>
      </c>
      <c r="J29" s="581">
        <v>0</v>
      </c>
      <c r="K29" s="581">
        <v>0</v>
      </c>
      <c r="L29" s="581">
        <v>0</v>
      </c>
      <c r="M29" s="581">
        <v>0</v>
      </c>
      <c r="N29" s="581">
        <v>0</v>
      </c>
      <c r="O29" s="581">
        <v>0</v>
      </c>
      <c r="P29" s="581">
        <v>0</v>
      </c>
      <c r="Q29" s="581">
        <v>0</v>
      </c>
      <c r="R29" s="581">
        <v>0</v>
      </c>
      <c r="S29" s="581">
        <v>0</v>
      </c>
      <c r="T29" s="581">
        <v>0</v>
      </c>
      <c r="U29" s="581">
        <v>0</v>
      </c>
      <c r="V29" s="581">
        <v>0</v>
      </c>
      <c r="W29" s="581">
        <v>0</v>
      </c>
      <c r="X29" s="581">
        <v>0</v>
      </c>
      <c r="Y29" s="581">
        <v>0</v>
      </c>
      <c r="Z29" s="581">
        <v>0</v>
      </c>
    </row>
    <row r="30" spans="1:26" outlineLevel="2">
      <c r="A30" s="841"/>
      <c r="B30" s="842"/>
      <c r="C30" s="842"/>
      <c r="D30" s="64">
        <v>5</v>
      </c>
      <c r="E30" s="61">
        <f t="shared" si="4"/>
        <v>0</v>
      </c>
      <c r="F30" s="581">
        <v>0</v>
      </c>
      <c r="G30" s="581">
        <v>0</v>
      </c>
      <c r="H30" s="581">
        <v>0</v>
      </c>
      <c r="I30" s="581">
        <v>0</v>
      </c>
      <c r="J30" s="581">
        <v>0</v>
      </c>
      <c r="K30" s="581">
        <v>0</v>
      </c>
      <c r="L30" s="581">
        <v>0</v>
      </c>
      <c r="M30" s="581">
        <v>0</v>
      </c>
      <c r="N30" s="581">
        <v>0</v>
      </c>
      <c r="O30" s="581">
        <v>0</v>
      </c>
      <c r="P30" s="581">
        <v>0</v>
      </c>
      <c r="Q30" s="581">
        <v>0</v>
      </c>
      <c r="R30" s="581">
        <v>0</v>
      </c>
      <c r="S30" s="581">
        <v>0</v>
      </c>
      <c r="T30" s="581">
        <v>0</v>
      </c>
      <c r="U30" s="581">
        <v>0</v>
      </c>
      <c r="V30" s="581">
        <v>0</v>
      </c>
      <c r="W30" s="581">
        <v>0</v>
      </c>
      <c r="X30" s="581">
        <v>0</v>
      </c>
      <c r="Y30" s="581">
        <v>0</v>
      </c>
      <c r="Z30" s="581">
        <v>0</v>
      </c>
    </row>
    <row r="31" spans="1:26" outlineLevel="2">
      <c r="A31" s="841"/>
      <c r="B31" s="842"/>
      <c r="C31" s="842"/>
      <c r="D31" s="64">
        <v>6</v>
      </c>
      <c r="E31" s="61">
        <f t="shared" si="4"/>
        <v>0</v>
      </c>
      <c r="F31" s="581">
        <v>0</v>
      </c>
      <c r="G31" s="581">
        <v>0</v>
      </c>
      <c r="H31" s="581">
        <v>0</v>
      </c>
      <c r="I31" s="581">
        <v>0</v>
      </c>
      <c r="J31" s="581">
        <v>0</v>
      </c>
      <c r="K31" s="581">
        <v>0</v>
      </c>
      <c r="L31" s="581">
        <v>0</v>
      </c>
      <c r="M31" s="581">
        <v>0</v>
      </c>
      <c r="N31" s="581">
        <v>0</v>
      </c>
      <c r="O31" s="581">
        <v>0</v>
      </c>
      <c r="P31" s="581">
        <v>0</v>
      </c>
      <c r="Q31" s="581">
        <v>0</v>
      </c>
      <c r="R31" s="581">
        <v>0</v>
      </c>
      <c r="S31" s="581">
        <v>0</v>
      </c>
      <c r="T31" s="581">
        <v>0</v>
      </c>
      <c r="U31" s="581">
        <v>0</v>
      </c>
      <c r="V31" s="581">
        <v>0</v>
      </c>
      <c r="W31" s="581">
        <v>0</v>
      </c>
      <c r="X31" s="581">
        <v>0</v>
      </c>
      <c r="Y31" s="581">
        <v>0</v>
      </c>
      <c r="Z31" s="581">
        <v>0</v>
      </c>
    </row>
    <row r="32" spans="1:26" outlineLevel="2">
      <c r="A32" s="841"/>
      <c r="B32" s="842"/>
      <c r="C32" s="842"/>
      <c r="D32" s="64">
        <v>7</v>
      </c>
      <c r="E32" s="61">
        <f t="shared" si="4"/>
        <v>0</v>
      </c>
      <c r="F32" s="581">
        <v>0</v>
      </c>
      <c r="G32" s="581">
        <v>0</v>
      </c>
      <c r="H32" s="581">
        <v>0</v>
      </c>
      <c r="I32" s="581">
        <v>0</v>
      </c>
      <c r="J32" s="581">
        <v>0</v>
      </c>
      <c r="K32" s="581">
        <v>0</v>
      </c>
      <c r="L32" s="581">
        <v>0</v>
      </c>
      <c r="M32" s="581">
        <v>0</v>
      </c>
      <c r="N32" s="581">
        <v>0</v>
      </c>
      <c r="O32" s="581">
        <v>0</v>
      </c>
      <c r="P32" s="581">
        <v>0</v>
      </c>
      <c r="Q32" s="581">
        <v>0</v>
      </c>
      <c r="R32" s="581">
        <v>0</v>
      </c>
      <c r="S32" s="581">
        <v>0</v>
      </c>
      <c r="T32" s="581">
        <v>0</v>
      </c>
      <c r="U32" s="581">
        <v>0</v>
      </c>
      <c r="V32" s="581">
        <v>0</v>
      </c>
      <c r="W32" s="581">
        <v>0</v>
      </c>
      <c r="X32" s="581">
        <v>0</v>
      </c>
      <c r="Y32" s="581">
        <v>0</v>
      </c>
      <c r="Z32" s="581">
        <v>0</v>
      </c>
    </row>
    <row r="33" spans="1:26" outlineLevel="2">
      <c r="A33" s="841"/>
      <c r="B33" s="842"/>
      <c r="C33" s="842"/>
      <c r="D33" s="64">
        <v>8</v>
      </c>
      <c r="E33" s="61">
        <f t="shared" si="4"/>
        <v>0</v>
      </c>
      <c r="F33" s="581">
        <v>0</v>
      </c>
      <c r="G33" s="581">
        <v>0</v>
      </c>
      <c r="H33" s="581">
        <v>0</v>
      </c>
      <c r="I33" s="581">
        <v>0</v>
      </c>
      <c r="J33" s="581">
        <v>0</v>
      </c>
      <c r="K33" s="581">
        <v>0</v>
      </c>
      <c r="L33" s="581">
        <v>0</v>
      </c>
      <c r="M33" s="581">
        <v>0</v>
      </c>
      <c r="N33" s="581">
        <v>0</v>
      </c>
      <c r="O33" s="581">
        <v>0</v>
      </c>
      <c r="P33" s="581">
        <v>0</v>
      </c>
      <c r="Q33" s="581">
        <v>0</v>
      </c>
      <c r="R33" s="581">
        <v>0</v>
      </c>
      <c r="S33" s="581">
        <v>0</v>
      </c>
      <c r="T33" s="581">
        <v>0</v>
      </c>
      <c r="U33" s="581">
        <v>0</v>
      </c>
      <c r="V33" s="581">
        <v>0</v>
      </c>
      <c r="W33" s="581">
        <v>0</v>
      </c>
      <c r="X33" s="581">
        <v>0</v>
      </c>
      <c r="Y33" s="581">
        <v>0</v>
      </c>
      <c r="Z33" s="581">
        <v>0</v>
      </c>
    </row>
    <row r="34" spans="1:26" outlineLevel="2">
      <c r="A34" s="841"/>
      <c r="B34" s="842"/>
      <c r="C34" s="842"/>
      <c r="D34" s="64">
        <v>9</v>
      </c>
      <c r="E34" s="61">
        <f t="shared" si="4"/>
        <v>0</v>
      </c>
      <c r="F34" s="581">
        <v>0</v>
      </c>
      <c r="G34" s="581">
        <v>0</v>
      </c>
      <c r="H34" s="581">
        <v>0</v>
      </c>
      <c r="I34" s="581">
        <v>0</v>
      </c>
      <c r="J34" s="581">
        <v>0</v>
      </c>
      <c r="K34" s="581">
        <v>0</v>
      </c>
      <c r="L34" s="581">
        <v>0</v>
      </c>
      <c r="M34" s="581">
        <v>0</v>
      </c>
      <c r="N34" s="581">
        <v>0</v>
      </c>
      <c r="O34" s="581">
        <v>0</v>
      </c>
      <c r="P34" s="581">
        <v>0</v>
      </c>
      <c r="Q34" s="581">
        <v>0</v>
      </c>
      <c r="R34" s="581">
        <v>0</v>
      </c>
      <c r="S34" s="581">
        <v>0</v>
      </c>
      <c r="T34" s="581">
        <v>0</v>
      </c>
      <c r="U34" s="581">
        <v>0</v>
      </c>
      <c r="V34" s="581">
        <v>0</v>
      </c>
      <c r="W34" s="581">
        <v>0</v>
      </c>
      <c r="X34" s="581">
        <v>0</v>
      </c>
      <c r="Y34" s="581">
        <v>0</v>
      </c>
      <c r="Z34" s="581">
        <v>0</v>
      </c>
    </row>
    <row r="35" spans="1:26" ht="15" outlineLevel="2" thickBot="1">
      <c r="A35" s="841"/>
      <c r="B35" s="842"/>
      <c r="C35" s="842"/>
      <c r="D35" s="65">
        <v>10</v>
      </c>
      <c r="E35" s="62">
        <f t="shared" si="4"/>
        <v>0</v>
      </c>
      <c r="F35" s="582">
        <v>0</v>
      </c>
      <c r="G35" s="582">
        <v>0</v>
      </c>
      <c r="H35" s="582">
        <v>0</v>
      </c>
      <c r="I35" s="582">
        <v>0</v>
      </c>
      <c r="J35" s="582">
        <v>0</v>
      </c>
      <c r="K35" s="582">
        <v>0</v>
      </c>
      <c r="L35" s="582">
        <v>0</v>
      </c>
      <c r="M35" s="582">
        <v>0</v>
      </c>
      <c r="N35" s="582">
        <v>0</v>
      </c>
      <c r="O35" s="582">
        <v>0</v>
      </c>
      <c r="P35" s="582">
        <v>0</v>
      </c>
      <c r="Q35" s="582">
        <v>0</v>
      </c>
      <c r="R35" s="582">
        <v>0</v>
      </c>
      <c r="S35" s="582">
        <v>0</v>
      </c>
      <c r="T35" s="582">
        <v>0</v>
      </c>
      <c r="U35" s="582">
        <v>0</v>
      </c>
      <c r="V35" s="582">
        <v>0</v>
      </c>
      <c r="W35" s="582">
        <v>0</v>
      </c>
      <c r="X35" s="582">
        <v>0</v>
      </c>
      <c r="Y35" s="582">
        <v>0</v>
      </c>
      <c r="Z35" s="582">
        <v>0</v>
      </c>
    </row>
    <row r="36" spans="1:26" ht="15" outlineLevel="1" thickBot="1">
      <c r="A36" s="17" t="s">
        <v>103</v>
      </c>
      <c r="B36" s="17"/>
      <c r="C36" s="17"/>
      <c r="D36" s="27"/>
      <c r="E36" s="112">
        <f t="shared" ref="E36:Z36" si="5">SUM(E37:E76)</f>
        <v>26775626.07</v>
      </c>
      <c r="F36" s="113">
        <f t="shared" si="5"/>
        <v>241629.03484580922</v>
      </c>
      <c r="G36" s="113">
        <f t="shared" si="5"/>
        <v>0</v>
      </c>
      <c r="H36" s="113">
        <f t="shared" si="5"/>
        <v>496005.88447964686</v>
      </c>
      <c r="I36" s="113">
        <f t="shared" si="5"/>
        <v>1297959.323871973</v>
      </c>
      <c r="J36" s="113">
        <f t="shared" si="5"/>
        <v>693597.01369408553</v>
      </c>
      <c r="K36" s="113">
        <f t="shared" si="5"/>
        <v>419518.99575147696</v>
      </c>
      <c r="L36" s="113">
        <f t="shared" si="5"/>
        <v>617110.12496591569</v>
      </c>
      <c r="M36" s="113">
        <f t="shared" si="5"/>
        <v>9900995.9674108941</v>
      </c>
      <c r="N36" s="113">
        <f t="shared" si="5"/>
        <v>1177434.5295124326</v>
      </c>
      <c r="O36" s="113">
        <f t="shared" si="5"/>
        <v>5675674.8113062382</v>
      </c>
      <c r="P36" s="113">
        <f t="shared" si="5"/>
        <v>728943.22742452775</v>
      </c>
      <c r="Q36" s="113">
        <f t="shared" si="5"/>
        <v>4091469.1008303575</v>
      </c>
      <c r="R36" s="113">
        <f t="shared" si="5"/>
        <v>1435288.0559066415</v>
      </c>
      <c r="S36" s="113">
        <f t="shared" si="5"/>
        <v>0</v>
      </c>
      <c r="T36" s="113">
        <f t="shared" si="5"/>
        <v>0</v>
      </c>
      <c r="U36" s="113">
        <f t="shared" si="5"/>
        <v>0</v>
      </c>
      <c r="V36" s="113">
        <f t="shared" si="5"/>
        <v>0</v>
      </c>
      <c r="W36" s="113">
        <f t="shared" si="5"/>
        <v>0</v>
      </c>
      <c r="X36" s="113">
        <f t="shared" si="5"/>
        <v>0</v>
      </c>
      <c r="Y36" s="113">
        <f t="shared" si="5"/>
        <v>0</v>
      </c>
      <c r="Z36" s="113">
        <f t="shared" si="5"/>
        <v>0</v>
      </c>
    </row>
    <row r="37" spans="1:26" outlineLevel="2">
      <c r="A37" s="841" t="s">
        <v>2132</v>
      </c>
      <c r="B37" s="842" t="s">
        <v>2031</v>
      </c>
      <c r="C37" s="842">
        <v>711003</v>
      </c>
      <c r="D37" s="63">
        <v>1</v>
      </c>
      <c r="E37" s="67">
        <f t="shared" ref="E37:E76" si="6">SUM(F37:Z37)</f>
        <v>7767276.2957527749</v>
      </c>
      <c r="F37" s="575">
        <f>IFERROR(IF(VLOOKUP(F$2,MODULY_CBA!$B$3:$I$23,8,0)=$D37,SUMIF('Rozpocet - Vyvoj aplikacii'!$B$3:$B$179,'TCO TO BE- SW'!F$2,'Rozpocet - Vyvoj aplikacii'!$J$3:$J$179),0),0)</f>
        <v>0</v>
      </c>
      <c r="G37" s="575">
        <f>IFERROR(IF(VLOOKUP(G$2,MODULY_CBA!$B$3:$I$23,8,0)=$D37,SUMIF('Rozpocet - Vyvoj aplikacii'!$B$3:$B$179,'TCO TO BE- SW'!G$2,'Rozpocet - Vyvoj aplikacii'!$J$3:$J$179),0),0)</f>
        <v>0</v>
      </c>
      <c r="H37" s="575">
        <f>IFERROR(IF(VLOOKUP(H$2,MODULY_CBA!$B$3:$I$23,8,0)=$D37,SUMIF('Rozpocet - Vyvoj aplikacii'!$B$3:$B$179,'TCO TO BE- SW'!H$2,'Rozpocet - Vyvoj aplikacii'!$J$3:$J$179),0),0)</f>
        <v>479987.61977796536</v>
      </c>
      <c r="I37" s="575">
        <f>IFERROR(IF(VLOOKUP(I$2,MODULY_CBA!$B$3:$I$23,8,0)=$D37,SUMIF('Rozpocet - Vyvoj aplikacii'!$B$3:$B$179,'TCO TO BE- SW'!I$2,'Rozpocet - Vyvoj aplikacii'!$J$3:$J$179),0),0)</f>
        <v>0</v>
      </c>
      <c r="J37" s="575">
        <f>IFERROR(IF(VLOOKUP(J$2,MODULY_CBA!$B$3:$I$23,8,0)=$D37,SUMIF('Rozpocet - Vyvoj aplikacii'!$B$3:$B$179,'TCO TO BE- SW'!J$2,'Rozpocet - Vyvoj aplikacii'!$J$3:$J$179),0),0)</f>
        <v>0</v>
      </c>
      <c r="K37" s="575">
        <f>IFERROR(IF(VLOOKUP(K$2,MODULY_CBA!$B$3:$I$23,8,0)=$D37,SUMIF('Rozpocet - Vyvoj aplikacii'!$B$3:$B$179,'TCO TO BE- SW'!K$2,'Rozpocet - Vyvoj aplikacii'!$J$3:$J$179),0),0)</f>
        <v>405970.8372888398</v>
      </c>
      <c r="L37" s="575">
        <f>IFERROR(IF(VLOOKUP(L$2,MODULY_CBA!$B$3:$I$23,8,0)=$D37,SUMIF('Rozpocet - Vyvoj aplikacii'!$B$3:$B$179,'TCO TO BE- SW'!L$2,'Rozpocet - Vyvoj aplikacii'!$J$3:$J$179),0),0)</f>
        <v>0</v>
      </c>
      <c r="M37" s="575">
        <f>IFERROR(IF(VLOOKUP(M$2,MODULY_CBA!$B$3:$I$23,8,0)=$D37,SUMIF('Rozpocet - Vyvoj aplikacii'!$B$3:$B$179,'TCO TO BE- SW'!M$2,'Rozpocet - Vyvoj aplikacii'!$J$3:$J$179),0),0)</f>
        <v>0</v>
      </c>
      <c r="N37" s="575">
        <f>IFERROR(IF(VLOOKUP(N$2,MODULY_CBA!$B$3:$I$23,8,0)=$D37,SUMIF('Rozpocet - Vyvoj aplikacii'!$B$3:$B$179,'TCO TO BE- SW'!N$2,'Rozpocet - Vyvoj aplikacii'!$J$3:$J$179),0),0)</f>
        <v>0</v>
      </c>
      <c r="O37" s="575">
        <f>IFERROR(IF(VLOOKUP(O$2,MODULY_CBA!$B$3:$I$23,8,0)=$D37,SUMIF('Rozpocet - Vyvoj aplikacii'!$B$3:$B$179,'TCO TO BE- SW'!O$2,'Rozpocet - Vyvoj aplikacii'!$J$3:$J$179),0),0)</f>
        <v>5492381.7006135164</v>
      </c>
      <c r="P37" s="575">
        <f>IFERROR(IF(VLOOKUP(P$2,MODULY_CBA!$B$3:$I$23,8,0)=$D37,SUMIF('Rozpocet - Vyvoj aplikacii'!$B$3:$B$179,'TCO TO BE- SW'!P$2,'Rozpocet - Vyvoj aplikacii'!$J$3:$J$179),0),0)</f>
        <v>0</v>
      </c>
      <c r="Q37" s="575">
        <f>IFERROR(IF(VLOOKUP(Q$2,MODULY_CBA!$B$3:$I$23,8,0)=$D37,SUMIF('Rozpocet - Vyvoj aplikacii'!$B$3:$B$179,'TCO TO BE- SW'!Q$2,'Rozpocet - Vyvoj aplikacii'!$J$3:$J$179),0),0)</f>
        <v>0</v>
      </c>
      <c r="R37" s="575">
        <f>IFERROR(IF(VLOOKUP(R$2,MODULY_CBA!$B$3:$I$23,8,0)=$D37,SUMIF('Rozpocet - Vyvoj aplikacii'!$B$3:$B$179,'TCO TO BE- SW'!R$2,'Rozpocet - Vyvoj aplikacii'!$J$3:$J$179),0),0)</f>
        <v>1388936.1380724534</v>
      </c>
      <c r="S37" s="575">
        <f>IFERROR(IF(VLOOKUP(S$2,MODULY_CBA!$B$3:$I$23,8,0)=$D37,SUMIF('Rozpocet - Vyvoj aplikacii'!$B$3:$B$179,'TCO TO BE- SW'!S$2,'Rozpocet - Vyvoj aplikacii'!$J$3:$J$179),0),0)</f>
        <v>0</v>
      </c>
      <c r="T37" s="575">
        <f>IFERROR(IF(VLOOKUP(T$2,MODULY_CBA!$B$3:$I$23,8,0)=$D37,SUMIF('Rozpocet - Vyvoj aplikacii'!$B$3:$B$179,'TCO TO BE- SW'!T$2,'Rozpocet - Vyvoj aplikacii'!$J$3:$J$179),0),0)</f>
        <v>0</v>
      </c>
      <c r="U37" s="575">
        <f>IFERROR(IF(VLOOKUP(U$2,MODULY_CBA!$B$3:$I$23,8,0)=$D37,SUMIF('Rozpocet - Vyvoj aplikacii'!$B$3:$B$179,'TCO TO BE- SW'!U$2,'Rozpocet - Vyvoj aplikacii'!$J$3:$J$179),0),0)</f>
        <v>0</v>
      </c>
      <c r="V37" s="575">
        <f>IFERROR(IF(VLOOKUP(V$2,MODULY_CBA!$B$3:$I$23,8,0)=$D37,SUMIF('Rozpocet - Vyvoj aplikacii'!$B$3:$B$179,'TCO TO BE- SW'!V$2,'Rozpocet - Vyvoj aplikacii'!$J$3:$J$179),0),0)</f>
        <v>0</v>
      </c>
      <c r="W37" s="575">
        <f>IFERROR(IF(VLOOKUP(W$2,MODULY_CBA!$B$3:$I$23,8,0)=$D37,SUMIF('Rozpocet - Vyvoj aplikacii'!$B$3:$B$179,'TCO TO BE- SW'!W$2,'Rozpocet - Vyvoj aplikacii'!$J$3:$J$179),0),0)</f>
        <v>0</v>
      </c>
      <c r="X37" s="575">
        <f>IFERROR(IF(VLOOKUP(X$2,MODULY_CBA!$B$3:$I$23,8,0)=$D37,SUMIF('Rozpocet - Vyvoj aplikacii'!$B$3:$B$179,'TCO TO BE- SW'!X$2,'Rozpocet - Vyvoj aplikacii'!$J$3:$J$179),0),0)</f>
        <v>0</v>
      </c>
      <c r="Y37" s="575">
        <f>IFERROR(IF(VLOOKUP(Y$2,MODULY_CBA!$B$3:$I$23,8,0)=$D37,SUMIF('Rozpocet - Vyvoj aplikacii'!$B$3:$B$179,'TCO TO BE- SW'!Y$2,'Rozpocet - Vyvoj aplikacii'!$J$3:$J$179),0),0)</f>
        <v>0</v>
      </c>
      <c r="Z37" s="575">
        <f>IFERROR(IF(VLOOKUP(Z$2,MODULY_CBA!$B$3:$I$23,8,0)=$D37,SUMIF('Rozpocet - Vyvoj aplikacii'!$B$3:$B$179,'TCO TO BE- SW'!Z$2,'Rozpocet - Vyvoj aplikacii'!$J$3:$J$179),0),0)</f>
        <v>0</v>
      </c>
    </row>
    <row r="38" spans="1:26" outlineLevel="2">
      <c r="A38" s="841"/>
      <c r="B38" s="842"/>
      <c r="C38" s="842"/>
      <c r="D38" s="64">
        <v>2</v>
      </c>
      <c r="E38" s="68">
        <f t="shared" si="6"/>
        <v>0</v>
      </c>
      <c r="F38" s="576">
        <f>IFERROR(IF(VLOOKUP(F$2,MODULY_CBA!$B$3:$I$23,8,0)=$D38,SUMIF('Rozpocet - Vyvoj aplikacii'!$B$3:$B$179,'TCO TO BE- SW'!F$2,'Rozpocet - Vyvoj aplikacii'!$J$3:$J$179),0),0)</f>
        <v>0</v>
      </c>
      <c r="G38" s="576">
        <f>IFERROR(IF(VLOOKUP(G$2,MODULY_CBA!$B$3:$I$23,8,0)=$D38,SUMIF('Rozpocet - Vyvoj aplikacii'!$B$3:$B$179,'TCO TO BE- SW'!G$2,'Rozpocet - Vyvoj aplikacii'!$J$3:$J$179),0),0)</f>
        <v>0</v>
      </c>
      <c r="H38" s="576">
        <f>IFERROR(IF(VLOOKUP(H$2,MODULY_CBA!$B$3:$I$23,8,0)=$D38,SUMIF('Rozpocet - Vyvoj aplikacii'!$B$3:$B$179,'TCO TO BE- SW'!H$2,'Rozpocet - Vyvoj aplikacii'!$J$3:$J$179),0),0)</f>
        <v>0</v>
      </c>
      <c r="I38" s="576">
        <f>IFERROR(IF(VLOOKUP(I$2,MODULY_CBA!$B$3:$I$23,8,0)=$D38,SUMIF('Rozpocet - Vyvoj aplikacii'!$B$3:$B$179,'TCO TO BE- SW'!I$2,'Rozpocet - Vyvoj aplikacii'!$J$3:$J$179),0),0)</f>
        <v>0</v>
      </c>
      <c r="J38" s="576">
        <f>IFERROR(IF(VLOOKUP(J$2,MODULY_CBA!$B$3:$I$23,8,0)=$D38,SUMIF('Rozpocet - Vyvoj aplikacii'!$B$3:$B$179,'TCO TO BE- SW'!J$2,'Rozpocet - Vyvoj aplikacii'!$J$3:$J$179),0),0)</f>
        <v>0</v>
      </c>
      <c r="K38" s="576">
        <f>IFERROR(IF(VLOOKUP(K$2,MODULY_CBA!$B$3:$I$23,8,0)=$D38,SUMIF('Rozpocet - Vyvoj aplikacii'!$B$3:$B$179,'TCO TO BE- SW'!K$2,'Rozpocet - Vyvoj aplikacii'!$J$3:$J$179),0),0)</f>
        <v>0</v>
      </c>
      <c r="L38" s="576">
        <f>IFERROR(IF(VLOOKUP(L$2,MODULY_CBA!$B$3:$I$23,8,0)=$D38,SUMIF('Rozpocet - Vyvoj aplikacii'!$B$3:$B$179,'TCO TO BE- SW'!L$2,'Rozpocet - Vyvoj aplikacii'!$J$3:$J$179),0),0)</f>
        <v>0</v>
      </c>
      <c r="M38" s="576">
        <f>IFERROR(IF(VLOOKUP(M$2,MODULY_CBA!$B$3:$I$23,8,0)=$D38,SUMIF('Rozpocet - Vyvoj aplikacii'!$B$3:$B$179,'TCO TO BE- SW'!M$2,'Rozpocet - Vyvoj aplikacii'!$J$3:$J$179),0),0)</f>
        <v>0</v>
      </c>
      <c r="N38" s="576">
        <f>IFERROR(IF(VLOOKUP(N$2,MODULY_CBA!$B$3:$I$23,8,0)=$D38,SUMIF('Rozpocet - Vyvoj aplikacii'!$B$3:$B$179,'TCO TO BE- SW'!N$2,'Rozpocet - Vyvoj aplikacii'!$J$3:$J$179),0),0)</f>
        <v>0</v>
      </c>
      <c r="O38" s="576">
        <f>IFERROR(IF(VLOOKUP(O$2,MODULY_CBA!$B$3:$I$23,8,0)=$D38,SUMIF('Rozpocet - Vyvoj aplikacii'!$B$3:$B$179,'TCO TO BE- SW'!O$2,'Rozpocet - Vyvoj aplikacii'!$J$3:$J$179),0),0)</f>
        <v>0</v>
      </c>
      <c r="P38" s="576">
        <f>IFERROR(IF(VLOOKUP(P$2,MODULY_CBA!$B$3:$I$23,8,0)=$D38,SUMIF('Rozpocet - Vyvoj aplikacii'!$B$3:$B$179,'TCO TO BE- SW'!P$2,'Rozpocet - Vyvoj aplikacii'!$J$3:$J$179),0),0)</f>
        <v>0</v>
      </c>
      <c r="Q38" s="576">
        <f>IFERROR(IF(VLOOKUP(Q$2,MODULY_CBA!$B$3:$I$23,8,0)=$D38,SUMIF('Rozpocet - Vyvoj aplikacii'!$B$3:$B$179,'TCO TO BE- SW'!Q$2,'Rozpocet - Vyvoj aplikacii'!$J$3:$J$179),0),0)</f>
        <v>0</v>
      </c>
      <c r="R38" s="576">
        <f>IFERROR(IF(VLOOKUP(R$2,MODULY_CBA!$B$3:$I$23,8,0)=$D38,SUMIF('Rozpocet - Vyvoj aplikacii'!$B$3:$B$179,'TCO TO BE- SW'!R$2,'Rozpocet - Vyvoj aplikacii'!$J$3:$J$179),0),0)</f>
        <v>0</v>
      </c>
      <c r="S38" s="576">
        <f>IFERROR(IF(VLOOKUP(S$2,MODULY_CBA!$B$3:$I$23,8,0)=$D38,SUMIF('Rozpocet - Vyvoj aplikacii'!$B$3:$B$179,'TCO TO BE- SW'!S$2,'Rozpocet - Vyvoj aplikacii'!$J$3:$J$179),0),0)</f>
        <v>0</v>
      </c>
      <c r="T38" s="576">
        <f>IFERROR(IF(VLOOKUP(T$2,MODULY_CBA!$B$3:$I$23,8,0)=$D38,SUMIF('Rozpocet - Vyvoj aplikacii'!$B$3:$B$179,'TCO TO BE- SW'!T$2,'Rozpocet - Vyvoj aplikacii'!$J$3:$J$179),0),0)</f>
        <v>0</v>
      </c>
      <c r="U38" s="576">
        <f>IFERROR(IF(VLOOKUP(U$2,MODULY_CBA!$B$3:$I$23,8,0)=$D38,SUMIF('Rozpocet - Vyvoj aplikacii'!$B$3:$B$179,'TCO TO BE- SW'!U$2,'Rozpocet - Vyvoj aplikacii'!$J$3:$J$179),0),0)</f>
        <v>0</v>
      </c>
      <c r="V38" s="576">
        <f>IFERROR(IF(VLOOKUP(V$2,MODULY_CBA!$B$3:$I$23,8,0)=$D38,SUMIF('Rozpocet - Vyvoj aplikacii'!$B$3:$B$179,'TCO TO BE- SW'!V$2,'Rozpocet - Vyvoj aplikacii'!$J$3:$J$179),0),0)</f>
        <v>0</v>
      </c>
      <c r="W38" s="576">
        <f>IFERROR(IF(VLOOKUP(W$2,MODULY_CBA!$B$3:$I$23,8,0)=$D38,SUMIF('Rozpocet - Vyvoj aplikacii'!$B$3:$B$179,'TCO TO BE- SW'!W$2,'Rozpocet - Vyvoj aplikacii'!$J$3:$J$179),0),0)</f>
        <v>0</v>
      </c>
      <c r="X38" s="576">
        <f>IFERROR(IF(VLOOKUP(X$2,MODULY_CBA!$B$3:$I$23,8,0)=$D38,SUMIF('Rozpocet - Vyvoj aplikacii'!$B$3:$B$179,'TCO TO BE- SW'!X$2,'Rozpocet - Vyvoj aplikacii'!$J$3:$J$179),0),0)</f>
        <v>0</v>
      </c>
      <c r="Y38" s="576">
        <f>IFERROR(IF(VLOOKUP(Y$2,MODULY_CBA!$B$3:$I$23,8,0)=$D38,SUMIF('Rozpocet - Vyvoj aplikacii'!$B$3:$B$179,'TCO TO BE- SW'!Y$2,'Rozpocet - Vyvoj aplikacii'!$J$3:$J$179),0),0)</f>
        <v>0</v>
      </c>
      <c r="Z38" s="576">
        <f>IFERROR(IF(VLOOKUP(Z$2,MODULY_CBA!$B$3:$I$23,8,0)=$D38,SUMIF('Rozpocet - Vyvoj aplikacii'!$B$3:$B$179,'TCO TO BE- SW'!Z$2,'Rozpocet - Vyvoj aplikacii'!$J$3:$J$179),0),0)</f>
        <v>0</v>
      </c>
    </row>
    <row r="39" spans="1:26" outlineLevel="2">
      <c r="A39" s="841"/>
      <c r="B39" s="842"/>
      <c r="C39" s="842"/>
      <c r="D39" s="64">
        <v>3</v>
      </c>
      <c r="E39" s="68">
        <f t="shared" si="6"/>
        <v>14445608.715794325</v>
      </c>
      <c r="F39" s="576">
        <f>IFERROR(IF(VLOOKUP(F$2,MODULY_CBA!$B$3:$I$23,8,0)=$D39,SUMIF('Rozpocet - Vyvoj aplikacii'!$B$3:$B$179,'TCO TO BE- SW'!F$2,'Rozpocet - Vyvoj aplikacii'!$J$3:$J$179),0),0)</f>
        <v>233825.74468155552</v>
      </c>
      <c r="G39" s="576">
        <f>IFERROR(IF(VLOOKUP(G$2,MODULY_CBA!$B$3:$I$23,8,0)=$D39,SUMIF('Rozpocet - Vyvoj aplikacii'!$B$3:$B$179,'TCO TO BE- SW'!G$2,'Rozpocet - Vyvoj aplikacii'!$J$3:$J$179),0),0)</f>
        <v>0</v>
      </c>
      <c r="H39" s="576">
        <f>IFERROR(IF(VLOOKUP(H$2,MODULY_CBA!$B$3:$I$23,8,0)=$D39,SUMIF('Rozpocet - Vyvoj aplikacii'!$B$3:$B$179,'TCO TO BE- SW'!H$2,'Rozpocet - Vyvoj aplikacii'!$J$3:$J$179),0),0)</f>
        <v>0</v>
      </c>
      <c r="I39" s="576">
        <f>IFERROR(IF(VLOOKUP(I$2,MODULY_CBA!$B$3:$I$23,8,0)=$D39,SUMIF('Rozpocet - Vyvoj aplikacii'!$B$3:$B$179,'TCO TO BE- SW'!I$2,'Rozpocet - Vyvoj aplikacii'!$J$3:$J$179),0),0)</f>
        <v>0</v>
      </c>
      <c r="J39" s="576">
        <f>IFERROR(IF(VLOOKUP(J$2,MODULY_CBA!$B$3:$I$23,8,0)=$D39,SUMIF('Rozpocet - Vyvoj aplikacii'!$B$3:$B$179,'TCO TO BE- SW'!J$2,'Rozpocet - Vyvoj aplikacii'!$J$3:$J$179),0),0)</f>
        <v>671197.64120820619</v>
      </c>
      <c r="K39" s="576">
        <f>IFERROR(IF(VLOOKUP(K$2,MODULY_CBA!$B$3:$I$23,8,0)=$D39,SUMIF('Rozpocet - Vyvoj aplikacii'!$B$3:$B$179,'TCO TO BE- SW'!K$2,'Rozpocet - Vyvoj aplikacii'!$J$3:$J$179),0),0)</f>
        <v>0</v>
      </c>
      <c r="L39" s="576">
        <f>IFERROR(IF(VLOOKUP(L$2,MODULY_CBA!$B$3:$I$23,8,0)=$D39,SUMIF('Rozpocet - Vyvoj aplikacii'!$B$3:$B$179,'TCO TO BE- SW'!L$2,'Rozpocet - Vyvoj aplikacii'!$J$3:$J$179),0),0)</f>
        <v>0</v>
      </c>
      <c r="M39" s="576">
        <f>IFERROR(IF(VLOOKUP(M$2,MODULY_CBA!$B$3:$I$23,8,0)=$D39,SUMIF('Rozpocet - Vyvoj aplikacii'!$B$3:$B$179,'TCO TO BE- SW'!M$2,'Rozpocet - Vyvoj aplikacii'!$J$3:$J$179),0),0)</f>
        <v>9581248.1999370251</v>
      </c>
      <c r="N39" s="576">
        <f>IFERROR(IF(VLOOKUP(N$2,MODULY_CBA!$B$3:$I$23,8,0)=$D39,SUMIF('Rozpocet - Vyvoj aplikacii'!$B$3:$B$179,'TCO TO BE- SW'!N$2,'Rozpocet - Vyvoj aplikacii'!$J$3:$J$179),0),0)</f>
        <v>0</v>
      </c>
      <c r="O39" s="576">
        <f>IFERROR(IF(VLOOKUP(O$2,MODULY_CBA!$B$3:$I$23,8,0)=$D39,SUMIF('Rozpocet - Vyvoj aplikacii'!$B$3:$B$179,'TCO TO BE- SW'!O$2,'Rozpocet - Vyvoj aplikacii'!$J$3:$J$179),0),0)</f>
        <v>0</v>
      </c>
      <c r="P39" s="576">
        <f>IFERROR(IF(VLOOKUP(P$2,MODULY_CBA!$B$3:$I$23,8,0)=$D39,SUMIF('Rozpocet - Vyvoj aplikacii'!$B$3:$B$179,'TCO TO BE- SW'!P$2,'Rozpocet - Vyvoj aplikacii'!$J$3:$J$179),0),0)</f>
        <v>0</v>
      </c>
      <c r="Q39" s="576">
        <f>IFERROR(IF(VLOOKUP(Q$2,MODULY_CBA!$B$3:$I$23,8,0)=$D39,SUMIF('Rozpocet - Vyvoj aplikacii'!$B$3:$B$179,'TCO TO BE- SW'!Q$2,'Rozpocet - Vyvoj aplikacii'!$J$3:$J$179),0),0)</f>
        <v>3959337.1299675386</v>
      </c>
      <c r="R39" s="576">
        <f>IFERROR(IF(VLOOKUP(R$2,MODULY_CBA!$B$3:$I$23,8,0)=$D39,SUMIF('Rozpocet - Vyvoj aplikacii'!$B$3:$B$179,'TCO TO BE- SW'!R$2,'Rozpocet - Vyvoj aplikacii'!$J$3:$J$179),0),0)</f>
        <v>0</v>
      </c>
      <c r="S39" s="576">
        <f>IFERROR(IF(VLOOKUP(S$2,MODULY_CBA!$B$3:$I$23,8,0)=$D39,SUMIF('Rozpocet - Vyvoj aplikacii'!$B$3:$B$179,'TCO TO BE- SW'!S$2,'Rozpocet - Vyvoj aplikacii'!$J$3:$J$179),0),0)</f>
        <v>0</v>
      </c>
      <c r="T39" s="576">
        <f>IFERROR(IF(VLOOKUP(T$2,MODULY_CBA!$B$3:$I$23,8,0)=$D39,SUMIF('Rozpocet - Vyvoj aplikacii'!$B$3:$B$179,'TCO TO BE- SW'!T$2,'Rozpocet - Vyvoj aplikacii'!$J$3:$J$179),0),0)</f>
        <v>0</v>
      </c>
      <c r="U39" s="576">
        <f>IFERROR(IF(VLOOKUP(U$2,MODULY_CBA!$B$3:$I$23,8,0)=$D39,SUMIF('Rozpocet - Vyvoj aplikacii'!$B$3:$B$179,'TCO TO BE- SW'!U$2,'Rozpocet - Vyvoj aplikacii'!$J$3:$J$179),0),0)</f>
        <v>0</v>
      </c>
      <c r="V39" s="576">
        <f>IFERROR(IF(VLOOKUP(V$2,MODULY_CBA!$B$3:$I$23,8,0)=$D39,SUMIF('Rozpocet - Vyvoj aplikacii'!$B$3:$B$179,'TCO TO BE- SW'!V$2,'Rozpocet - Vyvoj aplikacii'!$J$3:$J$179),0),0)</f>
        <v>0</v>
      </c>
      <c r="W39" s="576">
        <f>IFERROR(IF(VLOOKUP(W$2,MODULY_CBA!$B$3:$I$23,8,0)=$D39,SUMIF('Rozpocet - Vyvoj aplikacii'!$B$3:$B$179,'TCO TO BE- SW'!W$2,'Rozpocet - Vyvoj aplikacii'!$J$3:$J$179),0),0)</f>
        <v>0</v>
      </c>
      <c r="X39" s="576">
        <f>IFERROR(IF(VLOOKUP(X$2,MODULY_CBA!$B$3:$I$23,8,0)=$D39,SUMIF('Rozpocet - Vyvoj aplikacii'!$B$3:$B$179,'TCO TO BE- SW'!X$2,'Rozpocet - Vyvoj aplikacii'!$J$3:$J$179),0),0)</f>
        <v>0</v>
      </c>
      <c r="Y39" s="576">
        <f>IFERROR(IF(VLOOKUP(Y$2,MODULY_CBA!$B$3:$I$23,8,0)=$D39,SUMIF('Rozpocet - Vyvoj aplikacii'!$B$3:$B$179,'TCO TO BE- SW'!Y$2,'Rozpocet - Vyvoj aplikacii'!$J$3:$J$179),0),0)</f>
        <v>0</v>
      </c>
      <c r="Z39" s="576">
        <f>IFERROR(IF(VLOOKUP(Z$2,MODULY_CBA!$B$3:$I$23,8,0)=$D39,SUMIF('Rozpocet - Vyvoj aplikacii'!$B$3:$B$179,'TCO TO BE- SW'!Z$2,'Rozpocet - Vyvoj aplikacii'!$J$3:$J$179),0),0)</f>
        <v>0</v>
      </c>
    </row>
    <row r="40" spans="1:26" outlineLevel="2">
      <c r="A40" s="841"/>
      <c r="B40" s="842"/>
      <c r="C40" s="842"/>
      <c r="D40" s="64">
        <v>4</v>
      </c>
      <c r="E40" s="68">
        <f t="shared" si="6"/>
        <v>3698035.4584528985</v>
      </c>
      <c r="F40" s="576">
        <f>IFERROR(IF(VLOOKUP(F$2,MODULY_CBA!$B$3:$I$23,8,0)=$D40,SUMIF('Rozpocet - Vyvoj aplikacii'!$B$3:$B$179,'TCO TO BE- SW'!F$2,'Rozpocet - Vyvoj aplikacii'!$J$3:$J$179),0),0)</f>
        <v>0</v>
      </c>
      <c r="G40" s="576">
        <f>IFERROR(IF(VLOOKUP(G$2,MODULY_CBA!$B$3:$I$23,8,0)=$D40,SUMIF('Rozpocet - Vyvoj aplikacii'!$B$3:$B$179,'TCO TO BE- SW'!G$2,'Rozpocet - Vyvoj aplikacii'!$J$3:$J$179),0),0)</f>
        <v>0</v>
      </c>
      <c r="H40" s="576">
        <f>IFERROR(IF(VLOOKUP(H$2,MODULY_CBA!$B$3:$I$23,8,0)=$D40,SUMIF('Rozpocet - Vyvoj aplikacii'!$B$3:$B$179,'TCO TO BE- SW'!H$2,'Rozpocet - Vyvoj aplikacii'!$J$3:$J$179),0),0)</f>
        <v>0</v>
      </c>
      <c r="I40" s="576">
        <f>IFERROR(IF(VLOOKUP(I$2,MODULY_CBA!$B$3:$I$23,8,0)=$D40,SUMIF('Rozpocet - Vyvoj aplikacii'!$B$3:$B$179,'TCO TO BE- SW'!I$2,'Rozpocet - Vyvoj aplikacii'!$J$3:$J$179),0),0)</f>
        <v>1256042.3695124327</v>
      </c>
      <c r="J40" s="576">
        <f>IFERROR(IF(VLOOKUP(J$2,MODULY_CBA!$B$3:$I$23,8,0)=$D40,SUMIF('Rozpocet - Vyvoj aplikacii'!$B$3:$B$179,'TCO TO BE- SW'!J$2,'Rozpocet - Vyvoj aplikacii'!$J$3:$J$179),0),0)</f>
        <v>0</v>
      </c>
      <c r="K40" s="576">
        <f>IFERROR(IF(VLOOKUP(K$2,MODULY_CBA!$B$3:$I$23,8,0)=$D40,SUMIF('Rozpocet - Vyvoj aplikacii'!$B$3:$B$179,'TCO TO BE- SW'!K$2,'Rozpocet - Vyvoj aplikacii'!$J$3:$J$179),0),0)</f>
        <v>0</v>
      </c>
      <c r="L40" s="576">
        <f>IFERROR(IF(VLOOKUP(L$2,MODULY_CBA!$B$3:$I$23,8,0)=$D40,SUMIF('Rozpocet - Vyvoj aplikacii'!$B$3:$B$179,'TCO TO BE- SW'!L$2,'Rozpocet - Vyvoj aplikacii'!$J$3:$J$179),0),0)</f>
        <v>597180.85871908069</v>
      </c>
      <c r="M40" s="576">
        <f>IFERROR(IF(VLOOKUP(M$2,MODULY_CBA!$B$3:$I$23,8,0)=$D40,SUMIF('Rozpocet - Vyvoj aplikacii'!$B$3:$B$179,'TCO TO BE- SW'!M$2,'Rozpocet - Vyvoj aplikacii'!$J$3:$J$179),0),0)</f>
        <v>0</v>
      </c>
      <c r="N40" s="576">
        <f>IFERROR(IF(VLOOKUP(N$2,MODULY_CBA!$B$3:$I$23,8,0)=$D40,SUMIF('Rozpocet - Vyvoj aplikacii'!$B$3:$B$179,'TCO TO BE- SW'!N$2,'Rozpocet - Vyvoj aplikacii'!$J$3:$J$179),0),0)</f>
        <v>1139409.8637719925</v>
      </c>
      <c r="O40" s="576">
        <f>IFERROR(IF(VLOOKUP(O$2,MODULY_CBA!$B$3:$I$23,8,0)=$D40,SUMIF('Rozpocet - Vyvoj aplikacii'!$B$3:$B$179,'TCO TO BE- SW'!O$2,'Rozpocet - Vyvoj aplikacii'!$J$3:$J$179),0),0)</f>
        <v>0</v>
      </c>
      <c r="P40" s="576">
        <f>IFERROR(IF(VLOOKUP(P$2,MODULY_CBA!$B$3:$I$23,8,0)=$D40,SUMIF('Rozpocet - Vyvoj aplikacii'!$B$3:$B$179,'TCO TO BE- SW'!P$2,'Rozpocet - Vyvoj aplikacii'!$J$3:$J$179),0),0)</f>
        <v>705402.36644939298</v>
      </c>
      <c r="Q40" s="576">
        <f>IFERROR(IF(VLOOKUP(Q$2,MODULY_CBA!$B$3:$I$23,8,0)=$D40,SUMIF('Rozpocet - Vyvoj aplikacii'!$B$3:$B$179,'TCO TO BE- SW'!Q$2,'Rozpocet - Vyvoj aplikacii'!$J$3:$J$179),0),0)</f>
        <v>0</v>
      </c>
      <c r="R40" s="576">
        <f>IFERROR(IF(VLOOKUP(R$2,MODULY_CBA!$B$3:$I$23,8,0)=$D40,SUMIF('Rozpocet - Vyvoj aplikacii'!$B$3:$B$179,'TCO TO BE- SW'!R$2,'Rozpocet - Vyvoj aplikacii'!$J$3:$J$179),0),0)</f>
        <v>0</v>
      </c>
      <c r="S40" s="576">
        <f>IFERROR(IF(VLOOKUP(S$2,MODULY_CBA!$B$3:$I$23,8,0)=$D40,SUMIF('Rozpocet - Vyvoj aplikacii'!$B$3:$B$179,'TCO TO BE- SW'!S$2,'Rozpocet - Vyvoj aplikacii'!$J$3:$J$179),0),0)</f>
        <v>0</v>
      </c>
      <c r="T40" s="576">
        <f>IFERROR(IF(VLOOKUP(T$2,MODULY_CBA!$B$3:$I$23,8,0)=$D40,SUMIF('Rozpocet - Vyvoj aplikacii'!$B$3:$B$179,'TCO TO BE- SW'!T$2,'Rozpocet - Vyvoj aplikacii'!$J$3:$J$179),0),0)</f>
        <v>0</v>
      </c>
      <c r="U40" s="576">
        <f>IFERROR(IF(VLOOKUP(U$2,MODULY_CBA!$B$3:$I$23,8,0)=$D40,SUMIF('Rozpocet - Vyvoj aplikacii'!$B$3:$B$179,'TCO TO BE- SW'!U$2,'Rozpocet - Vyvoj aplikacii'!$J$3:$J$179),0),0)</f>
        <v>0</v>
      </c>
      <c r="V40" s="576">
        <f>IFERROR(IF(VLOOKUP(V$2,MODULY_CBA!$B$3:$I$23,8,0)=$D40,SUMIF('Rozpocet - Vyvoj aplikacii'!$B$3:$B$179,'TCO TO BE- SW'!V$2,'Rozpocet - Vyvoj aplikacii'!$J$3:$J$179),0),0)</f>
        <v>0</v>
      </c>
      <c r="W40" s="576">
        <f>IFERROR(IF(VLOOKUP(W$2,MODULY_CBA!$B$3:$I$23,8,0)=$D40,SUMIF('Rozpocet - Vyvoj aplikacii'!$B$3:$B$179,'TCO TO BE- SW'!W$2,'Rozpocet - Vyvoj aplikacii'!$J$3:$J$179),0),0)</f>
        <v>0</v>
      </c>
      <c r="X40" s="576">
        <f>IFERROR(IF(VLOOKUP(X$2,MODULY_CBA!$B$3:$I$23,8,0)=$D40,SUMIF('Rozpocet - Vyvoj aplikacii'!$B$3:$B$179,'TCO TO BE- SW'!X$2,'Rozpocet - Vyvoj aplikacii'!$J$3:$J$179),0),0)</f>
        <v>0</v>
      </c>
      <c r="Y40" s="576">
        <f>IFERROR(IF(VLOOKUP(Y$2,MODULY_CBA!$B$3:$I$23,8,0)=$D40,SUMIF('Rozpocet - Vyvoj aplikacii'!$B$3:$B$179,'TCO TO BE- SW'!Y$2,'Rozpocet - Vyvoj aplikacii'!$J$3:$J$179),0),0)</f>
        <v>0</v>
      </c>
      <c r="Z40" s="576">
        <f>IFERROR(IF(VLOOKUP(Z$2,MODULY_CBA!$B$3:$I$23,8,0)=$D40,SUMIF('Rozpocet - Vyvoj aplikacii'!$B$3:$B$179,'TCO TO BE- SW'!Z$2,'Rozpocet - Vyvoj aplikacii'!$J$3:$J$179),0),0)</f>
        <v>0</v>
      </c>
    </row>
    <row r="41" spans="1:26" outlineLevel="2">
      <c r="A41" s="841"/>
      <c r="B41" s="842"/>
      <c r="C41" s="842"/>
      <c r="D41" s="64">
        <v>5</v>
      </c>
      <c r="E41" s="68">
        <f t="shared" si="6"/>
        <v>0</v>
      </c>
      <c r="F41" s="576">
        <f>IFERROR(IF(VLOOKUP(F$2,MODULY_CBA!$B$3:$I$23,8,0)=$D41,SUMIF('Rozpocet - Vyvoj aplikacii'!$B$3:$B$179,'TCO TO BE- SW'!F$2,'Rozpocet - Vyvoj aplikacii'!$J$3:$J$179),0),0)</f>
        <v>0</v>
      </c>
      <c r="G41" s="576">
        <f>IFERROR(IF(VLOOKUP(G$2,MODULY_CBA!$B$3:$I$23,8,0)=$D41,SUMIF('Rozpocet - Vyvoj aplikacii'!$B$3:$B$179,'TCO TO BE- SW'!G$2,'Rozpocet - Vyvoj aplikacii'!$J$3:$J$179),0),0)</f>
        <v>0</v>
      </c>
      <c r="H41" s="576">
        <f>IFERROR(IF(VLOOKUP(H$2,MODULY_CBA!$B$3:$I$23,8,0)=$D41,SUMIF('Rozpocet - Vyvoj aplikacii'!$B$3:$B$179,'TCO TO BE- SW'!H$2,'Rozpocet - Vyvoj aplikacii'!$J$3:$J$179),0),0)</f>
        <v>0</v>
      </c>
      <c r="I41" s="576">
        <f>IFERROR(IF(VLOOKUP(I$2,MODULY_CBA!$B$3:$I$23,8,0)=$D41,SUMIF('Rozpocet - Vyvoj aplikacii'!$B$3:$B$179,'TCO TO BE- SW'!I$2,'Rozpocet - Vyvoj aplikacii'!$J$3:$J$179),0),0)</f>
        <v>0</v>
      </c>
      <c r="J41" s="576">
        <f>IFERROR(IF(VLOOKUP(J$2,MODULY_CBA!$B$3:$I$23,8,0)=$D41,SUMIF('Rozpocet - Vyvoj aplikacii'!$B$3:$B$179,'TCO TO BE- SW'!J$2,'Rozpocet - Vyvoj aplikacii'!$J$3:$J$179),0),0)</f>
        <v>0</v>
      </c>
      <c r="K41" s="576">
        <f>IFERROR(IF(VLOOKUP(K$2,MODULY_CBA!$B$3:$I$23,8,0)=$D41,SUMIF('Rozpocet - Vyvoj aplikacii'!$B$3:$B$179,'TCO TO BE- SW'!K$2,'Rozpocet - Vyvoj aplikacii'!$J$3:$J$179),0),0)</f>
        <v>0</v>
      </c>
      <c r="L41" s="576">
        <f>IFERROR(IF(VLOOKUP(L$2,MODULY_CBA!$B$3:$I$23,8,0)=$D41,SUMIF('Rozpocet - Vyvoj aplikacii'!$B$3:$B$179,'TCO TO BE- SW'!L$2,'Rozpocet - Vyvoj aplikacii'!$J$3:$J$179),0),0)</f>
        <v>0</v>
      </c>
      <c r="M41" s="576">
        <f>IFERROR(IF(VLOOKUP(M$2,MODULY_CBA!$B$3:$I$23,8,0)=$D41,SUMIF('Rozpocet - Vyvoj aplikacii'!$B$3:$B$179,'TCO TO BE- SW'!M$2,'Rozpocet - Vyvoj aplikacii'!$J$3:$J$179),0),0)</f>
        <v>0</v>
      </c>
      <c r="N41" s="576">
        <f>IFERROR(IF(VLOOKUP(N$2,MODULY_CBA!$B$3:$I$23,8,0)=$D41,SUMIF('Rozpocet - Vyvoj aplikacii'!$B$3:$B$179,'TCO TO BE- SW'!N$2,'Rozpocet - Vyvoj aplikacii'!$J$3:$J$179),0),0)</f>
        <v>0</v>
      </c>
      <c r="O41" s="576">
        <f>IFERROR(IF(VLOOKUP(O$2,MODULY_CBA!$B$3:$I$23,8,0)=$D41,SUMIF('Rozpocet - Vyvoj aplikacii'!$B$3:$B$179,'TCO TO BE- SW'!O$2,'Rozpocet - Vyvoj aplikacii'!$J$3:$J$179),0),0)</f>
        <v>0</v>
      </c>
      <c r="P41" s="576">
        <f>IFERROR(IF(VLOOKUP(P$2,MODULY_CBA!$B$3:$I$23,8,0)=$D41,SUMIF('Rozpocet - Vyvoj aplikacii'!$B$3:$B$179,'TCO TO BE- SW'!P$2,'Rozpocet - Vyvoj aplikacii'!$J$3:$J$179),0),0)</f>
        <v>0</v>
      </c>
      <c r="Q41" s="576">
        <f>IFERROR(IF(VLOOKUP(Q$2,MODULY_CBA!$B$3:$I$23,8,0)=$D41,SUMIF('Rozpocet - Vyvoj aplikacii'!$B$3:$B$179,'TCO TO BE- SW'!Q$2,'Rozpocet - Vyvoj aplikacii'!$J$3:$J$179),0),0)</f>
        <v>0</v>
      </c>
      <c r="R41" s="576">
        <f>IFERROR(IF(VLOOKUP(R$2,MODULY_CBA!$B$3:$I$23,8,0)=$D41,SUMIF('Rozpocet - Vyvoj aplikacii'!$B$3:$B$179,'TCO TO BE- SW'!R$2,'Rozpocet - Vyvoj aplikacii'!$J$3:$J$179),0),0)</f>
        <v>0</v>
      </c>
      <c r="S41" s="576">
        <f>IFERROR(IF(VLOOKUP(S$2,MODULY_CBA!$B$3:$I$23,8,0)=$D41,SUMIF('Rozpocet - Vyvoj aplikacii'!$B$3:$B$179,'TCO TO BE- SW'!S$2,'Rozpocet - Vyvoj aplikacii'!$J$3:$J$179),0),0)</f>
        <v>0</v>
      </c>
      <c r="T41" s="576">
        <f>IFERROR(IF(VLOOKUP(T$2,MODULY_CBA!$B$3:$I$23,8,0)=$D41,SUMIF('Rozpocet - Vyvoj aplikacii'!$B$3:$B$179,'TCO TO BE- SW'!T$2,'Rozpocet - Vyvoj aplikacii'!$J$3:$J$179),0),0)</f>
        <v>0</v>
      </c>
      <c r="U41" s="576">
        <f>IFERROR(IF(VLOOKUP(U$2,MODULY_CBA!$B$3:$I$23,8,0)=$D41,SUMIF('Rozpocet - Vyvoj aplikacii'!$B$3:$B$179,'TCO TO BE- SW'!U$2,'Rozpocet - Vyvoj aplikacii'!$J$3:$J$179),0),0)</f>
        <v>0</v>
      </c>
      <c r="V41" s="576">
        <f>IFERROR(IF(VLOOKUP(V$2,MODULY_CBA!$B$3:$I$23,8,0)=$D41,SUMIF('Rozpocet - Vyvoj aplikacii'!$B$3:$B$179,'TCO TO BE- SW'!V$2,'Rozpocet - Vyvoj aplikacii'!$J$3:$J$179),0),0)</f>
        <v>0</v>
      </c>
      <c r="W41" s="576">
        <f>IFERROR(IF(VLOOKUP(W$2,MODULY_CBA!$B$3:$I$23,8,0)=$D41,SUMIF('Rozpocet - Vyvoj aplikacii'!$B$3:$B$179,'TCO TO BE- SW'!W$2,'Rozpocet - Vyvoj aplikacii'!$J$3:$J$179),0),0)</f>
        <v>0</v>
      </c>
      <c r="X41" s="576">
        <f>IFERROR(IF(VLOOKUP(X$2,MODULY_CBA!$B$3:$I$23,8,0)=$D41,SUMIF('Rozpocet - Vyvoj aplikacii'!$B$3:$B$179,'TCO TO BE- SW'!X$2,'Rozpocet - Vyvoj aplikacii'!$J$3:$J$179),0),0)</f>
        <v>0</v>
      </c>
      <c r="Y41" s="576">
        <f>IFERROR(IF(VLOOKUP(Y$2,MODULY_CBA!$B$3:$I$23,8,0)=$D41,SUMIF('Rozpocet - Vyvoj aplikacii'!$B$3:$B$179,'TCO TO BE- SW'!Y$2,'Rozpocet - Vyvoj aplikacii'!$J$3:$J$179),0),0)</f>
        <v>0</v>
      </c>
      <c r="Z41" s="576">
        <f>IFERROR(IF(VLOOKUP(Z$2,MODULY_CBA!$B$3:$I$23,8,0)=$D41,SUMIF('Rozpocet - Vyvoj aplikacii'!$B$3:$B$179,'TCO TO BE- SW'!Z$2,'Rozpocet - Vyvoj aplikacii'!$J$3:$J$179),0),0)</f>
        <v>0</v>
      </c>
    </row>
    <row r="42" spans="1:26" outlineLevel="2">
      <c r="A42" s="841"/>
      <c r="B42" s="842"/>
      <c r="C42" s="842"/>
      <c r="D42" s="64">
        <v>6</v>
      </c>
      <c r="E42" s="68">
        <f t="shared" si="6"/>
        <v>0</v>
      </c>
      <c r="F42" s="576">
        <f>IFERROR(IF(VLOOKUP(F$2,MODULY_CBA!$B$3:$I$23,8,0)=$D42,SUMIF('Rozpocet - Vyvoj aplikacii'!$B$3:$B$179,'TCO TO BE- SW'!F$2,'Rozpocet - Vyvoj aplikacii'!$J$3:$J$179),0),0)</f>
        <v>0</v>
      </c>
      <c r="G42" s="576">
        <f>IFERROR(IF(VLOOKUP(G$2,MODULY_CBA!$B$3:$I$23,8,0)=$D42,SUMIF('Rozpocet - Vyvoj aplikacii'!$B$3:$B$179,'TCO TO BE- SW'!G$2,'Rozpocet - Vyvoj aplikacii'!$J$3:$J$179),0),0)</f>
        <v>0</v>
      </c>
      <c r="H42" s="576">
        <f>IFERROR(IF(VLOOKUP(H$2,MODULY_CBA!$B$3:$I$23,8,0)=$D42,SUMIF('Rozpocet - Vyvoj aplikacii'!$B$3:$B$179,'TCO TO BE- SW'!H$2,'Rozpocet - Vyvoj aplikacii'!$J$3:$J$179),0),0)</f>
        <v>0</v>
      </c>
      <c r="I42" s="576">
        <f>IFERROR(IF(VLOOKUP(I$2,MODULY_CBA!$B$3:$I$23,8,0)=$D42,SUMIF('Rozpocet - Vyvoj aplikacii'!$B$3:$B$179,'TCO TO BE- SW'!I$2,'Rozpocet - Vyvoj aplikacii'!$J$3:$J$179),0),0)</f>
        <v>0</v>
      </c>
      <c r="J42" s="576">
        <f>IFERROR(IF(VLOOKUP(J$2,MODULY_CBA!$B$3:$I$23,8,0)=$D42,SUMIF('Rozpocet - Vyvoj aplikacii'!$B$3:$B$179,'TCO TO BE- SW'!J$2,'Rozpocet - Vyvoj aplikacii'!$J$3:$J$179),0),0)</f>
        <v>0</v>
      </c>
      <c r="K42" s="576">
        <f>IFERROR(IF(VLOOKUP(K$2,MODULY_CBA!$B$3:$I$23,8,0)=$D42,SUMIF('Rozpocet - Vyvoj aplikacii'!$B$3:$B$179,'TCO TO BE- SW'!K$2,'Rozpocet - Vyvoj aplikacii'!$J$3:$J$179),0),0)</f>
        <v>0</v>
      </c>
      <c r="L42" s="576">
        <f>IFERROR(IF(VLOOKUP(L$2,MODULY_CBA!$B$3:$I$23,8,0)=$D42,SUMIF('Rozpocet - Vyvoj aplikacii'!$B$3:$B$179,'TCO TO BE- SW'!L$2,'Rozpocet - Vyvoj aplikacii'!$J$3:$J$179),0),0)</f>
        <v>0</v>
      </c>
      <c r="M42" s="576">
        <f>IFERROR(IF(VLOOKUP(M$2,MODULY_CBA!$B$3:$I$23,8,0)=$D42,SUMIF('Rozpocet - Vyvoj aplikacii'!$B$3:$B$179,'TCO TO BE- SW'!M$2,'Rozpocet - Vyvoj aplikacii'!$J$3:$J$179),0),0)</f>
        <v>0</v>
      </c>
      <c r="N42" s="576">
        <f>IFERROR(IF(VLOOKUP(N$2,MODULY_CBA!$B$3:$I$23,8,0)=$D42,SUMIF('Rozpocet - Vyvoj aplikacii'!$B$3:$B$179,'TCO TO BE- SW'!N$2,'Rozpocet - Vyvoj aplikacii'!$J$3:$J$179),0),0)</f>
        <v>0</v>
      </c>
      <c r="O42" s="576">
        <f>IFERROR(IF(VLOOKUP(O$2,MODULY_CBA!$B$3:$I$23,8,0)=$D42,SUMIF('Rozpocet - Vyvoj aplikacii'!$B$3:$B$179,'TCO TO BE- SW'!O$2,'Rozpocet - Vyvoj aplikacii'!$J$3:$J$179),0),0)</f>
        <v>0</v>
      </c>
      <c r="P42" s="576">
        <f>IFERROR(IF(VLOOKUP(P$2,MODULY_CBA!$B$3:$I$23,8,0)=$D42,SUMIF('Rozpocet - Vyvoj aplikacii'!$B$3:$B$179,'TCO TO BE- SW'!P$2,'Rozpocet - Vyvoj aplikacii'!$J$3:$J$179),0),0)</f>
        <v>0</v>
      </c>
      <c r="Q42" s="576">
        <f>IFERROR(IF(VLOOKUP(Q$2,MODULY_CBA!$B$3:$I$23,8,0)=$D42,SUMIF('Rozpocet - Vyvoj aplikacii'!$B$3:$B$179,'TCO TO BE- SW'!Q$2,'Rozpocet - Vyvoj aplikacii'!$J$3:$J$179),0),0)</f>
        <v>0</v>
      </c>
      <c r="R42" s="576">
        <f>IFERROR(IF(VLOOKUP(R$2,MODULY_CBA!$B$3:$I$23,8,0)=$D42,SUMIF('Rozpocet - Vyvoj aplikacii'!$B$3:$B$179,'TCO TO BE- SW'!R$2,'Rozpocet - Vyvoj aplikacii'!$J$3:$J$179),0),0)</f>
        <v>0</v>
      </c>
      <c r="S42" s="576">
        <f>IFERROR(IF(VLOOKUP(S$2,MODULY_CBA!$B$3:$I$23,8,0)=$D42,SUMIF('Rozpocet - Vyvoj aplikacii'!$B$3:$B$179,'TCO TO BE- SW'!S$2,'Rozpocet - Vyvoj aplikacii'!$J$3:$J$179),0),0)</f>
        <v>0</v>
      </c>
      <c r="T42" s="576">
        <f>IFERROR(IF(VLOOKUP(T$2,MODULY_CBA!$B$3:$I$23,8,0)=$D42,SUMIF('Rozpocet - Vyvoj aplikacii'!$B$3:$B$179,'TCO TO BE- SW'!T$2,'Rozpocet - Vyvoj aplikacii'!$J$3:$J$179),0),0)</f>
        <v>0</v>
      </c>
      <c r="U42" s="576">
        <f>IFERROR(IF(VLOOKUP(U$2,MODULY_CBA!$B$3:$I$23,8,0)=$D42,SUMIF('Rozpocet - Vyvoj aplikacii'!$B$3:$B$179,'TCO TO BE- SW'!U$2,'Rozpocet - Vyvoj aplikacii'!$J$3:$J$179),0),0)</f>
        <v>0</v>
      </c>
      <c r="V42" s="576">
        <f>IFERROR(IF(VLOOKUP(V$2,MODULY_CBA!$B$3:$I$23,8,0)=$D42,SUMIF('Rozpocet - Vyvoj aplikacii'!$B$3:$B$179,'TCO TO BE- SW'!V$2,'Rozpocet - Vyvoj aplikacii'!$J$3:$J$179),0),0)</f>
        <v>0</v>
      </c>
      <c r="W42" s="576">
        <f>IFERROR(IF(VLOOKUP(W$2,MODULY_CBA!$B$3:$I$23,8,0)=$D42,SUMIF('Rozpocet - Vyvoj aplikacii'!$B$3:$B$179,'TCO TO BE- SW'!W$2,'Rozpocet - Vyvoj aplikacii'!$J$3:$J$179),0),0)</f>
        <v>0</v>
      </c>
      <c r="X42" s="576">
        <f>IFERROR(IF(VLOOKUP(X$2,MODULY_CBA!$B$3:$I$23,8,0)=$D42,SUMIF('Rozpocet - Vyvoj aplikacii'!$B$3:$B$179,'TCO TO BE- SW'!X$2,'Rozpocet - Vyvoj aplikacii'!$J$3:$J$179),0),0)</f>
        <v>0</v>
      </c>
      <c r="Y42" s="576">
        <f>IFERROR(IF(VLOOKUP(Y$2,MODULY_CBA!$B$3:$I$23,8,0)=$D42,SUMIF('Rozpocet - Vyvoj aplikacii'!$B$3:$B$179,'TCO TO BE- SW'!Y$2,'Rozpocet - Vyvoj aplikacii'!$J$3:$J$179),0),0)</f>
        <v>0</v>
      </c>
      <c r="Z42" s="576">
        <f>IFERROR(IF(VLOOKUP(Z$2,MODULY_CBA!$B$3:$I$23,8,0)=$D42,SUMIF('Rozpocet - Vyvoj aplikacii'!$B$3:$B$179,'TCO TO BE- SW'!Z$2,'Rozpocet - Vyvoj aplikacii'!$J$3:$J$179),0),0)</f>
        <v>0</v>
      </c>
    </row>
    <row r="43" spans="1:26" outlineLevel="2">
      <c r="A43" s="841"/>
      <c r="B43" s="842"/>
      <c r="C43" s="842"/>
      <c r="D43" s="64">
        <v>7</v>
      </c>
      <c r="E43" s="68">
        <f t="shared" si="6"/>
        <v>0</v>
      </c>
      <c r="F43" s="576">
        <f>IFERROR(IF(VLOOKUP(F$2,MODULY_CBA!$B$3:$I$23,8,0)=$D43,SUMIF('Rozpocet - Vyvoj aplikacii'!$B$3:$B$179,'TCO TO BE- SW'!F$2,'Rozpocet - Vyvoj aplikacii'!$J$3:$J$179),0),0)</f>
        <v>0</v>
      </c>
      <c r="G43" s="576">
        <f>IFERROR(IF(VLOOKUP(G$2,MODULY_CBA!$B$3:$I$23,8,0)=$D43,SUMIF('Rozpocet - Vyvoj aplikacii'!$B$3:$B$179,'TCO TO BE- SW'!G$2,'Rozpocet - Vyvoj aplikacii'!$J$3:$J$179),0),0)</f>
        <v>0</v>
      </c>
      <c r="H43" s="576">
        <f>IFERROR(IF(VLOOKUP(H$2,MODULY_CBA!$B$3:$I$23,8,0)=$D43,SUMIF('Rozpocet - Vyvoj aplikacii'!$B$3:$B$179,'TCO TO BE- SW'!H$2,'Rozpocet - Vyvoj aplikacii'!$J$3:$J$179),0),0)</f>
        <v>0</v>
      </c>
      <c r="I43" s="576">
        <f>IFERROR(IF(VLOOKUP(I$2,MODULY_CBA!$B$3:$I$23,8,0)=$D43,SUMIF('Rozpocet - Vyvoj aplikacii'!$B$3:$B$179,'TCO TO BE- SW'!I$2,'Rozpocet - Vyvoj aplikacii'!$J$3:$J$179),0),0)</f>
        <v>0</v>
      </c>
      <c r="J43" s="576">
        <f>IFERROR(IF(VLOOKUP(J$2,MODULY_CBA!$B$3:$I$23,8,0)=$D43,SUMIF('Rozpocet - Vyvoj aplikacii'!$B$3:$B$179,'TCO TO BE- SW'!J$2,'Rozpocet - Vyvoj aplikacii'!$J$3:$J$179),0),0)</f>
        <v>0</v>
      </c>
      <c r="K43" s="576">
        <f>IFERROR(IF(VLOOKUP(K$2,MODULY_CBA!$B$3:$I$23,8,0)=$D43,SUMIF('Rozpocet - Vyvoj aplikacii'!$B$3:$B$179,'TCO TO BE- SW'!K$2,'Rozpocet - Vyvoj aplikacii'!$J$3:$J$179),0),0)</f>
        <v>0</v>
      </c>
      <c r="L43" s="576">
        <f>IFERROR(IF(VLOOKUP(L$2,MODULY_CBA!$B$3:$I$23,8,0)=$D43,SUMIF('Rozpocet - Vyvoj aplikacii'!$B$3:$B$179,'TCO TO BE- SW'!L$2,'Rozpocet - Vyvoj aplikacii'!$J$3:$J$179),0),0)</f>
        <v>0</v>
      </c>
      <c r="M43" s="576">
        <f>IFERROR(IF(VLOOKUP(M$2,MODULY_CBA!$B$3:$I$23,8,0)=$D43,SUMIF('Rozpocet - Vyvoj aplikacii'!$B$3:$B$179,'TCO TO BE- SW'!M$2,'Rozpocet - Vyvoj aplikacii'!$J$3:$J$179),0),0)</f>
        <v>0</v>
      </c>
      <c r="N43" s="576">
        <f>IFERROR(IF(VLOOKUP(N$2,MODULY_CBA!$B$3:$I$23,8,0)=$D43,SUMIF('Rozpocet - Vyvoj aplikacii'!$B$3:$B$179,'TCO TO BE- SW'!N$2,'Rozpocet - Vyvoj aplikacii'!$J$3:$J$179),0),0)</f>
        <v>0</v>
      </c>
      <c r="O43" s="576">
        <f>IFERROR(IF(VLOOKUP(O$2,MODULY_CBA!$B$3:$I$23,8,0)=$D43,SUMIF('Rozpocet - Vyvoj aplikacii'!$B$3:$B$179,'TCO TO BE- SW'!O$2,'Rozpocet - Vyvoj aplikacii'!$J$3:$J$179),0),0)</f>
        <v>0</v>
      </c>
      <c r="P43" s="576">
        <f>IFERROR(IF(VLOOKUP(P$2,MODULY_CBA!$B$3:$I$23,8,0)=$D43,SUMIF('Rozpocet - Vyvoj aplikacii'!$B$3:$B$179,'TCO TO BE- SW'!P$2,'Rozpocet - Vyvoj aplikacii'!$J$3:$J$179),0),0)</f>
        <v>0</v>
      </c>
      <c r="Q43" s="576">
        <f>IFERROR(IF(VLOOKUP(Q$2,MODULY_CBA!$B$3:$I$23,8,0)=$D43,SUMIF('Rozpocet - Vyvoj aplikacii'!$B$3:$B$179,'TCO TO BE- SW'!Q$2,'Rozpocet - Vyvoj aplikacii'!$J$3:$J$179),0),0)</f>
        <v>0</v>
      </c>
      <c r="R43" s="576">
        <f>IFERROR(IF(VLOOKUP(R$2,MODULY_CBA!$B$3:$I$23,8,0)=$D43,SUMIF('Rozpocet - Vyvoj aplikacii'!$B$3:$B$179,'TCO TO BE- SW'!R$2,'Rozpocet - Vyvoj aplikacii'!$J$3:$J$179),0),0)</f>
        <v>0</v>
      </c>
      <c r="S43" s="576">
        <f>IFERROR(IF(VLOOKUP(S$2,MODULY_CBA!$B$3:$I$23,8,0)=$D43,SUMIF('Rozpocet - Vyvoj aplikacii'!$B$3:$B$179,'TCO TO BE- SW'!S$2,'Rozpocet - Vyvoj aplikacii'!$J$3:$J$179),0),0)</f>
        <v>0</v>
      </c>
      <c r="T43" s="576">
        <f>IFERROR(IF(VLOOKUP(T$2,MODULY_CBA!$B$3:$I$23,8,0)=$D43,SUMIF('Rozpocet - Vyvoj aplikacii'!$B$3:$B$179,'TCO TO BE- SW'!T$2,'Rozpocet - Vyvoj aplikacii'!$J$3:$J$179),0),0)</f>
        <v>0</v>
      </c>
      <c r="U43" s="576">
        <f>IFERROR(IF(VLOOKUP(U$2,MODULY_CBA!$B$3:$I$23,8,0)=$D43,SUMIF('Rozpocet - Vyvoj aplikacii'!$B$3:$B$179,'TCO TO BE- SW'!U$2,'Rozpocet - Vyvoj aplikacii'!$J$3:$J$179),0),0)</f>
        <v>0</v>
      </c>
      <c r="V43" s="576">
        <f>IFERROR(IF(VLOOKUP(V$2,MODULY_CBA!$B$3:$I$23,8,0)=$D43,SUMIF('Rozpocet - Vyvoj aplikacii'!$B$3:$B$179,'TCO TO BE- SW'!V$2,'Rozpocet - Vyvoj aplikacii'!$J$3:$J$179),0),0)</f>
        <v>0</v>
      </c>
      <c r="W43" s="576">
        <f>IFERROR(IF(VLOOKUP(W$2,MODULY_CBA!$B$3:$I$23,8,0)=$D43,SUMIF('Rozpocet - Vyvoj aplikacii'!$B$3:$B$179,'TCO TO BE- SW'!W$2,'Rozpocet - Vyvoj aplikacii'!$J$3:$J$179),0),0)</f>
        <v>0</v>
      </c>
      <c r="X43" s="576">
        <f>IFERROR(IF(VLOOKUP(X$2,MODULY_CBA!$B$3:$I$23,8,0)=$D43,SUMIF('Rozpocet - Vyvoj aplikacii'!$B$3:$B$179,'TCO TO BE- SW'!X$2,'Rozpocet - Vyvoj aplikacii'!$J$3:$J$179),0),0)</f>
        <v>0</v>
      </c>
      <c r="Y43" s="576">
        <f>IFERROR(IF(VLOOKUP(Y$2,MODULY_CBA!$B$3:$I$23,8,0)=$D43,SUMIF('Rozpocet - Vyvoj aplikacii'!$B$3:$B$179,'TCO TO BE- SW'!Y$2,'Rozpocet - Vyvoj aplikacii'!$J$3:$J$179),0),0)</f>
        <v>0</v>
      </c>
      <c r="Z43" s="576">
        <f>IFERROR(IF(VLOOKUP(Z$2,MODULY_CBA!$B$3:$I$23,8,0)=$D43,SUMIF('Rozpocet - Vyvoj aplikacii'!$B$3:$B$179,'TCO TO BE- SW'!Z$2,'Rozpocet - Vyvoj aplikacii'!$J$3:$J$179),0),0)</f>
        <v>0</v>
      </c>
    </row>
    <row r="44" spans="1:26" outlineLevel="2">
      <c r="A44" s="841"/>
      <c r="B44" s="842"/>
      <c r="C44" s="842"/>
      <c r="D44" s="64">
        <v>8</v>
      </c>
      <c r="E44" s="68">
        <f t="shared" si="6"/>
        <v>0</v>
      </c>
      <c r="F44" s="576">
        <f>IFERROR(IF(VLOOKUP(F$2,MODULY_CBA!$B$3:$I$23,8,0)=$D44,SUMIF('Rozpocet - Vyvoj aplikacii'!$B$3:$B$179,'TCO TO BE- SW'!F$2,'Rozpocet - Vyvoj aplikacii'!$J$3:$J$179),0),0)</f>
        <v>0</v>
      </c>
      <c r="G44" s="576">
        <f>IFERROR(IF(VLOOKUP(G$2,MODULY_CBA!$B$3:$I$23,8,0)=$D44,SUMIF('Rozpocet - Vyvoj aplikacii'!$B$3:$B$179,'TCO TO BE- SW'!G$2,'Rozpocet - Vyvoj aplikacii'!$J$3:$J$179),0),0)</f>
        <v>0</v>
      </c>
      <c r="H44" s="576">
        <f>IFERROR(IF(VLOOKUP(H$2,MODULY_CBA!$B$3:$I$23,8,0)=$D44,SUMIF('Rozpocet - Vyvoj aplikacii'!$B$3:$B$179,'TCO TO BE- SW'!H$2,'Rozpocet - Vyvoj aplikacii'!$J$3:$J$179),0),0)</f>
        <v>0</v>
      </c>
      <c r="I44" s="576">
        <f>IFERROR(IF(VLOOKUP(I$2,MODULY_CBA!$B$3:$I$23,8,0)=$D44,SUMIF('Rozpocet - Vyvoj aplikacii'!$B$3:$B$179,'TCO TO BE- SW'!I$2,'Rozpocet - Vyvoj aplikacii'!$J$3:$J$179),0),0)</f>
        <v>0</v>
      </c>
      <c r="J44" s="576">
        <f>IFERROR(IF(VLOOKUP(J$2,MODULY_CBA!$B$3:$I$23,8,0)=$D44,SUMIF('Rozpocet - Vyvoj aplikacii'!$B$3:$B$179,'TCO TO BE- SW'!J$2,'Rozpocet - Vyvoj aplikacii'!$J$3:$J$179),0),0)</f>
        <v>0</v>
      </c>
      <c r="K44" s="576">
        <f>IFERROR(IF(VLOOKUP(K$2,MODULY_CBA!$B$3:$I$23,8,0)=$D44,SUMIF('Rozpocet - Vyvoj aplikacii'!$B$3:$B$179,'TCO TO BE- SW'!K$2,'Rozpocet - Vyvoj aplikacii'!$J$3:$J$179),0),0)</f>
        <v>0</v>
      </c>
      <c r="L44" s="576">
        <f>IFERROR(IF(VLOOKUP(L$2,MODULY_CBA!$B$3:$I$23,8,0)=$D44,SUMIF('Rozpocet - Vyvoj aplikacii'!$B$3:$B$179,'TCO TO BE- SW'!L$2,'Rozpocet - Vyvoj aplikacii'!$J$3:$J$179),0),0)</f>
        <v>0</v>
      </c>
      <c r="M44" s="576">
        <f>IFERROR(IF(VLOOKUP(M$2,MODULY_CBA!$B$3:$I$23,8,0)=$D44,SUMIF('Rozpocet - Vyvoj aplikacii'!$B$3:$B$179,'TCO TO BE- SW'!M$2,'Rozpocet - Vyvoj aplikacii'!$J$3:$J$179),0),0)</f>
        <v>0</v>
      </c>
      <c r="N44" s="576">
        <f>IFERROR(IF(VLOOKUP(N$2,MODULY_CBA!$B$3:$I$23,8,0)=$D44,SUMIF('Rozpocet - Vyvoj aplikacii'!$B$3:$B$179,'TCO TO BE- SW'!N$2,'Rozpocet - Vyvoj aplikacii'!$J$3:$J$179),0),0)</f>
        <v>0</v>
      </c>
      <c r="O44" s="576">
        <f>IFERROR(IF(VLOOKUP(O$2,MODULY_CBA!$B$3:$I$23,8,0)=$D44,SUMIF('Rozpocet - Vyvoj aplikacii'!$B$3:$B$179,'TCO TO BE- SW'!O$2,'Rozpocet - Vyvoj aplikacii'!$J$3:$J$179),0),0)</f>
        <v>0</v>
      </c>
      <c r="P44" s="576">
        <f>IFERROR(IF(VLOOKUP(P$2,MODULY_CBA!$B$3:$I$23,8,0)=$D44,SUMIF('Rozpocet - Vyvoj aplikacii'!$B$3:$B$179,'TCO TO BE- SW'!P$2,'Rozpocet - Vyvoj aplikacii'!$J$3:$J$179),0),0)</f>
        <v>0</v>
      </c>
      <c r="Q44" s="576">
        <f>IFERROR(IF(VLOOKUP(Q$2,MODULY_CBA!$B$3:$I$23,8,0)=$D44,SUMIF('Rozpocet - Vyvoj aplikacii'!$B$3:$B$179,'TCO TO BE- SW'!Q$2,'Rozpocet - Vyvoj aplikacii'!$J$3:$J$179),0),0)</f>
        <v>0</v>
      </c>
      <c r="R44" s="576">
        <f>IFERROR(IF(VLOOKUP(R$2,MODULY_CBA!$B$3:$I$23,8,0)=$D44,SUMIF('Rozpocet - Vyvoj aplikacii'!$B$3:$B$179,'TCO TO BE- SW'!R$2,'Rozpocet - Vyvoj aplikacii'!$J$3:$J$179),0),0)</f>
        <v>0</v>
      </c>
      <c r="S44" s="576">
        <f>IFERROR(IF(VLOOKUP(S$2,MODULY_CBA!$B$3:$I$23,8,0)=$D44,SUMIF('Rozpocet - Vyvoj aplikacii'!$B$3:$B$179,'TCO TO BE- SW'!S$2,'Rozpocet - Vyvoj aplikacii'!$J$3:$J$179),0),0)</f>
        <v>0</v>
      </c>
      <c r="T44" s="576">
        <f>IFERROR(IF(VLOOKUP(T$2,MODULY_CBA!$B$3:$I$23,8,0)=$D44,SUMIF('Rozpocet - Vyvoj aplikacii'!$B$3:$B$179,'TCO TO BE- SW'!T$2,'Rozpocet - Vyvoj aplikacii'!$J$3:$J$179),0),0)</f>
        <v>0</v>
      </c>
      <c r="U44" s="576">
        <f>IFERROR(IF(VLOOKUP(U$2,MODULY_CBA!$B$3:$I$23,8,0)=$D44,SUMIF('Rozpocet - Vyvoj aplikacii'!$B$3:$B$179,'TCO TO BE- SW'!U$2,'Rozpocet - Vyvoj aplikacii'!$J$3:$J$179),0),0)</f>
        <v>0</v>
      </c>
      <c r="V44" s="576">
        <f>IFERROR(IF(VLOOKUP(V$2,MODULY_CBA!$B$3:$I$23,8,0)=$D44,SUMIF('Rozpocet - Vyvoj aplikacii'!$B$3:$B$179,'TCO TO BE- SW'!V$2,'Rozpocet - Vyvoj aplikacii'!$J$3:$J$179),0),0)</f>
        <v>0</v>
      </c>
      <c r="W44" s="576">
        <f>IFERROR(IF(VLOOKUP(W$2,MODULY_CBA!$B$3:$I$23,8,0)=$D44,SUMIF('Rozpocet - Vyvoj aplikacii'!$B$3:$B$179,'TCO TO BE- SW'!W$2,'Rozpocet - Vyvoj aplikacii'!$J$3:$J$179),0),0)</f>
        <v>0</v>
      </c>
      <c r="X44" s="576">
        <f>IFERROR(IF(VLOOKUP(X$2,MODULY_CBA!$B$3:$I$23,8,0)=$D44,SUMIF('Rozpocet - Vyvoj aplikacii'!$B$3:$B$179,'TCO TO BE- SW'!X$2,'Rozpocet - Vyvoj aplikacii'!$J$3:$J$179),0),0)</f>
        <v>0</v>
      </c>
      <c r="Y44" s="576">
        <f>IFERROR(IF(VLOOKUP(Y$2,MODULY_CBA!$B$3:$I$23,8,0)=$D44,SUMIF('Rozpocet - Vyvoj aplikacii'!$B$3:$B$179,'TCO TO BE- SW'!Y$2,'Rozpocet - Vyvoj aplikacii'!$J$3:$J$179),0),0)</f>
        <v>0</v>
      </c>
      <c r="Z44" s="576">
        <f>IFERROR(IF(VLOOKUP(Z$2,MODULY_CBA!$B$3:$I$23,8,0)=$D44,SUMIF('Rozpocet - Vyvoj aplikacii'!$B$3:$B$179,'TCO TO BE- SW'!Z$2,'Rozpocet - Vyvoj aplikacii'!$J$3:$J$179),0),0)</f>
        <v>0</v>
      </c>
    </row>
    <row r="45" spans="1:26" outlineLevel="2">
      <c r="A45" s="841"/>
      <c r="B45" s="842"/>
      <c r="C45" s="842"/>
      <c r="D45" s="64">
        <v>9</v>
      </c>
      <c r="E45" s="68">
        <f t="shared" si="6"/>
        <v>0</v>
      </c>
      <c r="F45" s="576">
        <f>IFERROR(IF(VLOOKUP(F$2,MODULY_CBA!$B$3:$I$23,8,0)=$D45,SUMIF('Rozpocet - Vyvoj aplikacii'!$B$3:$B$179,'TCO TO BE- SW'!F$2,'Rozpocet - Vyvoj aplikacii'!$J$3:$J$179),0),0)</f>
        <v>0</v>
      </c>
      <c r="G45" s="576">
        <f>IFERROR(IF(VLOOKUP(G$2,MODULY_CBA!$B$3:$I$23,8,0)=$D45,SUMIF('Rozpocet - Vyvoj aplikacii'!$B$3:$B$179,'TCO TO BE- SW'!G$2,'Rozpocet - Vyvoj aplikacii'!$J$3:$J$179),0),0)</f>
        <v>0</v>
      </c>
      <c r="H45" s="576">
        <f>IFERROR(IF(VLOOKUP(H$2,MODULY_CBA!$B$3:$I$23,8,0)=$D45,SUMIF('Rozpocet - Vyvoj aplikacii'!$B$3:$B$179,'TCO TO BE- SW'!H$2,'Rozpocet - Vyvoj aplikacii'!$J$3:$J$179),0),0)</f>
        <v>0</v>
      </c>
      <c r="I45" s="576">
        <f>IFERROR(IF(VLOOKUP(I$2,MODULY_CBA!$B$3:$I$23,8,0)=$D45,SUMIF('Rozpocet - Vyvoj aplikacii'!$B$3:$B$179,'TCO TO BE- SW'!I$2,'Rozpocet - Vyvoj aplikacii'!$J$3:$J$179),0),0)</f>
        <v>0</v>
      </c>
      <c r="J45" s="576">
        <f>IFERROR(IF(VLOOKUP(J$2,MODULY_CBA!$B$3:$I$23,8,0)=$D45,SUMIF('Rozpocet - Vyvoj aplikacii'!$B$3:$B$179,'TCO TO BE- SW'!J$2,'Rozpocet - Vyvoj aplikacii'!$J$3:$J$179),0),0)</f>
        <v>0</v>
      </c>
      <c r="K45" s="576">
        <f>IFERROR(IF(VLOOKUP(K$2,MODULY_CBA!$B$3:$I$23,8,0)=$D45,SUMIF('Rozpocet - Vyvoj aplikacii'!$B$3:$B$179,'TCO TO BE- SW'!K$2,'Rozpocet - Vyvoj aplikacii'!$J$3:$J$179),0),0)</f>
        <v>0</v>
      </c>
      <c r="L45" s="576">
        <f>IFERROR(IF(VLOOKUP(L$2,MODULY_CBA!$B$3:$I$23,8,0)=$D45,SUMIF('Rozpocet - Vyvoj aplikacii'!$B$3:$B$179,'TCO TO BE- SW'!L$2,'Rozpocet - Vyvoj aplikacii'!$J$3:$J$179),0),0)</f>
        <v>0</v>
      </c>
      <c r="M45" s="576">
        <f>IFERROR(IF(VLOOKUP(M$2,MODULY_CBA!$B$3:$I$23,8,0)=$D45,SUMIF('Rozpocet - Vyvoj aplikacii'!$B$3:$B$179,'TCO TO BE- SW'!M$2,'Rozpocet - Vyvoj aplikacii'!$J$3:$J$179),0),0)</f>
        <v>0</v>
      </c>
      <c r="N45" s="576">
        <f>IFERROR(IF(VLOOKUP(N$2,MODULY_CBA!$B$3:$I$23,8,0)=$D45,SUMIF('Rozpocet - Vyvoj aplikacii'!$B$3:$B$179,'TCO TO BE- SW'!N$2,'Rozpocet - Vyvoj aplikacii'!$J$3:$J$179),0),0)</f>
        <v>0</v>
      </c>
      <c r="O45" s="576">
        <f>IFERROR(IF(VLOOKUP(O$2,MODULY_CBA!$B$3:$I$23,8,0)=$D45,SUMIF('Rozpocet - Vyvoj aplikacii'!$B$3:$B$179,'TCO TO BE- SW'!O$2,'Rozpocet - Vyvoj aplikacii'!$J$3:$J$179),0),0)</f>
        <v>0</v>
      </c>
      <c r="P45" s="576">
        <f>IFERROR(IF(VLOOKUP(P$2,MODULY_CBA!$B$3:$I$23,8,0)=$D45,SUMIF('Rozpocet - Vyvoj aplikacii'!$B$3:$B$179,'TCO TO BE- SW'!P$2,'Rozpocet - Vyvoj aplikacii'!$J$3:$J$179),0),0)</f>
        <v>0</v>
      </c>
      <c r="Q45" s="576">
        <f>IFERROR(IF(VLOOKUP(Q$2,MODULY_CBA!$B$3:$I$23,8,0)=$D45,SUMIF('Rozpocet - Vyvoj aplikacii'!$B$3:$B$179,'TCO TO BE- SW'!Q$2,'Rozpocet - Vyvoj aplikacii'!$J$3:$J$179),0),0)</f>
        <v>0</v>
      </c>
      <c r="R45" s="576">
        <f>IFERROR(IF(VLOOKUP(R$2,MODULY_CBA!$B$3:$I$23,8,0)=$D45,SUMIF('Rozpocet - Vyvoj aplikacii'!$B$3:$B$179,'TCO TO BE- SW'!R$2,'Rozpocet - Vyvoj aplikacii'!$J$3:$J$179),0),0)</f>
        <v>0</v>
      </c>
      <c r="S45" s="576">
        <f>IFERROR(IF(VLOOKUP(S$2,MODULY_CBA!$B$3:$I$23,8,0)=$D45,SUMIF('Rozpocet - Vyvoj aplikacii'!$B$3:$B$179,'TCO TO BE- SW'!S$2,'Rozpocet - Vyvoj aplikacii'!$J$3:$J$179),0),0)</f>
        <v>0</v>
      </c>
      <c r="T45" s="576">
        <f>IFERROR(IF(VLOOKUP(T$2,MODULY_CBA!$B$3:$I$23,8,0)=$D45,SUMIF('Rozpocet - Vyvoj aplikacii'!$B$3:$B$179,'TCO TO BE- SW'!T$2,'Rozpocet - Vyvoj aplikacii'!$J$3:$J$179),0),0)</f>
        <v>0</v>
      </c>
      <c r="U45" s="576">
        <f>IFERROR(IF(VLOOKUP(U$2,MODULY_CBA!$B$3:$I$23,8,0)=$D45,SUMIF('Rozpocet - Vyvoj aplikacii'!$B$3:$B$179,'TCO TO BE- SW'!U$2,'Rozpocet - Vyvoj aplikacii'!$J$3:$J$179),0),0)</f>
        <v>0</v>
      </c>
      <c r="V45" s="576">
        <f>IFERROR(IF(VLOOKUP(V$2,MODULY_CBA!$B$3:$I$23,8,0)=$D45,SUMIF('Rozpocet - Vyvoj aplikacii'!$B$3:$B$179,'TCO TO BE- SW'!V$2,'Rozpocet - Vyvoj aplikacii'!$J$3:$J$179),0),0)</f>
        <v>0</v>
      </c>
      <c r="W45" s="576">
        <f>IFERROR(IF(VLOOKUP(W$2,MODULY_CBA!$B$3:$I$23,8,0)=$D45,SUMIF('Rozpocet - Vyvoj aplikacii'!$B$3:$B$179,'TCO TO BE- SW'!W$2,'Rozpocet - Vyvoj aplikacii'!$J$3:$J$179),0),0)</f>
        <v>0</v>
      </c>
      <c r="X45" s="576">
        <f>IFERROR(IF(VLOOKUP(X$2,MODULY_CBA!$B$3:$I$23,8,0)=$D45,SUMIF('Rozpocet - Vyvoj aplikacii'!$B$3:$B$179,'TCO TO BE- SW'!X$2,'Rozpocet - Vyvoj aplikacii'!$J$3:$J$179),0),0)</f>
        <v>0</v>
      </c>
      <c r="Y45" s="576">
        <f>IFERROR(IF(VLOOKUP(Y$2,MODULY_CBA!$B$3:$I$23,8,0)=$D45,SUMIF('Rozpocet - Vyvoj aplikacii'!$B$3:$B$179,'TCO TO BE- SW'!Y$2,'Rozpocet - Vyvoj aplikacii'!$J$3:$J$179),0),0)</f>
        <v>0</v>
      </c>
      <c r="Z45" s="576">
        <f>IFERROR(IF(VLOOKUP(Z$2,MODULY_CBA!$B$3:$I$23,8,0)=$D45,SUMIF('Rozpocet - Vyvoj aplikacii'!$B$3:$B$179,'TCO TO BE- SW'!Z$2,'Rozpocet - Vyvoj aplikacii'!$J$3:$J$179),0),0)</f>
        <v>0</v>
      </c>
    </row>
    <row r="46" spans="1:26" ht="15" outlineLevel="2" thickBot="1">
      <c r="A46" s="841"/>
      <c r="B46" s="842"/>
      <c r="C46" s="842"/>
      <c r="D46" s="65">
        <v>10</v>
      </c>
      <c r="E46" s="69">
        <f t="shared" si="6"/>
        <v>0</v>
      </c>
      <c r="F46" s="577">
        <f>IFERROR(IF(VLOOKUP(F$2,MODULY_CBA!$B$3:$I$23,8,0)=$D46,SUMIF('Rozpocet - Vyvoj aplikacii'!$B$3:$B$179,'TCO TO BE- SW'!F$2,'Rozpocet - Vyvoj aplikacii'!$J$3:$J$179),0),0)</f>
        <v>0</v>
      </c>
      <c r="G46" s="577">
        <f>IFERROR(IF(VLOOKUP(G$2,MODULY_CBA!$B$3:$I$23,8,0)=$D46,SUMIF('Rozpocet - Vyvoj aplikacii'!$B$3:$B$179,'TCO TO BE- SW'!G$2,'Rozpocet - Vyvoj aplikacii'!$J$3:$J$179),0),0)</f>
        <v>0</v>
      </c>
      <c r="H46" s="577">
        <f>IFERROR(IF(VLOOKUP(H$2,MODULY_CBA!$B$3:$I$23,8,0)=$D46,SUMIF('Rozpocet - Vyvoj aplikacii'!$B$3:$B$179,'TCO TO BE- SW'!H$2,'Rozpocet - Vyvoj aplikacii'!$J$3:$J$179),0),0)</f>
        <v>0</v>
      </c>
      <c r="I46" s="577">
        <f>IFERROR(IF(VLOOKUP(I$2,MODULY_CBA!$B$3:$I$23,8,0)=$D46,SUMIF('Rozpocet - Vyvoj aplikacii'!$B$3:$B$179,'TCO TO BE- SW'!I$2,'Rozpocet - Vyvoj aplikacii'!$J$3:$J$179),0),0)</f>
        <v>0</v>
      </c>
      <c r="J46" s="577">
        <f>IFERROR(IF(VLOOKUP(J$2,MODULY_CBA!$B$3:$I$23,8,0)=$D46,SUMIF('Rozpocet - Vyvoj aplikacii'!$B$3:$B$179,'TCO TO BE- SW'!J$2,'Rozpocet - Vyvoj aplikacii'!$J$3:$J$179),0),0)</f>
        <v>0</v>
      </c>
      <c r="K46" s="577">
        <f>IFERROR(IF(VLOOKUP(K$2,MODULY_CBA!$B$3:$I$23,8,0)=$D46,SUMIF('Rozpocet - Vyvoj aplikacii'!$B$3:$B$179,'TCO TO BE- SW'!K$2,'Rozpocet - Vyvoj aplikacii'!$J$3:$J$179),0),0)</f>
        <v>0</v>
      </c>
      <c r="L46" s="577">
        <f>IFERROR(IF(VLOOKUP(L$2,MODULY_CBA!$B$3:$I$23,8,0)=$D46,SUMIF('Rozpocet - Vyvoj aplikacii'!$B$3:$B$179,'TCO TO BE- SW'!L$2,'Rozpocet - Vyvoj aplikacii'!$J$3:$J$179),0),0)</f>
        <v>0</v>
      </c>
      <c r="M46" s="577">
        <f>IFERROR(IF(VLOOKUP(M$2,MODULY_CBA!$B$3:$I$23,8,0)=$D46,SUMIF('Rozpocet - Vyvoj aplikacii'!$B$3:$B$179,'TCO TO BE- SW'!M$2,'Rozpocet - Vyvoj aplikacii'!$J$3:$J$179),0),0)</f>
        <v>0</v>
      </c>
      <c r="N46" s="577">
        <f>IFERROR(IF(VLOOKUP(N$2,MODULY_CBA!$B$3:$I$23,8,0)=$D46,SUMIF('Rozpocet - Vyvoj aplikacii'!$B$3:$B$179,'TCO TO BE- SW'!N$2,'Rozpocet - Vyvoj aplikacii'!$J$3:$J$179),0),0)</f>
        <v>0</v>
      </c>
      <c r="O46" s="577">
        <f>IFERROR(IF(VLOOKUP(O$2,MODULY_CBA!$B$3:$I$23,8,0)=$D46,SUMIF('Rozpocet - Vyvoj aplikacii'!$B$3:$B$179,'TCO TO BE- SW'!O$2,'Rozpocet - Vyvoj aplikacii'!$J$3:$J$179),0),0)</f>
        <v>0</v>
      </c>
      <c r="P46" s="577">
        <f>IFERROR(IF(VLOOKUP(P$2,MODULY_CBA!$B$3:$I$23,8,0)=$D46,SUMIF('Rozpocet - Vyvoj aplikacii'!$B$3:$B$179,'TCO TO BE- SW'!P$2,'Rozpocet - Vyvoj aplikacii'!$J$3:$J$179),0),0)</f>
        <v>0</v>
      </c>
      <c r="Q46" s="577">
        <f>IFERROR(IF(VLOOKUP(Q$2,MODULY_CBA!$B$3:$I$23,8,0)=$D46,SUMIF('Rozpocet - Vyvoj aplikacii'!$B$3:$B$179,'TCO TO BE- SW'!Q$2,'Rozpocet - Vyvoj aplikacii'!$J$3:$J$179),0),0)</f>
        <v>0</v>
      </c>
      <c r="R46" s="577">
        <f>IFERROR(IF(VLOOKUP(R$2,MODULY_CBA!$B$3:$I$23,8,0)=$D46,SUMIF('Rozpocet - Vyvoj aplikacii'!$B$3:$B$179,'TCO TO BE- SW'!R$2,'Rozpocet - Vyvoj aplikacii'!$J$3:$J$179),0),0)</f>
        <v>0</v>
      </c>
      <c r="S46" s="577">
        <f>IFERROR(IF(VLOOKUP(S$2,MODULY_CBA!$B$3:$I$23,8,0)=$D46,SUMIF('Rozpocet - Vyvoj aplikacii'!$B$3:$B$179,'TCO TO BE- SW'!S$2,'Rozpocet - Vyvoj aplikacii'!$J$3:$J$179),0),0)</f>
        <v>0</v>
      </c>
      <c r="T46" s="577">
        <f>IFERROR(IF(VLOOKUP(T$2,MODULY_CBA!$B$3:$I$23,8,0)=$D46,SUMIF('Rozpocet - Vyvoj aplikacii'!$B$3:$B$179,'TCO TO BE- SW'!T$2,'Rozpocet - Vyvoj aplikacii'!$J$3:$J$179),0),0)</f>
        <v>0</v>
      </c>
      <c r="U46" s="577">
        <f>IFERROR(IF(VLOOKUP(U$2,MODULY_CBA!$B$3:$I$23,8,0)=$D46,SUMIF('Rozpocet - Vyvoj aplikacii'!$B$3:$B$179,'TCO TO BE- SW'!U$2,'Rozpocet - Vyvoj aplikacii'!$J$3:$J$179),0),0)</f>
        <v>0</v>
      </c>
      <c r="V46" s="577">
        <f>IFERROR(IF(VLOOKUP(V$2,MODULY_CBA!$B$3:$I$23,8,0)=$D46,SUMIF('Rozpocet - Vyvoj aplikacii'!$B$3:$B$179,'TCO TO BE- SW'!V$2,'Rozpocet - Vyvoj aplikacii'!$J$3:$J$179),0),0)</f>
        <v>0</v>
      </c>
      <c r="W46" s="577">
        <f>IFERROR(IF(VLOOKUP(W$2,MODULY_CBA!$B$3:$I$23,8,0)=$D46,SUMIF('Rozpocet - Vyvoj aplikacii'!$B$3:$B$179,'TCO TO BE- SW'!W$2,'Rozpocet - Vyvoj aplikacii'!$J$3:$J$179),0),0)</f>
        <v>0</v>
      </c>
      <c r="X46" s="577">
        <f>IFERROR(IF(VLOOKUP(X$2,MODULY_CBA!$B$3:$I$23,8,0)=$D46,SUMIF('Rozpocet - Vyvoj aplikacii'!$B$3:$B$179,'TCO TO BE- SW'!X$2,'Rozpocet - Vyvoj aplikacii'!$J$3:$J$179),0),0)</f>
        <v>0</v>
      </c>
      <c r="Y46" s="577">
        <f>IFERROR(IF(VLOOKUP(Y$2,MODULY_CBA!$B$3:$I$23,8,0)=$D46,SUMIF('Rozpocet - Vyvoj aplikacii'!$B$3:$B$179,'TCO TO BE- SW'!Y$2,'Rozpocet - Vyvoj aplikacii'!$J$3:$J$179),0),0)</f>
        <v>0</v>
      </c>
      <c r="Z46" s="577">
        <f>IFERROR(IF(VLOOKUP(Z$2,MODULY_CBA!$B$3:$I$23,8,0)=$D46,SUMIF('Rozpocet - Vyvoj aplikacii'!$B$3:$B$179,'TCO TO BE- SW'!Z$2,'Rozpocet - Vyvoj aplikacii'!$J$3:$J$179),0),0)</f>
        <v>0</v>
      </c>
    </row>
    <row r="47" spans="1:26" outlineLevel="2">
      <c r="A47" s="841" t="s">
        <v>2132</v>
      </c>
      <c r="B47" s="842" t="s">
        <v>2120</v>
      </c>
      <c r="C47" s="842">
        <v>633013</v>
      </c>
      <c r="D47" s="63">
        <v>1</v>
      </c>
      <c r="E47" s="68">
        <f t="shared" si="6"/>
        <v>0</v>
      </c>
      <c r="F47" s="578">
        <v>0</v>
      </c>
      <c r="G47" s="578">
        <v>0</v>
      </c>
      <c r="H47" s="578">
        <v>0</v>
      </c>
      <c r="I47" s="578">
        <v>0</v>
      </c>
      <c r="J47" s="578">
        <v>0</v>
      </c>
      <c r="K47" s="578">
        <v>0</v>
      </c>
      <c r="L47" s="578">
        <v>0</v>
      </c>
      <c r="M47" s="578">
        <v>0</v>
      </c>
      <c r="N47" s="578">
        <v>0</v>
      </c>
      <c r="O47" s="578">
        <v>0</v>
      </c>
      <c r="P47" s="578">
        <v>0</v>
      </c>
      <c r="Q47" s="578">
        <v>0</v>
      </c>
      <c r="R47" s="578">
        <v>0</v>
      </c>
      <c r="S47" s="578">
        <v>0</v>
      </c>
      <c r="T47" s="578">
        <v>0</v>
      </c>
      <c r="U47" s="578">
        <v>0</v>
      </c>
      <c r="V47" s="578">
        <v>0</v>
      </c>
      <c r="W47" s="578">
        <v>0</v>
      </c>
      <c r="X47" s="578">
        <v>0</v>
      </c>
      <c r="Y47" s="578">
        <v>0</v>
      </c>
      <c r="Z47" s="578">
        <v>0</v>
      </c>
    </row>
    <row r="48" spans="1:26" outlineLevel="2">
      <c r="A48" s="841"/>
      <c r="B48" s="842"/>
      <c r="C48" s="842"/>
      <c r="D48" s="64">
        <v>2</v>
      </c>
      <c r="E48" s="68">
        <f t="shared" si="6"/>
        <v>0</v>
      </c>
      <c r="F48" s="579">
        <v>0</v>
      </c>
      <c r="G48" s="579">
        <v>0</v>
      </c>
      <c r="H48" s="579">
        <v>0</v>
      </c>
      <c r="I48" s="579">
        <v>0</v>
      </c>
      <c r="J48" s="579">
        <v>0</v>
      </c>
      <c r="K48" s="579">
        <v>0</v>
      </c>
      <c r="L48" s="579">
        <v>0</v>
      </c>
      <c r="M48" s="579">
        <v>0</v>
      </c>
      <c r="N48" s="579">
        <v>0</v>
      </c>
      <c r="O48" s="579">
        <v>0</v>
      </c>
      <c r="P48" s="579">
        <v>0</v>
      </c>
      <c r="Q48" s="579">
        <v>0</v>
      </c>
      <c r="R48" s="579">
        <v>0</v>
      </c>
      <c r="S48" s="579">
        <v>0</v>
      </c>
      <c r="T48" s="579">
        <v>0</v>
      </c>
      <c r="U48" s="579">
        <v>0</v>
      </c>
      <c r="V48" s="579">
        <v>0</v>
      </c>
      <c r="W48" s="579">
        <v>0</v>
      </c>
      <c r="X48" s="579">
        <v>0</v>
      </c>
      <c r="Y48" s="579">
        <v>0</v>
      </c>
      <c r="Z48" s="579">
        <v>0</v>
      </c>
    </row>
    <row r="49" spans="1:26" outlineLevel="2">
      <c r="A49" s="841"/>
      <c r="B49" s="842"/>
      <c r="C49" s="842"/>
      <c r="D49" s="64">
        <v>3</v>
      </c>
      <c r="E49" s="68">
        <f t="shared" si="6"/>
        <v>0</v>
      </c>
      <c r="F49" s="579">
        <v>0</v>
      </c>
      <c r="G49" s="579">
        <v>0</v>
      </c>
      <c r="H49" s="579">
        <v>0</v>
      </c>
      <c r="I49" s="579">
        <v>0</v>
      </c>
      <c r="J49" s="579">
        <v>0</v>
      </c>
      <c r="K49" s="579">
        <v>0</v>
      </c>
      <c r="L49" s="579">
        <v>0</v>
      </c>
      <c r="M49" s="579">
        <v>0</v>
      </c>
      <c r="N49" s="579">
        <v>0</v>
      </c>
      <c r="O49" s="579">
        <v>0</v>
      </c>
      <c r="P49" s="579">
        <v>0</v>
      </c>
      <c r="Q49" s="579">
        <v>0</v>
      </c>
      <c r="R49" s="579">
        <v>0</v>
      </c>
      <c r="S49" s="579">
        <v>0</v>
      </c>
      <c r="T49" s="579">
        <v>0</v>
      </c>
      <c r="U49" s="579">
        <v>0</v>
      </c>
      <c r="V49" s="579">
        <v>0</v>
      </c>
      <c r="W49" s="579">
        <v>0</v>
      </c>
      <c r="X49" s="579">
        <v>0</v>
      </c>
      <c r="Y49" s="579">
        <v>0</v>
      </c>
      <c r="Z49" s="579">
        <v>0</v>
      </c>
    </row>
    <row r="50" spans="1:26" outlineLevel="2">
      <c r="A50" s="841"/>
      <c r="B50" s="842"/>
      <c r="C50" s="842"/>
      <c r="D50" s="64">
        <v>4</v>
      </c>
      <c r="E50" s="68">
        <f t="shared" si="6"/>
        <v>0</v>
      </c>
      <c r="F50" s="579">
        <v>0</v>
      </c>
      <c r="G50" s="579">
        <v>0</v>
      </c>
      <c r="H50" s="579">
        <v>0</v>
      </c>
      <c r="I50" s="579">
        <v>0</v>
      </c>
      <c r="J50" s="579">
        <v>0</v>
      </c>
      <c r="K50" s="579">
        <v>0</v>
      </c>
      <c r="L50" s="579">
        <v>0</v>
      </c>
      <c r="M50" s="579">
        <v>0</v>
      </c>
      <c r="N50" s="579">
        <v>0</v>
      </c>
      <c r="O50" s="579">
        <v>0</v>
      </c>
      <c r="P50" s="579">
        <v>0</v>
      </c>
      <c r="Q50" s="579">
        <v>0</v>
      </c>
      <c r="R50" s="579">
        <v>0</v>
      </c>
      <c r="S50" s="579">
        <v>0</v>
      </c>
      <c r="T50" s="579">
        <v>0</v>
      </c>
      <c r="U50" s="579">
        <v>0</v>
      </c>
      <c r="V50" s="579">
        <v>0</v>
      </c>
      <c r="W50" s="579">
        <v>0</v>
      </c>
      <c r="X50" s="579">
        <v>0</v>
      </c>
      <c r="Y50" s="579">
        <v>0</v>
      </c>
      <c r="Z50" s="579">
        <v>0</v>
      </c>
    </row>
    <row r="51" spans="1:26" outlineLevel="2">
      <c r="A51" s="841"/>
      <c r="B51" s="842"/>
      <c r="C51" s="842"/>
      <c r="D51" s="64">
        <v>5</v>
      </c>
      <c r="E51" s="68">
        <f t="shared" si="6"/>
        <v>0</v>
      </c>
      <c r="F51" s="579">
        <v>0</v>
      </c>
      <c r="G51" s="579">
        <v>0</v>
      </c>
      <c r="H51" s="579">
        <v>0</v>
      </c>
      <c r="I51" s="579">
        <v>0</v>
      </c>
      <c r="J51" s="579">
        <v>0</v>
      </c>
      <c r="K51" s="579">
        <v>0</v>
      </c>
      <c r="L51" s="579">
        <v>0</v>
      </c>
      <c r="M51" s="579">
        <v>0</v>
      </c>
      <c r="N51" s="579">
        <v>0</v>
      </c>
      <c r="O51" s="579">
        <v>0</v>
      </c>
      <c r="P51" s="579">
        <v>0</v>
      </c>
      <c r="Q51" s="579">
        <v>0</v>
      </c>
      <c r="R51" s="579">
        <v>0</v>
      </c>
      <c r="S51" s="579">
        <v>0</v>
      </c>
      <c r="T51" s="579">
        <v>0</v>
      </c>
      <c r="U51" s="579">
        <v>0</v>
      </c>
      <c r="V51" s="579">
        <v>0</v>
      </c>
      <c r="W51" s="579">
        <v>0</v>
      </c>
      <c r="X51" s="579">
        <v>0</v>
      </c>
      <c r="Y51" s="579">
        <v>0</v>
      </c>
      <c r="Z51" s="579">
        <v>0</v>
      </c>
    </row>
    <row r="52" spans="1:26" outlineLevel="2">
      <c r="A52" s="841"/>
      <c r="B52" s="842"/>
      <c r="C52" s="842"/>
      <c r="D52" s="64">
        <v>6</v>
      </c>
      <c r="E52" s="68">
        <f t="shared" si="6"/>
        <v>0</v>
      </c>
      <c r="F52" s="579">
        <v>0</v>
      </c>
      <c r="G52" s="579">
        <v>0</v>
      </c>
      <c r="H52" s="579">
        <v>0</v>
      </c>
      <c r="I52" s="579">
        <v>0</v>
      </c>
      <c r="J52" s="579">
        <v>0</v>
      </c>
      <c r="K52" s="579">
        <v>0</v>
      </c>
      <c r="L52" s="579">
        <v>0</v>
      </c>
      <c r="M52" s="579">
        <v>0</v>
      </c>
      <c r="N52" s="579">
        <v>0</v>
      </c>
      <c r="O52" s="579">
        <v>0</v>
      </c>
      <c r="P52" s="579">
        <v>0</v>
      </c>
      <c r="Q52" s="579">
        <v>0</v>
      </c>
      <c r="R52" s="579">
        <v>0</v>
      </c>
      <c r="S52" s="579">
        <v>0</v>
      </c>
      <c r="T52" s="579">
        <v>0</v>
      </c>
      <c r="U52" s="579">
        <v>0</v>
      </c>
      <c r="V52" s="579">
        <v>0</v>
      </c>
      <c r="W52" s="579">
        <v>0</v>
      </c>
      <c r="X52" s="579">
        <v>0</v>
      </c>
      <c r="Y52" s="579">
        <v>0</v>
      </c>
      <c r="Z52" s="579">
        <v>0</v>
      </c>
    </row>
    <row r="53" spans="1:26" outlineLevel="2">
      <c r="A53" s="841"/>
      <c r="B53" s="842"/>
      <c r="C53" s="842"/>
      <c r="D53" s="64">
        <v>7</v>
      </c>
      <c r="E53" s="68">
        <f t="shared" si="6"/>
        <v>0</v>
      </c>
      <c r="F53" s="579">
        <v>0</v>
      </c>
      <c r="G53" s="579">
        <v>0</v>
      </c>
      <c r="H53" s="579">
        <v>0</v>
      </c>
      <c r="I53" s="579">
        <v>0</v>
      </c>
      <c r="J53" s="579">
        <v>0</v>
      </c>
      <c r="K53" s="579">
        <v>0</v>
      </c>
      <c r="L53" s="579">
        <v>0</v>
      </c>
      <c r="M53" s="579">
        <v>0</v>
      </c>
      <c r="N53" s="579">
        <v>0</v>
      </c>
      <c r="O53" s="579">
        <v>0</v>
      </c>
      <c r="P53" s="579">
        <v>0</v>
      </c>
      <c r="Q53" s="579">
        <v>0</v>
      </c>
      <c r="R53" s="579">
        <v>0</v>
      </c>
      <c r="S53" s="579">
        <v>0</v>
      </c>
      <c r="T53" s="579">
        <v>0</v>
      </c>
      <c r="U53" s="579">
        <v>0</v>
      </c>
      <c r="V53" s="579">
        <v>0</v>
      </c>
      <c r="W53" s="579">
        <v>0</v>
      </c>
      <c r="X53" s="579">
        <v>0</v>
      </c>
      <c r="Y53" s="579">
        <v>0</v>
      </c>
      <c r="Z53" s="579">
        <v>0</v>
      </c>
    </row>
    <row r="54" spans="1:26" outlineLevel="2">
      <c r="A54" s="841"/>
      <c r="B54" s="842"/>
      <c r="C54" s="842"/>
      <c r="D54" s="64">
        <v>8</v>
      </c>
      <c r="E54" s="68">
        <f t="shared" si="6"/>
        <v>0</v>
      </c>
      <c r="F54" s="579">
        <v>0</v>
      </c>
      <c r="G54" s="579">
        <v>0</v>
      </c>
      <c r="H54" s="579">
        <v>0</v>
      </c>
      <c r="I54" s="579">
        <v>0</v>
      </c>
      <c r="J54" s="579">
        <v>0</v>
      </c>
      <c r="K54" s="579">
        <v>0</v>
      </c>
      <c r="L54" s="579">
        <v>0</v>
      </c>
      <c r="M54" s="579">
        <v>0</v>
      </c>
      <c r="N54" s="579">
        <v>0</v>
      </c>
      <c r="O54" s="579">
        <v>0</v>
      </c>
      <c r="P54" s="579">
        <v>0</v>
      </c>
      <c r="Q54" s="579">
        <v>0</v>
      </c>
      <c r="R54" s="579">
        <v>0</v>
      </c>
      <c r="S54" s="579">
        <v>0</v>
      </c>
      <c r="T54" s="579">
        <v>0</v>
      </c>
      <c r="U54" s="579">
        <v>0</v>
      </c>
      <c r="V54" s="579">
        <v>0</v>
      </c>
      <c r="W54" s="579">
        <v>0</v>
      </c>
      <c r="X54" s="579">
        <v>0</v>
      </c>
      <c r="Y54" s="579">
        <v>0</v>
      </c>
      <c r="Z54" s="579">
        <v>0</v>
      </c>
    </row>
    <row r="55" spans="1:26" outlineLevel="2">
      <c r="A55" s="841"/>
      <c r="B55" s="842"/>
      <c r="C55" s="842"/>
      <c r="D55" s="64">
        <v>9</v>
      </c>
      <c r="E55" s="68">
        <f t="shared" si="6"/>
        <v>0</v>
      </c>
      <c r="F55" s="579">
        <v>0</v>
      </c>
      <c r="G55" s="579">
        <v>0</v>
      </c>
      <c r="H55" s="579">
        <v>0</v>
      </c>
      <c r="I55" s="579">
        <v>0</v>
      </c>
      <c r="J55" s="579">
        <v>0</v>
      </c>
      <c r="K55" s="579">
        <v>0</v>
      </c>
      <c r="L55" s="579">
        <v>0</v>
      </c>
      <c r="M55" s="579">
        <v>0</v>
      </c>
      <c r="N55" s="579">
        <v>0</v>
      </c>
      <c r="O55" s="579">
        <v>0</v>
      </c>
      <c r="P55" s="579">
        <v>0</v>
      </c>
      <c r="Q55" s="579">
        <v>0</v>
      </c>
      <c r="R55" s="579">
        <v>0</v>
      </c>
      <c r="S55" s="579">
        <v>0</v>
      </c>
      <c r="T55" s="579">
        <v>0</v>
      </c>
      <c r="U55" s="579">
        <v>0</v>
      </c>
      <c r="V55" s="579">
        <v>0</v>
      </c>
      <c r="W55" s="579">
        <v>0</v>
      </c>
      <c r="X55" s="579">
        <v>0</v>
      </c>
      <c r="Y55" s="579">
        <v>0</v>
      </c>
      <c r="Z55" s="579">
        <v>0</v>
      </c>
    </row>
    <row r="56" spans="1:26" ht="15" outlineLevel="2" thickBot="1">
      <c r="A56" s="841"/>
      <c r="B56" s="842"/>
      <c r="C56" s="842"/>
      <c r="D56" s="65">
        <v>10</v>
      </c>
      <c r="E56" s="69">
        <f t="shared" si="6"/>
        <v>0</v>
      </c>
      <c r="F56" s="583">
        <v>0</v>
      </c>
      <c r="G56" s="583">
        <v>0</v>
      </c>
      <c r="H56" s="583">
        <v>0</v>
      </c>
      <c r="I56" s="583">
        <v>0</v>
      </c>
      <c r="J56" s="583">
        <v>0</v>
      </c>
      <c r="K56" s="583">
        <v>0</v>
      </c>
      <c r="L56" s="583">
        <v>0</v>
      </c>
      <c r="M56" s="583">
        <v>0</v>
      </c>
      <c r="N56" s="583">
        <v>0</v>
      </c>
      <c r="O56" s="583">
        <v>0</v>
      </c>
      <c r="P56" s="583">
        <v>0</v>
      </c>
      <c r="Q56" s="583">
        <v>0</v>
      </c>
      <c r="R56" s="583">
        <v>0</v>
      </c>
      <c r="S56" s="583">
        <v>0</v>
      </c>
      <c r="T56" s="583">
        <v>0</v>
      </c>
      <c r="U56" s="583">
        <v>0</v>
      </c>
      <c r="V56" s="583">
        <v>0</v>
      </c>
      <c r="W56" s="583">
        <v>0</v>
      </c>
      <c r="X56" s="583">
        <v>0</v>
      </c>
      <c r="Y56" s="583">
        <v>0</v>
      </c>
      <c r="Z56" s="583">
        <v>0</v>
      </c>
    </row>
    <row r="57" spans="1:26" outlineLevel="2">
      <c r="A57" s="841" t="s">
        <v>2133</v>
      </c>
      <c r="B57" s="842" t="s">
        <v>2118</v>
      </c>
      <c r="C57" s="842">
        <v>610</v>
      </c>
      <c r="D57" s="63">
        <v>1</v>
      </c>
      <c r="E57" s="68">
        <f t="shared" ref="E57:E66" si="7">SUM(F57:Z57)</f>
        <v>259211.45169122898</v>
      </c>
      <c r="F57" s="575">
        <f>IFERROR(IF(VLOOKUP(F$2,MODULY_CBA!$B$3:$L$23,8,0)=$D57,SUMIF('Rozpocet - Vyvoj aplikacii'!$B$3:$B$179,'TCO TO BE- SW'!F$2,'Rozpocet - Vyvoj aplikacii'!$I$3:$I$179),0),0)</f>
        <v>0</v>
      </c>
      <c r="G57" s="575">
        <f>IFERROR(IF(VLOOKUP(G$2,MODULY_CBA!$B$3:$L$23,8,0)=$D57,SUMIF('Rozpocet - Vyvoj aplikacii'!$B$3:$B$179,'TCO TO BE- SW'!G$2,'Rozpocet - Vyvoj aplikacii'!$I$3:$I$179),0),0)</f>
        <v>0</v>
      </c>
      <c r="H57" s="575">
        <f>IFERROR(IF(VLOOKUP(H$2,MODULY_CBA!$B$3:$L$23,8,0)=$D57,SUMIF('Rozpocet - Vyvoj aplikacii'!$B$3:$B$179,'TCO TO BE- SW'!H$2,'Rozpocet - Vyvoj aplikacii'!$I$3:$I$179),0),0)</f>
        <v>16018.264701681494</v>
      </c>
      <c r="I57" s="575">
        <f>IFERROR(IF(VLOOKUP(I$2,MODULY_CBA!$B$3:$L$23,8,0)=$D57,SUMIF('Rozpocet - Vyvoj aplikacii'!$B$3:$B$179,'TCO TO BE- SW'!I$2,'Rozpocet - Vyvoj aplikacii'!$I$3:$I$179),0),0)</f>
        <v>0</v>
      </c>
      <c r="J57" s="575">
        <f>IFERROR(IF(VLOOKUP(J$2,MODULY_CBA!$B$3:$L$23,8,0)=$D57,SUMIF('Rozpocet - Vyvoj aplikacii'!$B$3:$B$179,'TCO TO BE- SW'!J$2,'Rozpocet - Vyvoj aplikacii'!$I$3:$I$179),0),0)</f>
        <v>0</v>
      </c>
      <c r="K57" s="575">
        <f>IFERROR(IF(VLOOKUP(K$2,MODULY_CBA!$B$3:$L$23,8,0)=$D57,SUMIF('Rozpocet - Vyvoj aplikacii'!$B$3:$B$179,'TCO TO BE- SW'!K$2,'Rozpocet - Vyvoj aplikacii'!$I$3:$I$179),0),0)</f>
        <v>13548.15846263715</v>
      </c>
      <c r="L57" s="575">
        <f>IFERROR(IF(VLOOKUP(L$2,MODULY_CBA!$B$3:$L$23,8,0)=$D57,SUMIF('Rozpocet - Vyvoj aplikacii'!$B$3:$B$179,'TCO TO BE- SW'!L$2,'Rozpocet - Vyvoj aplikacii'!$I$3:$I$179),0),0)</f>
        <v>0</v>
      </c>
      <c r="M57" s="575">
        <f>IFERROR(IF(VLOOKUP(M$2,MODULY_CBA!$B$3:$L$23,8,0)=$D57,SUMIF('Rozpocet - Vyvoj aplikacii'!$B$3:$B$179,'TCO TO BE- SW'!M$2,'Rozpocet - Vyvoj aplikacii'!$I$3:$I$179),0),0)</f>
        <v>0</v>
      </c>
      <c r="N57" s="575">
        <f>IFERROR(IF(VLOOKUP(N$2,MODULY_CBA!$B$3:$L$23,8,0)=$D57,SUMIF('Rozpocet - Vyvoj aplikacii'!$B$3:$B$179,'TCO TO BE- SW'!N$2,'Rozpocet - Vyvoj aplikacii'!$I$3:$I$179),0),0)</f>
        <v>0</v>
      </c>
      <c r="O57" s="575">
        <f>IFERROR(IF(VLOOKUP(O$2,MODULY_CBA!$B$3:$L$23,8,0)=$D57,SUMIF('Rozpocet - Vyvoj aplikacii'!$B$3:$B$179,'TCO TO BE- SW'!O$2,'Rozpocet - Vyvoj aplikacii'!$I$3:$I$179),0),0)</f>
        <v>183293.1106927222</v>
      </c>
      <c r="P57" s="575">
        <f>IFERROR(IF(VLOOKUP(P$2,MODULY_CBA!$B$3:$L$23,8,0)=$D57,SUMIF('Rozpocet - Vyvoj aplikacii'!$B$3:$B$179,'TCO TO BE- SW'!P$2,'Rozpocet - Vyvoj aplikacii'!$I$3:$I$179),0),0)</f>
        <v>0</v>
      </c>
      <c r="Q57" s="575">
        <f>IFERROR(IF(VLOOKUP(Q$2,MODULY_CBA!$B$3:$L$23,8,0)=$D57,SUMIF('Rozpocet - Vyvoj aplikacii'!$B$3:$B$179,'TCO TO BE- SW'!Q$2,'Rozpocet - Vyvoj aplikacii'!$I$3:$I$179),0),0)</f>
        <v>0</v>
      </c>
      <c r="R57" s="575">
        <f>IFERROR(IF(VLOOKUP(R$2,MODULY_CBA!$B$3:$L$23,8,0)=$D57,SUMIF('Rozpocet - Vyvoj aplikacii'!$B$3:$B$179,'TCO TO BE- SW'!R$2,'Rozpocet - Vyvoj aplikacii'!$I$3:$I$179),0),0)</f>
        <v>46351.917834188149</v>
      </c>
      <c r="S57" s="575">
        <f>IFERROR(IF(VLOOKUP(S$2,MODULY_CBA!$B$3:$L$23,8,0)=$D57,SUMIF('Rozpocet - Vyvoj aplikacii'!$B$3:$B$179,'TCO TO BE- SW'!S$2,'Rozpocet - Vyvoj aplikacii'!$I$3:$I$179),0),0)</f>
        <v>0</v>
      </c>
      <c r="T57" s="575">
        <f>IFERROR(IF(VLOOKUP(T$2,MODULY_CBA!$B$3:$L$23,8,0)=$D57,SUMIF('Rozpocet - Vyvoj aplikacii'!$B$3:$B$179,'TCO TO BE- SW'!T$2,'Rozpocet - Vyvoj aplikacii'!$I$3:$I$179),0),0)</f>
        <v>0</v>
      </c>
      <c r="U57" s="575">
        <f>IFERROR(IF(VLOOKUP(U$2,MODULY_CBA!$B$3:$L$23,8,0)=$D57,SUMIF('Rozpocet - Vyvoj aplikacii'!$B$3:$B$179,'TCO TO BE- SW'!U$2,'Rozpocet - Vyvoj aplikacii'!$I$3:$I$179),0),0)</f>
        <v>0</v>
      </c>
      <c r="V57" s="575">
        <f>IFERROR(IF(VLOOKUP(V$2,MODULY_CBA!$B$3:$L$23,8,0)=$D57,SUMIF('Rozpocet - Vyvoj aplikacii'!$B$3:$B$179,'TCO TO BE- SW'!V$2,'Rozpocet - Vyvoj aplikacii'!$I$3:$I$179),0),0)</f>
        <v>0</v>
      </c>
      <c r="W57" s="575">
        <f>IFERROR(IF(VLOOKUP(W$2,MODULY_CBA!$B$3:$L$23,8,0)=$D57,SUMIF('Rozpocet - Vyvoj aplikacii'!$B$3:$B$179,'TCO TO BE- SW'!W$2,'Rozpocet - Vyvoj aplikacii'!$I$3:$I$179),0),0)</f>
        <v>0</v>
      </c>
      <c r="X57" s="575">
        <f>IFERROR(IF(VLOOKUP(X$2,MODULY_CBA!$B$3:$L$23,8,0)=$D57,SUMIF('Rozpocet - Vyvoj aplikacii'!$B$3:$B$179,'TCO TO BE- SW'!X$2,'Rozpocet - Vyvoj aplikacii'!$I$3:$I$179),0),0)</f>
        <v>0</v>
      </c>
      <c r="Y57" s="575">
        <f>IFERROR(IF(VLOOKUP(Y$2,MODULY_CBA!$B$3:$L$23,8,0)=$D57,SUMIF('Rozpocet - Vyvoj aplikacii'!$B$3:$B$179,'TCO TO BE- SW'!Y$2,'Rozpocet - Vyvoj aplikacii'!$I$3:$I$179),0),0)</f>
        <v>0</v>
      </c>
      <c r="Z57" s="575">
        <f>IFERROR(IF(VLOOKUP(Z$2,MODULY_CBA!$B$3:$L$23,8,0)=$D57,SUMIF('Rozpocet - Vyvoj aplikacii'!$B$3:$B$179,'TCO TO BE- SW'!Z$2,'Rozpocet - Vyvoj aplikacii'!$I$3:$I$179),0),0)</f>
        <v>0</v>
      </c>
    </row>
    <row r="58" spans="1:26" outlineLevel="2">
      <c r="A58" s="841"/>
      <c r="B58" s="842"/>
      <c r="C58" s="842"/>
      <c r="D58" s="64">
        <v>2</v>
      </c>
      <c r="E58" s="68">
        <f t="shared" si="7"/>
        <v>0</v>
      </c>
      <c r="F58" s="576">
        <f>IFERROR(IF(VLOOKUP(F$2,MODULY_CBA!$B$3:$L$23,8,0)=$D58,SUMIF('Rozpocet - Vyvoj aplikacii'!$B$3:$B$179,'TCO TO BE- SW'!F$2,'Rozpocet - Vyvoj aplikacii'!$I$3:$I$179),0),0)</f>
        <v>0</v>
      </c>
      <c r="G58" s="576">
        <f>IFERROR(IF(VLOOKUP(G$2,MODULY_CBA!$B$3:$L$23,8,0)=$D58,SUMIF('Rozpocet - Vyvoj aplikacii'!$B$3:$B$179,'TCO TO BE- SW'!G$2,'Rozpocet - Vyvoj aplikacii'!$I$3:$I$179),0),0)</f>
        <v>0</v>
      </c>
      <c r="H58" s="576">
        <f>IFERROR(IF(VLOOKUP(H$2,MODULY_CBA!$B$3:$L$23,8,0)=$D58,SUMIF('Rozpocet - Vyvoj aplikacii'!$B$3:$B$179,'TCO TO BE- SW'!H$2,'Rozpocet - Vyvoj aplikacii'!$I$3:$I$179),0),0)</f>
        <v>0</v>
      </c>
      <c r="I58" s="576">
        <f>IFERROR(IF(VLOOKUP(I$2,MODULY_CBA!$B$3:$L$23,8,0)=$D58,SUMIF('Rozpocet - Vyvoj aplikacii'!$B$3:$B$179,'TCO TO BE- SW'!I$2,'Rozpocet - Vyvoj aplikacii'!$I$3:$I$179),0),0)</f>
        <v>0</v>
      </c>
      <c r="J58" s="576">
        <f>IFERROR(IF(VLOOKUP(J$2,MODULY_CBA!$B$3:$L$23,8,0)=$D58,SUMIF('Rozpocet - Vyvoj aplikacii'!$B$3:$B$179,'TCO TO BE- SW'!J$2,'Rozpocet - Vyvoj aplikacii'!$I$3:$I$179),0),0)</f>
        <v>0</v>
      </c>
      <c r="K58" s="576">
        <f>IFERROR(IF(VLOOKUP(K$2,MODULY_CBA!$B$3:$L$23,8,0)=$D58,SUMIF('Rozpocet - Vyvoj aplikacii'!$B$3:$B$179,'TCO TO BE- SW'!K$2,'Rozpocet - Vyvoj aplikacii'!$I$3:$I$179),0),0)</f>
        <v>0</v>
      </c>
      <c r="L58" s="576">
        <f>IFERROR(IF(VLOOKUP(L$2,MODULY_CBA!$B$3:$L$23,8,0)=$D58,SUMIF('Rozpocet - Vyvoj aplikacii'!$B$3:$B$179,'TCO TO BE- SW'!L$2,'Rozpocet - Vyvoj aplikacii'!$I$3:$I$179),0),0)</f>
        <v>0</v>
      </c>
      <c r="M58" s="576">
        <f>IFERROR(IF(VLOOKUP(M$2,MODULY_CBA!$B$3:$L$23,8,0)=$D58,SUMIF('Rozpocet - Vyvoj aplikacii'!$B$3:$B$179,'TCO TO BE- SW'!M$2,'Rozpocet - Vyvoj aplikacii'!$I$3:$I$179),0),0)</f>
        <v>0</v>
      </c>
      <c r="N58" s="576">
        <f>IFERROR(IF(VLOOKUP(N$2,MODULY_CBA!$B$3:$L$23,8,0)=$D58,SUMIF('Rozpocet - Vyvoj aplikacii'!$B$3:$B$179,'TCO TO BE- SW'!N$2,'Rozpocet - Vyvoj aplikacii'!$I$3:$I$179),0),0)</f>
        <v>0</v>
      </c>
      <c r="O58" s="576">
        <f>IFERROR(IF(VLOOKUP(O$2,MODULY_CBA!$B$3:$L$23,8,0)=$D58,SUMIF('Rozpocet - Vyvoj aplikacii'!$B$3:$B$179,'TCO TO BE- SW'!O$2,'Rozpocet - Vyvoj aplikacii'!$I$3:$I$179),0),0)</f>
        <v>0</v>
      </c>
      <c r="P58" s="576">
        <f>IFERROR(IF(VLOOKUP(P$2,MODULY_CBA!$B$3:$L$23,8,0)=$D58,SUMIF('Rozpocet - Vyvoj aplikacii'!$B$3:$B$179,'TCO TO BE- SW'!P$2,'Rozpocet - Vyvoj aplikacii'!$I$3:$I$179),0),0)</f>
        <v>0</v>
      </c>
      <c r="Q58" s="576">
        <f>IFERROR(IF(VLOOKUP(Q$2,MODULY_CBA!$B$3:$L$23,8,0)=$D58,SUMIF('Rozpocet - Vyvoj aplikacii'!$B$3:$B$179,'TCO TO BE- SW'!Q$2,'Rozpocet - Vyvoj aplikacii'!$I$3:$I$179),0),0)</f>
        <v>0</v>
      </c>
      <c r="R58" s="576">
        <f>IFERROR(IF(VLOOKUP(R$2,MODULY_CBA!$B$3:$L$23,8,0)=$D58,SUMIF('Rozpocet - Vyvoj aplikacii'!$B$3:$B$179,'TCO TO BE- SW'!R$2,'Rozpocet - Vyvoj aplikacii'!$I$3:$I$179),0),0)</f>
        <v>0</v>
      </c>
      <c r="S58" s="576">
        <f>IFERROR(IF(VLOOKUP(S$2,MODULY_CBA!$B$3:$L$23,8,0)=$D58,SUMIF('Rozpocet - Vyvoj aplikacii'!$B$3:$B$179,'TCO TO BE- SW'!S$2,'Rozpocet - Vyvoj aplikacii'!$I$3:$I$179),0),0)</f>
        <v>0</v>
      </c>
      <c r="T58" s="576">
        <f>IFERROR(IF(VLOOKUP(T$2,MODULY_CBA!$B$3:$L$23,8,0)=$D58,SUMIF('Rozpocet - Vyvoj aplikacii'!$B$3:$B$179,'TCO TO BE- SW'!T$2,'Rozpocet - Vyvoj aplikacii'!$I$3:$I$179),0),0)</f>
        <v>0</v>
      </c>
      <c r="U58" s="576">
        <f>IFERROR(IF(VLOOKUP(U$2,MODULY_CBA!$B$3:$L$23,8,0)=$D58,SUMIF('Rozpocet - Vyvoj aplikacii'!$B$3:$B$179,'TCO TO BE- SW'!U$2,'Rozpocet - Vyvoj aplikacii'!$I$3:$I$179),0),0)</f>
        <v>0</v>
      </c>
      <c r="V58" s="576">
        <f>IFERROR(IF(VLOOKUP(V$2,MODULY_CBA!$B$3:$L$23,8,0)=$D58,SUMIF('Rozpocet - Vyvoj aplikacii'!$B$3:$B$179,'TCO TO BE- SW'!V$2,'Rozpocet - Vyvoj aplikacii'!$I$3:$I$179),0),0)</f>
        <v>0</v>
      </c>
      <c r="W58" s="576">
        <f>IFERROR(IF(VLOOKUP(W$2,MODULY_CBA!$B$3:$L$23,8,0)=$D58,SUMIF('Rozpocet - Vyvoj aplikacii'!$B$3:$B$179,'TCO TO BE- SW'!W$2,'Rozpocet - Vyvoj aplikacii'!$I$3:$I$179),0),0)</f>
        <v>0</v>
      </c>
      <c r="X58" s="576">
        <f>IFERROR(IF(VLOOKUP(X$2,MODULY_CBA!$B$3:$L$23,8,0)=$D58,SUMIF('Rozpocet - Vyvoj aplikacii'!$B$3:$B$179,'TCO TO BE- SW'!X$2,'Rozpocet - Vyvoj aplikacii'!$I$3:$I$179),0),0)</f>
        <v>0</v>
      </c>
      <c r="Y58" s="576">
        <f>IFERROR(IF(VLOOKUP(Y$2,MODULY_CBA!$B$3:$L$23,8,0)=$D58,SUMIF('Rozpocet - Vyvoj aplikacii'!$B$3:$B$179,'TCO TO BE- SW'!Y$2,'Rozpocet - Vyvoj aplikacii'!$I$3:$I$179),0),0)</f>
        <v>0</v>
      </c>
      <c r="Z58" s="576">
        <f>IFERROR(IF(VLOOKUP(Z$2,MODULY_CBA!$B$3:$L$23,8,0)=$D58,SUMIF('Rozpocet - Vyvoj aplikacii'!$B$3:$B$179,'TCO TO BE- SW'!Z$2,'Rozpocet - Vyvoj aplikacii'!$I$3:$I$179),0),0)</f>
        <v>0</v>
      </c>
    </row>
    <row r="59" spans="1:26" outlineLevel="2">
      <c r="A59" s="841"/>
      <c r="B59" s="842"/>
      <c r="C59" s="842"/>
      <c r="D59" s="64">
        <v>3</v>
      </c>
      <c r="E59" s="68">
        <f t="shared" si="7"/>
        <v>482082.40098682081</v>
      </c>
      <c r="F59" s="576">
        <f>IFERROR(IF(VLOOKUP(F$2,MODULY_CBA!$B$3:$L$23,8,0)=$D59,SUMIF('Rozpocet - Vyvoj aplikacii'!$B$3:$B$179,'TCO TO BE- SW'!F$2,'Rozpocet - Vyvoj aplikacii'!$I$3:$I$179),0),0)</f>
        <v>7803.2901642537163</v>
      </c>
      <c r="G59" s="576">
        <f>IFERROR(IF(VLOOKUP(G$2,MODULY_CBA!$B$3:$L$23,8,0)=$D59,SUMIF('Rozpocet - Vyvoj aplikacii'!$B$3:$B$179,'TCO TO BE- SW'!G$2,'Rozpocet - Vyvoj aplikacii'!$I$3:$I$179),0),0)</f>
        <v>0</v>
      </c>
      <c r="H59" s="576">
        <f>IFERROR(IF(VLOOKUP(H$2,MODULY_CBA!$B$3:$L$23,8,0)=$D59,SUMIF('Rozpocet - Vyvoj aplikacii'!$B$3:$B$179,'TCO TO BE- SW'!H$2,'Rozpocet - Vyvoj aplikacii'!$I$3:$I$179),0),0)</f>
        <v>0</v>
      </c>
      <c r="I59" s="576">
        <f>IFERROR(IF(VLOOKUP(I$2,MODULY_CBA!$B$3:$L$23,8,0)=$D59,SUMIF('Rozpocet - Vyvoj aplikacii'!$B$3:$B$179,'TCO TO BE- SW'!I$2,'Rozpocet - Vyvoj aplikacii'!$I$3:$I$179),0),0)</f>
        <v>0</v>
      </c>
      <c r="J59" s="576">
        <f>IFERROR(IF(VLOOKUP(J$2,MODULY_CBA!$B$3:$L$23,8,0)=$D59,SUMIF('Rozpocet - Vyvoj aplikacii'!$B$3:$B$179,'TCO TO BE- SW'!J$2,'Rozpocet - Vyvoj aplikacii'!$I$3:$I$179),0),0)</f>
        <v>22399.372485879376</v>
      </c>
      <c r="K59" s="576">
        <f>IFERROR(IF(VLOOKUP(K$2,MODULY_CBA!$B$3:$L$23,8,0)=$D59,SUMIF('Rozpocet - Vyvoj aplikacii'!$B$3:$B$179,'TCO TO BE- SW'!K$2,'Rozpocet - Vyvoj aplikacii'!$I$3:$I$179),0),0)</f>
        <v>0</v>
      </c>
      <c r="L59" s="576">
        <f>IFERROR(IF(VLOOKUP(L$2,MODULY_CBA!$B$3:$L$23,8,0)=$D59,SUMIF('Rozpocet - Vyvoj aplikacii'!$B$3:$B$179,'TCO TO BE- SW'!L$2,'Rozpocet - Vyvoj aplikacii'!$I$3:$I$179),0),0)</f>
        <v>0</v>
      </c>
      <c r="M59" s="576">
        <f>IFERROR(IF(VLOOKUP(M$2,MODULY_CBA!$B$3:$L$23,8,0)=$D59,SUMIF('Rozpocet - Vyvoj aplikacii'!$B$3:$B$179,'TCO TO BE- SW'!M$2,'Rozpocet - Vyvoj aplikacii'!$I$3:$I$179),0),0)</f>
        <v>319747.76747386879</v>
      </c>
      <c r="N59" s="576">
        <f>IFERROR(IF(VLOOKUP(N$2,MODULY_CBA!$B$3:$L$23,8,0)=$D59,SUMIF('Rozpocet - Vyvoj aplikacii'!$B$3:$B$179,'TCO TO BE- SW'!N$2,'Rozpocet - Vyvoj aplikacii'!$I$3:$I$179),0),0)</f>
        <v>0</v>
      </c>
      <c r="O59" s="576">
        <f>IFERROR(IF(VLOOKUP(O$2,MODULY_CBA!$B$3:$L$23,8,0)=$D59,SUMIF('Rozpocet - Vyvoj aplikacii'!$B$3:$B$179,'TCO TO BE- SW'!O$2,'Rozpocet - Vyvoj aplikacii'!$I$3:$I$179),0),0)</f>
        <v>0</v>
      </c>
      <c r="P59" s="576">
        <f>IFERROR(IF(VLOOKUP(P$2,MODULY_CBA!$B$3:$L$23,8,0)=$D59,SUMIF('Rozpocet - Vyvoj aplikacii'!$B$3:$B$179,'TCO TO BE- SW'!P$2,'Rozpocet - Vyvoj aplikacii'!$I$3:$I$179),0),0)</f>
        <v>0</v>
      </c>
      <c r="Q59" s="576">
        <f>IFERROR(IF(VLOOKUP(Q$2,MODULY_CBA!$B$3:$L$23,8,0)=$D59,SUMIF('Rozpocet - Vyvoj aplikacii'!$B$3:$B$179,'TCO TO BE- SW'!Q$2,'Rozpocet - Vyvoj aplikacii'!$I$3:$I$179),0),0)</f>
        <v>132131.97086281894</v>
      </c>
      <c r="R59" s="576">
        <f>IFERROR(IF(VLOOKUP(R$2,MODULY_CBA!$B$3:$L$23,8,0)=$D59,SUMIF('Rozpocet - Vyvoj aplikacii'!$B$3:$B$179,'TCO TO BE- SW'!R$2,'Rozpocet - Vyvoj aplikacii'!$I$3:$I$179),0),0)</f>
        <v>0</v>
      </c>
      <c r="S59" s="576">
        <f>IFERROR(IF(VLOOKUP(S$2,MODULY_CBA!$B$3:$L$23,8,0)=$D59,SUMIF('Rozpocet - Vyvoj aplikacii'!$B$3:$B$179,'TCO TO BE- SW'!S$2,'Rozpocet - Vyvoj aplikacii'!$I$3:$I$179),0),0)</f>
        <v>0</v>
      </c>
      <c r="T59" s="576">
        <f>IFERROR(IF(VLOOKUP(T$2,MODULY_CBA!$B$3:$L$23,8,0)=$D59,SUMIF('Rozpocet - Vyvoj aplikacii'!$B$3:$B$179,'TCO TO BE- SW'!T$2,'Rozpocet - Vyvoj aplikacii'!$I$3:$I$179),0),0)</f>
        <v>0</v>
      </c>
      <c r="U59" s="576">
        <f>IFERROR(IF(VLOOKUP(U$2,MODULY_CBA!$B$3:$L$23,8,0)=$D59,SUMIF('Rozpocet - Vyvoj aplikacii'!$B$3:$B$179,'TCO TO BE- SW'!U$2,'Rozpocet - Vyvoj aplikacii'!$I$3:$I$179),0),0)</f>
        <v>0</v>
      </c>
      <c r="V59" s="576">
        <f>IFERROR(IF(VLOOKUP(V$2,MODULY_CBA!$B$3:$L$23,8,0)=$D59,SUMIF('Rozpocet - Vyvoj aplikacii'!$B$3:$B$179,'TCO TO BE- SW'!V$2,'Rozpocet - Vyvoj aplikacii'!$I$3:$I$179),0),0)</f>
        <v>0</v>
      </c>
      <c r="W59" s="576">
        <f>IFERROR(IF(VLOOKUP(W$2,MODULY_CBA!$B$3:$L$23,8,0)=$D59,SUMIF('Rozpocet - Vyvoj aplikacii'!$B$3:$B$179,'TCO TO BE- SW'!W$2,'Rozpocet - Vyvoj aplikacii'!$I$3:$I$179),0),0)</f>
        <v>0</v>
      </c>
      <c r="X59" s="576">
        <f>IFERROR(IF(VLOOKUP(X$2,MODULY_CBA!$B$3:$L$23,8,0)=$D59,SUMIF('Rozpocet - Vyvoj aplikacii'!$B$3:$B$179,'TCO TO BE- SW'!X$2,'Rozpocet - Vyvoj aplikacii'!$I$3:$I$179),0),0)</f>
        <v>0</v>
      </c>
      <c r="Y59" s="576">
        <f>IFERROR(IF(VLOOKUP(Y$2,MODULY_CBA!$B$3:$L$23,8,0)=$D59,SUMIF('Rozpocet - Vyvoj aplikacii'!$B$3:$B$179,'TCO TO BE- SW'!Y$2,'Rozpocet - Vyvoj aplikacii'!$I$3:$I$179),0),0)</f>
        <v>0</v>
      </c>
      <c r="Z59" s="576">
        <f>IFERROR(IF(VLOOKUP(Z$2,MODULY_CBA!$B$3:$L$23,8,0)=$D59,SUMIF('Rozpocet - Vyvoj aplikacii'!$B$3:$B$179,'TCO TO BE- SW'!Z$2,'Rozpocet - Vyvoj aplikacii'!$I$3:$I$179),0),0)</f>
        <v>0</v>
      </c>
    </row>
    <row r="60" spans="1:26" outlineLevel="2">
      <c r="A60" s="841"/>
      <c r="B60" s="842"/>
      <c r="C60" s="842"/>
      <c r="D60" s="64">
        <v>4</v>
      </c>
      <c r="E60" s="68">
        <f t="shared" si="7"/>
        <v>123411.74732195027</v>
      </c>
      <c r="F60" s="576">
        <f>IFERROR(IF(VLOOKUP(F$2,MODULY_CBA!$B$3:$L$23,8,0)=$D60,SUMIF('Rozpocet - Vyvoj aplikacii'!$B$3:$B$179,'TCO TO BE- SW'!F$2,'Rozpocet - Vyvoj aplikacii'!$I$3:$I$179),0),0)</f>
        <v>0</v>
      </c>
      <c r="G60" s="576">
        <f>IFERROR(IF(VLOOKUP(G$2,MODULY_CBA!$B$3:$L$23,8,0)=$D60,SUMIF('Rozpocet - Vyvoj aplikacii'!$B$3:$B$179,'TCO TO BE- SW'!G$2,'Rozpocet - Vyvoj aplikacii'!$I$3:$I$179),0),0)</f>
        <v>0</v>
      </c>
      <c r="H60" s="576">
        <f>IFERROR(IF(VLOOKUP(H$2,MODULY_CBA!$B$3:$L$23,8,0)=$D60,SUMIF('Rozpocet - Vyvoj aplikacii'!$B$3:$B$179,'TCO TO BE- SW'!H$2,'Rozpocet - Vyvoj aplikacii'!$I$3:$I$179),0),0)</f>
        <v>0</v>
      </c>
      <c r="I60" s="576">
        <f>IFERROR(IF(VLOOKUP(I$2,MODULY_CBA!$B$3:$L$23,8,0)=$D60,SUMIF('Rozpocet - Vyvoj aplikacii'!$B$3:$B$179,'TCO TO BE- SW'!I$2,'Rozpocet - Vyvoj aplikacii'!$I$3:$I$179),0),0)</f>
        <v>41916.954359540352</v>
      </c>
      <c r="J60" s="576">
        <f>IFERROR(IF(VLOOKUP(J$2,MODULY_CBA!$B$3:$L$23,8,0)=$D60,SUMIF('Rozpocet - Vyvoj aplikacii'!$B$3:$B$179,'TCO TO BE- SW'!J$2,'Rozpocet - Vyvoj aplikacii'!$I$3:$I$179),0),0)</f>
        <v>0</v>
      </c>
      <c r="K60" s="576">
        <f>IFERROR(IF(VLOOKUP(K$2,MODULY_CBA!$B$3:$L$23,8,0)=$D60,SUMIF('Rozpocet - Vyvoj aplikacii'!$B$3:$B$179,'TCO TO BE- SW'!K$2,'Rozpocet - Vyvoj aplikacii'!$I$3:$I$179),0),0)</f>
        <v>0</v>
      </c>
      <c r="L60" s="576">
        <f>IFERROR(IF(VLOOKUP(L$2,MODULY_CBA!$B$3:$L$23,8,0)=$D60,SUMIF('Rozpocet - Vyvoj aplikacii'!$B$3:$B$179,'TCO TO BE- SW'!L$2,'Rozpocet - Vyvoj aplikacii'!$I$3:$I$179),0),0)</f>
        <v>19929.266246835032</v>
      </c>
      <c r="M60" s="576">
        <f>IFERROR(IF(VLOOKUP(M$2,MODULY_CBA!$B$3:$L$23,8,0)=$D60,SUMIF('Rozpocet - Vyvoj aplikacii'!$B$3:$B$179,'TCO TO BE- SW'!M$2,'Rozpocet - Vyvoj aplikacii'!$I$3:$I$179),0),0)</f>
        <v>0</v>
      </c>
      <c r="N60" s="576">
        <f>IFERROR(IF(VLOOKUP(N$2,MODULY_CBA!$B$3:$L$23,8,0)=$D60,SUMIF('Rozpocet - Vyvoj aplikacii'!$B$3:$B$179,'TCO TO BE- SW'!N$2,'Rozpocet - Vyvoj aplikacii'!$I$3:$I$179),0),0)</f>
        <v>38024.665740440178</v>
      </c>
      <c r="O60" s="576">
        <f>IFERROR(IF(VLOOKUP(O$2,MODULY_CBA!$B$3:$L$23,8,0)=$D60,SUMIF('Rozpocet - Vyvoj aplikacii'!$B$3:$B$179,'TCO TO BE- SW'!O$2,'Rozpocet - Vyvoj aplikacii'!$I$3:$I$179),0),0)</f>
        <v>0</v>
      </c>
      <c r="P60" s="576">
        <f>IFERROR(IF(VLOOKUP(P$2,MODULY_CBA!$B$3:$L$23,8,0)=$D60,SUMIF('Rozpocet - Vyvoj aplikacii'!$B$3:$B$179,'TCO TO BE- SW'!P$2,'Rozpocet - Vyvoj aplikacii'!$I$3:$I$179),0),0)</f>
        <v>23540.860975134718</v>
      </c>
      <c r="Q60" s="576">
        <f>IFERROR(IF(VLOOKUP(Q$2,MODULY_CBA!$B$3:$L$23,8,0)=$D60,SUMIF('Rozpocet - Vyvoj aplikacii'!$B$3:$B$179,'TCO TO BE- SW'!Q$2,'Rozpocet - Vyvoj aplikacii'!$I$3:$I$179),0),0)</f>
        <v>0</v>
      </c>
      <c r="R60" s="576">
        <f>IFERROR(IF(VLOOKUP(R$2,MODULY_CBA!$B$3:$L$23,8,0)=$D60,SUMIF('Rozpocet - Vyvoj aplikacii'!$B$3:$B$179,'TCO TO BE- SW'!R$2,'Rozpocet - Vyvoj aplikacii'!$I$3:$I$179),0),0)</f>
        <v>0</v>
      </c>
      <c r="S60" s="576">
        <f>IFERROR(IF(VLOOKUP(S$2,MODULY_CBA!$B$3:$L$23,8,0)=$D60,SUMIF('Rozpocet - Vyvoj aplikacii'!$B$3:$B$179,'TCO TO BE- SW'!S$2,'Rozpocet - Vyvoj aplikacii'!$I$3:$I$179),0),0)</f>
        <v>0</v>
      </c>
      <c r="T60" s="576">
        <f>IFERROR(IF(VLOOKUP(T$2,MODULY_CBA!$B$3:$L$23,8,0)=$D60,SUMIF('Rozpocet - Vyvoj aplikacii'!$B$3:$B$179,'TCO TO BE- SW'!T$2,'Rozpocet - Vyvoj aplikacii'!$I$3:$I$179),0),0)</f>
        <v>0</v>
      </c>
      <c r="U60" s="576">
        <f>IFERROR(IF(VLOOKUP(U$2,MODULY_CBA!$B$3:$L$23,8,0)=$D60,SUMIF('Rozpocet - Vyvoj aplikacii'!$B$3:$B$179,'TCO TO BE- SW'!U$2,'Rozpocet - Vyvoj aplikacii'!$I$3:$I$179),0),0)</f>
        <v>0</v>
      </c>
      <c r="V60" s="576">
        <f>IFERROR(IF(VLOOKUP(V$2,MODULY_CBA!$B$3:$L$23,8,0)=$D60,SUMIF('Rozpocet - Vyvoj aplikacii'!$B$3:$B$179,'TCO TO BE- SW'!V$2,'Rozpocet - Vyvoj aplikacii'!$I$3:$I$179),0),0)</f>
        <v>0</v>
      </c>
      <c r="W60" s="576">
        <f>IFERROR(IF(VLOOKUP(W$2,MODULY_CBA!$B$3:$L$23,8,0)=$D60,SUMIF('Rozpocet - Vyvoj aplikacii'!$B$3:$B$179,'TCO TO BE- SW'!W$2,'Rozpocet - Vyvoj aplikacii'!$I$3:$I$179),0),0)</f>
        <v>0</v>
      </c>
      <c r="X60" s="576">
        <f>IFERROR(IF(VLOOKUP(X$2,MODULY_CBA!$B$3:$L$23,8,0)=$D60,SUMIF('Rozpocet - Vyvoj aplikacii'!$B$3:$B$179,'TCO TO BE- SW'!X$2,'Rozpocet - Vyvoj aplikacii'!$I$3:$I$179),0),0)</f>
        <v>0</v>
      </c>
      <c r="Y60" s="576">
        <f>IFERROR(IF(VLOOKUP(Y$2,MODULY_CBA!$B$3:$L$23,8,0)=$D60,SUMIF('Rozpocet - Vyvoj aplikacii'!$B$3:$B$179,'TCO TO BE- SW'!Y$2,'Rozpocet - Vyvoj aplikacii'!$I$3:$I$179),0),0)</f>
        <v>0</v>
      </c>
      <c r="Z60" s="576">
        <f>IFERROR(IF(VLOOKUP(Z$2,MODULY_CBA!$B$3:$L$23,8,0)=$D60,SUMIF('Rozpocet - Vyvoj aplikacii'!$B$3:$B$179,'TCO TO BE- SW'!Z$2,'Rozpocet - Vyvoj aplikacii'!$I$3:$I$179),0),0)</f>
        <v>0</v>
      </c>
    </row>
    <row r="61" spans="1:26" outlineLevel="2">
      <c r="A61" s="841"/>
      <c r="B61" s="842"/>
      <c r="C61" s="842"/>
      <c r="D61" s="64">
        <v>5</v>
      </c>
      <c r="E61" s="68">
        <f t="shared" si="7"/>
        <v>0</v>
      </c>
      <c r="F61" s="576">
        <f>IFERROR(IF(VLOOKUP(F$2,MODULY_CBA!$B$3:$L$23,8,0)=$D61,SUMIF('Rozpocet - Vyvoj aplikacii'!$B$3:$B$179,'TCO TO BE- SW'!F$2,'Rozpocet - Vyvoj aplikacii'!$I$3:$I$179),0),0)</f>
        <v>0</v>
      </c>
      <c r="G61" s="576">
        <f>IFERROR(IF(VLOOKUP(G$2,MODULY_CBA!$B$3:$L$23,8,0)=$D61,SUMIF('Rozpocet - Vyvoj aplikacii'!$B$3:$B$179,'TCO TO BE- SW'!G$2,'Rozpocet - Vyvoj aplikacii'!$I$3:$I$179),0),0)</f>
        <v>0</v>
      </c>
      <c r="H61" s="576">
        <f>IFERROR(IF(VLOOKUP(H$2,MODULY_CBA!$B$3:$L$23,8,0)=$D61,SUMIF('Rozpocet - Vyvoj aplikacii'!$B$3:$B$179,'TCO TO BE- SW'!H$2,'Rozpocet - Vyvoj aplikacii'!$I$3:$I$179),0),0)</f>
        <v>0</v>
      </c>
      <c r="I61" s="576">
        <f>IFERROR(IF(VLOOKUP(I$2,MODULY_CBA!$B$3:$L$23,8,0)=$D61,SUMIF('Rozpocet - Vyvoj aplikacii'!$B$3:$B$179,'TCO TO BE- SW'!I$2,'Rozpocet - Vyvoj aplikacii'!$I$3:$I$179),0),0)</f>
        <v>0</v>
      </c>
      <c r="J61" s="576">
        <f>IFERROR(IF(VLOOKUP(J$2,MODULY_CBA!$B$3:$L$23,8,0)=$D61,SUMIF('Rozpocet - Vyvoj aplikacii'!$B$3:$B$179,'TCO TO BE- SW'!J$2,'Rozpocet - Vyvoj aplikacii'!$I$3:$I$179),0),0)</f>
        <v>0</v>
      </c>
      <c r="K61" s="576">
        <f>IFERROR(IF(VLOOKUP(K$2,MODULY_CBA!$B$3:$L$23,8,0)=$D61,SUMIF('Rozpocet - Vyvoj aplikacii'!$B$3:$B$179,'TCO TO BE- SW'!K$2,'Rozpocet - Vyvoj aplikacii'!$I$3:$I$179),0),0)</f>
        <v>0</v>
      </c>
      <c r="L61" s="576">
        <f>IFERROR(IF(VLOOKUP(L$2,MODULY_CBA!$B$3:$L$23,8,0)=$D61,SUMIF('Rozpocet - Vyvoj aplikacii'!$B$3:$B$179,'TCO TO BE- SW'!L$2,'Rozpocet - Vyvoj aplikacii'!$I$3:$I$179),0),0)</f>
        <v>0</v>
      </c>
      <c r="M61" s="576">
        <f>IFERROR(IF(VLOOKUP(M$2,MODULY_CBA!$B$3:$L$23,8,0)=$D61,SUMIF('Rozpocet - Vyvoj aplikacii'!$B$3:$B$179,'TCO TO BE- SW'!M$2,'Rozpocet - Vyvoj aplikacii'!$I$3:$I$179),0),0)</f>
        <v>0</v>
      </c>
      <c r="N61" s="576">
        <f>IFERROR(IF(VLOOKUP(N$2,MODULY_CBA!$B$3:$L$23,8,0)=$D61,SUMIF('Rozpocet - Vyvoj aplikacii'!$B$3:$B$179,'TCO TO BE- SW'!N$2,'Rozpocet - Vyvoj aplikacii'!$I$3:$I$179),0),0)</f>
        <v>0</v>
      </c>
      <c r="O61" s="576">
        <f>IFERROR(IF(VLOOKUP(O$2,MODULY_CBA!$B$3:$L$23,8,0)=$D61,SUMIF('Rozpocet - Vyvoj aplikacii'!$B$3:$B$179,'TCO TO BE- SW'!O$2,'Rozpocet - Vyvoj aplikacii'!$I$3:$I$179),0),0)</f>
        <v>0</v>
      </c>
      <c r="P61" s="576">
        <f>IFERROR(IF(VLOOKUP(P$2,MODULY_CBA!$B$3:$L$23,8,0)=$D61,SUMIF('Rozpocet - Vyvoj aplikacii'!$B$3:$B$179,'TCO TO BE- SW'!P$2,'Rozpocet - Vyvoj aplikacii'!$I$3:$I$179),0),0)</f>
        <v>0</v>
      </c>
      <c r="Q61" s="576">
        <f>IFERROR(IF(VLOOKUP(Q$2,MODULY_CBA!$B$3:$L$23,8,0)=$D61,SUMIF('Rozpocet - Vyvoj aplikacii'!$B$3:$B$179,'TCO TO BE- SW'!Q$2,'Rozpocet - Vyvoj aplikacii'!$I$3:$I$179),0),0)</f>
        <v>0</v>
      </c>
      <c r="R61" s="576">
        <f>IFERROR(IF(VLOOKUP(R$2,MODULY_CBA!$B$3:$L$23,8,0)=$D61,SUMIF('Rozpocet - Vyvoj aplikacii'!$B$3:$B$179,'TCO TO BE- SW'!R$2,'Rozpocet - Vyvoj aplikacii'!$I$3:$I$179),0),0)</f>
        <v>0</v>
      </c>
      <c r="S61" s="576">
        <f>IFERROR(IF(VLOOKUP(S$2,MODULY_CBA!$B$3:$L$23,8,0)=$D61,SUMIF('Rozpocet - Vyvoj aplikacii'!$B$3:$B$179,'TCO TO BE- SW'!S$2,'Rozpocet - Vyvoj aplikacii'!$I$3:$I$179),0),0)</f>
        <v>0</v>
      </c>
      <c r="T61" s="576">
        <f>IFERROR(IF(VLOOKUP(T$2,MODULY_CBA!$B$3:$L$23,8,0)=$D61,SUMIF('Rozpocet - Vyvoj aplikacii'!$B$3:$B$179,'TCO TO BE- SW'!T$2,'Rozpocet - Vyvoj aplikacii'!$I$3:$I$179),0),0)</f>
        <v>0</v>
      </c>
      <c r="U61" s="576">
        <f>IFERROR(IF(VLOOKUP(U$2,MODULY_CBA!$B$3:$L$23,8,0)=$D61,SUMIF('Rozpocet - Vyvoj aplikacii'!$B$3:$B$179,'TCO TO BE- SW'!U$2,'Rozpocet - Vyvoj aplikacii'!$I$3:$I$179),0),0)</f>
        <v>0</v>
      </c>
      <c r="V61" s="576">
        <f>IFERROR(IF(VLOOKUP(V$2,MODULY_CBA!$B$3:$L$23,8,0)=$D61,SUMIF('Rozpocet - Vyvoj aplikacii'!$B$3:$B$179,'TCO TO BE- SW'!V$2,'Rozpocet - Vyvoj aplikacii'!$I$3:$I$179),0),0)</f>
        <v>0</v>
      </c>
      <c r="W61" s="576">
        <f>IFERROR(IF(VLOOKUP(W$2,MODULY_CBA!$B$3:$L$23,8,0)=$D61,SUMIF('Rozpocet - Vyvoj aplikacii'!$B$3:$B$179,'TCO TO BE- SW'!W$2,'Rozpocet - Vyvoj aplikacii'!$I$3:$I$179),0),0)</f>
        <v>0</v>
      </c>
      <c r="X61" s="576">
        <f>IFERROR(IF(VLOOKUP(X$2,MODULY_CBA!$B$3:$L$23,8,0)=$D61,SUMIF('Rozpocet - Vyvoj aplikacii'!$B$3:$B$179,'TCO TO BE- SW'!X$2,'Rozpocet - Vyvoj aplikacii'!$I$3:$I$179),0),0)</f>
        <v>0</v>
      </c>
      <c r="Y61" s="576">
        <f>IFERROR(IF(VLOOKUP(Y$2,MODULY_CBA!$B$3:$L$23,8,0)=$D61,SUMIF('Rozpocet - Vyvoj aplikacii'!$B$3:$B$179,'TCO TO BE- SW'!Y$2,'Rozpocet - Vyvoj aplikacii'!$I$3:$I$179),0),0)</f>
        <v>0</v>
      </c>
      <c r="Z61" s="576">
        <f>IFERROR(IF(VLOOKUP(Z$2,MODULY_CBA!$B$3:$L$23,8,0)=$D61,SUMIF('Rozpocet - Vyvoj aplikacii'!$B$3:$B$179,'TCO TO BE- SW'!Z$2,'Rozpocet - Vyvoj aplikacii'!$I$3:$I$179),0),0)</f>
        <v>0</v>
      </c>
    </row>
    <row r="62" spans="1:26" outlineLevel="2">
      <c r="A62" s="841"/>
      <c r="B62" s="842"/>
      <c r="C62" s="842"/>
      <c r="D62" s="64">
        <v>6</v>
      </c>
      <c r="E62" s="68">
        <f t="shared" si="7"/>
        <v>0</v>
      </c>
      <c r="F62" s="576">
        <f>IFERROR(IF(VLOOKUP(F$2,MODULY_CBA!$B$3:$L$23,8,0)=$D62,SUMIF('Rozpocet - Vyvoj aplikacii'!$B$3:$B$179,'TCO TO BE- SW'!F$2,'Rozpocet - Vyvoj aplikacii'!$I$3:$I$179),0),0)</f>
        <v>0</v>
      </c>
      <c r="G62" s="576">
        <f>IFERROR(IF(VLOOKUP(G$2,MODULY_CBA!$B$3:$L$23,8,0)=$D62,SUMIF('Rozpocet - Vyvoj aplikacii'!$B$3:$B$179,'TCO TO BE- SW'!G$2,'Rozpocet - Vyvoj aplikacii'!$I$3:$I$179),0),0)</f>
        <v>0</v>
      </c>
      <c r="H62" s="576">
        <f>IFERROR(IF(VLOOKUP(H$2,MODULY_CBA!$B$3:$L$23,8,0)=$D62,SUMIF('Rozpocet - Vyvoj aplikacii'!$B$3:$B$179,'TCO TO BE- SW'!H$2,'Rozpocet - Vyvoj aplikacii'!$I$3:$I$179),0),0)</f>
        <v>0</v>
      </c>
      <c r="I62" s="576">
        <f>IFERROR(IF(VLOOKUP(I$2,MODULY_CBA!$B$3:$L$23,8,0)=$D62,SUMIF('Rozpocet - Vyvoj aplikacii'!$B$3:$B$179,'TCO TO BE- SW'!I$2,'Rozpocet - Vyvoj aplikacii'!$I$3:$I$179),0),0)</f>
        <v>0</v>
      </c>
      <c r="J62" s="576">
        <f>IFERROR(IF(VLOOKUP(J$2,MODULY_CBA!$B$3:$L$23,8,0)=$D62,SUMIF('Rozpocet - Vyvoj aplikacii'!$B$3:$B$179,'TCO TO BE- SW'!J$2,'Rozpocet - Vyvoj aplikacii'!$I$3:$I$179),0),0)</f>
        <v>0</v>
      </c>
      <c r="K62" s="576">
        <f>IFERROR(IF(VLOOKUP(K$2,MODULY_CBA!$B$3:$L$23,8,0)=$D62,SUMIF('Rozpocet - Vyvoj aplikacii'!$B$3:$B$179,'TCO TO BE- SW'!K$2,'Rozpocet - Vyvoj aplikacii'!$I$3:$I$179),0),0)</f>
        <v>0</v>
      </c>
      <c r="L62" s="576">
        <f>IFERROR(IF(VLOOKUP(L$2,MODULY_CBA!$B$3:$L$23,8,0)=$D62,SUMIF('Rozpocet - Vyvoj aplikacii'!$B$3:$B$179,'TCO TO BE- SW'!L$2,'Rozpocet - Vyvoj aplikacii'!$I$3:$I$179),0),0)</f>
        <v>0</v>
      </c>
      <c r="M62" s="576">
        <f>IFERROR(IF(VLOOKUP(M$2,MODULY_CBA!$B$3:$L$23,8,0)=$D62,SUMIF('Rozpocet - Vyvoj aplikacii'!$B$3:$B$179,'TCO TO BE- SW'!M$2,'Rozpocet - Vyvoj aplikacii'!$I$3:$I$179),0),0)</f>
        <v>0</v>
      </c>
      <c r="N62" s="576">
        <f>IFERROR(IF(VLOOKUP(N$2,MODULY_CBA!$B$3:$L$23,8,0)=$D62,SUMIF('Rozpocet - Vyvoj aplikacii'!$B$3:$B$179,'TCO TO BE- SW'!N$2,'Rozpocet - Vyvoj aplikacii'!$I$3:$I$179),0),0)</f>
        <v>0</v>
      </c>
      <c r="O62" s="576">
        <f>IFERROR(IF(VLOOKUP(O$2,MODULY_CBA!$B$3:$L$23,8,0)=$D62,SUMIF('Rozpocet - Vyvoj aplikacii'!$B$3:$B$179,'TCO TO BE- SW'!O$2,'Rozpocet - Vyvoj aplikacii'!$I$3:$I$179),0),0)</f>
        <v>0</v>
      </c>
      <c r="P62" s="576">
        <f>IFERROR(IF(VLOOKUP(P$2,MODULY_CBA!$B$3:$L$23,8,0)=$D62,SUMIF('Rozpocet - Vyvoj aplikacii'!$B$3:$B$179,'TCO TO BE- SW'!P$2,'Rozpocet - Vyvoj aplikacii'!$I$3:$I$179),0),0)</f>
        <v>0</v>
      </c>
      <c r="Q62" s="576">
        <f>IFERROR(IF(VLOOKUP(Q$2,MODULY_CBA!$B$3:$L$23,8,0)=$D62,SUMIF('Rozpocet - Vyvoj aplikacii'!$B$3:$B$179,'TCO TO BE- SW'!Q$2,'Rozpocet - Vyvoj aplikacii'!$I$3:$I$179),0),0)</f>
        <v>0</v>
      </c>
      <c r="R62" s="576">
        <f>IFERROR(IF(VLOOKUP(R$2,MODULY_CBA!$B$3:$L$23,8,0)=$D62,SUMIF('Rozpocet - Vyvoj aplikacii'!$B$3:$B$179,'TCO TO BE- SW'!R$2,'Rozpocet - Vyvoj aplikacii'!$I$3:$I$179),0),0)</f>
        <v>0</v>
      </c>
      <c r="S62" s="576">
        <f>IFERROR(IF(VLOOKUP(S$2,MODULY_CBA!$B$3:$L$23,8,0)=$D62,SUMIF('Rozpocet - Vyvoj aplikacii'!$B$3:$B$179,'TCO TO BE- SW'!S$2,'Rozpocet - Vyvoj aplikacii'!$I$3:$I$179),0),0)</f>
        <v>0</v>
      </c>
      <c r="T62" s="576">
        <f>IFERROR(IF(VLOOKUP(T$2,MODULY_CBA!$B$3:$L$23,8,0)=$D62,SUMIF('Rozpocet - Vyvoj aplikacii'!$B$3:$B$179,'TCO TO BE- SW'!T$2,'Rozpocet - Vyvoj aplikacii'!$I$3:$I$179),0),0)</f>
        <v>0</v>
      </c>
      <c r="U62" s="576">
        <f>IFERROR(IF(VLOOKUP(U$2,MODULY_CBA!$B$3:$L$23,8,0)=$D62,SUMIF('Rozpocet - Vyvoj aplikacii'!$B$3:$B$179,'TCO TO BE- SW'!U$2,'Rozpocet - Vyvoj aplikacii'!$I$3:$I$179),0),0)</f>
        <v>0</v>
      </c>
      <c r="V62" s="576">
        <f>IFERROR(IF(VLOOKUP(V$2,MODULY_CBA!$B$3:$L$23,8,0)=$D62,SUMIF('Rozpocet - Vyvoj aplikacii'!$B$3:$B$179,'TCO TO BE- SW'!V$2,'Rozpocet - Vyvoj aplikacii'!$I$3:$I$179),0),0)</f>
        <v>0</v>
      </c>
      <c r="W62" s="576">
        <f>IFERROR(IF(VLOOKUP(W$2,MODULY_CBA!$B$3:$L$23,8,0)=$D62,SUMIF('Rozpocet - Vyvoj aplikacii'!$B$3:$B$179,'TCO TO BE- SW'!W$2,'Rozpocet - Vyvoj aplikacii'!$I$3:$I$179),0),0)</f>
        <v>0</v>
      </c>
      <c r="X62" s="576">
        <f>IFERROR(IF(VLOOKUP(X$2,MODULY_CBA!$B$3:$L$23,8,0)=$D62,SUMIF('Rozpocet - Vyvoj aplikacii'!$B$3:$B$179,'TCO TO BE- SW'!X$2,'Rozpocet - Vyvoj aplikacii'!$I$3:$I$179),0),0)</f>
        <v>0</v>
      </c>
      <c r="Y62" s="576">
        <f>IFERROR(IF(VLOOKUP(Y$2,MODULY_CBA!$B$3:$L$23,8,0)=$D62,SUMIF('Rozpocet - Vyvoj aplikacii'!$B$3:$B$179,'TCO TO BE- SW'!Y$2,'Rozpocet - Vyvoj aplikacii'!$I$3:$I$179),0),0)</f>
        <v>0</v>
      </c>
      <c r="Z62" s="576">
        <f>IFERROR(IF(VLOOKUP(Z$2,MODULY_CBA!$B$3:$L$23,8,0)=$D62,SUMIF('Rozpocet - Vyvoj aplikacii'!$B$3:$B$179,'TCO TO BE- SW'!Z$2,'Rozpocet - Vyvoj aplikacii'!$I$3:$I$179),0),0)</f>
        <v>0</v>
      </c>
    </row>
    <row r="63" spans="1:26" outlineLevel="2">
      <c r="A63" s="841"/>
      <c r="B63" s="842"/>
      <c r="C63" s="842"/>
      <c r="D63" s="64">
        <v>7</v>
      </c>
      <c r="E63" s="68">
        <f t="shared" si="7"/>
        <v>0</v>
      </c>
      <c r="F63" s="576">
        <f>IFERROR(IF(VLOOKUP(F$2,MODULY_CBA!$B$3:$L$23,8,0)=$D63,SUMIF('Rozpocet - Vyvoj aplikacii'!$B$3:$B$179,'TCO TO BE- SW'!F$2,'Rozpocet - Vyvoj aplikacii'!$I$3:$I$179),0),0)</f>
        <v>0</v>
      </c>
      <c r="G63" s="576">
        <f>IFERROR(IF(VLOOKUP(G$2,MODULY_CBA!$B$3:$L$23,8,0)=$D63,SUMIF('Rozpocet - Vyvoj aplikacii'!$B$3:$B$179,'TCO TO BE- SW'!G$2,'Rozpocet - Vyvoj aplikacii'!$I$3:$I$179),0),0)</f>
        <v>0</v>
      </c>
      <c r="H63" s="576">
        <f>IFERROR(IF(VLOOKUP(H$2,MODULY_CBA!$B$3:$L$23,8,0)=$D63,SUMIF('Rozpocet - Vyvoj aplikacii'!$B$3:$B$179,'TCO TO BE- SW'!H$2,'Rozpocet - Vyvoj aplikacii'!$I$3:$I$179),0),0)</f>
        <v>0</v>
      </c>
      <c r="I63" s="576">
        <f>IFERROR(IF(VLOOKUP(I$2,MODULY_CBA!$B$3:$L$23,8,0)=$D63,SUMIF('Rozpocet - Vyvoj aplikacii'!$B$3:$B$179,'TCO TO BE- SW'!I$2,'Rozpocet - Vyvoj aplikacii'!$I$3:$I$179),0),0)</f>
        <v>0</v>
      </c>
      <c r="J63" s="576">
        <f>IFERROR(IF(VLOOKUP(J$2,MODULY_CBA!$B$3:$L$23,8,0)=$D63,SUMIF('Rozpocet - Vyvoj aplikacii'!$B$3:$B$179,'TCO TO BE- SW'!J$2,'Rozpocet - Vyvoj aplikacii'!$I$3:$I$179),0),0)</f>
        <v>0</v>
      </c>
      <c r="K63" s="576">
        <f>IFERROR(IF(VLOOKUP(K$2,MODULY_CBA!$B$3:$L$23,8,0)=$D63,SUMIF('Rozpocet - Vyvoj aplikacii'!$B$3:$B$179,'TCO TO BE- SW'!K$2,'Rozpocet - Vyvoj aplikacii'!$I$3:$I$179),0),0)</f>
        <v>0</v>
      </c>
      <c r="L63" s="576">
        <f>IFERROR(IF(VLOOKUP(L$2,MODULY_CBA!$B$3:$L$23,8,0)=$D63,SUMIF('Rozpocet - Vyvoj aplikacii'!$B$3:$B$179,'TCO TO BE- SW'!L$2,'Rozpocet - Vyvoj aplikacii'!$I$3:$I$179),0),0)</f>
        <v>0</v>
      </c>
      <c r="M63" s="576">
        <f>IFERROR(IF(VLOOKUP(M$2,MODULY_CBA!$B$3:$L$23,8,0)=$D63,SUMIF('Rozpocet - Vyvoj aplikacii'!$B$3:$B$179,'TCO TO BE- SW'!M$2,'Rozpocet - Vyvoj aplikacii'!$I$3:$I$179),0),0)</f>
        <v>0</v>
      </c>
      <c r="N63" s="576">
        <f>IFERROR(IF(VLOOKUP(N$2,MODULY_CBA!$B$3:$L$23,8,0)=$D63,SUMIF('Rozpocet - Vyvoj aplikacii'!$B$3:$B$179,'TCO TO BE- SW'!N$2,'Rozpocet - Vyvoj aplikacii'!$I$3:$I$179),0),0)</f>
        <v>0</v>
      </c>
      <c r="O63" s="576">
        <f>IFERROR(IF(VLOOKUP(O$2,MODULY_CBA!$B$3:$L$23,8,0)=$D63,SUMIF('Rozpocet - Vyvoj aplikacii'!$B$3:$B$179,'TCO TO BE- SW'!O$2,'Rozpocet - Vyvoj aplikacii'!$I$3:$I$179),0),0)</f>
        <v>0</v>
      </c>
      <c r="P63" s="576">
        <f>IFERROR(IF(VLOOKUP(P$2,MODULY_CBA!$B$3:$L$23,8,0)=$D63,SUMIF('Rozpocet - Vyvoj aplikacii'!$B$3:$B$179,'TCO TO BE- SW'!P$2,'Rozpocet - Vyvoj aplikacii'!$I$3:$I$179),0),0)</f>
        <v>0</v>
      </c>
      <c r="Q63" s="576">
        <f>IFERROR(IF(VLOOKUP(Q$2,MODULY_CBA!$B$3:$L$23,8,0)=$D63,SUMIF('Rozpocet - Vyvoj aplikacii'!$B$3:$B$179,'TCO TO BE- SW'!Q$2,'Rozpocet - Vyvoj aplikacii'!$I$3:$I$179),0),0)</f>
        <v>0</v>
      </c>
      <c r="R63" s="576">
        <f>IFERROR(IF(VLOOKUP(R$2,MODULY_CBA!$B$3:$L$23,8,0)=$D63,SUMIF('Rozpocet - Vyvoj aplikacii'!$B$3:$B$179,'TCO TO BE- SW'!R$2,'Rozpocet - Vyvoj aplikacii'!$I$3:$I$179),0),0)</f>
        <v>0</v>
      </c>
      <c r="S63" s="576">
        <f>IFERROR(IF(VLOOKUP(S$2,MODULY_CBA!$B$3:$L$23,8,0)=$D63,SUMIF('Rozpocet - Vyvoj aplikacii'!$B$3:$B$179,'TCO TO BE- SW'!S$2,'Rozpocet - Vyvoj aplikacii'!$I$3:$I$179),0),0)</f>
        <v>0</v>
      </c>
      <c r="T63" s="576">
        <f>IFERROR(IF(VLOOKUP(T$2,MODULY_CBA!$B$3:$L$23,8,0)=$D63,SUMIF('Rozpocet - Vyvoj aplikacii'!$B$3:$B$179,'TCO TO BE- SW'!T$2,'Rozpocet - Vyvoj aplikacii'!$I$3:$I$179),0),0)</f>
        <v>0</v>
      </c>
      <c r="U63" s="576">
        <f>IFERROR(IF(VLOOKUP(U$2,MODULY_CBA!$B$3:$L$23,8,0)=$D63,SUMIF('Rozpocet - Vyvoj aplikacii'!$B$3:$B$179,'TCO TO BE- SW'!U$2,'Rozpocet - Vyvoj aplikacii'!$I$3:$I$179),0),0)</f>
        <v>0</v>
      </c>
      <c r="V63" s="576">
        <f>IFERROR(IF(VLOOKUP(V$2,MODULY_CBA!$B$3:$L$23,8,0)=$D63,SUMIF('Rozpocet - Vyvoj aplikacii'!$B$3:$B$179,'TCO TO BE- SW'!V$2,'Rozpocet - Vyvoj aplikacii'!$I$3:$I$179),0),0)</f>
        <v>0</v>
      </c>
      <c r="W63" s="576">
        <f>IFERROR(IF(VLOOKUP(W$2,MODULY_CBA!$B$3:$L$23,8,0)=$D63,SUMIF('Rozpocet - Vyvoj aplikacii'!$B$3:$B$179,'TCO TO BE- SW'!W$2,'Rozpocet - Vyvoj aplikacii'!$I$3:$I$179),0),0)</f>
        <v>0</v>
      </c>
      <c r="X63" s="576">
        <f>IFERROR(IF(VLOOKUP(X$2,MODULY_CBA!$B$3:$L$23,8,0)=$D63,SUMIF('Rozpocet - Vyvoj aplikacii'!$B$3:$B$179,'TCO TO BE- SW'!X$2,'Rozpocet - Vyvoj aplikacii'!$I$3:$I$179),0),0)</f>
        <v>0</v>
      </c>
      <c r="Y63" s="576">
        <f>IFERROR(IF(VLOOKUP(Y$2,MODULY_CBA!$B$3:$L$23,8,0)=$D63,SUMIF('Rozpocet - Vyvoj aplikacii'!$B$3:$B$179,'TCO TO BE- SW'!Y$2,'Rozpocet - Vyvoj aplikacii'!$I$3:$I$179),0),0)</f>
        <v>0</v>
      </c>
      <c r="Z63" s="576">
        <f>IFERROR(IF(VLOOKUP(Z$2,MODULY_CBA!$B$3:$L$23,8,0)=$D63,SUMIF('Rozpocet - Vyvoj aplikacii'!$B$3:$B$179,'TCO TO BE- SW'!Z$2,'Rozpocet - Vyvoj aplikacii'!$I$3:$I$179),0),0)</f>
        <v>0</v>
      </c>
    </row>
    <row r="64" spans="1:26" outlineLevel="2">
      <c r="A64" s="841"/>
      <c r="B64" s="842"/>
      <c r="C64" s="842"/>
      <c r="D64" s="64">
        <v>8</v>
      </c>
      <c r="E64" s="68">
        <f t="shared" si="7"/>
        <v>0</v>
      </c>
      <c r="F64" s="576">
        <f>IFERROR(IF(VLOOKUP(F$2,MODULY_CBA!$B$3:$L$23,8,0)=$D64,SUMIF('Rozpocet - Vyvoj aplikacii'!$B$3:$B$179,'TCO TO BE- SW'!F$2,'Rozpocet - Vyvoj aplikacii'!$I$3:$I$179),0),0)</f>
        <v>0</v>
      </c>
      <c r="G64" s="576">
        <f>IFERROR(IF(VLOOKUP(G$2,MODULY_CBA!$B$3:$L$23,8,0)=$D64,SUMIF('Rozpocet - Vyvoj aplikacii'!$B$3:$B$179,'TCO TO BE- SW'!G$2,'Rozpocet - Vyvoj aplikacii'!$I$3:$I$179),0),0)</f>
        <v>0</v>
      </c>
      <c r="H64" s="576">
        <f>IFERROR(IF(VLOOKUP(H$2,MODULY_CBA!$B$3:$L$23,8,0)=$D64,SUMIF('Rozpocet - Vyvoj aplikacii'!$B$3:$B$179,'TCO TO BE- SW'!H$2,'Rozpocet - Vyvoj aplikacii'!$I$3:$I$179),0),0)</f>
        <v>0</v>
      </c>
      <c r="I64" s="576">
        <f>IFERROR(IF(VLOOKUP(I$2,MODULY_CBA!$B$3:$L$23,8,0)=$D64,SUMIF('Rozpocet - Vyvoj aplikacii'!$B$3:$B$179,'TCO TO BE- SW'!I$2,'Rozpocet - Vyvoj aplikacii'!$I$3:$I$179),0),0)</f>
        <v>0</v>
      </c>
      <c r="J64" s="576">
        <f>IFERROR(IF(VLOOKUP(J$2,MODULY_CBA!$B$3:$L$23,8,0)=$D64,SUMIF('Rozpocet - Vyvoj aplikacii'!$B$3:$B$179,'TCO TO BE- SW'!J$2,'Rozpocet - Vyvoj aplikacii'!$I$3:$I$179),0),0)</f>
        <v>0</v>
      </c>
      <c r="K64" s="576">
        <f>IFERROR(IF(VLOOKUP(K$2,MODULY_CBA!$B$3:$L$23,8,0)=$D64,SUMIF('Rozpocet - Vyvoj aplikacii'!$B$3:$B$179,'TCO TO BE- SW'!K$2,'Rozpocet - Vyvoj aplikacii'!$I$3:$I$179),0),0)</f>
        <v>0</v>
      </c>
      <c r="L64" s="576">
        <f>IFERROR(IF(VLOOKUP(L$2,MODULY_CBA!$B$3:$L$23,8,0)=$D64,SUMIF('Rozpocet - Vyvoj aplikacii'!$B$3:$B$179,'TCO TO BE- SW'!L$2,'Rozpocet - Vyvoj aplikacii'!$I$3:$I$179),0),0)</f>
        <v>0</v>
      </c>
      <c r="M64" s="576">
        <f>IFERROR(IF(VLOOKUP(M$2,MODULY_CBA!$B$3:$L$23,8,0)=$D64,SUMIF('Rozpocet - Vyvoj aplikacii'!$B$3:$B$179,'TCO TO BE- SW'!M$2,'Rozpocet - Vyvoj aplikacii'!$I$3:$I$179),0),0)</f>
        <v>0</v>
      </c>
      <c r="N64" s="576">
        <f>IFERROR(IF(VLOOKUP(N$2,MODULY_CBA!$B$3:$L$23,8,0)=$D64,SUMIF('Rozpocet - Vyvoj aplikacii'!$B$3:$B$179,'TCO TO BE- SW'!N$2,'Rozpocet - Vyvoj aplikacii'!$I$3:$I$179),0),0)</f>
        <v>0</v>
      </c>
      <c r="O64" s="576">
        <f>IFERROR(IF(VLOOKUP(O$2,MODULY_CBA!$B$3:$L$23,8,0)=$D64,SUMIF('Rozpocet - Vyvoj aplikacii'!$B$3:$B$179,'TCO TO BE- SW'!O$2,'Rozpocet - Vyvoj aplikacii'!$I$3:$I$179),0),0)</f>
        <v>0</v>
      </c>
      <c r="P64" s="576">
        <f>IFERROR(IF(VLOOKUP(P$2,MODULY_CBA!$B$3:$L$23,8,0)=$D64,SUMIF('Rozpocet - Vyvoj aplikacii'!$B$3:$B$179,'TCO TO BE- SW'!P$2,'Rozpocet - Vyvoj aplikacii'!$I$3:$I$179),0),0)</f>
        <v>0</v>
      </c>
      <c r="Q64" s="576">
        <f>IFERROR(IF(VLOOKUP(Q$2,MODULY_CBA!$B$3:$L$23,8,0)=$D64,SUMIF('Rozpocet - Vyvoj aplikacii'!$B$3:$B$179,'TCO TO BE- SW'!Q$2,'Rozpocet - Vyvoj aplikacii'!$I$3:$I$179),0),0)</f>
        <v>0</v>
      </c>
      <c r="R64" s="576">
        <f>IFERROR(IF(VLOOKUP(R$2,MODULY_CBA!$B$3:$L$23,8,0)=$D64,SUMIF('Rozpocet - Vyvoj aplikacii'!$B$3:$B$179,'TCO TO BE- SW'!R$2,'Rozpocet - Vyvoj aplikacii'!$I$3:$I$179),0),0)</f>
        <v>0</v>
      </c>
      <c r="S64" s="576">
        <f>IFERROR(IF(VLOOKUP(S$2,MODULY_CBA!$B$3:$L$23,8,0)=$D64,SUMIF('Rozpocet - Vyvoj aplikacii'!$B$3:$B$179,'TCO TO BE- SW'!S$2,'Rozpocet - Vyvoj aplikacii'!$I$3:$I$179),0),0)</f>
        <v>0</v>
      </c>
      <c r="T64" s="576">
        <f>IFERROR(IF(VLOOKUP(T$2,MODULY_CBA!$B$3:$L$23,8,0)=$D64,SUMIF('Rozpocet - Vyvoj aplikacii'!$B$3:$B$179,'TCO TO BE- SW'!T$2,'Rozpocet - Vyvoj aplikacii'!$I$3:$I$179),0),0)</f>
        <v>0</v>
      </c>
      <c r="U64" s="576">
        <f>IFERROR(IF(VLOOKUP(U$2,MODULY_CBA!$B$3:$L$23,8,0)=$D64,SUMIF('Rozpocet - Vyvoj aplikacii'!$B$3:$B$179,'TCO TO BE- SW'!U$2,'Rozpocet - Vyvoj aplikacii'!$I$3:$I$179),0),0)</f>
        <v>0</v>
      </c>
      <c r="V64" s="576">
        <f>IFERROR(IF(VLOOKUP(V$2,MODULY_CBA!$B$3:$L$23,8,0)=$D64,SUMIF('Rozpocet - Vyvoj aplikacii'!$B$3:$B$179,'TCO TO BE- SW'!V$2,'Rozpocet - Vyvoj aplikacii'!$I$3:$I$179),0),0)</f>
        <v>0</v>
      </c>
      <c r="W64" s="576">
        <f>IFERROR(IF(VLOOKUP(W$2,MODULY_CBA!$B$3:$L$23,8,0)=$D64,SUMIF('Rozpocet - Vyvoj aplikacii'!$B$3:$B$179,'TCO TO BE- SW'!W$2,'Rozpocet - Vyvoj aplikacii'!$I$3:$I$179),0),0)</f>
        <v>0</v>
      </c>
      <c r="X64" s="576">
        <f>IFERROR(IF(VLOOKUP(X$2,MODULY_CBA!$B$3:$L$23,8,0)=$D64,SUMIF('Rozpocet - Vyvoj aplikacii'!$B$3:$B$179,'TCO TO BE- SW'!X$2,'Rozpocet - Vyvoj aplikacii'!$I$3:$I$179),0),0)</f>
        <v>0</v>
      </c>
      <c r="Y64" s="576">
        <f>IFERROR(IF(VLOOKUP(Y$2,MODULY_CBA!$B$3:$L$23,8,0)=$D64,SUMIF('Rozpocet - Vyvoj aplikacii'!$B$3:$B$179,'TCO TO BE- SW'!Y$2,'Rozpocet - Vyvoj aplikacii'!$I$3:$I$179),0),0)</f>
        <v>0</v>
      </c>
      <c r="Z64" s="576">
        <f>IFERROR(IF(VLOOKUP(Z$2,MODULY_CBA!$B$3:$L$23,8,0)=$D64,SUMIF('Rozpocet - Vyvoj aplikacii'!$B$3:$B$179,'TCO TO BE- SW'!Z$2,'Rozpocet - Vyvoj aplikacii'!$I$3:$I$179),0),0)</f>
        <v>0</v>
      </c>
    </row>
    <row r="65" spans="1:26" outlineLevel="2">
      <c r="A65" s="841"/>
      <c r="B65" s="842"/>
      <c r="C65" s="842"/>
      <c r="D65" s="64">
        <v>9</v>
      </c>
      <c r="E65" s="68">
        <f t="shared" si="7"/>
        <v>0</v>
      </c>
      <c r="F65" s="576">
        <f>IFERROR(IF(VLOOKUP(F$2,MODULY_CBA!$B$3:$L$23,8,0)=$D65,SUMIF('Rozpocet - Vyvoj aplikacii'!$B$3:$B$179,'TCO TO BE- SW'!F$2,'Rozpocet - Vyvoj aplikacii'!$I$3:$I$179),0),0)</f>
        <v>0</v>
      </c>
      <c r="G65" s="576">
        <f>IFERROR(IF(VLOOKUP(G$2,MODULY_CBA!$B$3:$L$23,8,0)=$D65,SUMIF('Rozpocet - Vyvoj aplikacii'!$B$3:$B$179,'TCO TO BE- SW'!G$2,'Rozpocet - Vyvoj aplikacii'!$I$3:$I$179),0),0)</f>
        <v>0</v>
      </c>
      <c r="H65" s="576">
        <f>IFERROR(IF(VLOOKUP(H$2,MODULY_CBA!$B$3:$L$23,8,0)=$D65,SUMIF('Rozpocet - Vyvoj aplikacii'!$B$3:$B$179,'TCO TO BE- SW'!H$2,'Rozpocet - Vyvoj aplikacii'!$I$3:$I$179),0),0)</f>
        <v>0</v>
      </c>
      <c r="I65" s="576">
        <f>IFERROR(IF(VLOOKUP(I$2,MODULY_CBA!$B$3:$L$23,8,0)=$D65,SUMIF('Rozpocet - Vyvoj aplikacii'!$B$3:$B$179,'TCO TO BE- SW'!I$2,'Rozpocet - Vyvoj aplikacii'!$I$3:$I$179),0),0)</f>
        <v>0</v>
      </c>
      <c r="J65" s="576">
        <f>IFERROR(IF(VLOOKUP(J$2,MODULY_CBA!$B$3:$L$23,8,0)=$D65,SUMIF('Rozpocet - Vyvoj aplikacii'!$B$3:$B$179,'TCO TO BE- SW'!J$2,'Rozpocet - Vyvoj aplikacii'!$I$3:$I$179),0),0)</f>
        <v>0</v>
      </c>
      <c r="K65" s="576">
        <f>IFERROR(IF(VLOOKUP(K$2,MODULY_CBA!$B$3:$L$23,8,0)=$D65,SUMIF('Rozpocet - Vyvoj aplikacii'!$B$3:$B$179,'TCO TO BE- SW'!K$2,'Rozpocet - Vyvoj aplikacii'!$I$3:$I$179),0),0)</f>
        <v>0</v>
      </c>
      <c r="L65" s="576">
        <f>IFERROR(IF(VLOOKUP(L$2,MODULY_CBA!$B$3:$L$23,8,0)=$D65,SUMIF('Rozpocet - Vyvoj aplikacii'!$B$3:$B$179,'TCO TO BE- SW'!L$2,'Rozpocet - Vyvoj aplikacii'!$I$3:$I$179),0),0)</f>
        <v>0</v>
      </c>
      <c r="M65" s="576">
        <f>IFERROR(IF(VLOOKUP(M$2,MODULY_CBA!$B$3:$L$23,8,0)=$D65,SUMIF('Rozpocet - Vyvoj aplikacii'!$B$3:$B$179,'TCO TO BE- SW'!M$2,'Rozpocet - Vyvoj aplikacii'!$I$3:$I$179),0),0)</f>
        <v>0</v>
      </c>
      <c r="N65" s="576">
        <f>IFERROR(IF(VLOOKUP(N$2,MODULY_CBA!$B$3:$L$23,8,0)=$D65,SUMIF('Rozpocet - Vyvoj aplikacii'!$B$3:$B$179,'TCO TO BE- SW'!N$2,'Rozpocet - Vyvoj aplikacii'!$I$3:$I$179),0),0)</f>
        <v>0</v>
      </c>
      <c r="O65" s="576">
        <f>IFERROR(IF(VLOOKUP(O$2,MODULY_CBA!$B$3:$L$23,8,0)=$D65,SUMIF('Rozpocet - Vyvoj aplikacii'!$B$3:$B$179,'TCO TO BE- SW'!O$2,'Rozpocet - Vyvoj aplikacii'!$I$3:$I$179),0),0)</f>
        <v>0</v>
      </c>
      <c r="P65" s="576">
        <f>IFERROR(IF(VLOOKUP(P$2,MODULY_CBA!$B$3:$L$23,8,0)=$D65,SUMIF('Rozpocet - Vyvoj aplikacii'!$B$3:$B$179,'TCO TO BE- SW'!P$2,'Rozpocet - Vyvoj aplikacii'!$I$3:$I$179),0),0)</f>
        <v>0</v>
      </c>
      <c r="Q65" s="576">
        <f>IFERROR(IF(VLOOKUP(Q$2,MODULY_CBA!$B$3:$L$23,8,0)=$D65,SUMIF('Rozpocet - Vyvoj aplikacii'!$B$3:$B$179,'TCO TO BE- SW'!Q$2,'Rozpocet - Vyvoj aplikacii'!$I$3:$I$179),0),0)</f>
        <v>0</v>
      </c>
      <c r="R65" s="576">
        <f>IFERROR(IF(VLOOKUP(R$2,MODULY_CBA!$B$3:$L$23,8,0)=$D65,SUMIF('Rozpocet - Vyvoj aplikacii'!$B$3:$B$179,'TCO TO BE- SW'!R$2,'Rozpocet - Vyvoj aplikacii'!$I$3:$I$179),0),0)</f>
        <v>0</v>
      </c>
      <c r="S65" s="576">
        <f>IFERROR(IF(VLOOKUP(S$2,MODULY_CBA!$B$3:$L$23,8,0)=$D65,SUMIF('Rozpocet - Vyvoj aplikacii'!$B$3:$B$179,'TCO TO BE- SW'!S$2,'Rozpocet - Vyvoj aplikacii'!$I$3:$I$179),0),0)</f>
        <v>0</v>
      </c>
      <c r="T65" s="576">
        <f>IFERROR(IF(VLOOKUP(T$2,MODULY_CBA!$B$3:$L$23,8,0)=$D65,SUMIF('Rozpocet - Vyvoj aplikacii'!$B$3:$B$179,'TCO TO BE- SW'!T$2,'Rozpocet - Vyvoj aplikacii'!$I$3:$I$179),0),0)</f>
        <v>0</v>
      </c>
      <c r="U65" s="576">
        <f>IFERROR(IF(VLOOKUP(U$2,MODULY_CBA!$B$3:$L$23,8,0)=$D65,SUMIF('Rozpocet - Vyvoj aplikacii'!$B$3:$B$179,'TCO TO BE- SW'!U$2,'Rozpocet - Vyvoj aplikacii'!$I$3:$I$179),0),0)</f>
        <v>0</v>
      </c>
      <c r="V65" s="576">
        <f>IFERROR(IF(VLOOKUP(V$2,MODULY_CBA!$B$3:$L$23,8,0)=$D65,SUMIF('Rozpocet - Vyvoj aplikacii'!$B$3:$B$179,'TCO TO BE- SW'!V$2,'Rozpocet - Vyvoj aplikacii'!$I$3:$I$179),0),0)</f>
        <v>0</v>
      </c>
      <c r="W65" s="576">
        <f>IFERROR(IF(VLOOKUP(W$2,MODULY_CBA!$B$3:$L$23,8,0)=$D65,SUMIF('Rozpocet - Vyvoj aplikacii'!$B$3:$B$179,'TCO TO BE- SW'!W$2,'Rozpocet - Vyvoj aplikacii'!$I$3:$I$179),0),0)</f>
        <v>0</v>
      </c>
      <c r="X65" s="576">
        <f>IFERROR(IF(VLOOKUP(X$2,MODULY_CBA!$B$3:$L$23,8,0)=$D65,SUMIF('Rozpocet - Vyvoj aplikacii'!$B$3:$B$179,'TCO TO BE- SW'!X$2,'Rozpocet - Vyvoj aplikacii'!$I$3:$I$179),0),0)</f>
        <v>0</v>
      </c>
      <c r="Y65" s="576">
        <f>IFERROR(IF(VLOOKUP(Y$2,MODULY_CBA!$B$3:$L$23,8,0)=$D65,SUMIF('Rozpocet - Vyvoj aplikacii'!$B$3:$B$179,'TCO TO BE- SW'!Y$2,'Rozpocet - Vyvoj aplikacii'!$I$3:$I$179),0),0)</f>
        <v>0</v>
      </c>
      <c r="Z65" s="576">
        <f>IFERROR(IF(VLOOKUP(Z$2,MODULY_CBA!$B$3:$L$23,8,0)=$D65,SUMIF('Rozpocet - Vyvoj aplikacii'!$B$3:$B$179,'TCO TO BE- SW'!Z$2,'Rozpocet - Vyvoj aplikacii'!$I$3:$I$179),0),0)</f>
        <v>0</v>
      </c>
    </row>
    <row r="66" spans="1:26" ht="15" outlineLevel="2" thickBot="1">
      <c r="A66" s="841"/>
      <c r="B66" s="842"/>
      <c r="C66" s="842"/>
      <c r="D66" s="65">
        <v>10</v>
      </c>
      <c r="E66" s="69">
        <f t="shared" si="7"/>
        <v>0</v>
      </c>
      <c r="F66" s="577">
        <f>IFERROR(IF(VLOOKUP(F$2,MODULY_CBA!$B$3:$L$23,8,0)=$D66,SUMIF('Rozpocet - Vyvoj aplikacii'!$B$3:$B$179,'TCO TO BE- SW'!F$2,'Rozpocet - Vyvoj aplikacii'!$I$3:$I$179),0),0)</f>
        <v>0</v>
      </c>
      <c r="G66" s="577">
        <f>IFERROR(IF(VLOOKUP(G$2,MODULY_CBA!$B$3:$L$23,8,0)=$D66,SUMIF('Rozpocet - Vyvoj aplikacii'!$B$3:$B$179,'TCO TO BE- SW'!G$2,'Rozpocet - Vyvoj aplikacii'!$I$3:$I$179),0),0)</f>
        <v>0</v>
      </c>
      <c r="H66" s="577">
        <f>IFERROR(IF(VLOOKUP(H$2,MODULY_CBA!$B$3:$L$23,8,0)=$D66,SUMIF('Rozpocet - Vyvoj aplikacii'!$B$3:$B$179,'TCO TO BE- SW'!H$2,'Rozpocet - Vyvoj aplikacii'!$I$3:$I$179),0),0)</f>
        <v>0</v>
      </c>
      <c r="I66" s="577">
        <f>IFERROR(IF(VLOOKUP(I$2,MODULY_CBA!$B$3:$L$23,8,0)=$D66,SUMIF('Rozpocet - Vyvoj aplikacii'!$B$3:$B$179,'TCO TO BE- SW'!I$2,'Rozpocet - Vyvoj aplikacii'!$I$3:$I$179),0),0)</f>
        <v>0</v>
      </c>
      <c r="J66" s="577">
        <f>IFERROR(IF(VLOOKUP(J$2,MODULY_CBA!$B$3:$L$23,8,0)=$D66,SUMIF('Rozpocet - Vyvoj aplikacii'!$B$3:$B$179,'TCO TO BE- SW'!J$2,'Rozpocet - Vyvoj aplikacii'!$I$3:$I$179),0),0)</f>
        <v>0</v>
      </c>
      <c r="K66" s="577">
        <f>IFERROR(IF(VLOOKUP(K$2,MODULY_CBA!$B$3:$L$23,8,0)=$D66,SUMIF('Rozpocet - Vyvoj aplikacii'!$B$3:$B$179,'TCO TO BE- SW'!K$2,'Rozpocet - Vyvoj aplikacii'!$I$3:$I$179),0),0)</f>
        <v>0</v>
      </c>
      <c r="L66" s="577">
        <f>IFERROR(IF(VLOOKUP(L$2,MODULY_CBA!$B$3:$L$23,8,0)=$D66,SUMIF('Rozpocet - Vyvoj aplikacii'!$B$3:$B$179,'TCO TO BE- SW'!L$2,'Rozpocet - Vyvoj aplikacii'!$I$3:$I$179),0),0)</f>
        <v>0</v>
      </c>
      <c r="M66" s="577">
        <f>IFERROR(IF(VLOOKUP(M$2,MODULY_CBA!$B$3:$L$23,8,0)=$D66,SUMIF('Rozpocet - Vyvoj aplikacii'!$B$3:$B$179,'TCO TO BE- SW'!M$2,'Rozpocet - Vyvoj aplikacii'!$I$3:$I$179),0),0)</f>
        <v>0</v>
      </c>
      <c r="N66" s="577">
        <f>IFERROR(IF(VLOOKUP(N$2,MODULY_CBA!$B$3:$L$23,8,0)=$D66,SUMIF('Rozpocet - Vyvoj aplikacii'!$B$3:$B$179,'TCO TO BE- SW'!N$2,'Rozpocet - Vyvoj aplikacii'!$I$3:$I$179),0),0)</f>
        <v>0</v>
      </c>
      <c r="O66" s="577">
        <f>IFERROR(IF(VLOOKUP(O$2,MODULY_CBA!$B$3:$L$23,8,0)=$D66,SUMIF('Rozpocet - Vyvoj aplikacii'!$B$3:$B$179,'TCO TO BE- SW'!O$2,'Rozpocet - Vyvoj aplikacii'!$I$3:$I$179),0),0)</f>
        <v>0</v>
      </c>
      <c r="P66" s="577">
        <f>IFERROR(IF(VLOOKUP(P$2,MODULY_CBA!$B$3:$L$23,8,0)=$D66,SUMIF('Rozpocet - Vyvoj aplikacii'!$B$3:$B$179,'TCO TO BE- SW'!P$2,'Rozpocet - Vyvoj aplikacii'!$I$3:$I$179),0),0)</f>
        <v>0</v>
      </c>
      <c r="Q66" s="577">
        <f>IFERROR(IF(VLOOKUP(Q$2,MODULY_CBA!$B$3:$L$23,8,0)=$D66,SUMIF('Rozpocet - Vyvoj aplikacii'!$B$3:$B$179,'TCO TO BE- SW'!Q$2,'Rozpocet - Vyvoj aplikacii'!$I$3:$I$179),0),0)</f>
        <v>0</v>
      </c>
      <c r="R66" s="577">
        <f>IFERROR(IF(VLOOKUP(R$2,MODULY_CBA!$B$3:$L$23,8,0)=$D66,SUMIF('Rozpocet - Vyvoj aplikacii'!$B$3:$B$179,'TCO TO BE- SW'!R$2,'Rozpocet - Vyvoj aplikacii'!$I$3:$I$179),0),0)</f>
        <v>0</v>
      </c>
      <c r="S66" s="577">
        <f>IFERROR(IF(VLOOKUP(S$2,MODULY_CBA!$B$3:$L$23,8,0)=$D66,SUMIF('Rozpocet - Vyvoj aplikacii'!$B$3:$B$179,'TCO TO BE- SW'!S$2,'Rozpocet - Vyvoj aplikacii'!$I$3:$I$179),0),0)</f>
        <v>0</v>
      </c>
      <c r="T66" s="577">
        <f>IFERROR(IF(VLOOKUP(T$2,MODULY_CBA!$B$3:$L$23,8,0)=$D66,SUMIF('Rozpocet - Vyvoj aplikacii'!$B$3:$B$179,'TCO TO BE- SW'!T$2,'Rozpocet - Vyvoj aplikacii'!$I$3:$I$179),0),0)</f>
        <v>0</v>
      </c>
      <c r="U66" s="577">
        <f>IFERROR(IF(VLOOKUP(U$2,MODULY_CBA!$B$3:$L$23,8,0)=$D66,SUMIF('Rozpocet - Vyvoj aplikacii'!$B$3:$B$179,'TCO TO BE- SW'!U$2,'Rozpocet - Vyvoj aplikacii'!$I$3:$I$179),0),0)</f>
        <v>0</v>
      </c>
      <c r="V66" s="577">
        <f>IFERROR(IF(VLOOKUP(V$2,MODULY_CBA!$B$3:$L$23,8,0)=$D66,SUMIF('Rozpocet - Vyvoj aplikacii'!$B$3:$B$179,'TCO TO BE- SW'!V$2,'Rozpocet - Vyvoj aplikacii'!$I$3:$I$179),0),0)</f>
        <v>0</v>
      </c>
      <c r="W66" s="577">
        <f>IFERROR(IF(VLOOKUP(W$2,MODULY_CBA!$B$3:$L$23,8,0)=$D66,SUMIF('Rozpocet - Vyvoj aplikacii'!$B$3:$B$179,'TCO TO BE- SW'!W$2,'Rozpocet - Vyvoj aplikacii'!$I$3:$I$179),0),0)</f>
        <v>0</v>
      </c>
      <c r="X66" s="577">
        <f>IFERROR(IF(VLOOKUP(X$2,MODULY_CBA!$B$3:$L$23,8,0)=$D66,SUMIF('Rozpocet - Vyvoj aplikacii'!$B$3:$B$179,'TCO TO BE- SW'!X$2,'Rozpocet - Vyvoj aplikacii'!$I$3:$I$179),0),0)</f>
        <v>0</v>
      </c>
      <c r="Y66" s="577">
        <f>IFERROR(IF(VLOOKUP(Y$2,MODULY_CBA!$B$3:$L$23,8,0)=$D66,SUMIF('Rozpocet - Vyvoj aplikacii'!$B$3:$B$179,'TCO TO BE- SW'!Y$2,'Rozpocet - Vyvoj aplikacii'!$I$3:$I$179),0),0)</f>
        <v>0</v>
      </c>
      <c r="Z66" s="577">
        <f>IFERROR(IF(VLOOKUP(Z$2,MODULY_CBA!$B$3:$L$23,8,0)=$D66,SUMIF('Rozpocet - Vyvoj aplikacii'!$B$3:$B$179,'TCO TO BE- SW'!Z$2,'Rozpocet - Vyvoj aplikacii'!$I$3:$I$179),0),0)</f>
        <v>0</v>
      </c>
    </row>
    <row r="67" spans="1:26" outlineLevel="2">
      <c r="A67" s="841" t="s">
        <v>2119</v>
      </c>
      <c r="B67" s="842" t="s">
        <v>2120</v>
      </c>
      <c r="C67" s="842">
        <v>637040</v>
      </c>
      <c r="D67" s="63">
        <v>1</v>
      </c>
      <c r="E67" s="68">
        <f t="shared" si="6"/>
        <v>0</v>
      </c>
      <c r="F67" s="578">
        <v>0</v>
      </c>
      <c r="G67" s="578">
        <v>0</v>
      </c>
      <c r="H67" s="578">
        <v>0</v>
      </c>
      <c r="I67" s="578">
        <v>0</v>
      </c>
      <c r="J67" s="578">
        <v>0</v>
      </c>
      <c r="K67" s="578">
        <v>0</v>
      </c>
      <c r="L67" s="578">
        <v>0</v>
      </c>
      <c r="M67" s="578">
        <v>0</v>
      </c>
      <c r="N67" s="578">
        <v>0</v>
      </c>
      <c r="O67" s="578">
        <v>0</v>
      </c>
      <c r="P67" s="578">
        <v>0</v>
      </c>
      <c r="Q67" s="578">
        <v>0</v>
      </c>
      <c r="R67" s="578">
        <v>0</v>
      </c>
      <c r="S67" s="578">
        <v>0</v>
      </c>
      <c r="T67" s="578">
        <v>0</v>
      </c>
      <c r="U67" s="578">
        <v>0</v>
      </c>
      <c r="V67" s="578">
        <v>0</v>
      </c>
      <c r="W67" s="578">
        <v>0</v>
      </c>
      <c r="X67" s="578">
        <v>0</v>
      </c>
      <c r="Y67" s="578">
        <v>0</v>
      </c>
      <c r="Z67" s="578">
        <v>0</v>
      </c>
    </row>
    <row r="68" spans="1:26" outlineLevel="2">
      <c r="A68" s="841"/>
      <c r="B68" s="842"/>
      <c r="C68" s="842"/>
      <c r="D68" s="64">
        <v>2</v>
      </c>
      <c r="E68" s="68">
        <f t="shared" si="6"/>
        <v>0</v>
      </c>
      <c r="F68" s="579">
        <v>0</v>
      </c>
      <c r="G68" s="579">
        <v>0</v>
      </c>
      <c r="H68" s="579">
        <v>0</v>
      </c>
      <c r="I68" s="579">
        <v>0</v>
      </c>
      <c r="J68" s="579">
        <v>0</v>
      </c>
      <c r="K68" s="579">
        <v>0</v>
      </c>
      <c r="L68" s="579">
        <v>0</v>
      </c>
      <c r="M68" s="579">
        <v>0</v>
      </c>
      <c r="N68" s="579">
        <v>0</v>
      </c>
      <c r="O68" s="579">
        <v>0</v>
      </c>
      <c r="P68" s="579">
        <v>0</v>
      </c>
      <c r="Q68" s="579">
        <v>0</v>
      </c>
      <c r="R68" s="579">
        <v>0</v>
      </c>
      <c r="S68" s="579">
        <v>0</v>
      </c>
      <c r="T68" s="579">
        <v>0</v>
      </c>
      <c r="U68" s="579">
        <v>0</v>
      </c>
      <c r="V68" s="579">
        <v>0</v>
      </c>
      <c r="W68" s="579">
        <v>0</v>
      </c>
      <c r="X68" s="579">
        <v>0</v>
      </c>
      <c r="Y68" s="579">
        <v>0</v>
      </c>
      <c r="Z68" s="579">
        <v>0</v>
      </c>
    </row>
    <row r="69" spans="1:26" outlineLevel="2">
      <c r="A69" s="841"/>
      <c r="B69" s="842"/>
      <c r="C69" s="842"/>
      <c r="D69" s="64">
        <v>3</v>
      </c>
      <c r="E69" s="68">
        <f t="shared" si="6"/>
        <v>0</v>
      </c>
      <c r="F69" s="579">
        <v>0</v>
      </c>
      <c r="G69" s="579">
        <v>0</v>
      </c>
      <c r="H69" s="579">
        <v>0</v>
      </c>
      <c r="I69" s="579">
        <v>0</v>
      </c>
      <c r="J69" s="579">
        <v>0</v>
      </c>
      <c r="K69" s="579">
        <v>0</v>
      </c>
      <c r="L69" s="579">
        <v>0</v>
      </c>
      <c r="M69" s="579">
        <v>0</v>
      </c>
      <c r="N69" s="579">
        <v>0</v>
      </c>
      <c r="O69" s="579">
        <v>0</v>
      </c>
      <c r="P69" s="579">
        <v>0</v>
      </c>
      <c r="Q69" s="579">
        <v>0</v>
      </c>
      <c r="R69" s="579">
        <v>0</v>
      </c>
      <c r="S69" s="579">
        <v>0</v>
      </c>
      <c r="T69" s="579">
        <v>0</v>
      </c>
      <c r="U69" s="579">
        <v>0</v>
      </c>
      <c r="V69" s="579">
        <v>0</v>
      </c>
      <c r="W69" s="579">
        <v>0</v>
      </c>
      <c r="X69" s="579">
        <v>0</v>
      </c>
      <c r="Y69" s="579">
        <v>0</v>
      </c>
      <c r="Z69" s="579">
        <v>0</v>
      </c>
    </row>
    <row r="70" spans="1:26" outlineLevel="2">
      <c r="A70" s="841"/>
      <c r="B70" s="842"/>
      <c r="C70" s="842"/>
      <c r="D70" s="64">
        <v>4</v>
      </c>
      <c r="E70" s="68">
        <f t="shared" si="6"/>
        <v>0</v>
      </c>
      <c r="F70" s="579">
        <v>0</v>
      </c>
      <c r="G70" s="579">
        <v>0</v>
      </c>
      <c r="H70" s="579">
        <v>0</v>
      </c>
      <c r="I70" s="579">
        <v>0</v>
      </c>
      <c r="J70" s="579">
        <v>0</v>
      </c>
      <c r="K70" s="579">
        <v>0</v>
      </c>
      <c r="L70" s="579">
        <v>0</v>
      </c>
      <c r="M70" s="579">
        <v>0</v>
      </c>
      <c r="N70" s="579">
        <v>0</v>
      </c>
      <c r="O70" s="579">
        <v>0</v>
      </c>
      <c r="P70" s="579">
        <v>0</v>
      </c>
      <c r="Q70" s="579">
        <v>0</v>
      </c>
      <c r="R70" s="579">
        <v>0</v>
      </c>
      <c r="S70" s="579">
        <v>0</v>
      </c>
      <c r="T70" s="579">
        <v>0</v>
      </c>
      <c r="U70" s="579">
        <v>0</v>
      </c>
      <c r="V70" s="579">
        <v>0</v>
      </c>
      <c r="W70" s="579">
        <v>0</v>
      </c>
      <c r="X70" s="579">
        <v>0</v>
      </c>
      <c r="Y70" s="579">
        <v>0</v>
      </c>
      <c r="Z70" s="579">
        <v>0</v>
      </c>
    </row>
    <row r="71" spans="1:26" outlineLevel="2">
      <c r="A71" s="841"/>
      <c r="B71" s="842"/>
      <c r="C71" s="842"/>
      <c r="D71" s="64">
        <v>5</v>
      </c>
      <c r="E71" s="68">
        <f t="shared" si="6"/>
        <v>0</v>
      </c>
      <c r="F71" s="579">
        <v>0</v>
      </c>
      <c r="G71" s="579">
        <v>0</v>
      </c>
      <c r="H71" s="579">
        <v>0</v>
      </c>
      <c r="I71" s="579">
        <v>0</v>
      </c>
      <c r="J71" s="579">
        <v>0</v>
      </c>
      <c r="K71" s="579">
        <v>0</v>
      </c>
      <c r="L71" s="579">
        <v>0</v>
      </c>
      <c r="M71" s="579">
        <v>0</v>
      </c>
      <c r="N71" s="579">
        <v>0</v>
      </c>
      <c r="O71" s="579">
        <v>0</v>
      </c>
      <c r="P71" s="579">
        <v>0</v>
      </c>
      <c r="Q71" s="579">
        <v>0</v>
      </c>
      <c r="R71" s="579">
        <v>0</v>
      </c>
      <c r="S71" s="579">
        <v>0</v>
      </c>
      <c r="T71" s="579">
        <v>0</v>
      </c>
      <c r="U71" s="579">
        <v>0</v>
      </c>
      <c r="V71" s="579">
        <v>0</v>
      </c>
      <c r="W71" s="579">
        <v>0</v>
      </c>
      <c r="X71" s="579">
        <v>0</v>
      </c>
      <c r="Y71" s="579">
        <v>0</v>
      </c>
      <c r="Z71" s="579">
        <v>0</v>
      </c>
    </row>
    <row r="72" spans="1:26" outlineLevel="2">
      <c r="A72" s="841"/>
      <c r="B72" s="842"/>
      <c r="C72" s="842"/>
      <c r="D72" s="64">
        <v>6</v>
      </c>
      <c r="E72" s="68">
        <f t="shared" si="6"/>
        <v>0</v>
      </c>
      <c r="F72" s="579">
        <v>0</v>
      </c>
      <c r="G72" s="579">
        <v>0</v>
      </c>
      <c r="H72" s="579">
        <v>0</v>
      </c>
      <c r="I72" s="579">
        <v>0</v>
      </c>
      <c r="J72" s="579">
        <v>0</v>
      </c>
      <c r="K72" s="579">
        <v>0</v>
      </c>
      <c r="L72" s="579">
        <v>0</v>
      </c>
      <c r="M72" s="579">
        <v>0</v>
      </c>
      <c r="N72" s="579">
        <v>0</v>
      </c>
      <c r="O72" s="579">
        <v>0</v>
      </c>
      <c r="P72" s="579">
        <v>0</v>
      </c>
      <c r="Q72" s="579">
        <v>0</v>
      </c>
      <c r="R72" s="579">
        <v>0</v>
      </c>
      <c r="S72" s="579">
        <v>0</v>
      </c>
      <c r="T72" s="579">
        <v>0</v>
      </c>
      <c r="U72" s="579">
        <v>0</v>
      </c>
      <c r="V72" s="579">
        <v>0</v>
      </c>
      <c r="W72" s="579">
        <v>0</v>
      </c>
      <c r="X72" s="579">
        <v>0</v>
      </c>
      <c r="Y72" s="579">
        <v>0</v>
      </c>
      <c r="Z72" s="579">
        <v>0</v>
      </c>
    </row>
    <row r="73" spans="1:26" outlineLevel="2">
      <c r="A73" s="841"/>
      <c r="B73" s="842"/>
      <c r="C73" s="842"/>
      <c r="D73" s="64">
        <v>7</v>
      </c>
      <c r="E73" s="68">
        <f t="shared" si="6"/>
        <v>0</v>
      </c>
      <c r="F73" s="579">
        <v>0</v>
      </c>
      <c r="G73" s="579">
        <v>0</v>
      </c>
      <c r="H73" s="579">
        <v>0</v>
      </c>
      <c r="I73" s="579">
        <v>0</v>
      </c>
      <c r="J73" s="579">
        <v>0</v>
      </c>
      <c r="K73" s="579">
        <v>0</v>
      </c>
      <c r="L73" s="579">
        <v>0</v>
      </c>
      <c r="M73" s="579">
        <v>0</v>
      </c>
      <c r="N73" s="579">
        <v>0</v>
      </c>
      <c r="O73" s="579">
        <v>0</v>
      </c>
      <c r="P73" s="579">
        <v>0</v>
      </c>
      <c r="Q73" s="579">
        <v>0</v>
      </c>
      <c r="R73" s="579">
        <v>0</v>
      </c>
      <c r="S73" s="579">
        <v>0</v>
      </c>
      <c r="T73" s="579">
        <v>0</v>
      </c>
      <c r="U73" s="579">
        <v>0</v>
      </c>
      <c r="V73" s="579">
        <v>0</v>
      </c>
      <c r="W73" s="579">
        <v>0</v>
      </c>
      <c r="X73" s="579">
        <v>0</v>
      </c>
      <c r="Y73" s="579">
        <v>0</v>
      </c>
      <c r="Z73" s="579">
        <v>0</v>
      </c>
    </row>
    <row r="74" spans="1:26" outlineLevel="2">
      <c r="A74" s="841"/>
      <c r="B74" s="842"/>
      <c r="C74" s="842"/>
      <c r="D74" s="64">
        <v>8</v>
      </c>
      <c r="E74" s="68">
        <f t="shared" si="6"/>
        <v>0</v>
      </c>
      <c r="F74" s="579">
        <v>0</v>
      </c>
      <c r="G74" s="579">
        <v>0</v>
      </c>
      <c r="H74" s="579">
        <v>0</v>
      </c>
      <c r="I74" s="579">
        <v>0</v>
      </c>
      <c r="J74" s="579">
        <v>0</v>
      </c>
      <c r="K74" s="579">
        <v>0</v>
      </c>
      <c r="L74" s="579">
        <v>0</v>
      </c>
      <c r="M74" s="579">
        <v>0</v>
      </c>
      <c r="N74" s="579">
        <v>0</v>
      </c>
      <c r="O74" s="579">
        <v>0</v>
      </c>
      <c r="P74" s="579">
        <v>0</v>
      </c>
      <c r="Q74" s="579">
        <v>0</v>
      </c>
      <c r="R74" s="579">
        <v>0</v>
      </c>
      <c r="S74" s="579">
        <v>0</v>
      </c>
      <c r="T74" s="579">
        <v>0</v>
      </c>
      <c r="U74" s="579">
        <v>0</v>
      </c>
      <c r="V74" s="579">
        <v>0</v>
      </c>
      <c r="W74" s="579">
        <v>0</v>
      </c>
      <c r="X74" s="579">
        <v>0</v>
      </c>
      <c r="Y74" s="579">
        <v>0</v>
      </c>
      <c r="Z74" s="579">
        <v>0</v>
      </c>
    </row>
    <row r="75" spans="1:26" outlineLevel="2">
      <c r="A75" s="841"/>
      <c r="B75" s="842"/>
      <c r="C75" s="842"/>
      <c r="D75" s="64">
        <v>9</v>
      </c>
      <c r="E75" s="68">
        <f t="shared" si="6"/>
        <v>0</v>
      </c>
      <c r="F75" s="579">
        <v>0</v>
      </c>
      <c r="G75" s="579">
        <v>0</v>
      </c>
      <c r="H75" s="579">
        <v>0</v>
      </c>
      <c r="I75" s="579">
        <v>0</v>
      </c>
      <c r="J75" s="579">
        <v>0</v>
      </c>
      <c r="K75" s="579">
        <v>0</v>
      </c>
      <c r="L75" s="579">
        <v>0</v>
      </c>
      <c r="M75" s="579">
        <v>0</v>
      </c>
      <c r="N75" s="579">
        <v>0</v>
      </c>
      <c r="O75" s="579">
        <v>0</v>
      </c>
      <c r="P75" s="579">
        <v>0</v>
      </c>
      <c r="Q75" s="579">
        <v>0</v>
      </c>
      <c r="R75" s="579">
        <v>0</v>
      </c>
      <c r="S75" s="579">
        <v>0</v>
      </c>
      <c r="T75" s="579">
        <v>0</v>
      </c>
      <c r="U75" s="579">
        <v>0</v>
      </c>
      <c r="V75" s="579">
        <v>0</v>
      </c>
      <c r="W75" s="579">
        <v>0</v>
      </c>
      <c r="X75" s="579">
        <v>0</v>
      </c>
      <c r="Y75" s="579">
        <v>0</v>
      </c>
      <c r="Z75" s="579">
        <v>0</v>
      </c>
    </row>
    <row r="76" spans="1:26" ht="15" outlineLevel="2" thickBot="1">
      <c r="A76" s="841"/>
      <c r="B76" s="842"/>
      <c r="C76" s="842"/>
      <c r="D76" s="65">
        <v>10</v>
      </c>
      <c r="E76" s="69">
        <f t="shared" si="6"/>
        <v>0</v>
      </c>
      <c r="F76" s="583">
        <v>0</v>
      </c>
      <c r="G76" s="583">
        <v>0</v>
      </c>
      <c r="H76" s="583">
        <v>0</v>
      </c>
      <c r="I76" s="583">
        <v>0</v>
      </c>
      <c r="J76" s="583">
        <v>0</v>
      </c>
      <c r="K76" s="583">
        <v>0</v>
      </c>
      <c r="L76" s="583">
        <v>0</v>
      </c>
      <c r="M76" s="583">
        <v>0</v>
      </c>
      <c r="N76" s="583">
        <v>0</v>
      </c>
      <c r="O76" s="583">
        <v>0</v>
      </c>
      <c r="P76" s="583">
        <v>0</v>
      </c>
      <c r="Q76" s="583">
        <v>0</v>
      </c>
      <c r="R76" s="583">
        <v>0</v>
      </c>
      <c r="S76" s="583">
        <v>0</v>
      </c>
      <c r="T76" s="583">
        <v>0</v>
      </c>
      <c r="U76" s="583">
        <v>0</v>
      </c>
      <c r="V76" s="583">
        <v>0</v>
      </c>
      <c r="W76" s="583">
        <v>0</v>
      </c>
      <c r="X76" s="583">
        <v>0</v>
      </c>
      <c r="Y76" s="583">
        <v>0</v>
      </c>
      <c r="Z76" s="583">
        <v>0</v>
      </c>
    </row>
    <row r="77" spans="1:26" ht="15" thickBot="1">
      <c r="A77" s="848" t="s">
        <v>2109</v>
      </c>
      <c r="B77" s="849"/>
      <c r="C77" s="849"/>
      <c r="D77" s="75"/>
      <c r="E77" s="72">
        <f t="shared" ref="E77:F77" si="8">E78+E99</f>
        <v>31874402.169160787</v>
      </c>
      <c r="F77" s="73">
        <f t="shared" si="8"/>
        <v>280590.89361786662</v>
      </c>
      <c r="G77" s="73">
        <f t="shared" ref="G77:Z77" si="9">G78+G99</f>
        <v>0</v>
      </c>
      <c r="H77" s="73">
        <f t="shared" si="9"/>
        <v>647983.28670025326</v>
      </c>
      <c r="I77" s="73">
        <f t="shared" si="9"/>
        <v>1318844.4879880545</v>
      </c>
      <c r="J77" s="73">
        <f t="shared" si="9"/>
        <v>805437.16944984754</v>
      </c>
      <c r="K77" s="73">
        <f t="shared" si="9"/>
        <v>548060.63033993356</v>
      </c>
      <c r="L77" s="73">
        <f t="shared" si="9"/>
        <v>627039.90165503474</v>
      </c>
      <c r="M77" s="73">
        <f t="shared" si="9"/>
        <v>11497497.83992443</v>
      </c>
      <c r="N77" s="73">
        <f t="shared" si="9"/>
        <v>1367291.8365263911</v>
      </c>
      <c r="O77" s="73">
        <f t="shared" si="9"/>
        <v>7414715.2958282456</v>
      </c>
      <c r="P77" s="73">
        <f t="shared" si="9"/>
        <v>740672.48477186263</v>
      </c>
      <c r="Q77" s="73">
        <f t="shared" si="9"/>
        <v>4751204.5559610464</v>
      </c>
      <c r="R77" s="73">
        <f t="shared" si="9"/>
        <v>1875063.7863978117</v>
      </c>
      <c r="S77" s="73">
        <f t="shared" si="9"/>
        <v>0</v>
      </c>
      <c r="T77" s="73">
        <f t="shared" si="9"/>
        <v>0</v>
      </c>
      <c r="U77" s="73">
        <f t="shared" si="9"/>
        <v>0</v>
      </c>
      <c r="V77" s="73">
        <f t="shared" si="9"/>
        <v>0</v>
      </c>
      <c r="W77" s="73">
        <f t="shared" si="9"/>
        <v>0</v>
      </c>
      <c r="X77" s="73">
        <f t="shared" si="9"/>
        <v>0</v>
      </c>
      <c r="Y77" s="73">
        <f t="shared" si="9"/>
        <v>0</v>
      </c>
      <c r="Z77" s="73">
        <f t="shared" si="9"/>
        <v>0</v>
      </c>
    </row>
    <row r="78" spans="1:26" ht="15" outlineLevel="1" thickBot="1">
      <c r="A78" s="17" t="s">
        <v>2110</v>
      </c>
      <c r="B78" s="17"/>
      <c r="C78" s="17"/>
      <c r="D78" s="27"/>
      <c r="E78" s="108">
        <f t="shared" ref="E78:F78" si="10">SUM(E79:E98)</f>
        <v>0</v>
      </c>
      <c r="F78" s="109">
        <f t="shared" si="10"/>
        <v>0</v>
      </c>
      <c r="G78" s="109">
        <f t="shared" ref="G78:Z78" si="11">SUM(G79:G98)</f>
        <v>0</v>
      </c>
      <c r="H78" s="109">
        <f t="shared" si="11"/>
        <v>0</v>
      </c>
      <c r="I78" s="109">
        <f t="shared" si="11"/>
        <v>0</v>
      </c>
      <c r="J78" s="109">
        <f t="shared" si="11"/>
        <v>0</v>
      </c>
      <c r="K78" s="109">
        <f t="shared" si="11"/>
        <v>0</v>
      </c>
      <c r="L78" s="109">
        <f t="shared" si="11"/>
        <v>0</v>
      </c>
      <c r="M78" s="109">
        <f t="shared" si="11"/>
        <v>0</v>
      </c>
      <c r="N78" s="109">
        <f t="shared" si="11"/>
        <v>0</v>
      </c>
      <c r="O78" s="109">
        <f t="shared" si="11"/>
        <v>0</v>
      </c>
      <c r="P78" s="109">
        <f t="shared" si="11"/>
        <v>0</v>
      </c>
      <c r="Q78" s="109">
        <f t="shared" si="11"/>
        <v>0</v>
      </c>
      <c r="R78" s="109">
        <f t="shared" si="11"/>
        <v>0</v>
      </c>
      <c r="S78" s="109">
        <f t="shared" si="11"/>
        <v>0</v>
      </c>
      <c r="T78" s="109">
        <f t="shared" si="11"/>
        <v>0</v>
      </c>
      <c r="U78" s="109">
        <f t="shared" si="11"/>
        <v>0</v>
      </c>
      <c r="V78" s="109">
        <f t="shared" si="11"/>
        <v>0</v>
      </c>
      <c r="W78" s="109">
        <f t="shared" si="11"/>
        <v>0</v>
      </c>
      <c r="X78" s="109">
        <f t="shared" si="11"/>
        <v>0</v>
      </c>
      <c r="Y78" s="109">
        <f t="shared" si="11"/>
        <v>0</v>
      </c>
      <c r="Z78" s="109">
        <f t="shared" si="11"/>
        <v>0</v>
      </c>
    </row>
    <row r="79" spans="1:26" outlineLevel="2">
      <c r="A79" s="841" t="s">
        <v>2111</v>
      </c>
      <c r="B79" s="842" t="s">
        <v>2112</v>
      </c>
      <c r="C79" s="842">
        <v>635009</v>
      </c>
      <c r="D79" s="63">
        <v>1</v>
      </c>
      <c r="E79" s="60">
        <f t="shared" ref="E79:E98" si="12">SUM(F79:Z79)</f>
        <v>0</v>
      </c>
      <c r="F79" s="584">
        <f>IFERROR(IF(VLOOKUP(F$2,MODULY_CBA!$B$3:$N$23,13,0)&lt;='TCO TO BE- SW'!$D79,SUM('TCO TO BE- SW'!F$6:F$15)*VLOOKUP('TCO TO BE- SW'!F$2,MODULY_CBA!$B$3:$M$23,12,0),0),0)</f>
        <v>0</v>
      </c>
      <c r="G79" s="584">
        <f>IFERROR(IF(VLOOKUP(G$2,MODULY_CBA!$B$3:$N$23,13,0)&lt;='TCO TO BE- SW'!$D79,SUM('TCO TO BE- SW'!G$6:G$15)*VLOOKUP('TCO TO BE- SW'!G$2,MODULY_CBA!$B$3:$M$23,12,0),0),0)</f>
        <v>0</v>
      </c>
      <c r="H79" s="584">
        <f>IFERROR(IF(VLOOKUP(H$2,MODULY_CBA!$B$3:$N$23,13,0)&lt;='TCO TO BE- SW'!$D79,SUM('TCO TO BE- SW'!H$6:H$15)*VLOOKUP('TCO TO BE- SW'!H$2,MODULY_CBA!$B$3:$M$23,12,0),0),0)</f>
        <v>0</v>
      </c>
      <c r="I79" s="584">
        <f>IFERROR(IF(VLOOKUP(I$2,MODULY_CBA!$B$3:$N$23,13,0)&lt;='TCO TO BE- SW'!$D79,SUM('TCO TO BE- SW'!I$6:I$15)*VLOOKUP('TCO TO BE- SW'!I$2,MODULY_CBA!$B$3:$M$23,12,0),0),0)</f>
        <v>0</v>
      </c>
      <c r="J79" s="584">
        <f>IFERROR(IF(VLOOKUP(J$2,MODULY_CBA!$B$3:$N$23,13,0)&lt;='TCO TO BE- SW'!$D79,SUM('TCO TO BE- SW'!J$6:J$15)*VLOOKUP('TCO TO BE- SW'!J$2,MODULY_CBA!$B$3:$M$23,12,0),0),0)</f>
        <v>0</v>
      </c>
      <c r="K79" s="584">
        <f>IFERROR(IF(VLOOKUP(K$2,MODULY_CBA!$B$3:$N$23,13,0)&lt;='TCO TO BE- SW'!$D79,SUM('TCO TO BE- SW'!K$6:K$15)*VLOOKUP('TCO TO BE- SW'!K$2,MODULY_CBA!$B$3:$M$23,12,0),0),0)</f>
        <v>0</v>
      </c>
      <c r="L79" s="584">
        <f>IFERROR(IF(VLOOKUP(L$2,MODULY_CBA!$B$3:$N$23,13,0)&lt;='TCO TO BE- SW'!$D79,SUM('TCO TO BE- SW'!L$6:L$15)*VLOOKUP('TCO TO BE- SW'!L$2,MODULY_CBA!$B$3:$M$23,12,0),0),0)</f>
        <v>0</v>
      </c>
      <c r="M79" s="584">
        <f>IFERROR(IF(VLOOKUP(M$2,MODULY_CBA!$B$3:$N$23,13,0)&lt;='TCO TO BE- SW'!$D79,SUM('TCO TO BE- SW'!M$6:M$15)*VLOOKUP('TCO TO BE- SW'!M$2,MODULY_CBA!$B$3:$M$23,12,0),0),0)</f>
        <v>0</v>
      </c>
      <c r="N79" s="584">
        <f>IFERROR(IF(VLOOKUP(N$2,MODULY_CBA!$B$3:$N$23,13,0)&lt;='TCO TO BE- SW'!$D79,SUM('TCO TO BE- SW'!N$6:N$15)*VLOOKUP('TCO TO BE- SW'!N$2,MODULY_CBA!$B$3:$M$23,12,0),0),0)</f>
        <v>0</v>
      </c>
      <c r="O79" s="584">
        <f>IFERROR(IF(VLOOKUP(O$2,MODULY_CBA!$B$3:$N$23,13,0)&lt;='TCO TO BE- SW'!$D79,SUM('TCO TO BE- SW'!O$6:O$15)*VLOOKUP('TCO TO BE- SW'!O$2,MODULY_CBA!$B$3:$M$23,12,0),0),0)</f>
        <v>0</v>
      </c>
      <c r="P79" s="584">
        <f>IFERROR(IF(VLOOKUP(P$2,MODULY_CBA!$B$3:$N$23,13,0)&lt;='TCO TO BE- SW'!$D79,SUM('TCO TO BE- SW'!P$6:P$15)*VLOOKUP('TCO TO BE- SW'!P$2,MODULY_CBA!$B$3:$M$23,12,0),0),0)</f>
        <v>0</v>
      </c>
      <c r="Q79" s="584">
        <f>IFERROR(IF(VLOOKUP(Q$2,MODULY_CBA!$B$3:$N$23,13,0)&lt;='TCO TO BE- SW'!$D79,SUM('TCO TO BE- SW'!Q$6:Q$15)*VLOOKUP('TCO TO BE- SW'!Q$2,MODULY_CBA!$B$3:$M$23,12,0),0),0)</f>
        <v>0</v>
      </c>
      <c r="R79" s="584">
        <f>IFERROR(IF(VLOOKUP(R$2,MODULY_CBA!$B$3:$N$23,13,0)&lt;='TCO TO BE- SW'!$D79,SUM('TCO TO BE- SW'!R$6:R$15)*VLOOKUP('TCO TO BE- SW'!R$2,MODULY_CBA!$B$3:$M$23,12,0),0),0)</f>
        <v>0</v>
      </c>
      <c r="S79" s="584">
        <f>IFERROR(IF(VLOOKUP(S$2,MODULY_CBA!$B$3:$N$23,13,0)&lt;='TCO TO BE- SW'!$D79,SUM('TCO TO BE- SW'!S$6:S$15)*VLOOKUP('TCO TO BE- SW'!S$2,MODULY_CBA!$B$3:$M$23,12,0),0),0)</f>
        <v>0</v>
      </c>
      <c r="T79" s="584">
        <f>IFERROR(IF(VLOOKUP(T$2,MODULY_CBA!$B$3:$N$23,13,0)&lt;='TCO TO BE- SW'!$D79,SUM('TCO TO BE- SW'!T$6:T$15)*VLOOKUP('TCO TO BE- SW'!T$2,MODULY_CBA!$B$3:$M$23,12,0),0),0)</f>
        <v>0</v>
      </c>
      <c r="U79" s="584">
        <f>IFERROR(IF(VLOOKUP(U$2,MODULY_CBA!$B$3:$N$23,13,0)&lt;='TCO TO BE- SW'!$D79,SUM('TCO TO BE- SW'!U$6:U$15)*VLOOKUP('TCO TO BE- SW'!U$2,MODULY_CBA!$B$3:$M$23,12,0),0),0)</f>
        <v>0</v>
      </c>
      <c r="V79" s="584">
        <f>IFERROR(IF(VLOOKUP(V$2,MODULY_CBA!$B$3:$N$23,13,0)&lt;='TCO TO BE- SW'!$D79,SUM('TCO TO BE- SW'!V$6:V$15)*VLOOKUP('TCO TO BE- SW'!V$2,MODULY_CBA!$B$3:$M$23,12,0),0),0)</f>
        <v>0</v>
      </c>
      <c r="W79" s="584">
        <f>IFERROR(IF(VLOOKUP(W$2,MODULY_CBA!$B$3:$N$23,13,0)&lt;='TCO TO BE- SW'!$D79,SUM('TCO TO BE- SW'!W$6:W$15)*VLOOKUP('TCO TO BE- SW'!W$2,MODULY_CBA!$B$3:$M$23,12,0),0),0)</f>
        <v>0</v>
      </c>
      <c r="X79" s="584">
        <f>IFERROR(IF(VLOOKUP(X$2,MODULY_CBA!$B$3:$N$23,13,0)&lt;='TCO TO BE- SW'!$D79,SUM('TCO TO BE- SW'!X$6:X$15)*VLOOKUP('TCO TO BE- SW'!X$2,MODULY_CBA!$B$3:$M$23,12,0),0),0)</f>
        <v>0</v>
      </c>
      <c r="Y79" s="584">
        <f>IFERROR(IF(VLOOKUP(Y$2,MODULY_CBA!$B$3:$N$23,13,0)&lt;='TCO TO BE- SW'!$D79,SUM('TCO TO BE- SW'!Y$6:Y$15)*VLOOKUP('TCO TO BE- SW'!Y$2,MODULY_CBA!$B$3:$M$23,12,0),0),0)</f>
        <v>0</v>
      </c>
      <c r="Z79" s="584">
        <f>IFERROR(IF(VLOOKUP(Z$2,MODULY_CBA!$B$3:$N$23,13,0)&lt;='TCO TO BE- SW'!$D79,SUM('TCO TO BE- SW'!Z$6:Z$15)*VLOOKUP('TCO TO BE- SW'!Z$2,MODULY_CBA!$B$3:$M$23,12,0),0),0)</f>
        <v>0</v>
      </c>
    </row>
    <row r="80" spans="1:26" outlineLevel="2">
      <c r="A80" s="841"/>
      <c r="B80" s="842"/>
      <c r="C80" s="842"/>
      <c r="D80" s="64">
        <v>2</v>
      </c>
      <c r="E80" s="61">
        <f t="shared" si="12"/>
        <v>0</v>
      </c>
      <c r="F80" s="585">
        <f>IFERROR(IF(VLOOKUP(F$2,MODULY_CBA!$B$3:$N$23,13,0)&lt;='TCO TO BE- SW'!$D80,SUM('TCO TO BE- SW'!F$6:F$15)*VLOOKUP('TCO TO BE- SW'!F$2,MODULY_CBA!$B$3:$M$23,12,0),0),0)</f>
        <v>0</v>
      </c>
      <c r="G80" s="585">
        <f>IFERROR(IF(VLOOKUP(G$2,MODULY_CBA!$B$3:$N$23,13,0)&lt;='TCO TO BE- SW'!$D80,SUM('TCO TO BE- SW'!G$6:G$15)*VLOOKUP('TCO TO BE- SW'!G$2,MODULY_CBA!$B$3:$M$23,12,0),0),0)</f>
        <v>0</v>
      </c>
      <c r="H80" s="585">
        <f>IFERROR(IF(VLOOKUP(H$2,MODULY_CBA!$B$3:$N$23,13,0)&lt;='TCO TO BE- SW'!$D80,SUM('TCO TO BE- SW'!H$6:H$15)*VLOOKUP('TCO TO BE- SW'!H$2,MODULY_CBA!$B$3:$M$23,12,0),0),0)</f>
        <v>0</v>
      </c>
      <c r="I80" s="585">
        <f>IFERROR(IF(VLOOKUP(I$2,MODULY_CBA!$B$3:$N$23,13,0)&lt;='TCO TO BE- SW'!$D80,SUM('TCO TO BE- SW'!I$6:I$15)*VLOOKUP('TCO TO BE- SW'!I$2,MODULY_CBA!$B$3:$M$23,12,0),0),0)</f>
        <v>0</v>
      </c>
      <c r="J80" s="585">
        <f>IFERROR(IF(VLOOKUP(J$2,MODULY_CBA!$B$3:$N$23,13,0)&lt;='TCO TO BE- SW'!$D80,SUM('TCO TO BE- SW'!J$6:J$15)*VLOOKUP('TCO TO BE- SW'!J$2,MODULY_CBA!$B$3:$M$23,12,0),0),0)</f>
        <v>0</v>
      </c>
      <c r="K80" s="585">
        <f>IFERROR(IF(VLOOKUP(K$2,MODULY_CBA!$B$3:$N$23,13,0)&lt;='TCO TO BE- SW'!$D80,SUM('TCO TO BE- SW'!K$6:K$15)*VLOOKUP('TCO TO BE- SW'!K$2,MODULY_CBA!$B$3:$M$23,12,0),0),0)</f>
        <v>0</v>
      </c>
      <c r="L80" s="585">
        <f>IFERROR(IF(VLOOKUP(L$2,MODULY_CBA!$B$3:$N$23,13,0)&lt;='TCO TO BE- SW'!$D80,SUM('TCO TO BE- SW'!L$6:L$15)*VLOOKUP('TCO TO BE- SW'!L$2,MODULY_CBA!$B$3:$M$23,12,0),0),0)</f>
        <v>0</v>
      </c>
      <c r="M80" s="585">
        <f>IFERROR(IF(VLOOKUP(M$2,MODULY_CBA!$B$3:$N$23,13,0)&lt;='TCO TO BE- SW'!$D80,SUM('TCO TO BE- SW'!M$6:M$15)*VLOOKUP('TCO TO BE- SW'!M$2,MODULY_CBA!$B$3:$M$23,12,0),0),0)</f>
        <v>0</v>
      </c>
      <c r="N80" s="585">
        <f>IFERROR(IF(VLOOKUP(N$2,MODULY_CBA!$B$3:$N$23,13,0)&lt;='TCO TO BE- SW'!$D80,SUM('TCO TO BE- SW'!N$6:N$15)*VLOOKUP('TCO TO BE- SW'!N$2,MODULY_CBA!$B$3:$M$23,12,0),0),0)</f>
        <v>0</v>
      </c>
      <c r="O80" s="585">
        <f>IFERROR(IF(VLOOKUP(O$2,MODULY_CBA!$B$3:$N$23,13,0)&lt;='TCO TO BE- SW'!$D80,SUM('TCO TO BE- SW'!O$6:O$15)*VLOOKUP('TCO TO BE- SW'!O$2,MODULY_CBA!$B$3:$M$23,12,0),0),0)</f>
        <v>0</v>
      </c>
      <c r="P80" s="585">
        <f>IFERROR(IF(VLOOKUP(P$2,MODULY_CBA!$B$3:$N$23,13,0)&lt;='TCO TO BE- SW'!$D80,SUM('TCO TO BE- SW'!P$6:P$15)*VLOOKUP('TCO TO BE- SW'!P$2,MODULY_CBA!$B$3:$M$23,12,0),0),0)</f>
        <v>0</v>
      </c>
      <c r="Q80" s="585">
        <f>IFERROR(IF(VLOOKUP(Q$2,MODULY_CBA!$B$3:$N$23,13,0)&lt;='TCO TO BE- SW'!$D80,SUM('TCO TO BE- SW'!Q$6:Q$15)*VLOOKUP('TCO TO BE- SW'!Q$2,MODULY_CBA!$B$3:$M$23,12,0),0),0)</f>
        <v>0</v>
      </c>
      <c r="R80" s="585">
        <f>IFERROR(IF(VLOOKUP(R$2,MODULY_CBA!$B$3:$N$23,13,0)&lt;='TCO TO BE- SW'!$D80,SUM('TCO TO BE- SW'!R$6:R$15)*VLOOKUP('TCO TO BE- SW'!R$2,MODULY_CBA!$B$3:$M$23,12,0),0),0)</f>
        <v>0</v>
      </c>
      <c r="S80" s="585">
        <f>IFERROR(IF(VLOOKUP(S$2,MODULY_CBA!$B$3:$N$23,13,0)&lt;='TCO TO BE- SW'!$D80,SUM('TCO TO BE- SW'!S$6:S$15)*VLOOKUP('TCO TO BE- SW'!S$2,MODULY_CBA!$B$3:$M$23,12,0),0),0)</f>
        <v>0</v>
      </c>
      <c r="T80" s="585">
        <f>IFERROR(IF(VLOOKUP(T$2,MODULY_CBA!$B$3:$N$23,13,0)&lt;='TCO TO BE- SW'!$D80,SUM('TCO TO BE- SW'!T$6:T$15)*VLOOKUP('TCO TO BE- SW'!T$2,MODULY_CBA!$B$3:$M$23,12,0),0),0)</f>
        <v>0</v>
      </c>
      <c r="U80" s="585">
        <f>IFERROR(IF(VLOOKUP(U$2,MODULY_CBA!$B$3:$N$23,13,0)&lt;='TCO TO BE- SW'!$D80,SUM('TCO TO BE- SW'!U$6:U$15)*VLOOKUP('TCO TO BE- SW'!U$2,MODULY_CBA!$B$3:$M$23,12,0),0),0)</f>
        <v>0</v>
      </c>
      <c r="V80" s="585">
        <f>IFERROR(IF(VLOOKUP(V$2,MODULY_CBA!$B$3:$N$23,13,0)&lt;='TCO TO BE- SW'!$D80,SUM('TCO TO BE- SW'!V$6:V$15)*VLOOKUP('TCO TO BE- SW'!V$2,MODULY_CBA!$B$3:$M$23,12,0),0),0)</f>
        <v>0</v>
      </c>
      <c r="W80" s="585">
        <f>IFERROR(IF(VLOOKUP(W$2,MODULY_CBA!$B$3:$N$23,13,0)&lt;='TCO TO BE- SW'!$D80,SUM('TCO TO BE- SW'!W$6:W$15)*VLOOKUP('TCO TO BE- SW'!W$2,MODULY_CBA!$B$3:$M$23,12,0),0),0)</f>
        <v>0</v>
      </c>
      <c r="X80" s="585">
        <f>IFERROR(IF(VLOOKUP(X$2,MODULY_CBA!$B$3:$N$23,13,0)&lt;='TCO TO BE- SW'!$D80,SUM('TCO TO BE- SW'!X$6:X$15)*VLOOKUP('TCO TO BE- SW'!X$2,MODULY_CBA!$B$3:$M$23,12,0),0),0)</f>
        <v>0</v>
      </c>
      <c r="Y80" s="585">
        <f>IFERROR(IF(VLOOKUP(Y$2,MODULY_CBA!$B$3:$N$23,13,0)&lt;='TCO TO BE- SW'!$D80,SUM('TCO TO BE- SW'!Y$6:Y$15)*VLOOKUP('TCO TO BE- SW'!Y$2,MODULY_CBA!$B$3:$M$23,12,0),0),0)</f>
        <v>0</v>
      </c>
      <c r="Z80" s="585">
        <f>IFERROR(IF(VLOOKUP(Z$2,MODULY_CBA!$B$3:$N$23,13,0)&lt;='TCO TO BE- SW'!$D80,SUM('TCO TO BE- SW'!Z$6:Z$15)*VLOOKUP('TCO TO BE- SW'!Z$2,MODULY_CBA!$B$3:$M$23,12,0),0),0)</f>
        <v>0</v>
      </c>
    </row>
    <row r="81" spans="1:26" outlineLevel="2">
      <c r="A81" s="841"/>
      <c r="B81" s="842"/>
      <c r="C81" s="842"/>
      <c r="D81" s="64">
        <v>3</v>
      </c>
      <c r="E81" s="61">
        <f t="shared" si="12"/>
        <v>0</v>
      </c>
      <c r="F81" s="586">
        <f>IFERROR(IF(VLOOKUP(F$2,MODULY_CBA!$B$3:$N$23,13,0)&lt;='TCO TO BE- SW'!$D81,SUM('TCO TO BE- SW'!F$6:F$15)*VLOOKUP('TCO TO BE- SW'!F$2,MODULY_CBA!$B$3:$M$23,12,0),0),0)</f>
        <v>0</v>
      </c>
      <c r="G81" s="586">
        <f>IFERROR(IF(VLOOKUP(G$2,MODULY_CBA!$B$3:$N$23,13,0)&lt;='TCO TO BE- SW'!$D81,SUM('TCO TO BE- SW'!G$6:G$15)*VLOOKUP('TCO TO BE- SW'!G$2,MODULY_CBA!$B$3:$M$23,12,0),0),0)</f>
        <v>0</v>
      </c>
      <c r="H81" s="586">
        <f>IFERROR(IF(VLOOKUP(H$2,MODULY_CBA!$B$3:$N$23,13,0)&lt;='TCO TO BE- SW'!$D81,SUM('TCO TO BE- SW'!H$6:H$15)*VLOOKUP('TCO TO BE- SW'!H$2,MODULY_CBA!$B$3:$M$23,12,0),0),0)</f>
        <v>0</v>
      </c>
      <c r="I81" s="586">
        <f>IFERROR(IF(VLOOKUP(I$2,MODULY_CBA!$B$3:$N$23,13,0)&lt;='TCO TO BE- SW'!$D81,SUM('TCO TO BE- SW'!I$6:I$15)*VLOOKUP('TCO TO BE- SW'!I$2,MODULY_CBA!$B$3:$M$23,12,0),0),0)</f>
        <v>0</v>
      </c>
      <c r="J81" s="586">
        <f>IFERROR(IF(VLOOKUP(J$2,MODULY_CBA!$B$3:$N$23,13,0)&lt;='TCO TO BE- SW'!$D81,SUM('TCO TO BE- SW'!J$6:J$15)*VLOOKUP('TCO TO BE- SW'!J$2,MODULY_CBA!$B$3:$M$23,12,0),0),0)</f>
        <v>0</v>
      </c>
      <c r="K81" s="586">
        <f>IFERROR(IF(VLOOKUP(K$2,MODULY_CBA!$B$3:$N$23,13,0)&lt;='TCO TO BE- SW'!$D81,SUM('TCO TO BE- SW'!K$6:K$15)*VLOOKUP('TCO TO BE- SW'!K$2,MODULY_CBA!$B$3:$M$23,12,0),0),0)</f>
        <v>0</v>
      </c>
      <c r="L81" s="586">
        <f>IFERROR(IF(VLOOKUP(L$2,MODULY_CBA!$B$3:$N$23,13,0)&lt;='TCO TO BE- SW'!$D81,SUM('TCO TO BE- SW'!L$6:L$15)*VLOOKUP('TCO TO BE- SW'!L$2,MODULY_CBA!$B$3:$M$23,12,0),0),0)</f>
        <v>0</v>
      </c>
      <c r="M81" s="586">
        <f>IFERROR(IF(VLOOKUP(M$2,MODULY_CBA!$B$3:$N$23,13,0)&lt;='TCO TO BE- SW'!$D81,SUM('TCO TO BE- SW'!M$6:M$15)*VLOOKUP('TCO TO BE- SW'!M$2,MODULY_CBA!$B$3:$M$23,12,0),0),0)</f>
        <v>0</v>
      </c>
      <c r="N81" s="586">
        <f>IFERROR(IF(VLOOKUP(N$2,MODULY_CBA!$B$3:$N$23,13,0)&lt;='TCO TO BE- SW'!$D81,SUM('TCO TO BE- SW'!N$6:N$15)*VLOOKUP('TCO TO BE- SW'!N$2,MODULY_CBA!$B$3:$M$23,12,0),0),0)</f>
        <v>0</v>
      </c>
      <c r="O81" s="586">
        <f>IFERROR(IF(VLOOKUP(O$2,MODULY_CBA!$B$3:$N$23,13,0)&lt;='TCO TO BE- SW'!$D81,SUM('TCO TO BE- SW'!O$6:O$15)*VLOOKUP('TCO TO BE- SW'!O$2,MODULY_CBA!$B$3:$M$23,12,0),0),0)</f>
        <v>0</v>
      </c>
      <c r="P81" s="586">
        <f>IFERROR(IF(VLOOKUP(P$2,MODULY_CBA!$B$3:$N$23,13,0)&lt;='TCO TO BE- SW'!$D81,SUM('TCO TO BE- SW'!P$6:P$15)*VLOOKUP('TCO TO BE- SW'!P$2,MODULY_CBA!$B$3:$M$23,12,0),0),0)</f>
        <v>0</v>
      </c>
      <c r="Q81" s="586">
        <f>IFERROR(IF(VLOOKUP(Q$2,MODULY_CBA!$B$3:$N$23,13,0)&lt;='TCO TO BE- SW'!$D81,SUM('TCO TO BE- SW'!Q$6:Q$15)*VLOOKUP('TCO TO BE- SW'!Q$2,MODULY_CBA!$B$3:$M$23,12,0),0),0)</f>
        <v>0</v>
      </c>
      <c r="R81" s="586">
        <f>IFERROR(IF(VLOOKUP(R$2,MODULY_CBA!$B$3:$N$23,13,0)&lt;='TCO TO BE- SW'!$D81,SUM('TCO TO BE- SW'!R$6:R$15)*VLOOKUP('TCO TO BE- SW'!R$2,MODULY_CBA!$B$3:$M$23,12,0),0),0)</f>
        <v>0</v>
      </c>
      <c r="S81" s="586">
        <f>IFERROR(IF(VLOOKUP(S$2,MODULY_CBA!$B$3:$N$23,13,0)&lt;='TCO TO BE- SW'!$D81,SUM('TCO TO BE- SW'!S$6:S$15)*VLOOKUP('TCO TO BE- SW'!S$2,MODULY_CBA!$B$3:$M$23,12,0),0),0)</f>
        <v>0</v>
      </c>
      <c r="T81" s="586">
        <f>IFERROR(IF(VLOOKUP(T$2,MODULY_CBA!$B$3:$N$23,13,0)&lt;='TCO TO BE- SW'!$D81,SUM('TCO TO BE- SW'!T$6:T$15)*VLOOKUP('TCO TO BE- SW'!T$2,MODULY_CBA!$B$3:$M$23,12,0),0),0)</f>
        <v>0</v>
      </c>
      <c r="U81" s="586">
        <f>IFERROR(IF(VLOOKUP(U$2,MODULY_CBA!$B$3:$N$23,13,0)&lt;='TCO TO BE- SW'!$D81,SUM('TCO TO BE- SW'!U$6:U$15)*VLOOKUP('TCO TO BE- SW'!U$2,MODULY_CBA!$B$3:$M$23,12,0),0),0)</f>
        <v>0</v>
      </c>
      <c r="V81" s="586">
        <f>IFERROR(IF(VLOOKUP(V$2,MODULY_CBA!$B$3:$N$23,13,0)&lt;='TCO TO BE- SW'!$D81,SUM('TCO TO BE- SW'!V$6:V$15)*VLOOKUP('TCO TO BE- SW'!V$2,MODULY_CBA!$B$3:$M$23,12,0),0),0)</f>
        <v>0</v>
      </c>
      <c r="W81" s="586">
        <f>IFERROR(IF(VLOOKUP(W$2,MODULY_CBA!$B$3:$N$23,13,0)&lt;='TCO TO BE- SW'!$D81,SUM('TCO TO BE- SW'!W$6:W$15)*VLOOKUP('TCO TO BE- SW'!W$2,MODULY_CBA!$B$3:$M$23,12,0),0),0)</f>
        <v>0</v>
      </c>
      <c r="X81" s="586">
        <f>IFERROR(IF(VLOOKUP(X$2,MODULY_CBA!$B$3:$N$23,13,0)&lt;='TCO TO BE- SW'!$D81,SUM('TCO TO BE- SW'!X$6:X$15)*VLOOKUP('TCO TO BE- SW'!X$2,MODULY_CBA!$B$3:$M$23,12,0),0),0)</f>
        <v>0</v>
      </c>
      <c r="Y81" s="586">
        <f>IFERROR(IF(VLOOKUP(Y$2,MODULY_CBA!$B$3:$N$23,13,0)&lt;='TCO TO BE- SW'!$D81,SUM('TCO TO BE- SW'!Y$6:Y$15)*VLOOKUP('TCO TO BE- SW'!Y$2,MODULY_CBA!$B$3:$M$23,12,0),0),0)</f>
        <v>0</v>
      </c>
      <c r="Z81" s="586">
        <f>IFERROR(IF(VLOOKUP(Z$2,MODULY_CBA!$B$3:$N$23,13,0)&lt;='TCO TO BE- SW'!$D81,SUM('TCO TO BE- SW'!Z$6:Z$15)*VLOOKUP('TCO TO BE- SW'!Z$2,MODULY_CBA!$B$3:$M$23,12,0),0),0)</f>
        <v>0</v>
      </c>
    </row>
    <row r="82" spans="1:26" outlineLevel="2">
      <c r="A82" s="841"/>
      <c r="B82" s="842"/>
      <c r="C82" s="842"/>
      <c r="D82" s="64">
        <v>4</v>
      </c>
      <c r="E82" s="61">
        <f t="shared" si="12"/>
        <v>0</v>
      </c>
      <c r="F82" s="586">
        <f>IFERROR(IF(VLOOKUP(F$2,MODULY_CBA!$B$3:$N$23,13,0)&lt;='TCO TO BE- SW'!$D82,SUM('TCO TO BE- SW'!F$6:F$15)*VLOOKUP('TCO TO BE- SW'!F$2,MODULY_CBA!$B$3:$M$23,12,0),0),0)</f>
        <v>0</v>
      </c>
      <c r="G82" s="586">
        <f>IFERROR(IF(VLOOKUP(G$2,MODULY_CBA!$B$3:$N$23,13,0)&lt;='TCO TO BE- SW'!$D82,SUM('TCO TO BE- SW'!G$6:G$15)*VLOOKUP('TCO TO BE- SW'!G$2,MODULY_CBA!$B$3:$M$23,12,0),0),0)</f>
        <v>0</v>
      </c>
      <c r="H82" s="586">
        <f>IFERROR(IF(VLOOKUP(H$2,MODULY_CBA!$B$3:$N$23,13,0)&lt;='TCO TO BE- SW'!$D82,SUM('TCO TO BE- SW'!H$6:H$15)*VLOOKUP('TCO TO BE- SW'!H$2,MODULY_CBA!$B$3:$M$23,12,0),0),0)</f>
        <v>0</v>
      </c>
      <c r="I82" s="586">
        <f>IFERROR(IF(VLOOKUP(I$2,MODULY_CBA!$B$3:$N$23,13,0)&lt;='TCO TO BE- SW'!$D82,SUM('TCO TO BE- SW'!I$6:I$15)*VLOOKUP('TCO TO BE- SW'!I$2,MODULY_CBA!$B$3:$M$23,12,0),0),0)</f>
        <v>0</v>
      </c>
      <c r="J82" s="586">
        <f>IFERROR(IF(VLOOKUP(J$2,MODULY_CBA!$B$3:$N$23,13,0)&lt;='TCO TO BE- SW'!$D82,SUM('TCO TO BE- SW'!J$6:J$15)*VLOOKUP('TCO TO BE- SW'!J$2,MODULY_CBA!$B$3:$M$23,12,0),0),0)</f>
        <v>0</v>
      </c>
      <c r="K82" s="586">
        <f>IFERROR(IF(VLOOKUP(K$2,MODULY_CBA!$B$3:$N$23,13,0)&lt;='TCO TO BE- SW'!$D82,SUM('TCO TO BE- SW'!K$6:K$15)*VLOOKUP('TCO TO BE- SW'!K$2,MODULY_CBA!$B$3:$M$23,12,0),0),0)</f>
        <v>0</v>
      </c>
      <c r="L82" s="586">
        <f>IFERROR(IF(VLOOKUP(L$2,MODULY_CBA!$B$3:$N$23,13,0)&lt;='TCO TO BE- SW'!$D82,SUM('TCO TO BE- SW'!L$6:L$15)*VLOOKUP('TCO TO BE- SW'!L$2,MODULY_CBA!$B$3:$M$23,12,0),0),0)</f>
        <v>0</v>
      </c>
      <c r="M82" s="586">
        <f>IFERROR(IF(VLOOKUP(M$2,MODULY_CBA!$B$3:$N$23,13,0)&lt;='TCO TO BE- SW'!$D82,SUM('TCO TO BE- SW'!M$6:M$15)*VLOOKUP('TCO TO BE- SW'!M$2,MODULY_CBA!$B$3:$M$23,12,0),0),0)</f>
        <v>0</v>
      </c>
      <c r="N82" s="586">
        <f>IFERROR(IF(VLOOKUP(N$2,MODULY_CBA!$B$3:$N$23,13,0)&lt;='TCO TO BE- SW'!$D82,SUM('TCO TO BE- SW'!N$6:N$15)*VLOOKUP('TCO TO BE- SW'!N$2,MODULY_CBA!$B$3:$M$23,12,0),0),0)</f>
        <v>0</v>
      </c>
      <c r="O82" s="586">
        <f>IFERROR(IF(VLOOKUP(O$2,MODULY_CBA!$B$3:$N$23,13,0)&lt;='TCO TO BE- SW'!$D82,SUM('TCO TO BE- SW'!O$6:O$15)*VLOOKUP('TCO TO BE- SW'!O$2,MODULY_CBA!$B$3:$M$23,12,0),0),0)</f>
        <v>0</v>
      </c>
      <c r="P82" s="586">
        <f>IFERROR(IF(VLOOKUP(P$2,MODULY_CBA!$B$3:$N$23,13,0)&lt;='TCO TO BE- SW'!$D82,SUM('TCO TO BE- SW'!P$6:P$15)*VLOOKUP('TCO TO BE- SW'!P$2,MODULY_CBA!$B$3:$M$23,12,0),0),0)</f>
        <v>0</v>
      </c>
      <c r="Q82" s="586">
        <f>IFERROR(IF(VLOOKUP(Q$2,MODULY_CBA!$B$3:$N$23,13,0)&lt;='TCO TO BE- SW'!$D82,SUM('TCO TO BE- SW'!Q$6:Q$15)*VLOOKUP('TCO TO BE- SW'!Q$2,MODULY_CBA!$B$3:$M$23,12,0),0),0)</f>
        <v>0</v>
      </c>
      <c r="R82" s="586">
        <f>IFERROR(IF(VLOOKUP(R$2,MODULY_CBA!$B$3:$N$23,13,0)&lt;='TCO TO BE- SW'!$D82,SUM('TCO TO BE- SW'!R$6:R$15)*VLOOKUP('TCO TO BE- SW'!R$2,MODULY_CBA!$B$3:$M$23,12,0),0),0)</f>
        <v>0</v>
      </c>
      <c r="S82" s="586">
        <f>IFERROR(IF(VLOOKUP(S$2,MODULY_CBA!$B$3:$N$23,13,0)&lt;='TCO TO BE- SW'!$D82,SUM('TCO TO BE- SW'!S$6:S$15)*VLOOKUP('TCO TO BE- SW'!S$2,MODULY_CBA!$B$3:$M$23,12,0),0),0)</f>
        <v>0</v>
      </c>
      <c r="T82" s="586">
        <f>IFERROR(IF(VLOOKUP(T$2,MODULY_CBA!$B$3:$N$23,13,0)&lt;='TCO TO BE- SW'!$D82,SUM('TCO TO BE- SW'!T$6:T$15)*VLOOKUP('TCO TO BE- SW'!T$2,MODULY_CBA!$B$3:$M$23,12,0),0),0)</f>
        <v>0</v>
      </c>
      <c r="U82" s="586">
        <f>IFERROR(IF(VLOOKUP(U$2,MODULY_CBA!$B$3:$N$23,13,0)&lt;='TCO TO BE- SW'!$D82,SUM('TCO TO BE- SW'!U$6:U$15)*VLOOKUP('TCO TO BE- SW'!U$2,MODULY_CBA!$B$3:$M$23,12,0),0),0)</f>
        <v>0</v>
      </c>
      <c r="V82" s="586">
        <f>IFERROR(IF(VLOOKUP(V$2,MODULY_CBA!$B$3:$N$23,13,0)&lt;='TCO TO BE- SW'!$D82,SUM('TCO TO BE- SW'!V$6:V$15)*VLOOKUP('TCO TO BE- SW'!V$2,MODULY_CBA!$B$3:$M$23,12,0),0),0)</f>
        <v>0</v>
      </c>
      <c r="W82" s="586">
        <f>IFERROR(IF(VLOOKUP(W$2,MODULY_CBA!$B$3:$N$23,13,0)&lt;='TCO TO BE- SW'!$D82,SUM('TCO TO BE- SW'!W$6:W$15)*VLOOKUP('TCO TO BE- SW'!W$2,MODULY_CBA!$B$3:$M$23,12,0),0),0)</f>
        <v>0</v>
      </c>
      <c r="X82" s="586">
        <f>IFERROR(IF(VLOOKUP(X$2,MODULY_CBA!$B$3:$N$23,13,0)&lt;='TCO TO BE- SW'!$D82,SUM('TCO TO BE- SW'!X$6:X$15)*VLOOKUP('TCO TO BE- SW'!X$2,MODULY_CBA!$B$3:$M$23,12,0),0),0)</f>
        <v>0</v>
      </c>
      <c r="Y82" s="586">
        <f>IFERROR(IF(VLOOKUP(Y$2,MODULY_CBA!$B$3:$N$23,13,0)&lt;='TCO TO BE- SW'!$D82,SUM('TCO TO BE- SW'!Y$6:Y$15)*VLOOKUP('TCO TO BE- SW'!Y$2,MODULY_CBA!$B$3:$M$23,12,0),0),0)</f>
        <v>0</v>
      </c>
      <c r="Z82" s="586">
        <f>IFERROR(IF(VLOOKUP(Z$2,MODULY_CBA!$B$3:$N$23,13,0)&lt;='TCO TO BE- SW'!$D82,SUM('TCO TO BE- SW'!Z$6:Z$15)*VLOOKUP('TCO TO BE- SW'!Z$2,MODULY_CBA!$B$3:$M$23,12,0),0),0)</f>
        <v>0</v>
      </c>
    </row>
    <row r="83" spans="1:26" outlineLevel="2">
      <c r="A83" s="841"/>
      <c r="B83" s="842"/>
      <c r="C83" s="842"/>
      <c r="D83" s="64">
        <v>5</v>
      </c>
      <c r="E83" s="61">
        <f t="shared" si="12"/>
        <v>0</v>
      </c>
      <c r="F83" s="586">
        <f>IFERROR(IF(VLOOKUP(F$2,MODULY_CBA!$B$3:$N$23,13,0)&lt;='TCO TO BE- SW'!$D83,SUM('TCO TO BE- SW'!F$6:F$15)*VLOOKUP('TCO TO BE- SW'!F$2,MODULY_CBA!$B$3:$M$23,12,0),0),0)</f>
        <v>0</v>
      </c>
      <c r="G83" s="586">
        <f>IFERROR(IF(VLOOKUP(G$2,MODULY_CBA!$B$3:$N$23,13,0)&lt;='TCO TO BE- SW'!$D83,SUM('TCO TO BE- SW'!G$6:G$15)*VLOOKUP('TCO TO BE- SW'!G$2,MODULY_CBA!$B$3:$M$23,12,0),0),0)</f>
        <v>0</v>
      </c>
      <c r="H83" s="586">
        <f>IFERROR(IF(VLOOKUP(H$2,MODULY_CBA!$B$3:$N$23,13,0)&lt;='TCO TO BE- SW'!$D83,SUM('TCO TO BE- SW'!H$6:H$15)*VLOOKUP('TCO TO BE- SW'!H$2,MODULY_CBA!$B$3:$M$23,12,0),0),0)</f>
        <v>0</v>
      </c>
      <c r="I83" s="586">
        <f>IFERROR(IF(VLOOKUP(I$2,MODULY_CBA!$B$3:$N$23,13,0)&lt;='TCO TO BE- SW'!$D83,SUM('TCO TO BE- SW'!I$6:I$15)*VLOOKUP('TCO TO BE- SW'!I$2,MODULY_CBA!$B$3:$M$23,12,0),0),0)</f>
        <v>0</v>
      </c>
      <c r="J83" s="586">
        <f>IFERROR(IF(VLOOKUP(J$2,MODULY_CBA!$B$3:$N$23,13,0)&lt;='TCO TO BE- SW'!$D83,SUM('TCO TO BE- SW'!J$6:J$15)*VLOOKUP('TCO TO BE- SW'!J$2,MODULY_CBA!$B$3:$M$23,12,0),0),0)</f>
        <v>0</v>
      </c>
      <c r="K83" s="586">
        <f>IFERROR(IF(VLOOKUP(K$2,MODULY_CBA!$B$3:$N$23,13,0)&lt;='TCO TO BE- SW'!$D83,SUM('TCO TO BE- SW'!K$6:K$15)*VLOOKUP('TCO TO BE- SW'!K$2,MODULY_CBA!$B$3:$M$23,12,0),0),0)</f>
        <v>0</v>
      </c>
      <c r="L83" s="586">
        <f>IFERROR(IF(VLOOKUP(L$2,MODULY_CBA!$B$3:$N$23,13,0)&lt;='TCO TO BE- SW'!$D83,SUM('TCO TO BE- SW'!L$6:L$15)*VLOOKUP('TCO TO BE- SW'!L$2,MODULY_CBA!$B$3:$M$23,12,0),0),0)</f>
        <v>0</v>
      </c>
      <c r="M83" s="586">
        <f>IFERROR(IF(VLOOKUP(M$2,MODULY_CBA!$B$3:$N$23,13,0)&lt;='TCO TO BE- SW'!$D83,SUM('TCO TO BE- SW'!M$6:M$15)*VLOOKUP('TCO TO BE- SW'!M$2,MODULY_CBA!$B$3:$M$23,12,0),0),0)</f>
        <v>0</v>
      </c>
      <c r="N83" s="586">
        <f>IFERROR(IF(VLOOKUP(N$2,MODULY_CBA!$B$3:$N$23,13,0)&lt;='TCO TO BE- SW'!$D83,SUM('TCO TO BE- SW'!N$6:N$15)*VLOOKUP('TCO TO BE- SW'!N$2,MODULY_CBA!$B$3:$M$23,12,0),0),0)</f>
        <v>0</v>
      </c>
      <c r="O83" s="586">
        <f>IFERROR(IF(VLOOKUP(O$2,MODULY_CBA!$B$3:$N$23,13,0)&lt;='TCO TO BE- SW'!$D83,SUM('TCO TO BE- SW'!O$6:O$15)*VLOOKUP('TCO TO BE- SW'!O$2,MODULY_CBA!$B$3:$M$23,12,0),0),0)</f>
        <v>0</v>
      </c>
      <c r="P83" s="586">
        <f>IFERROR(IF(VLOOKUP(P$2,MODULY_CBA!$B$3:$N$23,13,0)&lt;='TCO TO BE- SW'!$D83,SUM('TCO TO BE- SW'!P$6:P$15)*VLOOKUP('TCO TO BE- SW'!P$2,MODULY_CBA!$B$3:$M$23,12,0),0),0)</f>
        <v>0</v>
      </c>
      <c r="Q83" s="586">
        <f>IFERROR(IF(VLOOKUP(Q$2,MODULY_CBA!$B$3:$N$23,13,0)&lt;='TCO TO BE- SW'!$D83,SUM('TCO TO BE- SW'!Q$6:Q$15)*VLOOKUP('TCO TO BE- SW'!Q$2,MODULY_CBA!$B$3:$M$23,12,0),0),0)</f>
        <v>0</v>
      </c>
      <c r="R83" s="586">
        <f>IFERROR(IF(VLOOKUP(R$2,MODULY_CBA!$B$3:$N$23,13,0)&lt;='TCO TO BE- SW'!$D83,SUM('TCO TO BE- SW'!R$6:R$15)*VLOOKUP('TCO TO BE- SW'!R$2,MODULY_CBA!$B$3:$M$23,12,0),0),0)</f>
        <v>0</v>
      </c>
      <c r="S83" s="586">
        <f>IFERROR(IF(VLOOKUP(S$2,MODULY_CBA!$B$3:$N$23,13,0)&lt;='TCO TO BE- SW'!$D83,SUM('TCO TO BE- SW'!S$6:S$15)*VLOOKUP('TCO TO BE- SW'!S$2,MODULY_CBA!$B$3:$M$23,12,0),0),0)</f>
        <v>0</v>
      </c>
      <c r="T83" s="586">
        <f>IFERROR(IF(VLOOKUP(T$2,MODULY_CBA!$B$3:$N$23,13,0)&lt;='TCO TO BE- SW'!$D83,SUM('TCO TO BE- SW'!T$6:T$15)*VLOOKUP('TCO TO BE- SW'!T$2,MODULY_CBA!$B$3:$M$23,12,0),0),0)</f>
        <v>0</v>
      </c>
      <c r="U83" s="586">
        <f>IFERROR(IF(VLOOKUP(U$2,MODULY_CBA!$B$3:$N$23,13,0)&lt;='TCO TO BE- SW'!$D83,SUM('TCO TO BE- SW'!U$6:U$15)*VLOOKUP('TCO TO BE- SW'!U$2,MODULY_CBA!$B$3:$M$23,12,0),0),0)</f>
        <v>0</v>
      </c>
      <c r="V83" s="586">
        <f>IFERROR(IF(VLOOKUP(V$2,MODULY_CBA!$B$3:$N$23,13,0)&lt;='TCO TO BE- SW'!$D83,SUM('TCO TO BE- SW'!V$6:V$15)*VLOOKUP('TCO TO BE- SW'!V$2,MODULY_CBA!$B$3:$M$23,12,0),0),0)</f>
        <v>0</v>
      </c>
      <c r="W83" s="586">
        <f>IFERROR(IF(VLOOKUP(W$2,MODULY_CBA!$B$3:$N$23,13,0)&lt;='TCO TO BE- SW'!$D83,SUM('TCO TO BE- SW'!W$6:W$15)*VLOOKUP('TCO TO BE- SW'!W$2,MODULY_CBA!$B$3:$M$23,12,0),0),0)</f>
        <v>0</v>
      </c>
      <c r="X83" s="586">
        <f>IFERROR(IF(VLOOKUP(X$2,MODULY_CBA!$B$3:$N$23,13,0)&lt;='TCO TO BE- SW'!$D83,SUM('TCO TO BE- SW'!X$6:X$15)*VLOOKUP('TCO TO BE- SW'!X$2,MODULY_CBA!$B$3:$M$23,12,0),0),0)</f>
        <v>0</v>
      </c>
      <c r="Y83" s="586">
        <f>IFERROR(IF(VLOOKUP(Y$2,MODULY_CBA!$B$3:$N$23,13,0)&lt;='TCO TO BE- SW'!$D83,SUM('TCO TO BE- SW'!Y$6:Y$15)*VLOOKUP('TCO TO BE- SW'!Y$2,MODULY_CBA!$B$3:$M$23,12,0),0),0)</f>
        <v>0</v>
      </c>
      <c r="Z83" s="586">
        <f>IFERROR(IF(VLOOKUP(Z$2,MODULY_CBA!$B$3:$N$23,13,0)&lt;='TCO TO BE- SW'!$D83,SUM('TCO TO BE- SW'!Z$6:Z$15)*VLOOKUP('TCO TO BE- SW'!Z$2,MODULY_CBA!$B$3:$M$23,12,0),0),0)</f>
        <v>0</v>
      </c>
    </row>
    <row r="84" spans="1:26" outlineLevel="2">
      <c r="A84" s="841"/>
      <c r="B84" s="842"/>
      <c r="C84" s="842"/>
      <c r="D84" s="64">
        <v>6</v>
      </c>
      <c r="E84" s="61">
        <f t="shared" si="12"/>
        <v>0</v>
      </c>
      <c r="F84" s="586">
        <f>IFERROR(IF(VLOOKUP(F$2,MODULY_CBA!$B$3:$N$23,13,0)&lt;='TCO TO BE- SW'!$D84,SUM('TCO TO BE- SW'!F$6:F$15)*VLOOKUP('TCO TO BE- SW'!F$2,MODULY_CBA!$B$3:$M$23,12,0),0),0)</f>
        <v>0</v>
      </c>
      <c r="G84" s="586">
        <f>IFERROR(IF(VLOOKUP(G$2,MODULY_CBA!$B$3:$N$23,13,0)&lt;='TCO TO BE- SW'!$D84,SUM('TCO TO BE- SW'!G$6:G$15)*VLOOKUP('TCO TO BE- SW'!G$2,MODULY_CBA!$B$3:$M$23,12,0),0),0)</f>
        <v>0</v>
      </c>
      <c r="H84" s="586">
        <f>IFERROR(IF(VLOOKUP(H$2,MODULY_CBA!$B$3:$N$23,13,0)&lt;='TCO TO BE- SW'!$D84,SUM('TCO TO BE- SW'!H$6:H$15)*VLOOKUP('TCO TO BE- SW'!H$2,MODULY_CBA!$B$3:$M$23,12,0),0),0)</f>
        <v>0</v>
      </c>
      <c r="I84" s="586">
        <f>IFERROR(IF(VLOOKUP(I$2,MODULY_CBA!$B$3:$N$23,13,0)&lt;='TCO TO BE- SW'!$D84,SUM('TCO TO BE- SW'!I$6:I$15)*VLOOKUP('TCO TO BE- SW'!I$2,MODULY_CBA!$B$3:$M$23,12,0),0),0)</f>
        <v>0</v>
      </c>
      <c r="J84" s="586">
        <f>IFERROR(IF(VLOOKUP(J$2,MODULY_CBA!$B$3:$N$23,13,0)&lt;='TCO TO BE- SW'!$D84,SUM('TCO TO BE- SW'!J$6:J$15)*VLOOKUP('TCO TO BE- SW'!J$2,MODULY_CBA!$B$3:$M$23,12,0),0),0)</f>
        <v>0</v>
      </c>
      <c r="K84" s="586">
        <f>IFERROR(IF(VLOOKUP(K$2,MODULY_CBA!$B$3:$N$23,13,0)&lt;='TCO TO BE- SW'!$D84,SUM('TCO TO BE- SW'!K$6:K$15)*VLOOKUP('TCO TO BE- SW'!K$2,MODULY_CBA!$B$3:$M$23,12,0),0),0)</f>
        <v>0</v>
      </c>
      <c r="L84" s="586">
        <f>IFERROR(IF(VLOOKUP(L$2,MODULY_CBA!$B$3:$N$23,13,0)&lt;='TCO TO BE- SW'!$D84,SUM('TCO TO BE- SW'!L$6:L$15)*VLOOKUP('TCO TO BE- SW'!L$2,MODULY_CBA!$B$3:$M$23,12,0),0),0)</f>
        <v>0</v>
      </c>
      <c r="M84" s="586">
        <f>IFERROR(IF(VLOOKUP(M$2,MODULY_CBA!$B$3:$N$23,13,0)&lt;='TCO TO BE- SW'!$D84,SUM('TCO TO BE- SW'!M$6:M$15)*VLOOKUP('TCO TO BE- SW'!M$2,MODULY_CBA!$B$3:$M$23,12,0),0),0)</f>
        <v>0</v>
      </c>
      <c r="N84" s="586">
        <f>IFERROR(IF(VLOOKUP(N$2,MODULY_CBA!$B$3:$N$23,13,0)&lt;='TCO TO BE- SW'!$D84,SUM('TCO TO BE- SW'!N$6:N$15)*VLOOKUP('TCO TO BE- SW'!N$2,MODULY_CBA!$B$3:$M$23,12,0),0),0)</f>
        <v>0</v>
      </c>
      <c r="O84" s="586">
        <f>IFERROR(IF(VLOOKUP(O$2,MODULY_CBA!$B$3:$N$23,13,0)&lt;='TCO TO BE- SW'!$D84,SUM('TCO TO BE- SW'!O$6:O$15)*VLOOKUP('TCO TO BE- SW'!O$2,MODULY_CBA!$B$3:$M$23,12,0),0),0)</f>
        <v>0</v>
      </c>
      <c r="P84" s="586">
        <f>IFERROR(IF(VLOOKUP(P$2,MODULY_CBA!$B$3:$N$23,13,0)&lt;='TCO TO BE- SW'!$D84,SUM('TCO TO BE- SW'!P$6:P$15)*VLOOKUP('TCO TO BE- SW'!P$2,MODULY_CBA!$B$3:$M$23,12,0),0),0)</f>
        <v>0</v>
      </c>
      <c r="Q84" s="586">
        <f>IFERROR(IF(VLOOKUP(Q$2,MODULY_CBA!$B$3:$N$23,13,0)&lt;='TCO TO BE- SW'!$D84,SUM('TCO TO BE- SW'!Q$6:Q$15)*VLOOKUP('TCO TO BE- SW'!Q$2,MODULY_CBA!$B$3:$M$23,12,0),0),0)</f>
        <v>0</v>
      </c>
      <c r="R84" s="586">
        <f>IFERROR(IF(VLOOKUP(R$2,MODULY_CBA!$B$3:$N$23,13,0)&lt;='TCO TO BE- SW'!$D84,SUM('TCO TO BE- SW'!R$6:R$15)*VLOOKUP('TCO TO BE- SW'!R$2,MODULY_CBA!$B$3:$M$23,12,0),0),0)</f>
        <v>0</v>
      </c>
      <c r="S84" s="586">
        <f>IFERROR(IF(VLOOKUP(S$2,MODULY_CBA!$B$3:$N$23,13,0)&lt;='TCO TO BE- SW'!$D84,SUM('TCO TO BE- SW'!S$6:S$15)*VLOOKUP('TCO TO BE- SW'!S$2,MODULY_CBA!$B$3:$M$23,12,0),0),0)</f>
        <v>0</v>
      </c>
      <c r="T84" s="586">
        <f>IFERROR(IF(VLOOKUP(T$2,MODULY_CBA!$B$3:$N$23,13,0)&lt;='TCO TO BE- SW'!$D84,SUM('TCO TO BE- SW'!T$6:T$15)*VLOOKUP('TCO TO BE- SW'!T$2,MODULY_CBA!$B$3:$M$23,12,0),0),0)</f>
        <v>0</v>
      </c>
      <c r="U84" s="586">
        <f>IFERROR(IF(VLOOKUP(U$2,MODULY_CBA!$B$3:$N$23,13,0)&lt;='TCO TO BE- SW'!$D84,SUM('TCO TO BE- SW'!U$6:U$15)*VLOOKUP('TCO TO BE- SW'!U$2,MODULY_CBA!$B$3:$M$23,12,0),0),0)</f>
        <v>0</v>
      </c>
      <c r="V84" s="586">
        <f>IFERROR(IF(VLOOKUP(V$2,MODULY_CBA!$B$3:$N$23,13,0)&lt;='TCO TO BE- SW'!$D84,SUM('TCO TO BE- SW'!V$6:V$15)*VLOOKUP('TCO TO BE- SW'!V$2,MODULY_CBA!$B$3:$M$23,12,0),0),0)</f>
        <v>0</v>
      </c>
      <c r="W84" s="586">
        <f>IFERROR(IF(VLOOKUP(W$2,MODULY_CBA!$B$3:$N$23,13,0)&lt;='TCO TO BE- SW'!$D84,SUM('TCO TO BE- SW'!W$6:W$15)*VLOOKUP('TCO TO BE- SW'!W$2,MODULY_CBA!$B$3:$M$23,12,0),0),0)</f>
        <v>0</v>
      </c>
      <c r="X84" s="586">
        <f>IFERROR(IF(VLOOKUP(X$2,MODULY_CBA!$B$3:$N$23,13,0)&lt;='TCO TO BE- SW'!$D84,SUM('TCO TO BE- SW'!X$6:X$15)*VLOOKUP('TCO TO BE- SW'!X$2,MODULY_CBA!$B$3:$M$23,12,0),0),0)</f>
        <v>0</v>
      </c>
      <c r="Y84" s="586">
        <f>IFERROR(IF(VLOOKUP(Y$2,MODULY_CBA!$B$3:$N$23,13,0)&lt;='TCO TO BE- SW'!$D84,SUM('TCO TO BE- SW'!Y$6:Y$15)*VLOOKUP('TCO TO BE- SW'!Y$2,MODULY_CBA!$B$3:$M$23,12,0),0),0)</f>
        <v>0</v>
      </c>
      <c r="Z84" s="586">
        <f>IFERROR(IF(VLOOKUP(Z$2,MODULY_CBA!$B$3:$N$23,13,0)&lt;='TCO TO BE- SW'!$D84,SUM('TCO TO BE- SW'!Z$6:Z$15)*VLOOKUP('TCO TO BE- SW'!Z$2,MODULY_CBA!$B$3:$M$23,12,0),0),0)</f>
        <v>0</v>
      </c>
    </row>
    <row r="85" spans="1:26" outlineLevel="2">
      <c r="A85" s="841"/>
      <c r="B85" s="842"/>
      <c r="C85" s="842"/>
      <c r="D85" s="64">
        <v>7</v>
      </c>
      <c r="E85" s="61">
        <f t="shared" si="12"/>
        <v>0</v>
      </c>
      <c r="F85" s="586">
        <f>IFERROR(IF(VLOOKUP(F$2,MODULY_CBA!$B$3:$N$23,13,0)&lt;='TCO TO BE- SW'!$D85,SUM('TCO TO BE- SW'!F$6:F$15)*VLOOKUP('TCO TO BE- SW'!F$2,MODULY_CBA!$B$3:$M$23,12,0),0),0)</f>
        <v>0</v>
      </c>
      <c r="G85" s="586">
        <f>IFERROR(IF(VLOOKUP(G$2,MODULY_CBA!$B$3:$N$23,13,0)&lt;='TCO TO BE- SW'!$D85,SUM('TCO TO BE- SW'!G$6:G$15)*VLOOKUP('TCO TO BE- SW'!G$2,MODULY_CBA!$B$3:$M$23,12,0),0),0)</f>
        <v>0</v>
      </c>
      <c r="H85" s="586">
        <f>IFERROR(IF(VLOOKUP(H$2,MODULY_CBA!$B$3:$N$23,13,0)&lt;='TCO TO BE- SW'!$D85,SUM('TCO TO BE- SW'!H$6:H$15)*VLOOKUP('TCO TO BE- SW'!H$2,MODULY_CBA!$B$3:$M$23,12,0),0),0)</f>
        <v>0</v>
      </c>
      <c r="I85" s="586">
        <f>IFERROR(IF(VLOOKUP(I$2,MODULY_CBA!$B$3:$N$23,13,0)&lt;='TCO TO BE- SW'!$D85,SUM('TCO TO BE- SW'!I$6:I$15)*VLOOKUP('TCO TO BE- SW'!I$2,MODULY_CBA!$B$3:$M$23,12,0),0),0)</f>
        <v>0</v>
      </c>
      <c r="J85" s="586">
        <f>IFERROR(IF(VLOOKUP(J$2,MODULY_CBA!$B$3:$N$23,13,0)&lt;='TCO TO BE- SW'!$D85,SUM('TCO TO BE- SW'!J$6:J$15)*VLOOKUP('TCO TO BE- SW'!J$2,MODULY_CBA!$B$3:$M$23,12,0),0),0)</f>
        <v>0</v>
      </c>
      <c r="K85" s="586">
        <f>IFERROR(IF(VLOOKUP(K$2,MODULY_CBA!$B$3:$N$23,13,0)&lt;='TCO TO BE- SW'!$D85,SUM('TCO TO BE- SW'!K$6:K$15)*VLOOKUP('TCO TO BE- SW'!K$2,MODULY_CBA!$B$3:$M$23,12,0),0),0)</f>
        <v>0</v>
      </c>
      <c r="L85" s="586">
        <f>IFERROR(IF(VLOOKUP(L$2,MODULY_CBA!$B$3:$N$23,13,0)&lt;='TCO TO BE- SW'!$D85,SUM('TCO TO BE- SW'!L$6:L$15)*VLOOKUP('TCO TO BE- SW'!L$2,MODULY_CBA!$B$3:$M$23,12,0),0),0)</f>
        <v>0</v>
      </c>
      <c r="M85" s="586">
        <f>IFERROR(IF(VLOOKUP(M$2,MODULY_CBA!$B$3:$N$23,13,0)&lt;='TCO TO BE- SW'!$D85,SUM('TCO TO BE- SW'!M$6:M$15)*VLOOKUP('TCO TO BE- SW'!M$2,MODULY_CBA!$B$3:$M$23,12,0),0),0)</f>
        <v>0</v>
      </c>
      <c r="N85" s="586">
        <f>IFERROR(IF(VLOOKUP(N$2,MODULY_CBA!$B$3:$N$23,13,0)&lt;='TCO TO BE- SW'!$D85,SUM('TCO TO BE- SW'!N$6:N$15)*VLOOKUP('TCO TO BE- SW'!N$2,MODULY_CBA!$B$3:$M$23,12,0),0),0)</f>
        <v>0</v>
      </c>
      <c r="O85" s="586">
        <f>IFERROR(IF(VLOOKUP(O$2,MODULY_CBA!$B$3:$N$23,13,0)&lt;='TCO TO BE- SW'!$D85,SUM('TCO TO BE- SW'!O$6:O$15)*VLOOKUP('TCO TO BE- SW'!O$2,MODULY_CBA!$B$3:$M$23,12,0),0),0)</f>
        <v>0</v>
      </c>
      <c r="P85" s="586">
        <f>IFERROR(IF(VLOOKUP(P$2,MODULY_CBA!$B$3:$N$23,13,0)&lt;='TCO TO BE- SW'!$D85,SUM('TCO TO BE- SW'!P$6:P$15)*VLOOKUP('TCO TO BE- SW'!P$2,MODULY_CBA!$B$3:$M$23,12,0),0),0)</f>
        <v>0</v>
      </c>
      <c r="Q85" s="586">
        <f>IFERROR(IF(VLOOKUP(Q$2,MODULY_CBA!$B$3:$N$23,13,0)&lt;='TCO TO BE- SW'!$D85,SUM('TCO TO BE- SW'!Q$6:Q$15)*VLOOKUP('TCO TO BE- SW'!Q$2,MODULY_CBA!$B$3:$M$23,12,0),0),0)</f>
        <v>0</v>
      </c>
      <c r="R85" s="586">
        <f>IFERROR(IF(VLOOKUP(R$2,MODULY_CBA!$B$3:$N$23,13,0)&lt;='TCO TO BE- SW'!$D85,SUM('TCO TO BE- SW'!R$6:R$15)*VLOOKUP('TCO TO BE- SW'!R$2,MODULY_CBA!$B$3:$M$23,12,0),0),0)</f>
        <v>0</v>
      </c>
      <c r="S85" s="586">
        <f>IFERROR(IF(VLOOKUP(S$2,MODULY_CBA!$B$3:$N$23,13,0)&lt;='TCO TO BE- SW'!$D85,SUM('TCO TO BE- SW'!S$6:S$15)*VLOOKUP('TCO TO BE- SW'!S$2,MODULY_CBA!$B$3:$M$23,12,0),0),0)</f>
        <v>0</v>
      </c>
      <c r="T85" s="586">
        <f>IFERROR(IF(VLOOKUP(T$2,MODULY_CBA!$B$3:$N$23,13,0)&lt;='TCO TO BE- SW'!$D85,SUM('TCO TO BE- SW'!T$6:T$15)*VLOOKUP('TCO TO BE- SW'!T$2,MODULY_CBA!$B$3:$M$23,12,0),0),0)</f>
        <v>0</v>
      </c>
      <c r="U85" s="586">
        <f>IFERROR(IF(VLOOKUP(U$2,MODULY_CBA!$B$3:$N$23,13,0)&lt;='TCO TO BE- SW'!$D85,SUM('TCO TO BE- SW'!U$6:U$15)*VLOOKUP('TCO TO BE- SW'!U$2,MODULY_CBA!$B$3:$M$23,12,0),0),0)</f>
        <v>0</v>
      </c>
      <c r="V85" s="586">
        <f>IFERROR(IF(VLOOKUP(V$2,MODULY_CBA!$B$3:$N$23,13,0)&lt;='TCO TO BE- SW'!$D85,SUM('TCO TO BE- SW'!V$6:V$15)*VLOOKUP('TCO TO BE- SW'!V$2,MODULY_CBA!$B$3:$M$23,12,0),0),0)</f>
        <v>0</v>
      </c>
      <c r="W85" s="586">
        <f>IFERROR(IF(VLOOKUP(W$2,MODULY_CBA!$B$3:$N$23,13,0)&lt;='TCO TO BE- SW'!$D85,SUM('TCO TO BE- SW'!W$6:W$15)*VLOOKUP('TCO TO BE- SW'!W$2,MODULY_CBA!$B$3:$M$23,12,0),0),0)</f>
        <v>0</v>
      </c>
      <c r="X85" s="586">
        <f>IFERROR(IF(VLOOKUP(X$2,MODULY_CBA!$B$3:$N$23,13,0)&lt;='TCO TO BE- SW'!$D85,SUM('TCO TO BE- SW'!X$6:X$15)*VLOOKUP('TCO TO BE- SW'!X$2,MODULY_CBA!$B$3:$M$23,12,0),0),0)</f>
        <v>0</v>
      </c>
      <c r="Y85" s="586">
        <f>IFERROR(IF(VLOOKUP(Y$2,MODULY_CBA!$B$3:$N$23,13,0)&lt;='TCO TO BE- SW'!$D85,SUM('TCO TO BE- SW'!Y$6:Y$15)*VLOOKUP('TCO TO BE- SW'!Y$2,MODULY_CBA!$B$3:$M$23,12,0),0),0)</f>
        <v>0</v>
      </c>
      <c r="Z85" s="586">
        <f>IFERROR(IF(VLOOKUP(Z$2,MODULY_CBA!$B$3:$N$23,13,0)&lt;='TCO TO BE- SW'!$D85,SUM('TCO TO BE- SW'!Z$6:Z$15)*VLOOKUP('TCO TO BE- SW'!Z$2,MODULY_CBA!$B$3:$M$23,12,0),0),0)</f>
        <v>0</v>
      </c>
    </row>
    <row r="86" spans="1:26" outlineLevel="2">
      <c r="A86" s="841"/>
      <c r="B86" s="842"/>
      <c r="C86" s="842"/>
      <c r="D86" s="64">
        <v>8</v>
      </c>
      <c r="E86" s="61">
        <f t="shared" si="12"/>
        <v>0</v>
      </c>
      <c r="F86" s="586">
        <f>IFERROR(IF(VLOOKUP(F$2,MODULY_CBA!$B$3:$N$23,13,0)&lt;='TCO TO BE- SW'!$D86,SUM('TCO TO BE- SW'!F$6:F$15)*VLOOKUP('TCO TO BE- SW'!F$2,MODULY_CBA!$B$3:$M$23,12,0),0),0)</f>
        <v>0</v>
      </c>
      <c r="G86" s="586">
        <f>IFERROR(IF(VLOOKUP(G$2,MODULY_CBA!$B$3:$N$23,13,0)&lt;='TCO TO BE- SW'!$D86,SUM('TCO TO BE- SW'!G$6:G$15)*VLOOKUP('TCO TO BE- SW'!G$2,MODULY_CBA!$B$3:$M$23,12,0),0),0)</f>
        <v>0</v>
      </c>
      <c r="H86" s="586">
        <f>IFERROR(IF(VLOOKUP(H$2,MODULY_CBA!$B$3:$N$23,13,0)&lt;='TCO TO BE- SW'!$D86,SUM('TCO TO BE- SW'!H$6:H$15)*VLOOKUP('TCO TO BE- SW'!H$2,MODULY_CBA!$B$3:$M$23,12,0),0),0)</f>
        <v>0</v>
      </c>
      <c r="I86" s="586">
        <f>IFERROR(IF(VLOOKUP(I$2,MODULY_CBA!$B$3:$N$23,13,0)&lt;='TCO TO BE- SW'!$D86,SUM('TCO TO BE- SW'!I$6:I$15)*VLOOKUP('TCO TO BE- SW'!I$2,MODULY_CBA!$B$3:$M$23,12,0),0),0)</f>
        <v>0</v>
      </c>
      <c r="J86" s="586">
        <f>IFERROR(IF(VLOOKUP(J$2,MODULY_CBA!$B$3:$N$23,13,0)&lt;='TCO TO BE- SW'!$D86,SUM('TCO TO BE- SW'!J$6:J$15)*VLOOKUP('TCO TO BE- SW'!J$2,MODULY_CBA!$B$3:$M$23,12,0),0),0)</f>
        <v>0</v>
      </c>
      <c r="K86" s="586">
        <f>IFERROR(IF(VLOOKUP(K$2,MODULY_CBA!$B$3:$N$23,13,0)&lt;='TCO TO BE- SW'!$D86,SUM('TCO TO BE- SW'!K$6:K$15)*VLOOKUP('TCO TO BE- SW'!K$2,MODULY_CBA!$B$3:$M$23,12,0),0),0)</f>
        <v>0</v>
      </c>
      <c r="L86" s="586">
        <f>IFERROR(IF(VLOOKUP(L$2,MODULY_CBA!$B$3:$N$23,13,0)&lt;='TCO TO BE- SW'!$D86,SUM('TCO TO BE- SW'!L$6:L$15)*VLOOKUP('TCO TO BE- SW'!L$2,MODULY_CBA!$B$3:$M$23,12,0),0),0)</f>
        <v>0</v>
      </c>
      <c r="M86" s="586">
        <f>IFERROR(IF(VLOOKUP(M$2,MODULY_CBA!$B$3:$N$23,13,0)&lt;='TCO TO BE- SW'!$D86,SUM('TCO TO BE- SW'!M$6:M$15)*VLOOKUP('TCO TO BE- SW'!M$2,MODULY_CBA!$B$3:$M$23,12,0),0),0)</f>
        <v>0</v>
      </c>
      <c r="N86" s="586">
        <f>IFERROR(IF(VLOOKUP(N$2,MODULY_CBA!$B$3:$N$23,13,0)&lt;='TCO TO BE- SW'!$D86,SUM('TCO TO BE- SW'!N$6:N$15)*VLOOKUP('TCO TO BE- SW'!N$2,MODULY_CBA!$B$3:$M$23,12,0),0),0)</f>
        <v>0</v>
      </c>
      <c r="O86" s="586">
        <f>IFERROR(IF(VLOOKUP(O$2,MODULY_CBA!$B$3:$N$23,13,0)&lt;='TCO TO BE- SW'!$D86,SUM('TCO TO BE- SW'!O$6:O$15)*VLOOKUP('TCO TO BE- SW'!O$2,MODULY_CBA!$B$3:$M$23,12,0),0),0)</f>
        <v>0</v>
      </c>
      <c r="P86" s="586">
        <f>IFERROR(IF(VLOOKUP(P$2,MODULY_CBA!$B$3:$N$23,13,0)&lt;='TCO TO BE- SW'!$D86,SUM('TCO TO BE- SW'!P$6:P$15)*VLOOKUP('TCO TO BE- SW'!P$2,MODULY_CBA!$B$3:$M$23,12,0),0),0)</f>
        <v>0</v>
      </c>
      <c r="Q86" s="586">
        <f>IFERROR(IF(VLOOKUP(Q$2,MODULY_CBA!$B$3:$N$23,13,0)&lt;='TCO TO BE- SW'!$D86,SUM('TCO TO BE- SW'!Q$6:Q$15)*VLOOKUP('TCO TO BE- SW'!Q$2,MODULY_CBA!$B$3:$M$23,12,0),0),0)</f>
        <v>0</v>
      </c>
      <c r="R86" s="586">
        <f>IFERROR(IF(VLOOKUP(R$2,MODULY_CBA!$B$3:$N$23,13,0)&lt;='TCO TO BE- SW'!$D86,SUM('TCO TO BE- SW'!R$6:R$15)*VLOOKUP('TCO TO BE- SW'!R$2,MODULY_CBA!$B$3:$M$23,12,0),0),0)</f>
        <v>0</v>
      </c>
      <c r="S86" s="586">
        <f>IFERROR(IF(VLOOKUP(S$2,MODULY_CBA!$B$3:$N$23,13,0)&lt;='TCO TO BE- SW'!$D86,SUM('TCO TO BE- SW'!S$6:S$15)*VLOOKUP('TCO TO BE- SW'!S$2,MODULY_CBA!$B$3:$M$23,12,0),0),0)</f>
        <v>0</v>
      </c>
      <c r="T86" s="586">
        <f>IFERROR(IF(VLOOKUP(T$2,MODULY_CBA!$B$3:$N$23,13,0)&lt;='TCO TO BE- SW'!$D86,SUM('TCO TO BE- SW'!T$6:T$15)*VLOOKUP('TCO TO BE- SW'!T$2,MODULY_CBA!$B$3:$M$23,12,0),0),0)</f>
        <v>0</v>
      </c>
      <c r="U86" s="586">
        <f>IFERROR(IF(VLOOKUP(U$2,MODULY_CBA!$B$3:$N$23,13,0)&lt;='TCO TO BE- SW'!$D86,SUM('TCO TO BE- SW'!U$6:U$15)*VLOOKUP('TCO TO BE- SW'!U$2,MODULY_CBA!$B$3:$M$23,12,0),0),0)</f>
        <v>0</v>
      </c>
      <c r="V86" s="586">
        <f>IFERROR(IF(VLOOKUP(V$2,MODULY_CBA!$B$3:$N$23,13,0)&lt;='TCO TO BE- SW'!$D86,SUM('TCO TO BE- SW'!V$6:V$15)*VLOOKUP('TCO TO BE- SW'!V$2,MODULY_CBA!$B$3:$M$23,12,0),0),0)</f>
        <v>0</v>
      </c>
      <c r="W86" s="586">
        <f>IFERROR(IF(VLOOKUP(W$2,MODULY_CBA!$B$3:$N$23,13,0)&lt;='TCO TO BE- SW'!$D86,SUM('TCO TO BE- SW'!W$6:W$15)*VLOOKUP('TCO TO BE- SW'!W$2,MODULY_CBA!$B$3:$M$23,12,0),0),0)</f>
        <v>0</v>
      </c>
      <c r="X86" s="586">
        <f>IFERROR(IF(VLOOKUP(X$2,MODULY_CBA!$B$3:$N$23,13,0)&lt;='TCO TO BE- SW'!$D86,SUM('TCO TO BE- SW'!X$6:X$15)*VLOOKUP('TCO TO BE- SW'!X$2,MODULY_CBA!$B$3:$M$23,12,0),0),0)</f>
        <v>0</v>
      </c>
      <c r="Y86" s="586">
        <f>IFERROR(IF(VLOOKUP(Y$2,MODULY_CBA!$B$3:$N$23,13,0)&lt;='TCO TO BE- SW'!$D86,SUM('TCO TO BE- SW'!Y$6:Y$15)*VLOOKUP('TCO TO BE- SW'!Y$2,MODULY_CBA!$B$3:$M$23,12,0),0),0)</f>
        <v>0</v>
      </c>
      <c r="Z86" s="586">
        <f>IFERROR(IF(VLOOKUP(Z$2,MODULY_CBA!$B$3:$N$23,13,0)&lt;='TCO TO BE- SW'!$D86,SUM('TCO TO BE- SW'!Z$6:Z$15)*VLOOKUP('TCO TO BE- SW'!Z$2,MODULY_CBA!$B$3:$M$23,12,0),0),0)</f>
        <v>0</v>
      </c>
    </row>
    <row r="87" spans="1:26" outlineLevel="2">
      <c r="A87" s="841"/>
      <c r="B87" s="842"/>
      <c r="C87" s="842"/>
      <c r="D87" s="64">
        <v>9</v>
      </c>
      <c r="E87" s="61">
        <f t="shared" si="12"/>
        <v>0</v>
      </c>
      <c r="F87" s="586">
        <f>IFERROR(IF(VLOOKUP(F$2,MODULY_CBA!$B$3:$N$23,13,0)&lt;='TCO TO BE- SW'!$D87,SUM('TCO TO BE- SW'!F$6:F$15)*VLOOKUP('TCO TO BE- SW'!F$2,MODULY_CBA!$B$3:$M$23,12,0),0),0)</f>
        <v>0</v>
      </c>
      <c r="G87" s="586">
        <f>IFERROR(IF(VLOOKUP(G$2,MODULY_CBA!$B$3:$N$23,13,0)&lt;='TCO TO BE- SW'!$D87,SUM('TCO TO BE- SW'!G$6:G$15)*VLOOKUP('TCO TO BE- SW'!G$2,MODULY_CBA!$B$3:$M$23,12,0),0),0)</f>
        <v>0</v>
      </c>
      <c r="H87" s="586">
        <f>IFERROR(IF(VLOOKUP(H$2,MODULY_CBA!$B$3:$N$23,13,0)&lt;='TCO TO BE- SW'!$D87,SUM('TCO TO BE- SW'!H$6:H$15)*VLOOKUP('TCO TO BE- SW'!H$2,MODULY_CBA!$B$3:$M$23,12,0),0),0)</f>
        <v>0</v>
      </c>
      <c r="I87" s="586">
        <f>IFERROR(IF(VLOOKUP(I$2,MODULY_CBA!$B$3:$N$23,13,0)&lt;='TCO TO BE- SW'!$D87,SUM('TCO TO BE- SW'!I$6:I$15)*VLOOKUP('TCO TO BE- SW'!I$2,MODULY_CBA!$B$3:$M$23,12,0),0),0)</f>
        <v>0</v>
      </c>
      <c r="J87" s="586">
        <f>IFERROR(IF(VLOOKUP(J$2,MODULY_CBA!$B$3:$N$23,13,0)&lt;='TCO TO BE- SW'!$D87,SUM('TCO TO BE- SW'!J$6:J$15)*VLOOKUP('TCO TO BE- SW'!J$2,MODULY_CBA!$B$3:$M$23,12,0),0),0)</f>
        <v>0</v>
      </c>
      <c r="K87" s="586">
        <f>IFERROR(IF(VLOOKUP(K$2,MODULY_CBA!$B$3:$N$23,13,0)&lt;='TCO TO BE- SW'!$D87,SUM('TCO TO BE- SW'!K$6:K$15)*VLOOKUP('TCO TO BE- SW'!K$2,MODULY_CBA!$B$3:$M$23,12,0),0),0)</f>
        <v>0</v>
      </c>
      <c r="L87" s="586">
        <f>IFERROR(IF(VLOOKUP(L$2,MODULY_CBA!$B$3:$N$23,13,0)&lt;='TCO TO BE- SW'!$D87,SUM('TCO TO BE- SW'!L$6:L$15)*VLOOKUP('TCO TO BE- SW'!L$2,MODULY_CBA!$B$3:$M$23,12,0),0),0)</f>
        <v>0</v>
      </c>
      <c r="M87" s="586">
        <f>IFERROR(IF(VLOOKUP(M$2,MODULY_CBA!$B$3:$N$23,13,0)&lt;='TCO TO BE- SW'!$D87,SUM('TCO TO BE- SW'!M$6:M$15)*VLOOKUP('TCO TO BE- SW'!M$2,MODULY_CBA!$B$3:$M$23,12,0),0),0)</f>
        <v>0</v>
      </c>
      <c r="N87" s="586">
        <f>IFERROR(IF(VLOOKUP(N$2,MODULY_CBA!$B$3:$N$23,13,0)&lt;='TCO TO BE- SW'!$D87,SUM('TCO TO BE- SW'!N$6:N$15)*VLOOKUP('TCO TO BE- SW'!N$2,MODULY_CBA!$B$3:$M$23,12,0),0),0)</f>
        <v>0</v>
      </c>
      <c r="O87" s="586">
        <f>IFERROR(IF(VLOOKUP(O$2,MODULY_CBA!$B$3:$N$23,13,0)&lt;='TCO TO BE- SW'!$D87,SUM('TCO TO BE- SW'!O$6:O$15)*VLOOKUP('TCO TO BE- SW'!O$2,MODULY_CBA!$B$3:$M$23,12,0),0),0)</f>
        <v>0</v>
      </c>
      <c r="P87" s="586">
        <f>IFERROR(IF(VLOOKUP(P$2,MODULY_CBA!$B$3:$N$23,13,0)&lt;='TCO TO BE- SW'!$D87,SUM('TCO TO BE- SW'!P$6:P$15)*VLOOKUP('TCO TO BE- SW'!P$2,MODULY_CBA!$B$3:$M$23,12,0),0),0)</f>
        <v>0</v>
      </c>
      <c r="Q87" s="586">
        <f>IFERROR(IF(VLOOKUP(Q$2,MODULY_CBA!$B$3:$N$23,13,0)&lt;='TCO TO BE- SW'!$D87,SUM('TCO TO BE- SW'!Q$6:Q$15)*VLOOKUP('TCO TO BE- SW'!Q$2,MODULY_CBA!$B$3:$M$23,12,0),0),0)</f>
        <v>0</v>
      </c>
      <c r="R87" s="586">
        <f>IFERROR(IF(VLOOKUP(R$2,MODULY_CBA!$B$3:$N$23,13,0)&lt;='TCO TO BE- SW'!$D87,SUM('TCO TO BE- SW'!R$6:R$15)*VLOOKUP('TCO TO BE- SW'!R$2,MODULY_CBA!$B$3:$M$23,12,0),0),0)</f>
        <v>0</v>
      </c>
      <c r="S87" s="586">
        <f>IFERROR(IF(VLOOKUP(S$2,MODULY_CBA!$B$3:$N$23,13,0)&lt;='TCO TO BE- SW'!$D87,SUM('TCO TO BE- SW'!S$6:S$15)*VLOOKUP('TCO TO BE- SW'!S$2,MODULY_CBA!$B$3:$M$23,12,0),0),0)</f>
        <v>0</v>
      </c>
      <c r="T87" s="586">
        <f>IFERROR(IF(VLOOKUP(T$2,MODULY_CBA!$B$3:$N$23,13,0)&lt;='TCO TO BE- SW'!$D87,SUM('TCO TO BE- SW'!T$6:T$15)*VLOOKUP('TCO TO BE- SW'!T$2,MODULY_CBA!$B$3:$M$23,12,0),0),0)</f>
        <v>0</v>
      </c>
      <c r="U87" s="586">
        <f>IFERROR(IF(VLOOKUP(U$2,MODULY_CBA!$B$3:$N$23,13,0)&lt;='TCO TO BE- SW'!$D87,SUM('TCO TO BE- SW'!U$6:U$15)*VLOOKUP('TCO TO BE- SW'!U$2,MODULY_CBA!$B$3:$M$23,12,0),0),0)</f>
        <v>0</v>
      </c>
      <c r="V87" s="586">
        <f>IFERROR(IF(VLOOKUP(V$2,MODULY_CBA!$B$3:$N$23,13,0)&lt;='TCO TO BE- SW'!$D87,SUM('TCO TO BE- SW'!V$6:V$15)*VLOOKUP('TCO TO BE- SW'!V$2,MODULY_CBA!$B$3:$M$23,12,0),0),0)</f>
        <v>0</v>
      </c>
      <c r="W87" s="586">
        <f>IFERROR(IF(VLOOKUP(W$2,MODULY_CBA!$B$3:$N$23,13,0)&lt;='TCO TO BE- SW'!$D87,SUM('TCO TO BE- SW'!W$6:W$15)*VLOOKUP('TCO TO BE- SW'!W$2,MODULY_CBA!$B$3:$M$23,12,0),0),0)</f>
        <v>0</v>
      </c>
      <c r="X87" s="586">
        <f>IFERROR(IF(VLOOKUP(X$2,MODULY_CBA!$B$3:$N$23,13,0)&lt;='TCO TO BE- SW'!$D87,SUM('TCO TO BE- SW'!X$6:X$15)*VLOOKUP('TCO TO BE- SW'!X$2,MODULY_CBA!$B$3:$M$23,12,0),0),0)</f>
        <v>0</v>
      </c>
      <c r="Y87" s="586">
        <f>IFERROR(IF(VLOOKUP(Y$2,MODULY_CBA!$B$3:$N$23,13,0)&lt;='TCO TO BE- SW'!$D87,SUM('TCO TO BE- SW'!Y$6:Y$15)*VLOOKUP('TCO TO BE- SW'!Y$2,MODULY_CBA!$B$3:$M$23,12,0),0),0)</f>
        <v>0</v>
      </c>
      <c r="Z87" s="586">
        <f>IFERROR(IF(VLOOKUP(Z$2,MODULY_CBA!$B$3:$N$23,13,0)&lt;='TCO TO BE- SW'!$D87,SUM('TCO TO BE- SW'!Z$6:Z$15)*VLOOKUP('TCO TO BE- SW'!Z$2,MODULY_CBA!$B$3:$M$23,12,0),0),0)</f>
        <v>0</v>
      </c>
    </row>
    <row r="88" spans="1:26" ht="15" outlineLevel="2" thickBot="1">
      <c r="A88" s="841"/>
      <c r="B88" s="842"/>
      <c r="C88" s="842"/>
      <c r="D88" s="65">
        <v>10</v>
      </c>
      <c r="E88" s="62">
        <f t="shared" si="12"/>
        <v>0</v>
      </c>
      <c r="F88" s="586">
        <f>IFERROR(IF(VLOOKUP(F$2,MODULY_CBA!$B$3:$N$23,13,0)&lt;='TCO TO BE- SW'!$D88,SUM('TCO TO BE- SW'!F$6:F$15)*VLOOKUP('TCO TO BE- SW'!F$2,MODULY_CBA!$B$3:$M$23,12,0),0),0)</f>
        <v>0</v>
      </c>
      <c r="G88" s="586">
        <f>IFERROR(IF(VLOOKUP(G$2,MODULY_CBA!$B$3:$N$23,13,0)&lt;='TCO TO BE- SW'!$D88,SUM('TCO TO BE- SW'!G$6:G$15)*VLOOKUP('TCO TO BE- SW'!G$2,MODULY_CBA!$B$3:$M$23,12,0),0),0)</f>
        <v>0</v>
      </c>
      <c r="H88" s="586">
        <f>IFERROR(IF(VLOOKUP(H$2,MODULY_CBA!$B$3:$N$23,13,0)&lt;='TCO TO BE- SW'!$D88,SUM('TCO TO BE- SW'!H$6:H$15)*VLOOKUP('TCO TO BE- SW'!H$2,MODULY_CBA!$B$3:$M$23,12,0),0),0)</f>
        <v>0</v>
      </c>
      <c r="I88" s="586">
        <f>IFERROR(IF(VLOOKUP(I$2,MODULY_CBA!$B$3:$N$23,13,0)&lt;='TCO TO BE- SW'!$D88,SUM('TCO TO BE- SW'!I$6:I$15)*VLOOKUP('TCO TO BE- SW'!I$2,MODULY_CBA!$B$3:$M$23,12,0),0),0)</f>
        <v>0</v>
      </c>
      <c r="J88" s="586">
        <f>IFERROR(IF(VLOOKUP(J$2,MODULY_CBA!$B$3:$N$23,13,0)&lt;='TCO TO BE- SW'!$D88,SUM('TCO TO BE- SW'!J$6:J$15)*VLOOKUP('TCO TO BE- SW'!J$2,MODULY_CBA!$B$3:$M$23,12,0),0),0)</f>
        <v>0</v>
      </c>
      <c r="K88" s="586">
        <f>IFERROR(IF(VLOOKUP(K$2,MODULY_CBA!$B$3:$N$23,13,0)&lt;='TCO TO BE- SW'!$D88,SUM('TCO TO BE- SW'!K$6:K$15)*VLOOKUP('TCO TO BE- SW'!K$2,MODULY_CBA!$B$3:$M$23,12,0),0),0)</f>
        <v>0</v>
      </c>
      <c r="L88" s="586">
        <f>IFERROR(IF(VLOOKUP(L$2,MODULY_CBA!$B$3:$N$23,13,0)&lt;='TCO TO BE- SW'!$D88,SUM('TCO TO BE- SW'!L$6:L$15)*VLOOKUP('TCO TO BE- SW'!L$2,MODULY_CBA!$B$3:$M$23,12,0),0),0)</f>
        <v>0</v>
      </c>
      <c r="M88" s="586">
        <f>IFERROR(IF(VLOOKUP(M$2,MODULY_CBA!$B$3:$N$23,13,0)&lt;='TCO TO BE- SW'!$D88,SUM('TCO TO BE- SW'!M$6:M$15)*VLOOKUP('TCO TO BE- SW'!M$2,MODULY_CBA!$B$3:$M$23,12,0),0),0)</f>
        <v>0</v>
      </c>
      <c r="N88" s="586">
        <f>IFERROR(IF(VLOOKUP(N$2,MODULY_CBA!$B$3:$N$23,13,0)&lt;='TCO TO BE- SW'!$D88,SUM('TCO TO BE- SW'!N$6:N$15)*VLOOKUP('TCO TO BE- SW'!N$2,MODULY_CBA!$B$3:$M$23,12,0),0),0)</f>
        <v>0</v>
      </c>
      <c r="O88" s="586">
        <f>IFERROR(IF(VLOOKUP(O$2,MODULY_CBA!$B$3:$N$23,13,0)&lt;='TCO TO BE- SW'!$D88,SUM('TCO TO BE- SW'!O$6:O$15)*VLOOKUP('TCO TO BE- SW'!O$2,MODULY_CBA!$B$3:$M$23,12,0),0),0)</f>
        <v>0</v>
      </c>
      <c r="P88" s="586">
        <f>IFERROR(IF(VLOOKUP(P$2,MODULY_CBA!$B$3:$N$23,13,0)&lt;='TCO TO BE- SW'!$D88,SUM('TCO TO BE- SW'!P$6:P$15)*VLOOKUP('TCO TO BE- SW'!P$2,MODULY_CBA!$B$3:$M$23,12,0),0),0)</f>
        <v>0</v>
      </c>
      <c r="Q88" s="586">
        <f>IFERROR(IF(VLOOKUP(Q$2,MODULY_CBA!$B$3:$N$23,13,0)&lt;='TCO TO BE- SW'!$D88,SUM('TCO TO BE- SW'!Q$6:Q$15)*VLOOKUP('TCO TO BE- SW'!Q$2,MODULY_CBA!$B$3:$M$23,12,0),0),0)</f>
        <v>0</v>
      </c>
      <c r="R88" s="586">
        <f>IFERROR(IF(VLOOKUP(R$2,MODULY_CBA!$B$3:$N$23,13,0)&lt;='TCO TO BE- SW'!$D88,SUM('TCO TO BE- SW'!R$6:R$15)*VLOOKUP('TCO TO BE- SW'!R$2,MODULY_CBA!$B$3:$M$23,12,0),0),0)</f>
        <v>0</v>
      </c>
      <c r="S88" s="586">
        <f>IFERROR(IF(VLOOKUP(S$2,MODULY_CBA!$B$3:$N$23,13,0)&lt;='TCO TO BE- SW'!$D88,SUM('TCO TO BE- SW'!S$6:S$15)*VLOOKUP('TCO TO BE- SW'!S$2,MODULY_CBA!$B$3:$M$23,12,0),0),0)</f>
        <v>0</v>
      </c>
      <c r="T88" s="586">
        <f>IFERROR(IF(VLOOKUP(T$2,MODULY_CBA!$B$3:$N$23,13,0)&lt;='TCO TO BE- SW'!$D88,SUM('TCO TO BE- SW'!T$6:T$15)*VLOOKUP('TCO TO BE- SW'!T$2,MODULY_CBA!$B$3:$M$23,12,0),0),0)</f>
        <v>0</v>
      </c>
      <c r="U88" s="586">
        <f>IFERROR(IF(VLOOKUP(U$2,MODULY_CBA!$B$3:$N$23,13,0)&lt;='TCO TO BE- SW'!$D88,SUM('TCO TO BE- SW'!U$6:U$15)*VLOOKUP('TCO TO BE- SW'!U$2,MODULY_CBA!$B$3:$M$23,12,0),0),0)</f>
        <v>0</v>
      </c>
      <c r="V88" s="586">
        <f>IFERROR(IF(VLOOKUP(V$2,MODULY_CBA!$B$3:$N$23,13,0)&lt;='TCO TO BE- SW'!$D88,SUM('TCO TO BE- SW'!V$6:V$15)*VLOOKUP('TCO TO BE- SW'!V$2,MODULY_CBA!$B$3:$M$23,12,0),0),0)</f>
        <v>0</v>
      </c>
      <c r="W88" s="586">
        <f>IFERROR(IF(VLOOKUP(W$2,MODULY_CBA!$B$3:$N$23,13,0)&lt;='TCO TO BE- SW'!$D88,SUM('TCO TO BE- SW'!W$6:W$15)*VLOOKUP('TCO TO BE- SW'!W$2,MODULY_CBA!$B$3:$M$23,12,0),0),0)</f>
        <v>0</v>
      </c>
      <c r="X88" s="586">
        <f>IFERROR(IF(VLOOKUP(X$2,MODULY_CBA!$B$3:$N$23,13,0)&lt;='TCO TO BE- SW'!$D88,SUM('TCO TO BE- SW'!X$6:X$15)*VLOOKUP('TCO TO BE- SW'!X$2,MODULY_CBA!$B$3:$M$23,12,0),0),0)</f>
        <v>0</v>
      </c>
      <c r="Y88" s="586">
        <f>IFERROR(IF(VLOOKUP(Y$2,MODULY_CBA!$B$3:$N$23,13,0)&lt;='TCO TO BE- SW'!$D88,SUM('TCO TO BE- SW'!Y$6:Y$15)*VLOOKUP('TCO TO BE- SW'!Y$2,MODULY_CBA!$B$3:$M$23,12,0),0),0)</f>
        <v>0</v>
      </c>
      <c r="Z88" s="586">
        <f>IFERROR(IF(VLOOKUP(Z$2,MODULY_CBA!$B$3:$N$23,13,0)&lt;='TCO TO BE- SW'!$D88,SUM('TCO TO BE- SW'!Z$6:Z$15)*VLOOKUP('TCO TO BE- SW'!Z$2,MODULY_CBA!$B$3:$M$23,12,0),0),0)</f>
        <v>0</v>
      </c>
    </row>
    <row r="89" spans="1:26" outlineLevel="2">
      <c r="A89" s="841" t="s">
        <v>2113</v>
      </c>
      <c r="B89" s="842" t="s">
        <v>2031</v>
      </c>
      <c r="C89" s="842">
        <v>718006</v>
      </c>
      <c r="D89" s="63">
        <v>1</v>
      </c>
      <c r="E89" s="61">
        <f t="shared" si="12"/>
        <v>0</v>
      </c>
      <c r="F89" s="587">
        <f>IFERROR(IF(VLOOKUP(F$2,MODULY_CBA!$B$3:$N$23,13,0)&lt;='TCO TO BE- SW'!$D89,SUM('TCO TO BE- SW'!F$6:F$15)*VLOOKUP('TCO TO BE- SW'!F$2,MODULY_CBA!$B$3:$L$23,11,0),0),0)</f>
        <v>0</v>
      </c>
      <c r="G89" s="587">
        <f>IFERROR(IF(VLOOKUP(G$2,MODULY_CBA!$B$3:$N$23,13,0)&lt;='TCO TO BE- SW'!$D89,SUM('TCO TO BE- SW'!G$6:G$15)*VLOOKUP('TCO TO BE- SW'!G$2,MODULY_CBA!$B$3:$L$23,11,0),0),0)</f>
        <v>0</v>
      </c>
      <c r="H89" s="587">
        <f>IFERROR(IF(VLOOKUP(H$2,MODULY_CBA!$B$3:$N$23,13,0)&lt;='TCO TO BE- SW'!$D89,SUM('TCO TO BE- SW'!H$6:H$15)*VLOOKUP('TCO TO BE- SW'!H$2,MODULY_CBA!$B$3:$L$23,11,0),0),0)</f>
        <v>0</v>
      </c>
      <c r="I89" s="587">
        <f>IFERROR(IF(VLOOKUP(I$2,MODULY_CBA!$B$3:$N$23,13,0)&lt;='TCO TO BE- SW'!$D89,SUM('TCO TO BE- SW'!I$6:I$15)*VLOOKUP('TCO TO BE- SW'!I$2,MODULY_CBA!$B$3:$L$23,11,0),0),0)</f>
        <v>0</v>
      </c>
      <c r="J89" s="587">
        <f>IFERROR(IF(VLOOKUP(J$2,MODULY_CBA!$B$3:$N$23,13,0)&lt;='TCO TO BE- SW'!$D89,SUM('TCO TO BE- SW'!J$6:J$15)*VLOOKUP('TCO TO BE- SW'!J$2,MODULY_CBA!$B$3:$L$23,11,0),0),0)</f>
        <v>0</v>
      </c>
      <c r="K89" s="587">
        <f>IFERROR(IF(VLOOKUP(K$2,MODULY_CBA!$B$3:$N$23,13,0)&lt;='TCO TO BE- SW'!$D89,SUM('TCO TO BE- SW'!K$6:K$15)*VLOOKUP('TCO TO BE- SW'!K$2,MODULY_CBA!$B$3:$L$23,11,0),0),0)</f>
        <v>0</v>
      </c>
      <c r="L89" s="587">
        <f>IFERROR(IF(VLOOKUP(L$2,MODULY_CBA!$B$3:$N$23,13,0)&lt;='TCO TO BE- SW'!$D89,SUM('TCO TO BE- SW'!L$6:L$15)*VLOOKUP('TCO TO BE- SW'!L$2,MODULY_CBA!$B$3:$L$23,11,0),0),0)</f>
        <v>0</v>
      </c>
      <c r="M89" s="587">
        <f>IFERROR(IF(VLOOKUP(M$2,MODULY_CBA!$B$3:$N$23,13,0)&lt;='TCO TO BE- SW'!$D89,SUM('TCO TO BE- SW'!M$6:M$15)*VLOOKUP('TCO TO BE- SW'!M$2,MODULY_CBA!$B$3:$L$23,11,0),0),0)</f>
        <v>0</v>
      </c>
      <c r="N89" s="587">
        <f>IFERROR(IF(VLOOKUP(N$2,MODULY_CBA!$B$3:$N$23,13,0)&lt;='TCO TO BE- SW'!$D89,SUM('TCO TO BE- SW'!N$6:N$15)*VLOOKUP('TCO TO BE- SW'!N$2,MODULY_CBA!$B$3:$L$23,11,0),0),0)</f>
        <v>0</v>
      </c>
      <c r="O89" s="587">
        <f>IFERROR(IF(VLOOKUP(O$2,MODULY_CBA!$B$3:$N$23,13,0)&lt;='TCO TO BE- SW'!$D89,SUM('TCO TO BE- SW'!O$6:O$15)*VLOOKUP('TCO TO BE- SW'!O$2,MODULY_CBA!$B$3:$L$23,11,0),0),0)</f>
        <v>0</v>
      </c>
      <c r="P89" s="587">
        <f>IFERROR(IF(VLOOKUP(P$2,MODULY_CBA!$B$3:$N$23,13,0)&lt;='TCO TO BE- SW'!$D89,SUM('TCO TO BE- SW'!P$6:P$15)*VLOOKUP('TCO TO BE- SW'!P$2,MODULY_CBA!$B$3:$L$23,11,0),0),0)</f>
        <v>0</v>
      </c>
      <c r="Q89" s="587">
        <f>IFERROR(IF(VLOOKUP(Q$2,MODULY_CBA!$B$3:$N$23,13,0)&lt;='TCO TO BE- SW'!$D89,SUM('TCO TO BE- SW'!Q$6:Q$15)*VLOOKUP('TCO TO BE- SW'!Q$2,MODULY_CBA!$B$3:$L$23,11,0),0),0)</f>
        <v>0</v>
      </c>
      <c r="R89" s="587">
        <f>IFERROR(IF(VLOOKUP(R$2,MODULY_CBA!$B$3:$N$23,13,0)&lt;='TCO TO BE- SW'!$D89,SUM('TCO TO BE- SW'!R$6:R$15)*VLOOKUP('TCO TO BE- SW'!R$2,MODULY_CBA!$B$3:$L$23,11,0),0),0)</f>
        <v>0</v>
      </c>
      <c r="S89" s="587">
        <f>IFERROR(IF(VLOOKUP(S$2,MODULY_CBA!$B$3:$N$23,13,0)&lt;='TCO TO BE- SW'!$D89,SUM('TCO TO BE- SW'!S$6:S$15)*VLOOKUP('TCO TO BE- SW'!S$2,MODULY_CBA!$B$3:$L$23,11,0),0),0)</f>
        <v>0</v>
      </c>
      <c r="T89" s="587">
        <f>IFERROR(IF(VLOOKUP(T$2,MODULY_CBA!$B$3:$N$23,13,0)&lt;='TCO TO BE- SW'!$D89,SUM('TCO TO BE- SW'!T$6:T$15)*VLOOKUP('TCO TO BE- SW'!T$2,MODULY_CBA!$B$3:$L$23,11,0),0),0)</f>
        <v>0</v>
      </c>
      <c r="U89" s="587">
        <f>IFERROR(IF(VLOOKUP(U$2,MODULY_CBA!$B$3:$N$23,13,0)&lt;='TCO TO BE- SW'!$D89,SUM('TCO TO BE- SW'!U$6:U$15)*VLOOKUP('TCO TO BE- SW'!U$2,MODULY_CBA!$B$3:$L$23,11,0),0),0)</f>
        <v>0</v>
      </c>
      <c r="V89" s="587">
        <f>IFERROR(IF(VLOOKUP(V$2,MODULY_CBA!$B$3:$N$23,13,0)&lt;='TCO TO BE- SW'!$D89,SUM('TCO TO BE- SW'!V$6:V$15)*VLOOKUP('TCO TO BE- SW'!V$2,MODULY_CBA!$B$3:$L$23,11,0),0),0)</f>
        <v>0</v>
      </c>
      <c r="W89" s="587">
        <f>IFERROR(IF(VLOOKUP(W$2,MODULY_CBA!$B$3:$N$23,13,0)&lt;='TCO TO BE- SW'!$D89,SUM('TCO TO BE- SW'!W$6:W$15)*VLOOKUP('TCO TO BE- SW'!W$2,MODULY_CBA!$B$3:$L$23,11,0),0),0)</f>
        <v>0</v>
      </c>
      <c r="X89" s="587">
        <f>IFERROR(IF(VLOOKUP(X$2,MODULY_CBA!$B$3:$N$23,13,0)&lt;='TCO TO BE- SW'!$D89,SUM('TCO TO BE- SW'!X$6:X$15)*VLOOKUP('TCO TO BE- SW'!X$2,MODULY_CBA!$B$3:$L$23,11,0),0),0)</f>
        <v>0</v>
      </c>
      <c r="Y89" s="587">
        <f>IFERROR(IF(VLOOKUP(Y$2,MODULY_CBA!$B$3:$N$23,13,0)&lt;='TCO TO BE- SW'!$D89,SUM('TCO TO BE- SW'!Y$6:Y$15)*VLOOKUP('TCO TO BE- SW'!Y$2,MODULY_CBA!$B$3:$L$23,11,0),0),0)</f>
        <v>0</v>
      </c>
      <c r="Z89" s="587">
        <f>IFERROR(IF(VLOOKUP(Z$2,MODULY_CBA!$B$3:$N$23,13,0)&lt;='TCO TO BE- SW'!$D89,SUM('TCO TO BE- SW'!Z$6:Z$15)*VLOOKUP('TCO TO BE- SW'!Z$2,MODULY_CBA!$B$3:$L$23,11,0),0),0)</f>
        <v>0</v>
      </c>
    </row>
    <row r="90" spans="1:26" outlineLevel="2">
      <c r="A90" s="841"/>
      <c r="B90" s="842"/>
      <c r="C90" s="842"/>
      <c r="D90" s="64">
        <v>2</v>
      </c>
      <c r="E90" s="61">
        <f t="shared" si="12"/>
        <v>0</v>
      </c>
      <c r="F90" s="586">
        <f>IFERROR(IF(VLOOKUP(F$2,MODULY_CBA!$B$3:$N$23,13,0)&lt;='TCO TO BE- SW'!$D90,SUM('TCO TO BE- SW'!F$6:F$15)*VLOOKUP('TCO TO BE- SW'!F$2,MODULY_CBA!$B$3:$L$23,11,0),0),0)</f>
        <v>0</v>
      </c>
      <c r="G90" s="586">
        <f>IFERROR(IF(VLOOKUP(G$2,MODULY_CBA!$B$3:$N$23,13,0)&lt;='TCO TO BE- SW'!$D90,SUM('TCO TO BE- SW'!G$6:G$15)*VLOOKUP('TCO TO BE- SW'!G$2,MODULY_CBA!$B$3:$L$23,11,0),0),0)</f>
        <v>0</v>
      </c>
      <c r="H90" s="586">
        <f>IFERROR(IF(VLOOKUP(H$2,MODULY_CBA!$B$3:$N$23,13,0)&lt;='TCO TO BE- SW'!$D90,SUM('TCO TO BE- SW'!H$6:H$15)*VLOOKUP('TCO TO BE- SW'!H$2,MODULY_CBA!$B$3:$L$23,11,0),0),0)</f>
        <v>0</v>
      </c>
      <c r="I90" s="586">
        <f>IFERROR(IF(VLOOKUP(I$2,MODULY_CBA!$B$3:$N$23,13,0)&lt;='TCO TO BE- SW'!$D90,SUM('TCO TO BE- SW'!I$6:I$15)*VLOOKUP('TCO TO BE- SW'!I$2,MODULY_CBA!$B$3:$L$23,11,0),0),0)</f>
        <v>0</v>
      </c>
      <c r="J90" s="586">
        <f>IFERROR(IF(VLOOKUP(J$2,MODULY_CBA!$B$3:$N$23,13,0)&lt;='TCO TO BE- SW'!$D90,SUM('TCO TO BE- SW'!J$6:J$15)*VLOOKUP('TCO TO BE- SW'!J$2,MODULY_CBA!$B$3:$L$23,11,0),0),0)</f>
        <v>0</v>
      </c>
      <c r="K90" s="586">
        <f>IFERROR(IF(VLOOKUP(K$2,MODULY_CBA!$B$3:$N$23,13,0)&lt;='TCO TO BE- SW'!$D90,SUM('TCO TO BE- SW'!K$6:K$15)*VLOOKUP('TCO TO BE- SW'!K$2,MODULY_CBA!$B$3:$L$23,11,0),0),0)</f>
        <v>0</v>
      </c>
      <c r="L90" s="586">
        <f>IFERROR(IF(VLOOKUP(L$2,MODULY_CBA!$B$3:$N$23,13,0)&lt;='TCO TO BE- SW'!$D90,SUM('TCO TO BE- SW'!L$6:L$15)*VLOOKUP('TCO TO BE- SW'!L$2,MODULY_CBA!$B$3:$L$23,11,0),0),0)</f>
        <v>0</v>
      </c>
      <c r="M90" s="586">
        <f>IFERROR(IF(VLOOKUP(M$2,MODULY_CBA!$B$3:$N$23,13,0)&lt;='TCO TO BE- SW'!$D90,SUM('TCO TO BE- SW'!M$6:M$15)*VLOOKUP('TCO TO BE- SW'!M$2,MODULY_CBA!$B$3:$L$23,11,0),0),0)</f>
        <v>0</v>
      </c>
      <c r="N90" s="586">
        <f>IFERROR(IF(VLOOKUP(N$2,MODULY_CBA!$B$3:$N$23,13,0)&lt;='TCO TO BE- SW'!$D90,SUM('TCO TO BE- SW'!N$6:N$15)*VLOOKUP('TCO TO BE- SW'!N$2,MODULY_CBA!$B$3:$L$23,11,0),0),0)</f>
        <v>0</v>
      </c>
      <c r="O90" s="586">
        <f>IFERROR(IF(VLOOKUP(O$2,MODULY_CBA!$B$3:$N$23,13,0)&lt;='TCO TO BE- SW'!$D90,SUM('TCO TO BE- SW'!O$6:O$15)*VLOOKUP('TCO TO BE- SW'!O$2,MODULY_CBA!$B$3:$L$23,11,0),0),0)</f>
        <v>0</v>
      </c>
      <c r="P90" s="586">
        <f>IFERROR(IF(VLOOKUP(P$2,MODULY_CBA!$B$3:$N$23,13,0)&lt;='TCO TO BE- SW'!$D90,SUM('TCO TO BE- SW'!P$6:P$15)*VLOOKUP('TCO TO BE- SW'!P$2,MODULY_CBA!$B$3:$L$23,11,0),0),0)</f>
        <v>0</v>
      </c>
      <c r="Q90" s="586">
        <f>IFERROR(IF(VLOOKUP(Q$2,MODULY_CBA!$B$3:$N$23,13,0)&lt;='TCO TO BE- SW'!$D90,SUM('TCO TO BE- SW'!Q$6:Q$15)*VLOOKUP('TCO TO BE- SW'!Q$2,MODULY_CBA!$B$3:$L$23,11,0),0),0)</f>
        <v>0</v>
      </c>
      <c r="R90" s="586">
        <f>IFERROR(IF(VLOOKUP(R$2,MODULY_CBA!$B$3:$N$23,13,0)&lt;='TCO TO BE- SW'!$D90,SUM('TCO TO BE- SW'!R$6:R$15)*VLOOKUP('TCO TO BE- SW'!R$2,MODULY_CBA!$B$3:$L$23,11,0),0),0)</f>
        <v>0</v>
      </c>
      <c r="S90" s="586">
        <f>IFERROR(IF(VLOOKUP(S$2,MODULY_CBA!$B$3:$N$23,13,0)&lt;='TCO TO BE- SW'!$D90,SUM('TCO TO BE- SW'!S$6:S$15)*VLOOKUP('TCO TO BE- SW'!S$2,MODULY_CBA!$B$3:$L$23,11,0),0),0)</f>
        <v>0</v>
      </c>
      <c r="T90" s="586">
        <f>IFERROR(IF(VLOOKUP(T$2,MODULY_CBA!$B$3:$N$23,13,0)&lt;='TCO TO BE- SW'!$D90,SUM('TCO TO BE- SW'!T$6:T$15)*VLOOKUP('TCO TO BE- SW'!T$2,MODULY_CBA!$B$3:$L$23,11,0),0),0)</f>
        <v>0</v>
      </c>
      <c r="U90" s="586">
        <f>IFERROR(IF(VLOOKUP(U$2,MODULY_CBA!$B$3:$N$23,13,0)&lt;='TCO TO BE- SW'!$D90,SUM('TCO TO BE- SW'!U$6:U$15)*VLOOKUP('TCO TO BE- SW'!U$2,MODULY_CBA!$B$3:$L$23,11,0),0),0)</f>
        <v>0</v>
      </c>
      <c r="V90" s="586">
        <f>IFERROR(IF(VLOOKUP(V$2,MODULY_CBA!$B$3:$N$23,13,0)&lt;='TCO TO BE- SW'!$D90,SUM('TCO TO BE- SW'!V$6:V$15)*VLOOKUP('TCO TO BE- SW'!V$2,MODULY_CBA!$B$3:$L$23,11,0),0),0)</f>
        <v>0</v>
      </c>
      <c r="W90" s="586">
        <f>IFERROR(IF(VLOOKUP(W$2,MODULY_CBA!$B$3:$N$23,13,0)&lt;='TCO TO BE- SW'!$D90,SUM('TCO TO BE- SW'!W$6:W$15)*VLOOKUP('TCO TO BE- SW'!W$2,MODULY_CBA!$B$3:$L$23,11,0),0),0)</f>
        <v>0</v>
      </c>
      <c r="X90" s="586">
        <f>IFERROR(IF(VLOOKUP(X$2,MODULY_CBA!$B$3:$N$23,13,0)&lt;='TCO TO BE- SW'!$D90,SUM('TCO TO BE- SW'!X$6:X$15)*VLOOKUP('TCO TO BE- SW'!X$2,MODULY_CBA!$B$3:$L$23,11,0),0),0)</f>
        <v>0</v>
      </c>
      <c r="Y90" s="586">
        <f>IFERROR(IF(VLOOKUP(Y$2,MODULY_CBA!$B$3:$N$23,13,0)&lt;='TCO TO BE- SW'!$D90,SUM('TCO TO BE- SW'!Y$6:Y$15)*VLOOKUP('TCO TO BE- SW'!Y$2,MODULY_CBA!$B$3:$L$23,11,0),0),0)</f>
        <v>0</v>
      </c>
      <c r="Z90" s="586">
        <f>IFERROR(IF(VLOOKUP(Z$2,MODULY_CBA!$B$3:$N$23,13,0)&lt;='TCO TO BE- SW'!$D90,SUM('TCO TO BE- SW'!Z$6:Z$15)*VLOOKUP('TCO TO BE- SW'!Z$2,MODULY_CBA!$B$3:$L$23,11,0),0),0)</f>
        <v>0</v>
      </c>
    </row>
    <row r="91" spans="1:26" outlineLevel="2">
      <c r="A91" s="841"/>
      <c r="B91" s="842"/>
      <c r="C91" s="842"/>
      <c r="D91" s="64">
        <v>3</v>
      </c>
      <c r="E91" s="61">
        <f t="shared" si="12"/>
        <v>0</v>
      </c>
      <c r="F91" s="586">
        <f>IFERROR(IF(VLOOKUP(F$2,MODULY_CBA!$B$3:$N$23,13,0)&lt;='TCO TO BE- SW'!$D91,SUM('TCO TO BE- SW'!F$6:F$15)*VLOOKUP('TCO TO BE- SW'!F$2,MODULY_CBA!$B$3:$L$23,11,0),0),0)</f>
        <v>0</v>
      </c>
      <c r="G91" s="586">
        <f>IFERROR(IF(VLOOKUP(G$2,MODULY_CBA!$B$3:$N$23,13,0)&lt;='TCO TO BE- SW'!$D91,SUM('TCO TO BE- SW'!G$6:G$15)*VLOOKUP('TCO TO BE- SW'!G$2,MODULY_CBA!$B$3:$L$23,11,0),0),0)</f>
        <v>0</v>
      </c>
      <c r="H91" s="586">
        <f>IFERROR(IF(VLOOKUP(H$2,MODULY_CBA!$B$3:$N$23,13,0)&lt;='TCO TO BE- SW'!$D91,SUM('TCO TO BE- SW'!H$6:H$15)*VLOOKUP('TCO TO BE- SW'!H$2,MODULY_CBA!$B$3:$L$23,11,0),0),0)</f>
        <v>0</v>
      </c>
      <c r="I91" s="586">
        <f>IFERROR(IF(VLOOKUP(I$2,MODULY_CBA!$B$3:$N$23,13,0)&lt;='TCO TO BE- SW'!$D91,SUM('TCO TO BE- SW'!I$6:I$15)*VLOOKUP('TCO TO BE- SW'!I$2,MODULY_CBA!$B$3:$L$23,11,0),0),0)</f>
        <v>0</v>
      </c>
      <c r="J91" s="586">
        <f>IFERROR(IF(VLOOKUP(J$2,MODULY_CBA!$B$3:$N$23,13,0)&lt;='TCO TO BE- SW'!$D91,SUM('TCO TO BE- SW'!J$6:J$15)*VLOOKUP('TCO TO BE- SW'!J$2,MODULY_CBA!$B$3:$L$23,11,0),0),0)</f>
        <v>0</v>
      </c>
      <c r="K91" s="586">
        <f>IFERROR(IF(VLOOKUP(K$2,MODULY_CBA!$B$3:$N$23,13,0)&lt;='TCO TO BE- SW'!$D91,SUM('TCO TO BE- SW'!K$6:K$15)*VLOOKUP('TCO TO BE- SW'!K$2,MODULY_CBA!$B$3:$L$23,11,0),0),0)</f>
        <v>0</v>
      </c>
      <c r="L91" s="586">
        <f>IFERROR(IF(VLOOKUP(L$2,MODULY_CBA!$B$3:$N$23,13,0)&lt;='TCO TO BE- SW'!$D91,SUM('TCO TO BE- SW'!L$6:L$15)*VLOOKUP('TCO TO BE- SW'!L$2,MODULY_CBA!$B$3:$L$23,11,0),0),0)</f>
        <v>0</v>
      </c>
      <c r="M91" s="586">
        <f>IFERROR(IF(VLOOKUP(M$2,MODULY_CBA!$B$3:$N$23,13,0)&lt;='TCO TO BE- SW'!$D91,SUM('TCO TO BE- SW'!M$6:M$15)*VLOOKUP('TCO TO BE- SW'!M$2,MODULY_CBA!$B$3:$L$23,11,0),0),0)</f>
        <v>0</v>
      </c>
      <c r="N91" s="586">
        <f>IFERROR(IF(VLOOKUP(N$2,MODULY_CBA!$B$3:$N$23,13,0)&lt;='TCO TO BE- SW'!$D91,SUM('TCO TO BE- SW'!N$6:N$15)*VLOOKUP('TCO TO BE- SW'!N$2,MODULY_CBA!$B$3:$L$23,11,0),0),0)</f>
        <v>0</v>
      </c>
      <c r="O91" s="586">
        <f>IFERROR(IF(VLOOKUP(O$2,MODULY_CBA!$B$3:$N$23,13,0)&lt;='TCO TO BE- SW'!$D91,SUM('TCO TO BE- SW'!O$6:O$15)*VLOOKUP('TCO TO BE- SW'!O$2,MODULY_CBA!$B$3:$L$23,11,0),0),0)</f>
        <v>0</v>
      </c>
      <c r="P91" s="586">
        <f>IFERROR(IF(VLOOKUP(P$2,MODULY_CBA!$B$3:$N$23,13,0)&lt;='TCO TO BE- SW'!$D91,SUM('TCO TO BE- SW'!P$6:P$15)*VLOOKUP('TCO TO BE- SW'!P$2,MODULY_CBA!$B$3:$L$23,11,0),0),0)</f>
        <v>0</v>
      </c>
      <c r="Q91" s="586">
        <f>IFERROR(IF(VLOOKUP(Q$2,MODULY_CBA!$B$3:$N$23,13,0)&lt;='TCO TO BE- SW'!$D91,SUM('TCO TO BE- SW'!Q$6:Q$15)*VLOOKUP('TCO TO BE- SW'!Q$2,MODULY_CBA!$B$3:$L$23,11,0),0),0)</f>
        <v>0</v>
      </c>
      <c r="R91" s="586">
        <f>IFERROR(IF(VLOOKUP(R$2,MODULY_CBA!$B$3:$N$23,13,0)&lt;='TCO TO BE- SW'!$D91,SUM('TCO TO BE- SW'!R$6:R$15)*VLOOKUP('TCO TO BE- SW'!R$2,MODULY_CBA!$B$3:$L$23,11,0),0),0)</f>
        <v>0</v>
      </c>
      <c r="S91" s="586">
        <f>IFERROR(IF(VLOOKUP(S$2,MODULY_CBA!$B$3:$N$23,13,0)&lt;='TCO TO BE- SW'!$D91,SUM('TCO TO BE- SW'!S$6:S$15)*VLOOKUP('TCO TO BE- SW'!S$2,MODULY_CBA!$B$3:$L$23,11,0),0),0)</f>
        <v>0</v>
      </c>
      <c r="T91" s="586">
        <f>IFERROR(IF(VLOOKUP(T$2,MODULY_CBA!$B$3:$N$23,13,0)&lt;='TCO TO BE- SW'!$D91,SUM('TCO TO BE- SW'!T$6:T$15)*VLOOKUP('TCO TO BE- SW'!T$2,MODULY_CBA!$B$3:$L$23,11,0),0),0)</f>
        <v>0</v>
      </c>
      <c r="U91" s="586">
        <f>IFERROR(IF(VLOOKUP(U$2,MODULY_CBA!$B$3:$N$23,13,0)&lt;='TCO TO BE- SW'!$D91,SUM('TCO TO BE- SW'!U$6:U$15)*VLOOKUP('TCO TO BE- SW'!U$2,MODULY_CBA!$B$3:$L$23,11,0),0),0)</f>
        <v>0</v>
      </c>
      <c r="V91" s="586">
        <f>IFERROR(IF(VLOOKUP(V$2,MODULY_CBA!$B$3:$N$23,13,0)&lt;='TCO TO BE- SW'!$D91,SUM('TCO TO BE- SW'!V$6:V$15)*VLOOKUP('TCO TO BE- SW'!V$2,MODULY_CBA!$B$3:$L$23,11,0),0),0)</f>
        <v>0</v>
      </c>
      <c r="W91" s="586">
        <f>IFERROR(IF(VLOOKUP(W$2,MODULY_CBA!$B$3:$N$23,13,0)&lt;='TCO TO BE- SW'!$D91,SUM('TCO TO BE- SW'!W$6:W$15)*VLOOKUP('TCO TO BE- SW'!W$2,MODULY_CBA!$B$3:$L$23,11,0),0),0)</f>
        <v>0</v>
      </c>
      <c r="X91" s="586">
        <f>IFERROR(IF(VLOOKUP(X$2,MODULY_CBA!$B$3:$N$23,13,0)&lt;='TCO TO BE- SW'!$D91,SUM('TCO TO BE- SW'!X$6:X$15)*VLOOKUP('TCO TO BE- SW'!X$2,MODULY_CBA!$B$3:$L$23,11,0),0),0)</f>
        <v>0</v>
      </c>
      <c r="Y91" s="586">
        <f>IFERROR(IF(VLOOKUP(Y$2,MODULY_CBA!$B$3:$N$23,13,0)&lt;='TCO TO BE- SW'!$D91,SUM('TCO TO BE- SW'!Y$6:Y$15)*VLOOKUP('TCO TO BE- SW'!Y$2,MODULY_CBA!$B$3:$L$23,11,0),0),0)</f>
        <v>0</v>
      </c>
      <c r="Z91" s="586">
        <f>IFERROR(IF(VLOOKUP(Z$2,MODULY_CBA!$B$3:$N$23,13,0)&lt;='TCO TO BE- SW'!$D91,SUM('TCO TO BE- SW'!Z$6:Z$15)*VLOOKUP('TCO TO BE- SW'!Z$2,MODULY_CBA!$B$3:$L$23,11,0),0),0)</f>
        <v>0</v>
      </c>
    </row>
    <row r="92" spans="1:26" outlineLevel="2">
      <c r="A92" s="841"/>
      <c r="B92" s="842"/>
      <c r="C92" s="842"/>
      <c r="D92" s="64">
        <v>4</v>
      </c>
      <c r="E92" s="61">
        <f t="shared" si="12"/>
        <v>0</v>
      </c>
      <c r="F92" s="586">
        <f>IFERROR(IF(VLOOKUP(F$2,MODULY_CBA!$B$3:$N$23,13,0)&lt;='TCO TO BE- SW'!$D92,SUM('TCO TO BE- SW'!F$6:F$15)*VLOOKUP('TCO TO BE- SW'!F$2,MODULY_CBA!$B$3:$L$23,11,0),0),0)</f>
        <v>0</v>
      </c>
      <c r="G92" s="586">
        <f>IFERROR(IF(VLOOKUP(G$2,MODULY_CBA!$B$3:$N$23,13,0)&lt;='TCO TO BE- SW'!$D92,SUM('TCO TO BE- SW'!G$6:G$15)*VLOOKUP('TCO TO BE- SW'!G$2,MODULY_CBA!$B$3:$L$23,11,0),0),0)</f>
        <v>0</v>
      </c>
      <c r="H92" s="586">
        <f>IFERROR(IF(VLOOKUP(H$2,MODULY_CBA!$B$3:$N$23,13,0)&lt;='TCO TO BE- SW'!$D92,SUM('TCO TO BE- SW'!H$6:H$15)*VLOOKUP('TCO TO BE- SW'!H$2,MODULY_CBA!$B$3:$L$23,11,0),0),0)</f>
        <v>0</v>
      </c>
      <c r="I92" s="586">
        <f>IFERROR(IF(VLOOKUP(I$2,MODULY_CBA!$B$3:$N$23,13,0)&lt;='TCO TO BE- SW'!$D92,SUM('TCO TO BE- SW'!I$6:I$15)*VLOOKUP('TCO TO BE- SW'!I$2,MODULY_CBA!$B$3:$L$23,11,0),0),0)</f>
        <v>0</v>
      </c>
      <c r="J92" s="586">
        <f>IFERROR(IF(VLOOKUP(J$2,MODULY_CBA!$B$3:$N$23,13,0)&lt;='TCO TO BE- SW'!$D92,SUM('TCO TO BE- SW'!J$6:J$15)*VLOOKUP('TCO TO BE- SW'!J$2,MODULY_CBA!$B$3:$L$23,11,0),0),0)</f>
        <v>0</v>
      </c>
      <c r="K92" s="586">
        <f>IFERROR(IF(VLOOKUP(K$2,MODULY_CBA!$B$3:$N$23,13,0)&lt;='TCO TO BE- SW'!$D92,SUM('TCO TO BE- SW'!K$6:K$15)*VLOOKUP('TCO TO BE- SW'!K$2,MODULY_CBA!$B$3:$L$23,11,0),0),0)</f>
        <v>0</v>
      </c>
      <c r="L92" s="586">
        <f>IFERROR(IF(VLOOKUP(L$2,MODULY_CBA!$B$3:$N$23,13,0)&lt;='TCO TO BE- SW'!$D92,SUM('TCO TO BE- SW'!L$6:L$15)*VLOOKUP('TCO TO BE- SW'!L$2,MODULY_CBA!$B$3:$L$23,11,0),0),0)</f>
        <v>0</v>
      </c>
      <c r="M92" s="586">
        <f>IFERROR(IF(VLOOKUP(M$2,MODULY_CBA!$B$3:$N$23,13,0)&lt;='TCO TO BE- SW'!$D92,SUM('TCO TO BE- SW'!M$6:M$15)*VLOOKUP('TCO TO BE- SW'!M$2,MODULY_CBA!$B$3:$L$23,11,0),0),0)</f>
        <v>0</v>
      </c>
      <c r="N92" s="586">
        <f>IFERROR(IF(VLOOKUP(N$2,MODULY_CBA!$B$3:$N$23,13,0)&lt;='TCO TO BE- SW'!$D92,SUM('TCO TO BE- SW'!N$6:N$15)*VLOOKUP('TCO TO BE- SW'!N$2,MODULY_CBA!$B$3:$L$23,11,0),0),0)</f>
        <v>0</v>
      </c>
      <c r="O92" s="586">
        <f>IFERROR(IF(VLOOKUP(O$2,MODULY_CBA!$B$3:$N$23,13,0)&lt;='TCO TO BE- SW'!$D92,SUM('TCO TO BE- SW'!O$6:O$15)*VLOOKUP('TCO TO BE- SW'!O$2,MODULY_CBA!$B$3:$L$23,11,0),0),0)</f>
        <v>0</v>
      </c>
      <c r="P92" s="586">
        <f>IFERROR(IF(VLOOKUP(P$2,MODULY_CBA!$B$3:$N$23,13,0)&lt;='TCO TO BE- SW'!$D92,SUM('TCO TO BE- SW'!P$6:P$15)*VLOOKUP('TCO TO BE- SW'!P$2,MODULY_CBA!$B$3:$L$23,11,0),0),0)</f>
        <v>0</v>
      </c>
      <c r="Q92" s="586">
        <f>IFERROR(IF(VLOOKUP(Q$2,MODULY_CBA!$B$3:$N$23,13,0)&lt;='TCO TO BE- SW'!$D92,SUM('TCO TO BE- SW'!Q$6:Q$15)*VLOOKUP('TCO TO BE- SW'!Q$2,MODULY_CBA!$B$3:$L$23,11,0),0),0)</f>
        <v>0</v>
      </c>
      <c r="R92" s="586">
        <f>IFERROR(IF(VLOOKUP(R$2,MODULY_CBA!$B$3:$N$23,13,0)&lt;='TCO TO BE- SW'!$D92,SUM('TCO TO BE- SW'!R$6:R$15)*VLOOKUP('TCO TO BE- SW'!R$2,MODULY_CBA!$B$3:$L$23,11,0),0),0)</f>
        <v>0</v>
      </c>
      <c r="S92" s="586">
        <f>IFERROR(IF(VLOOKUP(S$2,MODULY_CBA!$B$3:$N$23,13,0)&lt;='TCO TO BE- SW'!$D92,SUM('TCO TO BE- SW'!S$6:S$15)*VLOOKUP('TCO TO BE- SW'!S$2,MODULY_CBA!$B$3:$L$23,11,0),0),0)</f>
        <v>0</v>
      </c>
      <c r="T92" s="586">
        <f>IFERROR(IF(VLOOKUP(T$2,MODULY_CBA!$B$3:$N$23,13,0)&lt;='TCO TO BE- SW'!$D92,SUM('TCO TO BE- SW'!T$6:T$15)*VLOOKUP('TCO TO BE- SW'!T$2,MODULY_CBA!$B$3:$L$23,11,0),0),0)</f>
        <v>0</v>
      </c>
      <c r="U92" s="586">
        <f>IFERROR(IF(VLOOKUP(U$2,MODULY_CBA!$B$3:$N$23,13,0)&lt;='TCO TO BE- SW'!$D92,SUM('TCO TO BE- SW'!U$6:U$15)*VLOOKUP('TCO TO BE- SW'!U$2,MODULY_CBA!$B$3:$L$23,11,0),0),0)</f>
        <v>0</v>
      </c>
      <c r="V92" s="586">
        <f>IFERROR(IF(VLOOKUP(V$2,MODULY_CBA!$B$3:$N$23,13,0)&lt;='TCO TO BE- SW'!$D92,SUM('TCO TO BE- SW'!V$6:V$15)*VLOOKUP('TCO TO BE- SW'!V$2,MODULY_CBA!$B$3:$L$23,11,0),0),0)</f>
        <v>0</v>
      </c>
      <c r="W92" s="586">
        <f>IFERROR(IF(VLOOKUP(W$2,MODULY_CBA!$B$3:$N$23,13,0)&lt;='TCO TO BE- SW'!$D92,SUM('TCO TO BE- SW'!W$6:W$15)*VLOOKUP('TCO TO BE- SW'!W$2,MODULY_CBA!$B$3:$L$23,11,0),0),0)</f>
        <v>0</v>
      </c>
      <c r="X92" s="586">
        <f>IFERROR(IF(VLOOKUP(X$2,MODULY_CBA!$B$3:$N$23,13,0)&lt;='TCO TO BE- SW'!$D92,SUM('TCO TO BE- SW'!X$6:X$15)*VLOOKUP('TCO TO BE- SW'!X$2,MODULY_CBA!$B$3:$L$23,11,0),0),0)</f>
        <v>0</v>
      </c>
      <c r="Y92" s="586">
        <f>IFERROR(IF(VLOOKUP(Y$2,MODULY_CBA!$B$3:$N$23,13,0)&lt;='TCO TO BE- SW'!$D92,SUM('TCO TO BE- SW'!Y$6:Y$15)*VLOOKUP('TCO TO BE- SW'!Y$2,MODULY_CBA!$B$3:$L$23,11,0),0),0)</f>
        <v>0</v>
      </c>
      <c r="Z92" s="586">
        <f>IFERROR(IF(VLOOKUP(Z$2,MODULY_CBA!$B$3:$N$23,13,0)&lt;='TCO TO BE- SW'!$D92,SUM('TCO TO BE- SW'!Z$6:Z$15)*VLOOKUP('TCO TO BE- SW'!Z$2,MODULY_CBA!$B$3:$L$23,11,0),0),0)</f>
        <v>0</v>
      </c>
    </row>
    <row r="93" spans="1:26" outlineLevel="2">
      <c r="A93" s="841"/>
      <c r="B93" s="842"/>
      <c r="C93" s="842"/>
      <c r="D93" s="64">
        <v>5</v>
      </c>
      <c r="E93" s="61">
        <f t="shared" si="12"/>
        <v>0</v>
      </c>
      <c r="F93" s="586">
        <f>IFERROR(IF(VLOOKUP(F$2,MODULY_CBA!$B$3:$N$23,13,0)&lt;='TCO TO BE- SW'!$D93,SUM('TCO TO BE- SW'!F$6:F$15)*VLOOKUP('TCO TO BE- SW'!F$2,MODULY_CBA!$B$3:$L$23,11,0),0),0)</f>
        <v>0</v>
      </c>
      <c r="G93" s="586">
        <f>IFERROR(IF(VLOOKUP(G$2,MODULY_CBA!$B$3:$N$23,13,0)&lt;='TCO TO BE- SW'!$D93,SUM('TCO TO BE- SW'!G$6:G$15)*VLOOKUP('TCO TO BE- SW'!G$2,MODULY_CBA!$B$3:$L$23,11,0),0),0)</f>
        <v>0</v>
      </c>
      <c r="H93" s="586">
        <f>IFERROR(IF(VLOOKUP(H$2,MODULY_CBA!$B$3:$N$23,13,0)&lt;='TCO TO BE- SW'!$D93,SUM('TCO TO BE- SW'!H$6:H$15)*VLOOKUP('TCO TO BE- SW'!H$2,MODULY_CBA!$B$3:$L$23,11,0),0),0)</f>
        <v>0</v>
      </c>
      <c r="I93" s="586">
        <f>IFERROR(IF(VLOOKUP(I$2,MODULY_CBA!$B$3:$N$23,13,0)&lt;='TCO TO BE- SW'!$D93,SUM('TCO TO BE- SW'!I$6:I$15)*VLOOKUP('TCO TO BE- SW'!I$2,MODULY_CBA!$B$3:$L$23,11,0),0),0)</f>
        <v>0</v>
      </c>
      <c r="J93" s="586">
        <f>IFERROR(IF(VLOOKUP(J$2,MODULY_CBA!$B$3:$N$23,13,0)&lt;='TCO TO BE- SW'!$D93,SUM('TCO TO BE- SW'!J$6:J$15)*VLOOKUP('TCO TO BE- SW'!J$2,MODULY_CBA!$B$3:$L$23,11,0),0),0)</f>
        <v>0</v>
      </c>
      <c r="K93" s="586">
        <f>IFERROR(IF(VLOOKUP(K$2,MODULY_CBA!$B$3:$N$23,13,0)&lt;='TCO TO BE- SW'!$D93,SUM('TCO TO BE- SW'!K$6:K$15)*VLOOKUP('TCO TO BE- SW'!K$2,MODULY_CBA!$B$3:$L$23,11,0),0),0)</f>
        <v>0</v>
      </c>
      <c r="L93" s="586">
        <f>IFERROR(IF(VLOOKUP(L$2,MODULY_CBA!$B$3:$N$23,13,0)&lt;='TCO TO BE- SW'!$D93,SUM('TCO TO BE- SW'!L$6:L$15)*VLOOKUP('TCO TO BE- SW'!L$2,MODULY_CBA!$B$3:$L$23,11,0),0),0)</f>
        <v>0</v>
      </c>
      <c r="M93" s="586">
        <f>IFERROR(IF(VLOOKUP(M$2,MODULY_CBA!$B$3:$N$23,13,0)&lt;='TCO TO BE- SW'!$D93,SUM('TCO TO BE- SW'!M$6:M$15)*VLOOKUP('TCO TO BE- SW'!M$2,MODULY_CBA!$B$3:$L$23,11,0),0),0)</f>
        <v>0</v>
      </c>
      <c r="N93" s="586">
        <f>IFERROR(IF(VLOOKUP(N$2,MODULY_CBA!$B$3:$N$23,13,0)&lt;='TCO TO BE- SW'!$D93,SUM('TCO TO BE- SW'!N$6:N$15)*VLOOKUP('TCO TO BE- SW'!N$2,MODULY_CBA!$B$3:$L$23,11,0),0),0)</f>
        <v>0</v>
      </c>
      <c r="O93" s="586">
        <f>IFERROR(IF(VLOOKUP(O$2,MODULY_CBA!$B$3:$N$23,13,0)&lt;='TCO TO BE- SW'!$D93,SUM('TCO TO BE- SW'!O$6:O$15)*VLOOKUP('TCO TO BE- SW'!O$2,MODULY_CBA!$B$3:$L$23,11,0),0),0)</f>
        <v>0</v>
      </c>
      <c r="P93" s="586">
        <f>IFERROR(IF(VLOOKUP(P$2,MODULY_CBA!$B$3:$N$23,13,0)&lt;='TCO TO BE- SW'!$D93,SUM('TCO TO BE- SW'!P$6:P$15)*VLOOKUP('TCO TO BE- SW'!P$2,MODULY_CBA!$B$3:$L$23,11,0),0),0)</f>
        <v>0</v>
      </c>
      <c r="Q93" s="586">
        <f>IFERROR(IF(VLOOKUP(Q$2,MODULY_CBA!$B$3:$N$23,13,0)&lt;='TCO TO BE- SW'!$D93,SUM('TCO TO BE- SW'!Q$6:Q$15)*VLOOKUP('TCO TO BE- SW'!Q$2,MODULY_CBA!$B$3:$L$23,11,0),0),0)</f>
        <v>0</v>
      </c>
      <c r="R93" s="586">
        <f>IFERROR(IF(VLOOKUP(R$2,MODULY_CBA!$B$3:$N$23,13,0)&lt;='TCO TO BE- SW'!$D93,SUM('TCO TO BE- SW'!R$6:R$15)*VLOOKUP('TCO TO BE- SW'!R$2,MODULY_CBA!$B$3:$L$23,11,0),0),0)</f>
        <v>0</v>
      </c>
      <c r="S93" s="586">
        <f>IFERROR(IF(VLOOKUP(S$2,MODULY_CBA!$B$3:$N$23,13,0)&lt;='TCO TO BE- SW'!$D93,SUM('TCO TO BE- SW'!S$6:S$15)*VLOOKUP('TCO TO BE- SW'!S$2,MODULY_CBA!$B$3:$L$23,11,0),0),0)</f>
        <v>0</v>
      </c>
      <c r="T93" s="586">
        <f>IFERROR(IF(VLOOKUP(T$2,MODULY_CBA!$B$3:$N$23,13,0)&lt;='TCO TO BE- SW'!$D93,SUM('TCO TO BE- SW'!T$6:T$15)*VLOOKUP('TCO TO BE- SW'!T$2,MODULY_CBA!$B$3:$L$23,11,0),0),0)</f>
        <v>0</v>
      </c>
      <c r="U93" s="586">
        <f>IFERROR(IF(VLOOKUP(U$2,MODULY_CBA!$B$3:$N$23,13,0)&lt;='TCO TO BE- SW'!$D93,SUM('TCO TO BE- SW'!U$6:U$15)*VLOOKUP('TCO TO BE- SW'!U$2,MODULY_CBA!$B$3:$L$23,11,0),0),0)</f>
        <v>0</v>
      </c>
      <c r="V93" s="586">
        <f>IFERROR(IF(VLOOKUP(V$2,MODULY_CBA!$B$3:$N$23,13,0)&lt;='TCO TO BE- SW'!$D93,SUM('TCO TO BE- SW'!V$6:V$15)*VLOOKUP('TCO TO BE- SW'!V$2,MODULY_CBA!$B$3:$L$23,11,0),0),0)</f>
        <v>0</v>
      </c>
      <c r="W93" s="586">
        <f>IFERROR(IF(VLOOKUP(W$2,MODULY_CBA!$B$3:$N$23,13,0)&lt;='TCO TO BE- SW'!$D93,SUM('TCO TO BE- SW'!W$6:W$15)*VLOOKUP('TCO TO BE- SW'!W$2,MODULY_CBA!$B$3:$L$23,11,0),0),0)</f>
        <v>0</v>
      </c>
      <c r="X93" s="586">
        <f>IFERROR(IF(VLOOKUP(X$2,MODULY_CBA!$B$3:$N$23,13,0)&lt;='TCO TO BE- SW'!$D93,SUM('TCO TO BE- SW'!X$6:X$15)*VLOOKUP('TCO TO BE- SW'!X$2,MODULY_CBA!$B$3:$L$23,11,0),0),0)</f>
        <v>0</v>
      </c>
      <c r="Y93" s="586">
        <f>IFERROR(IF(VLOOKUP(Y$2,MODULY_CBA!$B$3:$N$23,13,0)&lt;='TCO TO BE- SW'!$D93,SUM('TCO TO BE- SW'!Y$6:Y$15)*VLOOKUP('TCO TO BE- SW'!Y$2,MODULY_CBA!$B$3:$L$23,11,0),0),0)</f>
        <v>0</v>
      </c>
      <c r="Z93" s="586">
        <f>IFERROR(IF(VLOOKUP(Z$2,MODULY_CBA!$B$3:$N$23,13,0)&lt;='TCO TO BE- SW'!$D93,SUM('TCO TO BE- SW'!Z$6:Z$15)*VLOOKUP('TCO TO BE- SW'!Z$2,MODULY_CBA!$B$3:$L$23,11,0),0),0)</f>
        <v>0</v>
      </c>
    </row>
    <row r="94" spans="1:26" outlineLevel="2">
      <c r="A94" s="841"/>
      <c r="B94" s="842"/>
      <c r="C94" s="842"/>
      <c r="D94" s="64">
        <v>6</v>
      </c>
      <c r="E94" s="61">
        <f t="shared" si="12"/>
        <v>0</v>
      </c>
      <c r="F94" s="586">
        <f>IFERROR(IF(VLOOKUP(F$2,MODULY_CBA!$B$3:$N$23,13,0)&lt;='TCO TO BE- SW'!$D94,SUM('TCO TO BE- SW'!F$6:F$15)*VLOOKUP('TCO TO BE- SW'!F$2,MODULY_CBA!$B$3:$L$23,11,0),0),0)</f>
        <v>0</v>
      </c>
      <c r="G94" s="586">
        <f>IFERROR(IF(VLOOKUP(G$2,MODULY_CBA!$B$3:$N$23,13,0)&lt;='TCO TO BE- SW'!$D94,SUM('TCO TO BE- SW'!G$6:G$15)*VLOOKUP('TCO TO BE- SW'!G$2,MODULY_CBA!$B$3:$L$23,11,0),0),0)</f>
        <v>0</v>
      </c>
      <c r="H94" s="586">
        <f>IFERROR(IF(VLOOKUP(H$2,MODULY_CBA!$B$3:$N$23,13,0)&lt;='TCO TO BE- SW'!$D94,SUM('TCO TO BE- SW'!H$6:H$15)*VLOOKUP('TCO TO BE- SW'!H$2,MODULY_CBA!$B$3:$L$23,11,0),0),0)</f>
        <v>0</v>
      </c>
      <c r="I94" s="586">
        <f>IFERROR(IF(VLOOKUP(I$2,MODULY_CBA!$B$3:$N$23,13,0)&lt;='TCO TO BE- SW'!$D94,SUM('TCO TO BE- SW'!I$6:I$15)*VLOOKUP('TCO TO BE- SW'!I$2,MODULY_CBA!$B$3:$L$23,11,0),0),0)</f>
        <v>0</v>
      </c>
      <c r="J94" s="586">
        <f>IFERROR(IF(VLOOKUP(J$2,MODULY_CBA!$B$3:$N$23,13,0)&lt;='TCO TO BE- SW'!$D94,SUM('TCO TO BE- SW'!J$6:J$15)*VLOOKUP('TCO TO BE- SW'!J$2,MODULY_CBA!$B$3:$L$23,11,0),0),0)</f>
        <v>0</v>
      </c>
      <c r="K94" s="586">
        <f>IFERROR(IF(VLOOKUP(K$2,MODULY_CBA!$B$3:$N$23,13,0)&lt;='TCO TO BE- SW'!$D94,SUM('TCO TO BE- SW'!K$6:K$15)*VLOOKUP('TCO TO BE- SW'!K$2,MODULY_CBA!$B$3:$L$23,11,0),0),0)</f>
        <v>0</v>
      </c>
      <c r="L94" s="586">
        <f>IFERROR(IF(VLOOKUP(L$2,MODULY_CBA!$B$3:$N$23,13,0)&lt;='TCO TO BE- SW'!$D94,SUM('TCO TO BE- SW'!L$6:L$15)*VLOOKUP('TCO TO BE- SW'!L$2,MODULY_CBA!$B$3:$L$23,11,0),0),0)</f>
        <v>0</v>
      </c>
      <c r="M94" s="586">
        <f>IFERROR(IF(VLOOKUP(M$2,MODULY_CBA!$B$3:$N$23,13,0)&lt;='TCO TO BE- SW'!$D94,SUM('TCO TO BE- SW'!M$6:M$15)*VLOOKUP('TCO TO BE- SW'!M$2,MODULY_CBA!$B$3:$L$23,11,0),0),0)</f>
        <v>0</v>
      </c>
      <c r="N94" s="586">
        <f>IFERROR(IF(VLOOKUP(N$2,MODULY_CBA!$B$3:$N$23,13,0)&lt;='TCO TO BE- SW'!$D94,SUM('TCO TO BE- SW'!N$6:N$15)*VLOOKUP('TCO TO BE- SW'!N$2,MODULY_CBA!$B$3:$L$23,11,0),0),0)</f>
        <v>0</v>
      </c>
      <c r="O94" s="586">
        <f>IFERROR(IF(VLOOKUP(O$2,MODULY_CBA!$B$3:$N$23,13,0)&lt;='TCO TO BE- SW'!$D94,SUM('TCO TO BE- SW'!O$6:O$15)*VLOOKUP('TCO TO BE- SW'!O$2,MODULY_CBA!$B$3:$L$23,11,0),0),0)</f>
        <v>0</v>
      </c>
      <c r="P94" s="586">
        <f>IFERROR(IF(VLOOKUP(P$2,MODULY_CBA!$B$3:$N$23,13,0)&lt;='TCO TO BE- SW'!$D94,SUM('TCO TO BE- SW'!P$6:P$15)*VLOOKUP('TCO TO BE- SW'!P$2,MODULY_CBA!$B$3:$L$23,11,0),0),0)</f>
        <v>0</v>
      </c>
      <c r="Q94" s="586">
        <f>IFERROR(IF(VLOOKUP(Q$2,MODULY_CBA!$B$3:$N$23,13,0)&lt;='TCO TO BE- SW'!$D94,SUM('TCO TO BE- SW'!Q$6:Q$15)*VLOOKUP('TCO TO BE- SW'!Q$2,MODULY_CBA!$B$3:$L$23,11,0),0),0)</f>
        <v>0</v>
      </c>
      <c r="R94" s="586">
        <f>IFERROR(IF(VLOOKUP(R$2,MODULY_CBA!$B$3:$N$23,13,0)&lt;='TCO TO BE- SW'!$D94,SUM('TCO TO BE- SW'!R$6:R$15)*VLOOKUP('TCO TO BE- SW'!R$2,MODULY_CBA!$B$3:$L$23,11,0),0),0)</f>
        <v>0</v>
      </c>
      <c r="S94" s="586">
        <f>IFERROR(IF(VLOOKUP(S$2,MODULY_CBA!$B$3:$N$23,13,0)&lt;='TCO TO BE- SW'!$D94,SUM('TCO TO BE- SW'!S$6:S$15)*VLOOKUP('TCO TO BE- SW'!S$2,MODULY_CBA!$B$3:$L$23,11,0),0),0)</f>
        <v>0</v>
      </c>
      <c r="T94" s="586">
        <f>IFERROR(IF(VLOOKUP(T$2,MODULY_CBA!$B$3:$N$23,13,0)&lt;='TCO TO BE- SW'!$D94,SUM('TCO TO BE- SW'!T$6:T$15)*VLOOKUP('TCO TO BE- SW'!T$2,MODULY_CBA!$B$3:$L$23,11,0),0),0)</f>
        <v>0</v>
      </c>
      <c r="U94" s="586">
        <f>IFERROR(IF(VLOOKUP(U$2,MODULY_CBA!$B$3:$N$23,13,0)&lt;='TCO TO BE- SW'!$D94,SUM('TCO TO BE- SW'!U$6:U$15)*VLOOKUP('TCO TO BE- SW'!U$2,MODULY_CBA!$B$3:$L$23,11,0),0),0)</f>
        <v>0</v>
      </c>
      <c r="V94" s="586">
        <f>IFERROR(IF(VLOOKUP(V$2,MODULY_CBA!$B$3:$N$23,13,0)&lt;='TCO TO BE- SW'!$D94,SUM('TCO TO BE- SW'!V$6:V$15)*VLOOKUP('TCO TO BE- SW'!V$2,MODULY_CBA!$B$3:$L$23,11,0),0),0)</f>
        <v>0</v>
      </c>
      <c r="W94" s="586">
        <f>IFERROR(IF(VLOOKUP(W$2,MODULY_CBA!$B$3:$N$23,13,0)&lt;='TCO TO BE- SW'!$D94,SUM('TCO TO BE- SW'!W$6:W$15)*VLOOKUP('TCO TO BE- SW'!W$2,MODULY_CBA!$B$3:$L$23,11,0),0),0)</f>
        <v>0</v>
      </c>
      <c r="X94" s="586">
        <f>IFERROR(IF(VLOOKUP(X$2,MODULY_CBA!$B$3:$N$23,13,0)&lt;='TCO TO BE- SW'!$D94,SUM('TCO TO BE- SW'!X$6:X$15)*VLOOKUP('TCO TO BE- SW'!X$2,MODULY_CBA!$B$3:$L$23,11,0),0),0)</f>
        <v>0</v>
      </c>
      <c r="Y94" s="586">
        <f>IFERROR(IF(VLOOKUP(Y$2,MODULY_CBA!$B$3:$N$23,13,0)&lt;='TCO TO BE- SW'!$D94,SUM('TCO TO BE- SW'!Y$6:Y$15)*VLOOKUP('TCO TO BE- SW'!Y$2,MODULY_CBA!$B$3:$L$23,11,0),0),0)</f>
        <v>0</v>
      </c>
      <c r="Z94" s="586">
        <f>IFERROR(IF(VLOOKUP(Z$2,MODULY_CBA!$B$3:$N$23,13,0)&lt;='TCO TO BE- SW'!$D94,SUM('TCO TO BE- SW'!Z$6:Z$15)*VLOOKUP('TCO TO BE- SW'!Z$2,MODULY_CBA!$B$3:$L$23,11,0),0),0)</f>
        <v>0</v>
      </c>
    </row>
    <row r="95" spans="1:26" outlineLevel="2">
      <c r="A95" s="841"/>
      <c r="B95" s="842"/>
      <c r="C95" s="842"/>
      <c r="D95" s="64">
        <v>7</v>
      </c>
      <c r="E95" s="61">
        <f t="shared" si="12"/>
        <v>0</v>
      </c>
      <c r="F95" s="586">
        <f>IFERROR(IF(VLOOKUP(F$2,MODULY_CBA!$B$3:$N$23,13,0)&lt;='TCO TO BE- SW'!$D95,SUM('TCO TO BE- SW'!F$6:F$15)*VLOOKUP('TCO TO BE- SW'!F$2,MODULY_CBA!$B$3:$L$23,11,0),0),0)</f>
        <v>0</v>
      </c>
      <c r="G95" s="586">
        <f>IFERROR(IF(VLOOKUP(G$2,MODULY_CBA!$B$3:$N$23,13,0)&lt;='TCO TO BE- SW'!$D95,SUM('TCO TO BE- SW'!G$6:G$15)*VLOOKUP('TCO TO BE- SW'!G$2,MODULY_CBA!$B$3:$L$23,11,0),0),0)</f>
        <v>0</v>
      </c>
      <c r="H95" s="586">
        <f>IFERROR(IF(VLOOKUP(H$2,MODULY_CBA!$B$3:$N$23,13,0)&lt;='TCO TO BE- SW'!$D95,SUM('TCO TO BE- SW'!H$6:H$15)*VLOOKUP('TCO TO BE- SW'!H$2,MODULY_CBA!$B$3:$L$23,11,0),0),0)</f>
        <v>0</v>
      </c>
      <c r="I95" s="586">
        <f>IFERROR(IF(VLOOKUP(I$2,MODULY_CBA!$B$3:$N$23,13,0)&lt;='TCO TO BE- SW'!$D95,SUM('TCO TO BE- SW'!I$6:I$15)*VLOOKUP('TCO TO BE- SW'!I$2,MODULY_CBA!$B$3:$L$23,11,0),0),0)</f>
        <v>0</v>
      </c>
      <c r="J95" s="586">
        <f>IFERROR(IF(VLOOKUP(J$2,MODULY_CBA!$B$3:$N$23,13,0)&lt;='TCO TO BE- SW'!$D95,SUM('TCO TO BE- SW'!J$6:J$15)*VLOOKUP('TCO TO BE- SW'!J$2,MODULY_CBA!$B$3:$L$23,11,0),0),0)</f>
        <v>0</v>
      </c>
      <c r="K95" s="586">
        <f>IFERROR(IF(VLOOKUP(K$2,MODULY_CBA!$B$3:$N$23,13,0)&lt;='TCO TO BE- SW'!$D95,SUM('TCO TO BE- SW'!K$6:K$15)*VLOOKUP('TCO TO BE- SW'!K$2,MODULY_CBA!$B$3:$L$23,11,0),0),0)</f>
        <v>0</v>
      </c>
      <c r="L95" s="586">
        <f>IFERROR(IF(VLOOKUP(L$2,MODULY_CBA!$B$3:$N$23,13,0)&lt;='TCO TO BE- SW'!$D95,SUM('TCO TO BE- SW'!L$6:L$15)*VLOOKUP('TCO TO BE- SW'!L$2,MODULY_CBA!$B$3:$L$23,11,0),0),0)</f>
        <v>0</v>
      </c>
      <c r="M95" s="586">
        <f>IFERROR(IF(VLOOKUP(M$2,MODULY_CBA!$B$3:$N$23,13,0)&lt;='TCO TO BE- SW'!$D95,SUM('TCO TO BE- SW'!M$6:M$15)*VLOOKUP('TCO TO BE- SW'!M$2,MODULY_CBA!$B$3:$L$23,11,0),0),0)</f>
        <v>0</v>
      </c>
      <c r="N95" s="586">
        <f>IFERROR(IF(VLOOKUP(N$2,MODULY_CBA!$B$3:$N$23,13,0)&lt;='TCO TO BE- SW'!$D95,SUM('TCO TO BE- SW'!N$6:N$15)*VLOOKUP('TCO TO BE- SW'!N$2,MODULY_CBA!$B$3:$L$23,11,0),0),0)</f>
        <v>0</v>
      </c>
      <c r="O95" s="586">
        <f>IFERROR(IF(VLOOKUP(O$2,MODULY_CBA!$B$3:$N$23,13,0)&lt;='TCO TO BE- SW'!$D95,SUM('TCO TO BE- SW'!O$6:O$15)*VLOOKUP('TCO TO BE- SW'!O$2,MODULY_CBA!$B$3:$L$23,11,0),0),0)</f>
        <v>0</v>
      </c>
      <c r="P95" s="586">
        <f>IFERROR(IF(VLOOKUP(P$2,MODULY_CBA!$B$3:$N$23,13,0)&lt;='TCO TO BE- SW'!$D95,SUM('TCO TO BE- SW'!P$6:P$15)*VLOOKUP('TCO TO BE- SW'!P$2,MODULY_CBA!$B$3:$L$23,11,0),0),0)</f>
        <v>0</v>
      </c>
      <c r="Q95" s="586">
        <f>IFERROR(IF(VLOOKUP(Q$2,MODULY_CBA!$B$3:$N$23,13,0)&lt;='TCO TO BE- SW'!$D95,SUM('TCO TO BE- SW'!Q$6:Q$15)*VLOOKUP('TCO TO BE- SW'!Q$2,MODULY_CBA!$B$3:$L$23,11,0),0),0)</f>
        <v>0</v>
      </c>
      <c r="R95" s="586">
        <f>IFERROR(IF(VLOOKUP(R$2,MODULY_CBA!$B$3:$N$23,13,0)&lt;='TCO TO BE- SW'!$D95,SUM('TCO TO BE- SW'!R$6:R$15)*VLOOKUP('TCO TO BE- SW'!R$2,MODULY_CBA!$B$3:$L$23,11,0),0),0)</f>
        <v>0</v>
      </c>
      <c r="S95" s="586">
        <f>IFERROR(IF(VLOOKUP(S$2,MODULY_CBA!$B$3:$N$23,13,0)&lt;='TCO TO BE- SW'!$D95,SUM('TCO TO BE- SW'!S$6:S$15)*VLOOKUP('TCO TO BE- SW'!S$2,MODULY_CBA!$B$3:$L$23,11,0),0),0)</f>
        <v>0</v>
      </c>
      <c r="T95" s="586">
        <f>IFERROR(IF(VLOOKUP(T$2,MODULY_CBA!$B$3:$N$23,13,0)&lt;='TCO TO BE- SW'!$D95,SUM('TCO TO BE- SW'!T$6:T$15)*VLOOKUP('TCO TO BE- SW'!T$2,MODULY_CBA!$B$3:$L$23,11,0),0),0)</f>
        <v>0</v>
      </c>
      <c r="U95" s="586">
        <f>IFERROR(IF(VLOOKUP(U$2,MODULY_CBA!$B$3:$N$23,13,0)&lt;='TCO TO BE- SW'!$D95,SUM('TCO TO BE- SW'!U$6:U$15)*VLOOKUP('TCO TO BE- SW'!U$2,MODULY_CBA!$B$3:$L$23,11,0),0),0)</f>
        <v>0</v>
      </c>
      <c r="V95" s="586">
        <f>IFERROR(IF(VLOOKUP(V$2,MODULY_CBA!$B$3:$N$23,13,0)&lt;='TCO TO BE- SW'!$D95,SUM('TCO TO BE- SW'!V$6:V$15)*VLOOKUP('TCO TO BE- SW'!V$2,MODULY_CBA!$B$3:$L$23,11,0),0),0)</f>
        <v>0</v>
      </c>
      <c r="W95" s="586">
        <f>IFERROR(IF(VLOOKUP(W$2,MODULY_CBA!$B$3:$N$23,13,0)&lt;='TCO TO BE- SW'!$D95,SUM('TCO TO BE- SW'!W$6:W$15)*VLOOKUP('TCO TO BE- SW'!W$2,MODULY_CBA!$B$3:$L$23,11,0),0),0)</f>
        <v>0</v>
      </c>
      <c r="X95" s="586">
        <f>IFERROR(IF(VLOOKUP(X$2,MODULY_CBA!$B$3:$N$23,13,0)&lt;='TCO TO BE- SW'!$D95,SUM('TCO TO BE- SW'!X$6:X$15)*VLOOKUP('TCO TO BE- SW'!X$2,MODULY_CBA!$B$3:$L$23,11,0),0),0)</f>
        <v>0</v>
      </c>
      <c r="Y95" s="586">
        <f>IFERROR(IF(VLOOKUP(Y$2,MODULY_CBA!$B$3:$N$23,13,0)&lt;='TCO TO BE- SW'!$D95,SUM('TCO TO BE- SW'!Y$6:Y$15)*VLOOKUP('TCO TO BE- SW'!Y$2,MODULY_CBA!$B$3:$L$23,11,0),0),0)</f>
        <v>0</v>
      </c>
      <c r="Z95" s="586">
        <f>IFERROR(IF(VLOOKUP(Z$2,MODULY_CBA!$B$3:$N$23,13,0)&lt;='TCO TO BE- SW'!$D95,SUM('TCO TO BE- SW'!Z$6:Z$15)*VLOOKUP('TCO TO BE- SW'!Z$2,MODULY_CBA!$B$3:$L$23,11,0),0),0)</f>
        <v>0</v>
      </c>
    </row>
    <row r="96" spans="1:26" outlineLevel="2">
      <c r="A96" s="841"/>
      <c r="B96" s="842"/>
      <c r="C96" s="842"/>
      <c r="D96" s="64">
        <v>8</v>
      </c>
      <c r="E96" s="61">
        <f t="shared" si="12"/>
        <v>0</v>
      </c>
      <c r="F96" s="586">
        <f>IFERROR(IF(VLOOKUP(F$2,MODULY_CBA!$B$3:$N$23,13,0)&lt;='TCO TO BE- SW'!$D96,SUM('TCO TO BE- SW'!F$6:F$15)*VLOOKUP('TCO TO BE- SW'!F$2,MODULY_CBA!$B$3:$L$23,11,0),0),0)</f>
        <v>0</v>
      </c>
      <c r="G96" s="586">
        <f>IFERROR(IF(VLOOKUP(G$2,MODULY_CBA!$B$3:$N$23,13,0)&lt;='TCO TO BE- SW'!$D96,SUM('TCO TO BE- SW'!G$6:G$15)*VLOOKUP('TCO TO BE- SW'!G$2,MODULY_CBA!$B$3:$L$23,11,0),0),0)</f>
        <v>0</v>
      </c>
      <c r="H96" s="586">
        <f>IFERROR(IF(VLOOKUP(H$2,MODULY_CBA!$B$3:$N$23,13,0)&lt;='TCO TO BE- SW'!$D96,SUM('TCO TO BE- SW'!H$6:H$15)*VLOOKUP('TCO TO BE- SW'!H$2,MODULY_CBA!$B$3:$L$23,11,0),0),0)</f>
        <v>0</v>
      </c>
      <c r="I96" s="586">
        <f>IFERROR(IF(VLOOKUP(I$2,MODULY_CBA!$B$3:$N$23,13,0)&lt;='TCO TO BE- SW'!$D96,SUM('TCO TO BE- SW'!I$6:I$15)*VLOOKUP('TCO TO BE- SW'!I$2,MODULY_CBA!$B$3:$L$23,11,0),0),0)</f>
        <v>0</v>
      </c>
      <c r="J96" s="586">
        <f>IFERROR(IF(VLOOKUP(J$2,MODULY_CBA!$B$3:$N$23,13,0)&lt;='TCO TO BE- SW'!$D96,SUM('TCO TO BE- SW'!J$6:J$15)*VLOOKUP('TCO TO BE- SW'!J$2,MODULY_CBA!$B$3:$L$23,11,0),0),0)</f>
        <v>0</v>
      </c>
      <c r="K96" s="586">
        <f>IFERROR(IF(VLOOKUP(K$2,MODULY_CBA!$B$3:$N$23,13,0)&lt;='TCO TO BE- SW'!$D96,SUM('TCO TO BE- SW'!K$6:K$15)*VLOOKUP('TCO TO BE- SW'!K$2,MODULY_CBA!$B$3:$L$23,11,0),0),0)</f>
        <v>0</v>
      </c>
      <c r="L96" s="586">
        <f>IFERROR(IF(VLOOKUP(L$2,MODULY_CBA!$B$3:$N$23,13,0)&lt;='TCO TO BE- SW'!$D96,SUM('TCO TO BE- SW'!L$6:L$15)*VLOOKUP('TCO TO BE- SW'!L$2,MODULY_CBA!$B$3:$L$23,11,0),0),0)</f>
        <v>0</v>
      </c>
      <c r="M96" s="586">
        <f>IFERROR(IF(VLOOKUP(M$2,MODULY_CBA!$B$3:$N$23,13,0)&lt;='TCO TO BE- SW'!$D96,SUM('TCO TO BE- SW'!M$6:M$15)*VLOOKUP('TCO TO BE- SW'!M$2,MODULY_CBA!$B$3:$L$23,11,0),0),0)</f>
        <v>0</v>
      </c>
      <c r="N96" s="586">
        <f>IFERROR(IF(VLOOKUP(N$2,MODULY_CBA!$B$3:$N$23,13,0)&lt;='TCO TO BE- SW'!$D96,SUM('TCO TO BE- SW'!N$6:N$15)*VLOOKUP('TCO TO BE- SW'!N$2,MODULY_CBA!$B$3:$L$23,11,0),0),0)</f>
        <v>0</v>
      </c>
      <c r="O96" s="586">
        <f>IFERROR(IF(VLOOKUP(O$2,MODULY_CBA!$B$3:$N$23,13,0)&lt;='TCO TO BE- SW'!$D96,SUM('TCO TO BE- SW'!O$6:O$15)*VLOOKUP('TCO TO BE- SW'!O$2,MODULY_CBA!$B$3:$L$23,11,0),0),0)</f>
        <v>0</v>
      </c>
      <c r="P96" s="586">
        <f>IFERROR(IF(VLOOKUP(P$2,MODULY_CBA!$B$3:$N$23,13,0)&lt;='TCO TO BE- SW'!$D96,SUM('TCO TO BE- SW'!P$6:P$15)*VLOOKUP('TCO TO BE- SW'!P$2,MODULY_CBA!$B$3:$L$23,11,0),0),0)</f>
        <v>0</v>
      </c>
      <c r="Q96" s="586">
        <f>IFERROR(IF(VLOOKUP(Q$2,MODULY_CBA!$B$3:$N$23,13,0)&lt;='TCO TO BE- SW'!$D96,SUM('TCO TO BE- SW'!Q$6:Q$15)*VLOOKUP('TCO TO BE- SW'!Q$2,MODULY_CBA!$B$3:$L$23,11,0),0),0)</f>
        <v>0</v>
      </c>
      <c r="R96" s="586">
        <f>IFERROR(IF(VLOOKUP(R$2,MODULY_CBA!$B$3:$N$23,13,0)&lt;='TCO TO BE- SW'!$D96,SUM('TCO TO BE- SW'!R$6:R$15)*VLOOKUP('TCO TO BE- SW'!R$2,MODULY_CBA!$B$3:$L$23,11,0),0),0)</f>
        <v>0</v>
      </c>
      <c r="S96" s="586">
        <f>IFERROR(IF(VLOOKUP(S$2,MODULY_CBA!$B$3:$N$23,13,0)&lt;='TCO TO BE- SW'!$D96,SUM('TCO TO BE- SW'!S$6:S$15)*VLOOKUP('TCO TO BE- SW'!S$2,MODULY_CBA!$B$3:$L$23,11,0),0),0)</f>
        <v>0</v>
      </c>
      <c r="T96" s="586">
        <f>IFERROR(IF(VLOOKUP(T$2,MODULY_CBA!$B$3:$N$23,13,0)&lt;='TCO TO BE- SW'!$D96,SUM('TCO TO BE- SW'!T$6:T$15)*VLOOKUP('TCO TO BE- SW'!T$2,MODULY_CBA!$B$3:$L$23,11,0),0),0)</f>
        <v>0</v>
      </c>
      <c r="U96" s="586">
        <f>IFERROR(IF(VLOOKUP(U$2,MODULY_CBA!$B$3:$N$23,13,0)&lt;='TCO TO BE- SW'!$D96,SUM('TCO TO BE- SW'!U$6:U$15)*VLOOKUP('TCO TO BE- SW'!U$2,MODULY_CBA!$B$3:$L$23,11,0),0),0)</f>
        <v>0</v>
      </c>
      <c r="V96" s="586">
        <f>IFERROR(IF(VLOOKUP(V$2,MODULY_CBA!$B$3:$N$23,13,0)&lt;='TCO TO BE- SW'!$D96,SUM('TCO TO BE- SW'!V$6:V$15)*VLOOKUP('TCO TO BE- SW'!V$2,MODULY_CBA!$B$3:$L$23,11,0),0),0)</f>
        <v>0</v>
      </c>
      <c r="W96" s="586">
        <f>IFERROR(IF(VLOOKUP(W$2,MODULY_CBA!$B$3:$N$23,13,0)&lt;='TCO TO BE- SW'!$D96,SUM('TCO TO BE- SW'!W$6:W$15)*VLOOKUP('TCO TO BE- SW'!W$2,MODULY_CBA!$B$3:$L$23,11,0),0),0)</f>
        <v>0</v>
      </c>
      <c r="X96" s="586">
        <f>IFERROR(IF(VLOOKUP(X$2,MODULY_CBA!$B$3:$N$23,13,0)&lt;='TCO TO BE- SW'!$D96,SUM('TCO TO BE- SW'!X$6:X$15)*VLOOKUP('TCO TO BE- SW'!X$2,MODULY_CBA!$B$3:$L$23,11,0),0),0)</f>
        <v>0</v>
      </c>
      <c r="Y96" s="586">
        <f>IFERROR(IF(VLOOKUP(Y$2,MODULY_CBA!$B$3:$N$23,13,0)&lt;='TCO TO BE- SW'!$D96,SUM('TCO TO BE- SW'!Y$6:Y$15)*VLOOKUP('TCO TO BE- SW'!Y$2,MODULY_CBA!$B$3:$L$23,11,0),0),0)</f>
        <v>0</v>
      </c>
      <c r="Z96" s="586">
        <f>IFERROR(IF(VLOOKUP(Z$2,MODULY_CBA!$B$3:$N$23,13,0)&lt;='TCO TO BE- SW'!$D96,SUM('TCO TO BE- SW'!Z$6:Z$15)*VLOOKUP('TCO TO BE- SW'!Z$2,MODULY_CBA!$B$3:$L$23,11,0),0),0)</f>
        <v>0</v>
      </c>
    </row>
    <row r="97" spans="1:26" outlineLevel="2">
      <c r="A97" s="841"/>
      <c r="B97" s="842"/>
      <c r="C97" s="842"/>
      <c r="D97" s="64">
        <v>9</v>
      </c>
      <c r="E97" s="61">
        <f t="shared" si="12"/>
        <v>0</v>
      </c>
      <c r="F97" s="586">
        <f>IFERROR(IF(VLOOKUP(F$2,MODULY_CBA!$B$3:$N$23,13,0)&lt;='TCO TO BE- SW'!$D97,SUM('TCO TO BE- SW'!F$6:F$15)*VLOOKUP('TCO TO BE- SW'!F$2,MODULY_CBA!$B$3:$L$23,11,0),0),0)</f>
        <v>0</v>
      </c>
      <c r="G97" s="586">
        <f>IFERROR(IF(VLOOKUP(G$2,MODULY_CBA!$B$3:$N$23,13,0)&lt;='TCO TO BE- SW'!$D97,SUM('TCO TO BE- SW'!G$6:G$15)*VLOOKUP('TCO TO BE- SW'!G$2,MODULY_CBA!$B$3:$L$23,11,0),0),0)</f>
        <v>0</v>
      </c>
      <c r="H97" s="586">
        <f>IFERROR(IF(VLOOKUP(H$2,MODULY_CBA!$B$3:$N$23,13,0)&lt;='TCO TO BE- SW'!$D97,SUM('TCO TO BE- SW'!H$6:H$15)*VLOOKUP('TCO TO BE- SW'!H$2,MODULY_CBA!$B$3:$L$23,11,0),0),0)</f>
        <v>0</v>
      </c>
      <c r="I97" s="586">
        <f>IFERROR(IF(VLOOKUP(I$2,MODULY_CBA!$B$3:$N$23,13,0)&lt;='TCO TO BE- SW'!$D97,SUM('TCO TO BE- SW'!I$6:I$15)*VLOOKUP('TCO TO BE- SW'!I$2,MODULY_CBA!$B$3:$L$23,11,0),0),0)</f>
        <v>0</v>
      </c>
      <c r="J97" s="586">
        <f>IFERROR(IF(VLOOKUP(J$2,MODULY_CBA!$B$3:$N$23,13,0)&lt;='TCO TO BE- SW'!$D97,SUM('TCO TO BE- SW'!J$6:J$15)*VLOOKUP('TCO TO BE- SW'!J$2,MODULY_CBA!$B$3:$L$23,11,0),0),0)</f>
        <v>0</v>
      </c>
      <c r="K97" s="586">
        <f>IFERROR(IF(VLOOKUP(K$2,MODULY_CBA!$B$3:$N$23,13,0)&lt;='TCO TO BE- SW'!$D97,SUM('TCO TO BE- SW'!K$6:K$15)*VLOOKUP('TCO TO BE- SW'!K$2,MODULY_CBA!$B$3:$L$23,11,0),0),0)</f>
        <v>0</v>
      </c>
      <c r="L97" s="586">
        <f>IFERROR(IF(VLOOKUP(L$2,MODULY_CBA!$B$3:$N$23,13,0)&lt;='TCO TO BE- SW'!$D97,SUM('TCO TO BE- SW'!L$6:L$15)*VLOOKUP('TCO TO BE- SW'!L$2,MODULY_CBA!$B$3:$L$23,11,0),0),0)</f>
        <v>0</v>
      </c>
      <c r="M97" s="586">
        <f>IFERROR(IF(VLOOKUP(M$2,MODULY_CBA!$B$3:$N$23,13,0)&lt;='TCO TO BE- SW'!$D97,SUM('TCO TO BE- SW'!M$6:M$15)*VLOOKUP('TCO TO BE- SW'!M$2,MODULY_CBA!$B$3:$L$23,11,0),0),0)</f>
        <v>0</v>
      </c>
      <c r="N97" s="586">
        <f>IFERROR(IF(VLOOKUP(N$2,MODULY_CBA!$B$3:$N$23,13,0)&lt;='TCO TO BE- SW'!$D97,SUM('TCO TO BE- SW'!N$6:N$15)*VLOOKUP('TCO TO BE- SW'!N$2,MODULY_CBA!$B$3:$L$23,11,0),0),0)</f>
        <v>0</v>
      </c>
      <c r="O97" s="586">
        <f>IFERROR(IF(VLOOKUP(O$2,MODULY_CBA!$B$3:$N$23,13,0)&lt;='TCO TO BE- SW'!$D97,SUM('TCO TO BE- SW'!O$6:O$15)*VLOOKUP('TCO TO BE- SW'!O$2,MODULY_CBA!$B$3:$L$23,11,0),0),0)</f>
        <v>0</v>
      </c>
      <c r="P97" s="586">
        <f>IFERROR(IF(VLOOKUP(P$2,MODULY_CBA!$B$3:$N$23,13,0)&lt;='TCO TO BE- SW'!$D97,SUM('TCO TO BE- SW'!P$6:P$15)*VLOOKUP('TCO TO BE- SW'!P$2,MODULY_CBA!$B$3:$L$23,11,0),0),0)</f>
        <v>0</v>
      </c>
      <c r="Q97" s="586">
        <f>IFERROR(IF(VLOOKUP(Q$2,MODULY_CBA!$B$3:$N$23,13,0)&lt;='TCO TO BE- SW'!$D97,SUM('TCO TO BE- SW'!Q$6:Q$15)*VLOOKUP('TCO TO BE- SW'!Q$2,MODULY_CBA!$B$3:$L$23,11,0),0),0)</f>
        <v>0</v>
      </c>
      <c r="R97" s="586">
        <f>IFERROR(IF(VLOOKUP(R$2,MODULY_CBA!$B$3:$N$23,13,0)&lt;='TCO TO BE- SW'!$D97,SUM('TCO TO BE- SW'!R$6:R$15)*VLOOKUP('TCO TO BE- SW'!R$2,MODULY_CBA!$B$3:$L$23,11,0),0),0)</f>
        <v>0</v>
      </c>
      <c r="S97" s="586">
        <f>IFERROR(IF(VLOOKUP(S$2,MODULY_CBA!$B$3:$N$23,13,0)&lt;='TCO TO BE- SW'!$D97,SUM('TCO TO BE- SW'!S$6:S$15)*VLOOKUP('TCO TO BE- SW'!S$2,MODULY_CBA!$B$3:$L$23,11,0),0),0)</f>
        <v>0</v>
      </c>
      <c r="T97" s="586">
        <f>IFERROR(IF(VLOOKUP(T$2,MODULY_CBA!$B$3:$N$23,13,0)&lt;='TCO TO BE- SW'!$D97,SUM('TCO TO BE- SW'!T$6:T$15)*VLOOKUP('TCO TO BE- SW'!T$2,MODULY_CBA!$B$3:$L$23,11,0),0),0)</f>
        <v>0</v>
      </c>
      <c r="U97" s="586">
        <f>IFERROR(IF(VLOOKUP(U$2,MODULY_CBA!$B$3:$N$23,13,0)&lt;='TCO TO BE- SW'!$D97,SUM('TCO TO BE- SW'!U$6:U$15)*VLOOKUP('TCO TO BE- SW'!U$2,MODULY_CBA!$B$3:$L$23,11,0),0),0)</f>
        <v>0</v>
      </c>
      <c r="V97" s="586">
        <f>IFERROR(IF(VLOOKUP(V$2,MODULY_CBA!$B$3:$N$23,13,0)&lt;='TCO TO BE- SW'!$D97,SUM('TCO TO BE- SW'!V$6:V$15)*VLOOKUP('TCO TO BE- SW'!V$2,MODULY_CBA!$B$3:$L$23,11,0),0),0)</f>
        <v>0</v>
      </c>
      <c r="W97" s="586">
        <f>IFERROR(IF(VLOOKUP(W$2,MODULY_CBA!$B$3:$N$23,13,0)&lt;='TCO TO BE- SW'!$D97,SUM('TCO TO BE- SW'!W$6:W$15)*VLOOKUP('TCO TO BE- SW'!W$2,MODULY_CBA!$B$3:$L$23,11,0),0),0)</f>
        <v>0</v>
      </c>
      <c r="X97" s="586">
        <f>IFERROR(IF(VLOOKUP(X$2,MODULY_CBA!$B$3:$N$23,13,0)&lt;='TCO TO BE- SW'!$D97,SUM('TCO TO BE- SW'!X$6:X$15)*VLOOKUP('TCO TO BE- SW'!X$2,MODULY_CBA!$B$3:$L$23,11,0),0),0)</f>
        <v>0</v>
      </c>
      <c r="Y97" s="586">
        <f>IFERROR(IF(VLOOKUP(Y$2,MODULY_CBA!$B$3:$N$23,13,0)&lt;='TCO TO BE- SW'!$D97,SUM('TCO TO BE- SW'!Y$6:Y$15)*VLOOKUP('TCO TO BE- SW'!Y$2,MODULY_CBA!$B$3:$L$23,11,0),0),0)</f>
        <v>0</v>
      </c>
      <c r="Z97" s="586">
        <f>IFERROR(IF(VLOOKUP(Z$2,MODULY_CBA!$B$3:$N$23,13,0)&lt;='TCO TO BE- SW'!$D97,SUM('TCO TO BE- SW'!Z$6:Z$15)*VLOOKUP('TCO TO BE- SW'!Z$2,MODULY_CBA!$B$3:$L$23,11,0),0),0)</f>
        <v>0</v>
      </c>
    </row>
    <row r="98" spans="1:26" ht="15" outlineLevel="2" thickBot="1">
      <c r="A98" s="841"/>
      <c r="B98" s="842"/>
      <c r="C98" s="842"/>
      <c r="D98" s="65">
        <v>10</v>
      </c>
      <c r="E98" s="61">
        <f t="shared" si="12"/>
        <v>0</v>
      </c>
      <c r="F98" s="588">
        <f>IFERROR(IF(VLOOKUP(F$2,MODULY_CBA!$B$3:$N$23,13,0)&lt;='TCO TO BE- SW'!$D98,SUM('TCO TO BE- SW'!F$6:F$15)*VLOOKUP('TCO TO BE- SW'!F$2,MODULY_CBA!$B$3:$L$23,11,0),0),0)</f>
        <v>0</v>
      </c>
      <c r="G98" s="588">
        <f>IFERROR(IF(VLOOKUP(G$2,MODULY_CBA!$B$3:$N$23,13,0)&lt;='TCO TO BE- SW'!$D98,SUM('TCO TO BE- SW'!G$6:G$15)*VLOOKUP('TCO TO BE- SW'!G$2,MODULY_CBA!$B$3:$L$23,11,0),0),0)</f>
        <v>0</v>
      </c>
      <c r="H98" s="588">
        <f>IFERROR(IF(VLOOKUP(H$2,MODULY_CBA!$B$3:$N$23,13,0)&lt;='TCO TO BE- SW'!$D98,SUM('TCO TO BE- SW'!H$6:H$15)*VLOOKUP('TCO TO BE- SW'!H$2,MODULY_CBA!$B$3:$L$23,11,0),0),0)</f>
        <v>0</v>
      </c>
      <c r="I98" s="588">
        <f>IFERROR(IF(VLOOKUP(I$2,MODULY_CBA!$B$3:$N$23,13,0)&lt;='TCO TO BE- SW'!$D98,SUM('TCO TO BE- SW'!I$6:I$15)*VLOOKUP('TCO TO BE- SW'!I$2,MODULY_CBA!$B$3:$L$23,11,0),0),0)</f>
        <v>0</v>
      </c>
      <c r="J98" s="588">
        <f>IFERROR(IF(VLOOKUP(J$2,MODULY_CBA!$B$3:$N$23,13,0)&lt;='TCO TO BE- SW'!$D98,SUM('TCO TO BE- SW'!J$6:J$15)*VLOOKUP('TCO TO BE- SW'!J$2,MODULY_CBA!$B$3:$L$23,11,0),0),0)</f>
        <v>0</v>
      </c>
      <c r="K98" s="588">
        <f>IFERROR(IF(VLOOKUP(K$2,MODULY_CBA!$B$3:$N$23,13,0)&lt;='TCO TO BE- SW'!$D98,SUM('TCO TO BE- SW'!K$6:K$15)*VLOOKUP('TCO TO BE- SW'!K$2,MODULY_CBA!$B$3:$L$23,11,0),0),0)</f>
        <v>0</v>
      </c>
      <c r="L98" s="588">
        <f>IFERROR(IF(VLOOKUP(L$2,MODULY_CBA!$B$3:$N$23,13,0)&lt;='TCO TO BE- SW'!$D98,SUM('TCO TO BE- SW'!L$6:L$15)*VLOOKUP('TCO TO BE- SW'!L$2,MODULY_CBA!$B$3:$L$23,11,0),0),0)</f>
        <v>0</v>
      </c>
      <c r="M98" s="588">
        <f>IFERROR(IF(VLOOKUP(M$2,MODULY_CBA!$B$3:$N$23,13,0)&lt;='TCO TO BE- SW'!$D98,SUM('TCO TO BE- SW'!M$6:M$15)*VLOOKUP('TCO TO BE- SW'!M$2,MODULY_CBA!$B$3:$L$23,11,0),0),0)</f>
        <v>0</v>
      </c>
      <c r="N98" s="588">
        <f>IFERROR(IF(VLOOKUP(N$2,MODULY_CBA!$B$3:$N$23,13,0)&lt;='TCO TO BE- SW'!$D98,SUM('TCO TO BE- SW'!N$6:N$15)*VLOOKUP('TCO TO BE- SW'!N$2,MODULY_CBA!$B$3:$L$23,11,0),0),0)</f>
        <v>0</v>
      </c>
      <c r="O98" s="588">
        <f>IFERROR(IF(VLOOKUP(O$2,MODULY_CBA!$B$3:$N$23,13,0)&lt;='TCO TO BE- SW'!$D98,SUM('TCO TO BE- SW'!O$6:O$15)*VLOOKUP('TCO TO BE- SW'!O$2,MODULY_CBA!$B$3:$L$23,11,0),0),0)</f>
        <v>0</v>
      </c>
      <c r="P98" s="588">
        <f>IFERROR(IF(VLOOKUP(P$2,MODULY_CBA!$B$3:$N$23,13,0)&lt;='TCO TO BE- SW'!$D98,SUM('TCO TO BE- SW'!P$6:P$15)*VLOOKUP('TCO TO BE- SW'!P$2,MODULY_CBA!$B$3:$L$23,11,0),0),0)</f>
        <v>0</v>
      </c>
      <c r="Q98" s="588">
        <f>IFERROR(IF(VLOOKUP(Q$2,MODULY_CBA!$B$3:$N$23,13,0)&lt;='TCO TO BE- SW'!$D98,SUM('TCO TO BE- SW'!Q$6:Q$15)*VLOOKUP('TCO TO BE- SW'!Q$2,MODULY_CBA!$B$3:$L$23,11,0),0),0)</f>
        <v>0</v>
      </c>
      <c r="R98" s="588">
        <f>IFERROR(IF(VLOOKUP(R$2,MODULY_CBA!$B$3:$N$23,13,0)&lt;='TCO TO BE- SW'!$D98,SUM('TCO TO BE- SW'!R$6:R$15)*VLOOKUP('TCO TO BE- SW'!R$2,MODULY_CBA!$B$3:$L$23,11,0),0),0)</f>
        <v>0</v>
      </c>
      <c r="S98" s="588">
        <f>IFERROR(IF(VLOOKUP(S$2,MODULY_CBA!$B$3:$N$23,13,0)&lt;='TCO TO BE- SW'!$D98,SUM('TCO TO BE- SW'!S$6:S$15)*VLOOKUP('TCO TO BE- SW'!S$2,MODULY_CBA!$B$3:$L$23,11,0),0),0)</f>
        <v>0</v>
      </c>
      <c r="T98" s="588">
        <f>IFERROR(IF(VLOOKUP(T$2,MODULY_CBA!$B$3:$N$23,13,0)&lt;='TCO TO BE- SW'!$D98,SUM('TCO TO BE- SW'!T$6:T$15)*VLOOKUP('TCO TO BE- SW'!T$2,MODULY_CBA!$B$3:$L$23,11,0),0),0)</f>
        <v>0</v>
      </c>
      <c r="U98" s="588">
        <f>IFERROR(IF(VLOOKUP(U$2,MODULY_CBA!$B$3:$N$23,13,0)&lt;='TCO TO BE- SW'!$D98,SUM('TCO TO BE- SW'!U$6:U$15)*VLOOKUP('TCO TO BE- SW'!U$2,MODULY_CBA!$B$3:$L$23,11,0),0),0)</f>
        <v>0</v>
      </c>
      <c r="V98" s="588">
        <f>IFERROR(IF(VLOOKUP(V$2,MODULY_CBA!$B$3:$N$23,13,0)&lt;='TCO TO BE- SW'!$D98,SUM('TCO TO BE- SW'!V$6:V$15)*VLOOKUP('TCO TO BE- SW'!V$2,MODULY_CBA!$B$3:$L$23,11,0),0),0)</f>
        <v>0</v>
      </c>
      <c r="W98" s="588">
        <f>IFERROR(IF(VLOOKUP(W$2,MODULY_CBA!$B$3:$N$23,13,0)&lt;='TCO TO BE- SW'!$D98,SUM('TCO TO BE- SW'!W$6:W$15)*VLOOKUP('TCO TO BE- SW'!W$2,MODULY_CBA!$B$3:$L$23,11,0),0),0)</f>
        <v>0</v>
      </c>
      <c r="X98" s="588">
        <f>IFERROR(IF(VLOOKUP(X$2,MODULY_CBA!$B$3:$N$23,13,0)&lt;='TCO TO BE- SW'!$D98,SUM('TCO TO BE- SW'!X$6:X$15)*VLOOKUP('TCO TO BE- SW'!X$2,MODULY_CBA!$B$3:$L$23,11,0),0),0)</f>
        <v>0</v>
      </c>
      <c r="Y98" s="588">
        <f>IFERROR(IF(VLOOKUP(Y$2,MODULY_CBA!$B$3:$N$23,13,0)&lt;='TCO TO BE- SW'!$D98,SUM('TCO TO BE- SW'!Y$6:Y$15)*VLOOKUP('TCO TO BE- SW'!Y$2,MODULY_CBA!$B$3:$L$23,11,0),0),0)</f>
        <v>0</v>
      </c>
      <c r="Z98" s="588">
        <f>IFERROR(IF(VLOOKUP(Z$2,MODULY_CBA!$B$3:$N$23,13,0)&lt;='TCO TO BE- SW'!$D98,SUM('TCO TO BE- SW'!Z$6:Z$15)*VLOOKUP('TCO TO BE- SW'!Z$2,MODULY_CBA!$B$3:$L$23,11,0),0),0)</f>
        <v>0</v>
      </c>
    </row>
    <row r="99" spans="1:26" ht="15" outlineLevel="1" thickBot="1">
      <c r="A99" s="17" t="s">
        <v>103</v>
      </c>
      <c r="B99" s="17"/>
      <c r="C99" s="17"/>
      <c r="D99" s="27"/>
      <c r="E99" s="452">
        <f t="shared" ref="E99:Z99" si="13">SUM(E100:E149)</f>
        <v>31874402.169160787</v>
      </c>
      <c r="F99" s="453">
        <f t="shared" si="13"/>
        <v>280590.89361786662</v>
      </c>
      <c r="G99" s="453">
        <f t="shared" si="13"/>
        <v>0</v>
      </c>
      <c r="H99" s="453">
        <f t="shared" si="13"/>
        <v>647983.28670025326</v>
      </c>
      <c r="I99" s="453">
        <f t="shared" si="13"/>
        <v>1318844.4879880545</v>
      </c>
      <c r="J99" s="453">
        <f t="shared" si="13"/>
        <v>805437.16944984754</v>
      </c>
      <c r="K99" s="453">
        <f t="shared" si="13"/>
        <v>548060.63033993356</v>
      </c>
      <c r="L99" s="453">
        <f t="shared" si="13"/>
        <v>627039.90165503474</v>
      </c>
      <c r="M99" s="453">
        <f t="shared" si="13"/>
        <v>11497497.83992443</v>
      </c>
      <c r="N99" s="453">
        <f t="shared" si="13"/>
        <v>1367291.8365263911</v>
      </c>
      <c r="O99" s="453">
        <f t="shared" si="13"/>
        <v>7414715.2958282456</v>
      </c>
      <c r="P99" s="453">
        <f t="shared" si="13"/>
        <v>740672.48477186263</v>
      </c>
      <c r="Q99" s="453">
        <f t="shared" si="13"/>
        <v>4751204.5559610464</v>
      </c>
      <c r="R99" s="453">
        <f t="shared" si="13"/>
        <v>1875063.7863978117</v>
      </c>
      <c r="S99" s="453">
        <f t="shared" si="13"/>
        <v>0</v>
      </c>
      <c r="T99" s="453">
        <f t="shared" si="13"/>
        <v>0</v>
      </c>
      <c r="U99" s="453">
        <f t="shared" si="13"/>
        <v>0</v>
      </c>
      <c r="V99" s="453">
        <f t="shared" si="13"/>
        <v>0</v>
      </c>
      <c r="W99" s="453">
        <f t="shared" si="13"/>
        <v>0</v>
      </c>
      <c r="X99" s="453">
        <f t="shared" si="13"/>
        <v>0</v>
      </c>
      <c r="Y99" s="453">
        <f t="shared" si="13"/>
        <v>0</v>
      </c>
      <c r="Z99" s="453">
        <f t="shared" si="13"/>
        <v>0</v>
      </c>
    </row>
    <row r="100" spans="1:26" outlineLevel="2">
      <c r="A100" s="841" t="s">
        <v>2114</v>
      </c>
      <c r="B100" s="842" t="s">
        <v>2112</v>
      </c>
      <c r="C100" s="842">
        <v>635009</v>
      </c>
      <c r="D100" s="63">
        <v>1</v>
      </c>
      <c r="E100" s="67">
        <f t="shared" ref="E100:E149" si="14">SUM(F100:Z100)</f>
        <v>0</v>
      </c>
      <c r="F100" s="588">
        <f>IFERROR(IF(VLOOKUP(F$2,MODULY_CBA!$B$3:$N$23,13,0)&lt;='TCO TO BE- SW'!$D100,SUM('TCO TO BE- SW'!F$37:F$46)*VLOOKUP('TCO TO BE- SW'!F$2,MODULY_CBA!$B$3:$L$23,10,0),0),0)</f>
        <v>0</v>
      </c>
      <c r="G100" s="588">
        <f>IFERROR(IF(VLOOKUP(G$2,MODULY_CBA!$B$3:$N$23,13,0)&lt;='TCO TO BE- SW'!$D100,SUM('TCO TO BE- SW'!G$37:G$46)*VLOOKUP('TCO TO BE- SW'!G$2,MODULY_CBA!$B$3:$L$23,10,0),0),0)</f>
        <v>0</v>
      </c>
      <c r="H100" s="588">
        <f>IFERROR(IF(VLOOKUP(H$2,MODULY_CBA!$B$3:$N$23,13,0)&lt;='TCO TO BE- SW'!$D100,SUM('TCO TO BE- SW'!H$37:H$46)*VLOOKUP('TCO TO BE- SW'!H$2,MODULY_CBA!$B$3:$L$23,10,0),0),0)</f>
        <v>0</v>
      </c>
      <c r="I100" s="588">
        <f>IFERROR(IF(VLOOKUP(I$2,MODULY_CBA!$B$3:$N$23,13,0)&lt;='TCO TO BE- SW'!$D100,SUM('TCO TO BE- SW'!I$37:I$46)*VLOOKUP('TCO TO BE- SW'!I$2,MODULY_CBA!$B$3:$L$23,10,0),0),0)</f>
        <v>0</v>
      </c>
      <c r="J100" s="588">
        <f>IFERROR(IF(VLOOKUP(J$2,MODULY_CBA!$B$3:$N$23,13,0)&lt;='TCO TO BE- SW'!$D100,SUM('TCO TO BE- SW'!J$37:J$46)*VLOOKUP('TCO TO BE- SW'!J$2,MODULY_CBA!$B$3:$L$23,10,0),0),0)</f>
        <v>0</v>
      </c>
      <c r="K100" s="588">
        <f>IFERROR(IF(VLOOKUP(K$2,MODULY_CBA!$B$3:$N$23,13,0)&lt;='TCO TO BE- SW'!$D100,SUM('TCO TO BE- SW'!K$37:K$46)*VLOOKUP('TCO TO BE- SW'!K$2,MODULY_CBA!$B$3:$L$23,10,0),0),0)</f>
        <v>0</v>
      </c>
      <c r="L100" s="588">
        <f>IFERROR(IF(VLOOKUP(L$2,MODULY_CBA!$B$3:$N$23,13,0)&lt;='TCO TO BE- SW'!$D100,SUM('TCO TO BE- SW'!L$37:L$46)*VLOOKUP('TCO TO BE- SW'!L$2,MODULY_CBA!$B$3:$L$23,10,0),0),0)</f>
        <v>0</v>
      </c>
      <c r="M100" s="588">
        <f>IFERROR(IF(VLOOKUP(M$2,MODULY_CBA!$B$3:$N$23,13,0)&lt;='TCO TO BE- SW'!$D100,SUM('TCO TO BE- SW'!M$37:M$46)*VLOOKUP('TCO TO BE- SW'!M$2,MODULY_CBA!$B$3:$L$23,10,0),0),0)</f>
        <v>0</v>
      </c>
      <c r="N100" s="588">
        <f>IFERROR(IF(VLOOKUP(N$2,MODULY_CBA!$B$3:$N$23,13,0)&lt;='TCO TO BE- SW'!$D100,SUM('TCO TO BE- SW'!N$37:N$46)*VLOOKUP('TCO TO BE- SW'!N$2,MODULY_CBA!$B$3:$L$23,10,0),0),0)</f>
        <v>0</v>
      </c>
      <c r="O100" s="588">
        <f>IFERROR(IF(VLOOKUP(O$2,MODULY_CBA!$B$3:$N$23,13,0)&lt;='TCO TO BE- SW'!$D100,SUM('TCO TO BE- SW'!O$37:O$46)*VLOOKUP('TCO TO BE- SW'!O$2,MODULY_CBA!$B$3:$L$23,10,0),0),0)</f>
        <v>0</v>
      </c>
      <c r="P100" s="588">
        <f>IFERROR(IF(VLOOKUP(P$2,MODULY_CBA!$B$3:$N$23,13,0)&lt;='TCO TO BE- SW'!$D100,SUM('TCO TO BE- SW'!P$37:P$46)*VLOOKUP('TCO TO BE- SW'!P$2,MODULY_CBA!$B$3:$L$23,10,0),0),0)</f>
        <v>0</v>
      </c>
      <c r="Q100" s="588">
        <f>IFERROR(IF(VLOOKUP(Q$2,MODULY_CBA!$B$3:$N$23,13,0)&lt;='TCO TO BE- SW'!$D100,SUM('TCO TO BE- SW'!Q$37:Q$46)*VLOOKUP('TCO TO BE- SW'!Q$2,MODULY_CBA!$B$3:$L$23,10,0),0),0)</f>
        <v>0</v>
      </c>
      <c r="R100" s="588">
        <f>IFERROR(IF(VLOOKUP(R$2,MODULY_CBA!$B$3:$N$23,13,0)&lt;='TCO TO BE- SW'!$D100,SUM('TCO TO BE- SW'!R$37:R$46)*VLOOKUP('TCO TO BE- SW'!R$2,MODULY_CBA!$B$3:$L$23,10,0),0),0)</f>
        <v>0</v>
      </c>
      <c r="S100" s="588">
        <f>IFERROR(IF(VLOOKUP(S$2,MODULY_CBA!$B$3:$N$23,13,0)&lt;='TCO TO BE- SW'!$D100,SUM('TCO TO BE- SW'!S$37:S$46)*VLOOKUP('TCO TO BE- SW'!S$2,MODULY_CBA!$B$3:$L$23,10,0),0),0)</f>
        <v>0</v>
      </c>
      <c r="T100" s="588">
        <f>IFERROR(IF(VLOOKUP(T$2,MODULY_CBA!$B$3:$N$23,13,0)&lt;='TCO TO BE- SW'!$D100,SUM('TCO TO BE- SW'!T$37:T$46)*VLOOKUP('TCO TO BE- SW'!T$2,MODULY_CBA!$B$3:$L$23,10,0),0),0)</f>
        <v>0</v>
      </c>
      <c r="U100" s="588">
        <f>IFERROR(IF(VLOOKUP(U$2,MODULY_CBA!$B$3:$N$23,13,0)&lt;='TCO TO BE- SW'!$D100,SUM('TCO TO BE- SW'!U$37:U$46)*VLOOKUP('TCO TO BE- SW'!U$2,MODULY_CBA!$B$3:$L$23,10,0),0),0)</f>
        <v>0</v>
      </c>
      <c r="V100" s="588">
        <f>IFERROR(IF(VLOOKUP(V$2,MODULY_CBA!$B$3:$N$23,13,0)&lt;='TCO TO BE- SW'!$D100,SUM('TCO TO BE- SW'!V$37:V$46)*VLOOKUP('TCO TO BE- SW'!V$2,MODULY_CBA!$B$3:$L$23,10,0),0),0)</f>
        <v>0</v>
      </c>
      <c r="W100" s="588">
        <f>IFERROR(IF(VLOOKUP(W$2,MODULY_CBA!$B$3:$N$23,13,0)&lt;='TCO TO BE- SW'!$D100,SUM('TCO TO BE- SW'!W$37:W$46)*VLOOKUP('TCO TO BE- SW'!W$2,MODULY_CBA!$B$3:$L$23,10,0),0),0)</f>
        <v>0</v>
      </c>
      <c r="X100" s="588">
        <f>IFERROR(IF(VLOOKUP(X$2,MODULY_CBA!$B$3:$N$23,13,0)&lt;='TCO TO BE- SW'!$D100,SUM('TCO TO BE- SW'!X$37:X$46)*VLOOKUP('TCO TO BE- SW'!X$2,MODULY_CBA!$B$3:$L$23,10,0),0),0)</f>
        <v>0</v>
      </c>
      <c r="Y100" s="588">
        <f>IFERROR(IF(VLOOKUP(Y$2,MODULY_CBA!$B$3:$N$23,13,0)&lt;='TCO TO BE- SW'!$D100,SUM('TCO TO BE- SW'!Y$37:Y$46)*VLOOKUP('TCO TO BE- SW'!Y$2,MODULY_CBA!$B$3:$L$23,10,0),0),0)</f>
        <v>0</v>
      </c>
      <c r="Z100" s="588">
        <f>IFERROR(IF(VLOOKUP(Z$2,MODULY_CBA!$B$3:$N$23,13,0)&lt;='TCO TO BE- SW'!$D100,SUM('TCO TO BE- SW'!Z$37:Z$46)*VLOOKUP('TCO TO BE- SW'!Z$2,MODULY_CBA!$B$3:$L$23,10,0),0),0)</f>
        <v>0</v>
      </c>
    </row>
    <row r="101" spans="1:26" outlineLevel="2">
      <c r="A101" s="841"/>
      <c r="B101" s="842"/>
      <c r="C101" s="842"/>
      <c r="D101" s="64">
        <v>2</v>
      </c>
      <c r="E101" s="68">
        <f t="shared" si="14"/>
        <v>543709.34070269438</v>
      </c>
      <c r="F101" s="588">
        <f>IFERROR(IF(VLOOKUP(F$2,MODULY_CBA!$B$3:$N$23,13,0)&lt;='TCO TO BE- SW'!$D101,SUM('TCO TO BE- SW'!F$37:F$46)*VLOOKUP('TCO TO BE- SW'!F$2,MODULY_CBA!$B$3:$L$23,10,0),0),0)</f>
        <v>0</v>
      </c>
      <c r="G101" s="588">
        <f>IFERROR(IF(VLOOKUP(G$2,MODULY_CBA!$B$3:$N$23,13,0)&lt;='TCO TO BE- SW'!$D101,SUM('TCO TO BE- SW'!G$37:G$46)*VLOOKUP('TCO TO BE- SW'!G$2,MODULY_CBA!$B$3:$L$23,10,0),0),0)</f>
        <v>0</v>
      </c>
      <c r="H101" s="588">
        <f>IFERROR(IF(VLOOKUP(H$2,MODULY_CBA!$B$3:$N$23,13,0)&lt;='TCO TO BE- SW'!$D101,SUM('TCO TO BE- SW'!H$37:H$46)*VLOOKUP('TCO TO BE- SW'!H$2,MODULY_CBA!$B$3:$L$23,10,0),0),0)</f>
        <v>33599.133384457578</v>
      </c>
      <c r="I101" s="588">
        <f>IFERROR(IF(VLOOKUP(I$2,MODULY_CBA!$B$3:$N$23,13,0)&lt;='TCO TO BE- SW'!$D101,SUM('TCO TO BE- SW'!I$37:I$46)*VLOOKUP('TCO TO BE- SW'!I$2,MODULY_CBA!$B$3:$L$23,10,0),0),0)</f>
        <v>0</v>
      </c>
      <c r="J101" s="588">
        <f>IFERROR(IF(VLOOKUP(J$2,MODULY_CBA!$B$3:$N$23,13,0)&lt;='TCO TO BE- SW'!$D101,SUM('TCO TO BE- SW'!J$37:J$46)*VLOOKUP('TCO TO BE- SW'!J$2,MODULY_CBA!$B$3:$L$23,10,0),0),0)</f>
        <v>0</v>
      </c>
      <c r="K101" s="588">
        <f>IFERROR(IF(VLOOKUP(K$2,MODULY_CBA!$B$3:$N$23,13,0)&lt;='TCO TO BE- SW'!$D101,SUM('TCO TO BE- SW'!K$37:K$46)*VLOOKUP('TCO TO BE- SW'!K$2,MODULY_CBA!$B$3:$L$23,10,0),0),0)</f>
        <v>28417.95861021879</v>
      </c>
      <c r="L101" s="588">
        <f>IFERROR(IF(VLOOKUP(L$2,MODULY_CBA!$B$3:$N$23,13,0)&lt;='TCO TO BE- SW'!$D101,SUM('TCO TO BE- SW'!L$37:L$46)*VLOOKUP('TCO TO BE- SW'!L$2,MODULY_CBA!$B$3:$L$23,10,0),0),0)</f>
        <v>0</v>
      </c>
      <c r="M101" s="588">
        <f>IFERROR(IF(VLOOKUP(M$2,MODULY_CBA!$B$3:$N$23,13,0)&lt;='TCO TO BE- SW'!$D101,SUM('TCO TO BE- SW'!M$37:M$46)*VLOOKUP('TCO TO BE- SW'!M$2,MODULY_CBA!$B$3:$L$23,10,0),0),0)</f>
        <v>0</v>
      </c>
      <c r="N101" s="588">
        <f>IFERROR(IF(VLOOKUP(N$2,MODULY_CBA!$B$3:$N$23,13,0)&lt;='TCO TO BE- SW'!$D101,SUM('TCO TO BE- SW'!N$37:N$46)*VLOOKUP('TCO TO BE- SW'!N$2,MODULY_CBA!$B$3:$L$23,10,0),0),0)</f>
        <v>0</v>
      </c>
      <c r="O101" s="588">
        <f>IFERROR(IF(VLOOKUP(O$2,MODULY_CBA!$B$3:$N$23,13,0)&lt;='TCO TO BE- SW'!$D101,SUM('TCO TO BE- SW'!O$37:O$46)*VLOOKUP('TCO TO BE- SW'!O$2,MODULY_CBA!$B$3:$L$23,10,0),0),0)</f>
        <v>384466.71904294618</v>
      </c>
      <c r="P101" s="588">
        <f>IFERROR(IF(VLOOKUP(P$2,MODULY_CBA!$B$3:$N$23,13,0)&lt;='TCO TO BE- SW'!$D101,SUM('TCO TO BE- SW'!P$37:P$46)*VLOOKUP('TCO TO BE- SW'!P$2,MODULY_CBA!$B$3:$L$23,10,0),0),0)</f>
        <v>0</v>
      </c>
      <c r="Q101" s="588">
        <f>IFERROR(IF(VLOOKUP(Q$2,MODULY_CBA!$B$3:$N$23,13,0)&lt;='TCO TO BE- SW'!$D101,SUM('TCO TO BE- SW'!Q$37:Q$46)*VLOOKUP('TCO TO BE- SW'!Q$2,MODULY_CBA!$B$3:$L$23,10,0),0),0)</f>
        <v>0</v>
      </c>
      <c r="R101" s="588">
        <f>IFERROR(IF(VLOOKUP(R$2,MODULY_CBA!$B$3:$N$23,13,0)&lt;='TCO TO BE- SW'!$D101,SUM('TCO TO BE- SW'!R$37:R$46)*VLOOKUP('TCO TO BE- SW'!R$2,MODULY_CBA!$B$3:$L$23,10,0),0),0)</f>
        <v>97225.52966507175</v>
      </c>
      <c r="S101" s="588">
        <f>IFERROR(IF(VLOOKUP(S$2,MODULY_CBA!$B$3:$N$23,13,0)&lt;='TCO TO BE- SW'!$D101,SUM('TCO TO BE- SW'!S$37:S$46)*VLOOKUP('TCO TO BE- SW'!S$2,MODULY_CBA!$B$3:$L$23,10,0),0),0)</f>
        <v>0</v>
      </c>
      <c r="T101" s="588">
        <f>IFERROR(IF(VLOOKUP(T$2,MODULY_CBA!$B$3:$N$23,13,0)&lt;='TCO TO BE- SW'!$D101,SUM('TCO TO BE- SW'!T$37:T$46)*VLOOKUP('TCO TO BE- SW'!T$2,MODULY_CBA!$B$3:$L$23,10,0),0),0)</f>
        <v>0</v>
      </c>
      <c r="U101" s="588">
        <f>IFERROR(IF(VLOOKUP(U$2,MODULY_CBA!$B$3:$N$23,13,0)&lt;='TCO TO BE- SW'!$D101,SUM('TCO TO BE- SW'!U$37:U$46)*VLOOKUP('TCO TO BE- SW'!U$2,MODULY_CBA!$B$3:$L$23,10,0),0),0)</f>
        <v>0</v>
      </c>
      <c r="V101" s="588">
        <f>IFERROR(IF(VLOOKUP(V$2,MODULY_CBA!$B$3:$N$23,13,0)&lt;='TCO TO BE- SW'!$D101,SUM('TCO TO BE- SW'!V$37:V$46)*VLOOKUP('TCO TO BE- SW'!V$2,MODULY_CBA!$B$3:$L$23,10,0),0),0)</f>
        <v>0</v>
      </c>
      <c r="W101" s="588">
        <f>IFERROR(IF(VLOOKUP(W$2,MODULY_CBA!$B$3:$N$23,13,0)&lt;='TCO TO BE- SW'!$D101,SUM('TCO TO BE- SW'!W$37:W$46)*VLOOKUP('TCO TO BE- SW'!W$2,MODULY_CBA!$B$3:$L$23,10,0),0),0)</f>
        <v>0</v>
      </c>
      <c r="X101" s="588">
        <f>IFERROR(IF(VLOOKUP(X$2,MODULY_CBA!$B$3:$N$23,13,0)&lt;='TCO TO BE- SW'!$D101,SUM('TCO TO BE- SW'!X$37:X$46)*VLOOKUP('TCO TO BE- SW'!X$2,MODULY_CBA!$B$3:$L$23,10,0),0),0)</f>
        <v>0</v>
      </c>
      <c r="Y101" s="588">
        <f>IFERROR(IF(VLOOKUP(Y$2,MODULY_CBA!$B$3:$N$23,13,0)&lt;='TCO TO BE- SW'!$D101,SUM('TCO TO BE- SW'!Y$37:Y$46)*VLOOKUP('TCO TO BE- SW'!Y$2,MODULY_CBA!$B$3:$L$23,10,0),0),0)</f>
        <v>0</v>
      </c>
      <c r="Z101" s="588">
        <f>IFERROR(IF(VLOOKUP(Z$2,MODULY_CBA!$B$3:$N$23,13,0)&lt;='TCO TO BE- SW'!$D101,SUM('TCO TO BE- SW'!Z$37:Z$46)*VLOOKUP('TCO TO BE- SW'!Z$2,MODULY_CBA!$B$3:$L$23,10,0),0),0)</f>
        <v>0</v>
      </c>
    </row>
    <row r="102" spans="1:26" outlineLevel="2">
      <c r="A102" s="841"/>
      <c r="B102" s="842"/>
      <c r="C102" s="842"/>
      <c r="D102" s="64">
        <v>3</v>
      </c>
      <c r="E102" s="68">
        <f t="shared" si="14"/>
        <v>1634660.6412723367</v>
      </c>
      <c r="F102" s="588">
        <f>IFERROR(IF(VLOOKUP(F$2,MODULY_CBA!$B$3:$N$23,13,0)&lt;='TCO TO BE- SW'!$D102,SUM('TCO TO BE- SW'!F$37:F$46)*VLOOKUP('TCO TO BE- SW'!F$2,MODULY_CBA!$B$3:$L$23,10,0),0),0)</f>
        <v>16367.802127708888</v>
      </c>
      <c r="G102" s="588">
        <f>IFERROR(IF(VLOOKUP(G$2,MODULY_CBA!$B$3:$N$23,13,0)&lt;='TCO TO BE- SW'!$D102,SUM('TCO TO BE- SW'!G$37:G$46)*VLOOKUP('TCO TO BE- SW'!G$2,MODULY_CBA!$B$3:$L$23,10,0),0),0)</f>
        <v>0</v>
      </c>
      <c r="H102" s="588">
        <f>IFERROR(IF(VLOOKUP(H$2,MODULY_CBA!$B$3:$N$23,13,0)&lt;='TCO TO BE- SW'!$D102,SUM('TCO TO BE- SW'!H$37:H$46)*VLOOKUP('TCO TO BE- SW'!H$2,MODULY_CBA!$B$3:$L$23,10,0),0),0)</f>
        <v>33599.133384457578</v>
      </c>
      <c r="I102" s="588">
        <f>IFERROR(IF(VLOOKUP(I$2,MODULY_CBA!$B$3:$N$23,13,0)&lt;='TCO TO BE- SW'!$D102,SUM('TCO TO BE- SW'!I$37:I$46)*VLOOKUP('TCO TO BE- SW'!I$2,MODULY_CBA!$B$3:$L$23,10,0),0),0)</f>
        <v>0</v>
      </c>
      <c r="J102" s="588">
        <f>IFERROR(IF(VLOOKUP(J$2,MODULY_CBA!$B$3:$N$23,13,0)&lt;='TCO TO BE- SW'!$D102,SUM('TCO TO BE- SW'!J$37:J$46)*VLOOKUP('TCO TO BE- SW'!J$2,MODULY_CBA!$B$3:$L$23,10,0),0),0)</f>
        <v>46983.83488457444</v>
      </c>
      <c r="K102" s="588">
        <f>IFERROR(IF(VLOOKUP(K$2,MODULY_CBA!$B$3:$N$23,13,0)&lt;='TCO TO BE- SW'!$D102,SUM('TCO TO BE- SW'!K$37:K$46)*VLOOKUP('TCO TO BE- SW'!K$2,MODULY_CBA!$B$3:$L$23,10,0),0),0)</f>
        <v>28417.95861021879</v>
      </c>
      <c r="L102" s="588">
        <f>IFERROR(IF(VLOOKUP(L$2,MODULY_CBA!$B$3:$N$23,13,0)&lt;='TCO TO BE- SW'!$D102,SUM('TCO TO BE- SW'!L$37:L$46)*VLOOKUP('TCO TO BE- SW'!L$2,MODULY_CBA!$B$3:$L$23,10,0),0),0)</f>
        <v>0</v>
      </c>
      <c r="M102" s="588">
        <f>IFERROR(IF(VLOOKUP(M$2,MODULY_CBA!$B$3:$N$23,13,0)&lt;='TCO TO BE- SW'!$D102,SUM('TCO TO BE- SW'!M$37:M$46)*VLOOKUP('TCO TO BE- SW'!M$2,MODULY_CBA!$B$3:$L$23,10,0),0),0)</f>
        <v>670687.37399559177</v>
      </c>
      <c r="N102" s="588">
        <f>IFERROR(IF(VLOOKUP(N$2,MODULY_CBA!$B$3:$N$23,13,0)&lt;='TCO TO BE- SW'!$D102,SUM('TCO TO BE- SW'!N$37:N$46)*VLOOKUP('TCO TO BE- SW'!N$2,MODULY_CBA!$B$3:$L$23,10,0),0),0)</f>
        <v>79758.690464039479</v>
      </c>
      <c r="O102" s="588">
        <f>IFERROR(IF(VLOOKUP(O$2,MODULY_CBA!$B$3:$N$23,13,0)&lt;='TCO TO BE- SW'!$D102,SUM('TCO TO BE- SW'!O$37:O$46)*VLOOKUP('TCO TO BE- SW'!O$2,MODULY_CBA!$B$3:$L$23,10,0),0),0)</f>
        <v>384466.71904294618</v>
      </c>
      <c r="P102" s="588">
        <f>IFERROR(IF(VLOOKUP(P$2,MODULY_CBA!$B$3:$N$23,13,0)&lt;='TCO TO BE- SW'!$D102,SUM('TCO TO BE- SW'!P$37:P$46)*VLOOKUP('TCO TO BE- SW'!P$2,MODULY_CBA!$B$3:$L$23,10,0),0),0)</f>
        <v>0</v>
      </c>
      <c r="Q102" s="588">
        <f>IFERROR(IF(VLOOKUP(Q$2,MODULY_CBA!$B$3:$N$23,13,0)&lt;='TCO TO BE- SW'!$D102,SUM('TCO TO BE- SW'!Q$37:Q$46)*VLOOKUP('TCO TO BE- SW'!Q$2,MODULY_CBA!$B$3:$L$23,10,0),0),0)</f>
        <v>277153.59909772774</v>
      </c>
      <c r="R102" s="588">
        <f>IFERROR(IF(VLOOKUP(R$2,MODULY_CBA!$B$3:$N$23,13,0)&lt;='TCO TO BE- SW'!$D102,SUM('TCO TO BE- SW'!R$37:R$46)*VLOOKUP('TCO TO BE- SW'!R$2,MODULY_CBA!$B$3:$L$23,10,0),0),0)</f>
        <v>97225.52966507175</v>
      </c>
      <c r="S102" s="588">
        <f>IFERROR(IF(VLOOKUP(S$2,MODULY_CBA!$B$3:$N$23,13,0)&lt;='TCO TO BE- SW'!$D102,SUM('TCO TO BE- SW'!S$37:S$46)*VLOOKUP('TCO TO BE- SW'!S$2,MODULY_CBA!$B$3:$L$23,10,0),0),0)</f>
        <v>0</v>
      </c>
      <c r="T102" s="588">
        <f>IFERROR(IF(VLOOKUP(T$2,MODULY_CBA!$B$3:$N$23,13,0)&lt;='TCO TO BE- SW'!$D102,SUM('TCO TO BE- SW'!T$37:T$46)*VLOOKUP('TCO TO BE- SW'!T$2,MODULY_CBA!$B$3:$L$23,10,0),0),0)</f>
        <v>0</v>
      </c>
      <c r="U102" s="588">
        <f>IFERROR(IF(VLOOKUP(U$2,MODULY_CBA!$B$3:$N$23,13,0)&lt;='TCO TO BE- SW'!$D102,SUM('TCO TO BE- SW'!U$37:U$46)*VLOOKUP('TCO TO BE- SW'!U$2,MODULY_CBA!$B$3:$L$23,10,0),0),0)</f>
        <v>0</v>
      </c>
      <c r="V102" s="588">
        <f>IFERROR(IF(VLOOKUP(V$2,MODULY_CBA!$B$3:$N$23,13,0)&lt;='TCO TO BE- SW'!$D102,SUM('TCO TO BE- SW'!V$37:V$46)*VLOOKUP('TCO TO BE- SW'!V$2,MODULY_CBA!$B$3:$L$23,10,0),0),0)</f>
        <v>0</v>
      </c>
      <c r="W102" s="588">
        <f>IFERROR(IF(VLOOKUP(W$2,MODULY_CBA!$B$3:$N$23,13,0)&lt;='TCO TO BE- SW'!$D102,SUM('TCO TO BE- SW'!W$37:W$46)*VLOOKUP('TCO TO BE- SW'!W$2,MODULY_CBA!$B$3:$L$23,10,0),0),0)</f>
        <v>0</v>
      </c>
      <c r="X102" s="588">
        <f>IFERROR(IF(VLOOKUP(X$2,MODULY_CBA!$B$3:$N$23,13,0)&lt;='TCO TO BE- SW'!$D102,SUM('TCO TO BE- SW'!X$37:X$46)*VLOOKUP('TCO TO BE- SW'!X$2,MODULY_CBA!$B$3:$L$23,10,0),0),0)</f>
        <v>0</v>
      </c>
      <c r="Y102" s="588">
        <f>IFERROR(IF(VLOOKUP(Y$2,MODULY_CBA!$B$3:$N$23,13,0)&lt;='TCO TO BE- SW'!$D102,SUM('TCO TO BE- SW'!Y$37:Y$46)*VLOOKUP('TCO TO BE- SW'!Y$2,MODULY_CBA!$B$3:$L$23,10,0),0),0)</f>
        <v>0</v>
      </c>
      <c r="Z102" s="588">
        <f>IFERROR(IF(VLOOKUP(Z$2,MODULY_CBA!$B$3:$N$23,13,0)&lt;='TCO TO BE- SW'!$D102,SUM('TCO TO BE- SW'!Z$37:Z$46)*VLOOKUP('TCO TO BE- SW'!Z$2,MODULY_CBA!$B$3:$L$23,10,0),0),0)</f>
        <v>0</v>
      </c>
    </row>
    <row r="103" spans="1:26" outlineLevel="2">
      <c r="A103" s="841"/>
      <c r="B103" s="842"/>
      <c r="C103" s="842"/>
      <c r="D103" s="64">
        <v>4</v>
      </c>
      <c r="E103" s="68">
        <f t="shared" si="14"/>
        <v>1813764.4329000001</v>
      </c>
      <c r="F103" s="588">
        <f>IFERROR(IF(VLOOKUP(F$2,MODULY_CBA!$B$3:$N$23,13,0)&lt;='TCO TO BE- SW'!$D103,SUM('TCO TO BE- SW'!F$37:F$46)*VLOOKUP('TCO TO BE- SW'!F$2,MODULY_CBA!$B$3:$L$23,10,0),0),0)</f>
        <v>16367.802127708888</v>
      </c>
      <c r="G103" s="588">
        <f>IFERROR(IF(VLOOKUP(G$2,MODULY_CBA!$B$3:$N$23,13,0)&lt;='TCO TO BE- SW'!$D103,SUM('TCO TO BE- SW'!G$37:G$46)*VLOOKUP('TCO TO BE- SW'!G$2,MODULY_CBA!$B$3:$L$23,10,0),0),0)</f>
        <v>0</v>
      </c>
      <c r="H103" s="588">
        <f>IFERROR(IF(VLOOKUP(H$2,MODULY_CBA!$B$3:$N$23,13,0)&lt;='TCO TO BE- SW'!$D103,SUM('TCO TO BE- SW'!H$37:H$46)*VLOOKUP('TCO TO BE- SW'!H$2,MODULY_CBA!$B$3:$L$23,10,0),0),0)</f>
        <v>33599.133384457578</v>
      </c>
      <c r="I103" s="588">
        <f>IFERROR(IF(VLOOKUP(I$2,MODULY_CBA!$B$3:$N$23,13,0)&lt;='TCO TO BE- SW'!$D103,SUM('TCO TO BE- SW'!I$37:I$46)*VLOOKUP('TCO TO BE- SW'!I$2,MODULY_CBA!$B$3:$L$23,10,0),0),0)</f>
        <v>87922.965865870297</v>
      </c>
      <c r="J103" s="588">
        <f>IFERROR(IF(VLOOKUP(J$2,MODULY_CBA!$B$3:$N$23,13,0)&lt;='TCO TO BE- SW'!$D103,SUM('TCO TO BE- SW'!J$37:J$46)*VLOOKUP('TCO TO BE- SW'!J$2,MODULY_CBA!$B$3:$L$23,10,0),0),0)</f>
        <v>46983.83488457444</v>
      </c>
      <c r="K103" s="588">
        <f>IFERROR(IF(VLOOKUP(K$2,MODULY_CBA!$B$3:$N$23,13,0)&lt;='TCO TO BE- SW'!$D103,SUM('TCO TO BE- SW'!K$37:K$46)*VLOOKUP('TCO TO BE- SW'!K$2,MODULY_CBA!$B$3:$L$23,10,0),0),0)</f>
        <v>28417.95861021879</v>
      </c>
      <c r="L103" s="588">
        <f>IFERROR(IF(VLOOKUP(L$2,MODULY_CBA!$B$3:$N$23,13,0)&lt;='TCO TO BE- SW'!$D103,SUM('TCO TO BE- SW'!L$37:L$46)*VLOOKUP('TCO TO BE- SW'!L$2,MODULY_CBA!$B$3:$L$23,10,0),0),0)</f>
        <v>41802.660110335652</v>
      </c>
      <c r="M103" s="588">
        <f>IFERROR(IF(VLOOKUP(M$2,MODULY_CBA!$B$3:$N$23,13,0)&lt;='TCO TO BE- SW'!$D103,SUM('TCO TO BE- SW'!M$37:M$46)*VLOOKUP('TCO TO BE- SW'!M$2,MODULY_CBA!$B$3:$L$23,10,0),0),0)</f>
        <v>670687.37399559177</v>
      </c>
      <c r="N103" s="588">
        <f>IFERROR(IF(VLOOKUP(N$2,MODULY_CBA!$B$3:$N$23,13,0)&lt;='TCO TO BE- SW'!$D103,SUM('TCO TO BE- SW'!N$37:N$46)*VLOOKUP('TCO TO BE- SW'!N$2,MODULY_CBA!$B$3:$L$23,10,0),0),0)</f>
        <v>79758.690464039479</v>
      </c>
      <c r="O103" s="588">
        <f>IFERROR(IF(VLOOKUP(O$2,MODULY_CBA!$B$3:$N$23,13,0)&lt;='TCO TO BE- SW'!$D103,SUM('TCO TO BE- SW'!O$37:O$46)*VLOOKUP('TCO TO BE- SW'!O$2,MODULY_CBA!$B$3:$L$23,10,0),0),0)</f>
        <v>384466.71904294618</v>
      </c>
      <c r="P103" s="588">
        <f>IFERROR(IF(VLOOKUP(P$2,MODULY_CBA!$B$3:$N$23,13,0)&lt;='TCO TO BE- SW'!$D103,SUM('TCO TO BE- SW'!P$37:P$46)*VLOOKUP('TCO TO BE- SW'!P$2,MODULY_CBA!$B$3:$L$23,10,0),0),0)</f>
        <v>49378.165651457515</v>
      </c>
      <c r="Q103" s="588">
        <f>IFERROR(IF(VLOOKUP(Q$2,MODULY_CBA!$B$3:$N$23,13,0)&lt;='TCO TO BE- SW'!$D103,SUM('TCO TO BE- SW'!Q$37:Q$46)*VLOOKUP('TCO TO BE- SW'!Q$2,MODULY_CBA!$B$3:$L$23,10,0),0),0)</f>
        <v>277153.59909772774</v>
      </c>
      <c r="R103" s="588">
        <f>IFERROR(IF(VLOOKUP(R$2,MODULY_CBA!$B$3:$N$23,13,0)&lt;='TCO TO BE- SW'!$D103,SUM('TCO TO BE- SW'!R$37:R$46)*VLOOKUP('TCO TO BE- SW'!R$2,MODULY_CBA!$B$3:$L$23,10,0),0),0)</f>
        <v>97225.52966507175</v>
      </c>
      <c r="S103" s="588">
        <f>IFERROR(IF(VLOOKUP(S$2,MODULY_CBA!$B$3:$N$23,13,0)&lt;='TCO TO BE- SW'!$D103,SUM('TCO TO BE- SW'!S$37:S$46)*VLOOKUP('TCO TO BE- SW'!S$2,MODULY_CBA!$B$3:$L$23,10,0),0),0)</f>
        <v>0</v>
      </c>
      <c r="T103" s="588">
        <f>IFERROR(IF(VLOOKUP(T$2,MODULY_CBA!$B$3:$N$23,13,0)&lt;='TCO TO BE- SW'!$D103,SUM('TCO TO BE- SW'!T$37:T$46)*VLOOKUP('TCO TO BE- SW'!T$2,MODULY_CBA!$B$3:$L$23,10,0),0),0)</f>
        <v>0</v>
      </c>
      <c r="U103" s="588">
        <f>IFERROR(IF(VLOOKUP(U$2,MODULY_CBA!$B$3:$N$23,13,0)&lt;='TCO TO BE- SW'!$D103,SUM('TCO TO BE- SW'!U$37:U$46)*VLOOKUP('TCO TO BE- SW'!U$2,MODULY_CBA!$B$3:$L$23,10,0),0),0)</f>
        <v>0</v>
      </c>
      <c r="V103" s="588">
        <f>IFERROR(IF(VLOOKUP(V$2,MODULY_CBA!$B$3:$N$23,13,0)&lt;='TCO TO BE- SW'!$D103,SUM('TCO TO BE- SW'!V$37:V$46)*VLOOKUP('TCO TO BE- SW'!V$2,MODULY_CBA!$B$3:$L$23,10,0),0),0)</f>
        <v>0</v>
      </c>
      <c r="W103" s="588">
        <f>IFERROR(IF(VLOOKUP(W$2,MODULY_CBA!$B$3:$N$23,13,0)&lt;='TCO TO BE- SW'!$D103,SUM('TCO TO BE- SW'!W$37:W$46)*VLOOKUP('TCO TO BE- SW'!W$2,MODULY_CBA!$B$3:$L$23,10,0),0),0)</f>
        <v>0</v>
      </c>
      <c r="X103" s="588">
        <f>IFERROR(IF(VLOOKUP(X$2,MODULY_CBA!$B$3:$N$23,13,0)&lt;='TCO TO BE- SW'!$D103,SUM('TCO TO BE- SW'!X$37:X$46)*VLOOKUP('TCO TO BE- SW'!X$2,MODULY_CBA!$B$3:$L$23,10,0),0),0)</f>
        <v>0</v>
      </c>
      <c r="Y103" s="588">
        <f>IFERROR(IF(VLOOKUP(Y$2,MODULY_CBA!$B$3:$N$23,13,0)&lt;='TCO TO BE- SW'!$D103,SUM('TCO TO BE- SW'!Y$37:Y$46)*VLOOKUP('TCO TO BE- SW'!Y$2,MODULY_CBA!$B$3:$L$23,10,0),0),0)</f>
        <v>0</v>
      </c>
      <c r="Z103" s="588">
        <f>IFERROR(IF(VLOOKUP(Z$2,MODULY_CBA!$B$3:$N$23,13,0)&lt;='TCO TO BE- SW'!$D103,SUM('TCO TO BE- SW'!Z$37:Z$46)*VLOOKUP('TCO TO BE- SW'!Z$2,MODULY_CBA!$B$3:$L$23,10,0),0),0)</f>
        <v>0</v>
      </c>
    </row>
    <row r="104" spans="1:26" outlineLevel="2">
      <c r="A104" s="841"/>
      <c r="B104" s="842"/>
      <c r="C104" s="842"/>
      <c r="D104" s="64">
        <v>5</v>
      </c>
      <c r="E104" s="68">
        <f t="shared" si="14"/>
        <v>1813764.4329000001</v>
      </c>
      <c r="F104" s="588">
        <f>IFERROR(IF(VLOOKUP(F$2,MODULY_CBA!$B$3:$N$23,13,0)&lt;='TCO TO BE- SW'!$D104,SUM('TCO TO BE- SW'!F$37:F$46)*VLOOKUP('TCO TO BE- SW'!F$2,MODULY_CBA!$B$3:$L$23,10,0),0),0)</f>
        <v>16367.802127708888</v>
      </c>
      <c r="G104" s="588">
        <f>IFERROR(IF(VLOOKUP(G$2,MODULY_CBA!$B$3:$N$23,13,0)&lt;='TCO TO BE- SW'!$D104,SUM('TCO TO BE- SW'!G$37:G$46)*VLOOKUP('TCO TO BE- SW'!G$2,MODULY_CBA!$B$3:$L$23,10,0),0),0)</f>
        <v>0</v>
      </c>
      <c r="H104" s="588">
        <f>IFERROR(IF(VLOOKUP(H$2,MODULY_CBA!$B$3:$N$23,13,0)&lt;='TCO TO BE- SW'!$D104,SUM('TCO TO BE- SW'!H$37:H$46)*VLOOKUP('TCO TO BE- SW'!H$2,MODULY_CBA!$B$3:$L$23,10,0),0),0)</f>
        <v>33599.133384457578</v>
      </c>
      <c r="I104" s="588">
        <f>IFERROR(IF(VLOOKUP(I$2,MODULY_CBA!$B$3:$N$23,13,0)&lt;='TCO TO BE- SW'!$D104,SUM('TCO TO BE- SW'!I$37:I$46)*VLOOKUP('TCO TO BE- SW'!I$2,MODULY_CBA!$B$3:$L$23,10,0),0),0)</f>
        <v>87922.965865870297</v>
      </c>
      <c r="J104" s="588">
        <f>IFERROR(IF(VLOOKUP(J$2,MODULY_CBA!$B$3:$N$23,13,0)&lt;='TCO TO BE- SW'!$D104,SUM('TCO TO BE- SW'!J$37:J$46)*VLOOKUP('TCO TO BE- SW'!J$2,MODULY_CBA!$B$3:$L$23,10,0),0),0)</f>
        <v>46983.83488457444</v>
      </c>
      <c r="K104" s="588">
        <f>IFERROR(IF(VLOOKUP(K$2,MODULY_CBA!$B$3:$N$23,13,0)&lt;='TCO TO BE- SW'!$D104,SUM('TCO TO BE- SW'!K$37:K$46)*VLOOKUP('TCO TO BE- SW'!K$2,MODULY_CBA!$B$3:$L$23,10,0),0),0)</f>
        <v>28417.95861021879</v>
      </c>
      <c r="L104" s="588">
        <f>IFERROR(IF(VLOOKUP(L$2,MODULY_CBA!$B$3:$N$23,13,0)&lt;='TCO TO BE- SW'!$D104,SUM('TCO TO BE- SW'!L$37:L$46)*VLOOKUP('TCO TO BE- SW'!L$2,MODULY_CBA!$B$3:$L$23,10,0),0),0)</f>
        <v>41802.660110335652</v>
      </c>
      <c r="M104" s="588">
        <f>IFERROR(IF(VLOOKUP(M$2,MODULY_CBA!$B$3:$N$23,13,0)&lt;='TCO TO BE- SW'!$D104,SUM('TCO TO BE- SW'!M$37:M$46)*VLOOKUP('TCO TO BE- SW'!M$2,MODULY_CBA!$B$3:$L$23,10,0),0),0)</f>
        <v>670687.37399559177</v>
      </c>
      <c r="N104" s="588">
        <f>IFERROR(IF(VLOOKUP(N$2,MODULY_CBA!$B$3:$N$23,13,0)&lt;='TCO TO BE- SW'!$D104,SUM('TCO TO BE- SW'!N$37:N$46)*VLOOKUP('TCO TO BE- SW'!N$2,MODULY_CBA!$B$3:$L$23,10,0),0),0)</f>
        <v>79758.690464039479</v>
      </c>
      <c r="O104" s="588">
        <f>IFERROR(IF(VLOOKUP(O$2,MODULY_CBA!$B$3:$N$23,13,0)&lt;='TCO TO BE- SW'!$D104,SUM('TCO TO BE- SW'!O$37:O$46)*VLOOKUP('TCO TO BE- SW'!O$2,MODULY_CBA!$B$3:$L$23,10,0),0),0)</f>
        <v>384466.71904294618</v>
      </c>
      <c r="P104" s="588">
        <f>IFERROR(IF(VLOOKUP(P$2,MODULY_CBA!$B$3:$N$23,13,0)&lt;='TCO TO BE- SW'!$D104,SUM('TCO TO BE- SW'!P$37:P$46)*VLOOKUP('TCO TO BE- SW'!P$2,MODULY_CBA!$B$3:$L$23,10,0),0),0)</f>
        <v>49378.165651457515</v>
      </c>
      <c r="Q104" s="588">
        <f>IFERROR(IF(VLOOKUP(Q$2,MODULY_CBA!$B$3:$N$23,13,0)&lt;='TCO TO BE- SW'!$D104,SUM('TCO TO BE- SW'!Q$37:Q$46)*VLOOKUP('TCO TO BE- SW'!Q$2,MODULY_CBA!$B$3:$L$23,10,0),0),0)</f>
        <v>277153.59909772774</v>
      </c>
      <c r="R104" s="588">
        <f>IFERROR(IF(VLOOKUP(R$2,MODULY_CBA!$B$3:$N$23,13,0)&lt;='TCO TO BE- SW'!$D104,SUM('TCO TO BE- SW'!R$37:R$46)*VLOOKUP('TCO TO BE- SW'!R$2,MODULY_CBA!$B$3:$L$23,10,0),0),0)</f>
        <v>97225.52966507175</v>
      </c>
      <c r="S104" s="588">
        <f>IFERROR(IF(VLOOKUP(S$2,MODULY_CBA!$B$3:$N$23,13,0)&lt;='TCO TO BE- SW'!$D104,SUM('TCO TO BE- SW'!S$37:S$46)*VLOOKUP('TCO TO BE- SW'!S$2,MODULY_CBA!$B$3:$L$23,10,0),0),0)</f>
        <v>0</v>
      </c>
      <c r="T104" s="588">
        <f>IFERROR(IF(VLOOKUP(T$2,MODULY_CBA!$B$3:$N$23,13,0)&lt;='TCO TO BE- SW'!$D104,SUM('TCO TO BE- SW'!T$37:T$46)*VLOOKUP('TCO TO BE- SW'!T$2,MODULY_CBA!$B$3:$L$23,10,0),0),0)</f>
        <v>0</v>
      </c>
      <c r="U104" s="588">
        <f>IFERROR(IF(VLOOKUP(U$2,MODULY_CBA!$B$3:$N$23,13,0)&lt;='TCO TO BE- SW'!$D104,SUM('TCO TO BE- SW'!U$37:U$46)*VLOOKUP('TCO TO BE- SW'!U$2,MODULY_CBA!$B$3:$L$23,10,0),0),0)</f>
        <v>0</v>
      </c>
      <c r="V104" s="588">
        <f>IFERROR(IF(VLOOKUP(V$2,MODULY_CBA!$B$3:$N$23,13,0)&lt;='TCO TO BE- SW'!$D104,SUM('TCO TO BE- SW'!V$37:V$46)*VLOOKUP('TCO TO BE- SW'!V$2,MODULY_CBA!$B$3:$L$23,10,0),0),0)</f>
        <v>0</v>
      </c>
      <c r="W104" s="588">
        <f>IFERROR(IF(VLOOKUP(W$2,MODULY_CBA!$B$3:$N$23,13,0)&lt;='TCO TO BE- SW'!$D104,SUM('TCO TO BE- SW'!W$37:W$46)*VLOOKUP('TCO TO BE- SW'!W$2,MODULY_CBA!$B$3:$L$23,10,0),0),0)</f>
        <v>0</v>
      </c>
      <c r="X104" s="588">
        <f>IFERROR(IF(VLOOKUP(X$2,MODULY_CBA!$B$3:$N$23,13,0)&lt;='TCO TO BE- SW'!$D104,SUM('TCO TO BE- SW'!X$37:X$46)*VLOOKUP('TCO TO BE- SW'!X$2,MODULY_CBA!$B$3:$L$23,10,0),0),0)</f>
        <v>0</v>
      </c>
      <c r="Y104" s="588">
        <f>IFERROR(IF(VLOOKUP(Y$2,MODULY_CBA!$B$3:$N$23,13,0)&lt;='TCO TO BE- SW'!$D104,SUM('TCO TO BE- SW'!Y$37:Y$46)*VLOOKUP('TCO TO BE- SW'!Y$2,MODULY_CBA!$B$3:$L$23,10,0),0),0)</f>
        <v>0</v>
      </c>
      <c r="Z104" s="588">
        <f>IFERROR(IF(VLOOKUP(Z$2,MODULY_CBA!$B$3:$N$23,13,0)&lt;='TCO TO BE- SW'!$D104,SUM('TCO TO BE- SW'!Z$37:Z$46)*VLOOKUP('TCO TO BE- SW'!Z$2,MODULY_CBA!$B$3:$L$23,10,0),0),0)</f>
        <v>0</v>
      </c>
    </row>
    <row r="105" spans="1:26" outlineLevel="2">
      <c r="A105" s="841"/>
      <c r="B105" s="842"/>
      <c r="C105" s="842"/>
      <c r="D105" s="64">
        <v>6</v>
      </c>
      <c r="E105" s="68">
        <f t="shared" si="14"/>
        <v>1813764.4329000001</v>
      </c>
      <c r="F105" s="588">
        <f>IFERROR(IF(VLOOKUP(F$2,MODULY_CBA!$B$3:$N$23,13,0)&lt;='TCO TO BE- SW'!$D105,SUM('TCO TO BE- SW'!F$37:F$46)*VLOOKUP('TCO TO BE- SW'!F$2,MODULY_CBA!$B$3:$L$23,10,0),0),0)</f>
        <v>16367.802127708888</v>
      </c>
      <c r="G105" s="588">
        <f>IFERROR(IF(VLOOKUP(G$2,MODULY_CBA!$B$3:$N$23,13,0)&lt;='TCO TO BE- SW'!$D105,SUM('TCO TO BE- SW'!G$37:G$46)*VLOOKUP('TCO TO BE- SW'!G$2,MODULY_CBA!$B$3:$L$23,10,0),0),0)</f>
        <v>0</v>
      </c>
      <c r="H105" s="588">
        <f>IFERROR(IF(VLOOKUP(H$2,MODULY_CBA!$B$3:$N$23,13,0)&lt;='TCO TO BE- SW'!$D105,SUM('TCO TO BE- SW'!H$37:H$46)*VLOOKUP('TCO TO BE- SW'!H$2,MODULY_CBA!$B$3:$L$23,10,0),0),0)</f>
        <v>33599.133384457578</v>
      </c>
      <c r="I105" s="588">
        <f>IFERROR(IF(VLOOKUP(I$2,MODULY_CBA!$B$3:$N$23,13,0)&lt;='TCO TO BE- SW'!$D105,SUM('TCO TO BE- SW'!I$37:I$46)*VLOOKUP('TCO TO BE- SW'!I$2,MODULY_CBA!$B$3:$L$23,10,0),0),0)</f>
        <v>87922.965865870297</v>
      </c>
      <c r="J105" s="588">
        <f>IFERROR(IF(VLOOKUP(J$2,MODULY_CBA!$B$3:$N$23,13,0)&lt;='TCO TO BE- SW'!$D105,SUM('TCO TO BE- SW'!J$37:J$46)*VLOOKUP('TCO TO BE- SW'!J$2,MODULY_CBA!$B$3:$L$23,10,0),0),0)</f>
        <v>46983.83488457444</v>
      </c>
      <c r="K105" s="588">
        <f>IFERROR(IF(VLOOKUP(K$2,MODULY_CBA!$B$3:$N$23,13,0)&lt;='TCO TO BE- SW'!$D105,SUM('TCO TO BE- SW'!K$37:K$46)*VLOOKUP('TCO TO BE- SW'!K$2,MODULY_CBA!$B$3:$L$23,10,0),0),0)</f>
        <v>28417.95861021879</v>
      </c>
      <c r="L105" s="588">
        <f>IFERROR(IF(VLOOKUP(L$2,MODULY_CBA!$B$3:$N$23,13,0)&lt;='TCO TO BE- SW'!$D105,SUM('TCO TO BE- SW'!L$37:L$46)*VLOOKUP('TCO TO BE- SW'!L$2,MODULY_CBA!$B$3:$L$23,10,0),0),0)</f>
        <v>41802.660110335652</v>
      </c>
      <c r="M105" s="588">
        <f>IFERROR(IF(VLOOKUP(M$2,MODULY_CBA!$B$3:$N$23,13,0)&lt;='TCO TO BE- SW'!$D105,SUM('TCO TO BE- SW'!M$37:M$46)*VLOOKUP('TCO TO BE- SW'!M$2,MODULY_CBA!$B$3:$L$23,10,0),0),0)</f>
        <v>670687.37399559177</v>
      </c>
      <c r="N105" s="588">
        <f>IFERROR(IF(VLOOKUP(N$2,MODULY_CBA!$B$3:$N$23,13,0)&lt;='TCO TO BE- SW'!$D105,SUM('TCO TO BE- SW'!N$37:N$46)*VLOOKUP('TCO TO BE- SW'!N$2,MODULY_CBA!$B$3:$L$23,10,0),0),0)</f>
        <v>79758.690464039479</v>
      </c>
      <c r="O105" s="588">
        <f>IFERROR(IF(VLOOKUP(O$2,MODULY_CBA!$B$3:$N$23,13,0)&lt;='TCO TO BE- SW'!$D105,SUM('TCO TO BE- SW'!O$37:O$46)*VLOOKUP('TCO TO BE- SW'!O$2,MODULY_CBA!$B$3:$L$23,10,0),0),0)</f>
        <v>384466.71904294618</v>
      </c>
      <c r="P105" s="588">
        <f>IFERROR(IF(VLOOKUP(P$2,MODULY_CBA!$B$3:$N$23,13,0)&lt;='TCO TO BE- SW'!$D105,SUM('TCO TO BE- SW'!P$37:P$46)*VLOOKUP('TCO TO BE- SW'!P$2,MODULY_CBA!$B$3:$L$23,10,0),0),0)</f>
        <v>49378.165651457515</v>
      </c>
      <c r="Q105" s="588">
        <f>IFERROR(IF(VLOOKUP(Q$2,MODULY_CBA!$B$3:$N$23,13,0)&lt;='TCO TO BE- SW'!$D105,SUM('TCO TO BE- SW'!Q$37:Q$46)*VLOOKUP('TCO TO BE- SW'!Q$2,MODULY_CBA!$B$3:$L$23,10,0),0),0)</f>
        <v>277153.59909772774</v>
      </c>
      <c r="R105" s="588">
        <f>IFERROR(IF(VLOOKUP(R$2,MODULY_CBA!$B$3:$N$23,13,0)&lt;='TCO TO BE- SW'!$D105,SUM('TCO TO BE- SW'!R$37:R$46)*VLOOKUP('TCO TO BE- SW'!R$2,MODULY_CBA!$B$3:$L$23,10,0),0),0)</f>
        <v>97225.52966507175</v>
      </c>
      <c r="S105" s="588">
        <f>IFERROR(IF(VLOOKUP(S$2,MODULY_CBA!$B$3:$N$23,13,0)&lt;='TCO TO BE- SW'!$D105,SUM('TCO TO BE- SW'!S$37:S$46)*VLOOKUP('TCO TO BE- SW'!S$2,MODULY_CBA!$B$3:$L$23,10,0),0),0)</f>
        <v>0</v>
      </c>
      <c r="T105" s="588">
        <f>IFERROR(IF(VLOOKUP(T$2,MODULY_CBA!$B$3:$N$23,13,0)&lt;='TCO TO BE- SW'!$D105,SUM('TCO TO BE- SW'!T$37:T$46)*VLOOKUP('TCO TO BE- SW'!T$2,MODULY_CBA!$B$3:$L$23,10,0),0),0)</f>
        <v>0</v>
      </c>
      <c r="U105" s="588">
        <f>IFERROR(IF(VLOOKUP(U$2,MODULY_CBA!$B$3:$N$23,13,0)&lt;='TCO TO BE- SW'!$D105,SUM('TCO TO BE- SW'!U$37:U$46)*VLOOKUP('TCO TO BE- SW'!U$2,MODULY_CBA!$B$3:$L$23,10,0),0),0)</f>
        <v>0</v>
      </c>
      <c r="V105" s="588">
        <f>IFERROR(IF(VLOOKUP(V$2,MODULY_CBA!$B$3:$N$23,13,0)&lt;='TCO TO BE- SW'!$D105,SUM('TCO TO BE- SW'!V$37:V$46)*VLOOKUP('TCO TO BE- SW'!V$2,MODULY_CBA!$B$3:$L$23,10,0),0),0)</f>
        <v>0</v>
      </c>
      <c r="W105" s="588">
        <f>IFERROR(IF(VLOOKUP(W$2,MODULY_CBA!$B$3:$N$23,13,0)&lt;='TCO TO BE- SW'!$D105,SUM('TCO TO BE- SW'!W$37:W$46)*VLOOKUP('TCO TO BE- SW'!W$2,MODULY_CBA!$B$3:$L$23,10,0),0),0)</f>
        <v>0</v>
      </c>
      <c r="X105" s="588">
        <f>IFERROR(IF(VLOOKUP(X$2,MODULY_CBA!$B$3:$N$23,13,0)&lt;='TCO TO BE- SW'!$D105,SUM('TCO TO BE- SW'!X$37:X$46)*VLOOKUP('TCO TO BE- SW'!X$2,MODULY_CBA!$B$3:$L$23,10,0),0),0)</f>
        <v>0</v>
      </c>
      <c r="Y105" s="588">
        <f>IFERROR(IF(VLOOKUP(Y$2,MODULY_CBA!$B$3:$N$23,13,0)&lt;='TCO TO BE- SW'!$D105,SUM('TCO TO BE- SW'!Y$37:Y$46)*VLOOKUP('TCO TO BE- SW'!Y$2,MODULY_CBA!$B$3:$L$23,10,0),0),0)</f>
        <v>0</v>
      </c>
      <c r="Z105" s="588">
        <f>IFERROR(IF(VLOOKUP(Z$2,MODULY_CBA!$B$3:$N$23,13,0)&lt;='TCO TO BE- SW'!$D105,SUM('TCO TO BE- SW'!Z$37:Z$46)*VLOOKUP('TCO TO BE- SW'!Z$2,MODULY_CBA!$B$3:$L$23,10,0),0),0)</f>
        <v>0</v>
      </c>
    </row>
    <row r="106" spans="1:26" outlineLevel="2">
      <c r="A106" s="841"/>
      <c r="B106" s="842"/>
      <c r="C106" s="842"/>
      <c r="D106" s="64">
        <v>7</v>
      </c>
      <c r="E106" s="68">
        <f t="shared" si="14"/>
        <v>1813764.4329000001</v>
      </c>
      <c r="F106" s="588">
        <f>IFERROR(IF(VLOOKUP(F$2,MODULY_CBA!$B$3:$N$23,13,0)&lt;='TCO TO BE- SW'!$D106,SUM('TCO TO BE- SW'!F$37:F$46)*VLOOKUP('TCO TO BE- SW'!F$2,MODULY_CBA!$B$3:$L$23,10,0),0),0)</f>
        <v>16367.802127708888</v>
      </c>
      <c r="G106" s="588">
        <f>IFERROR(IF(VLOOKUP(G$2,MODULY_CBA!$B$3:$N$23,13,0)&lt;='TCO TO BE- SW'!$D106,SUM('TCO TO BE- SW'!G$37:G$46)*VLOOKUP('TCO TO BE- SW'!G$2,MODULY_CBA!$B$3:$L$23,10,0),0),0)</f>
        <v>0</v>
      </c>
      <c r="H106" s="588">
        <f>IFERROR(IF(VLOOKUP(H$2,MODULY_CBA!$B$3:$N$23,13,0)&lt;='TCO TO BE- SW'!$D106,SUM('TCO TO BE- SW'!H$37:H$46)*VLOOKUP('TCO TO BE- SW'!H$2,MODULY_CBA!$B$3:$L$23,10,0),0),0)</f>
        <v>33599.133384457578</v>
      </c>
      <c r="I106" s="588">
        <f>IFERROR(IF(VLOOKUP(I$2,MODULY_CBA!$B$3:$N$23,13,0)&lt;='TCO TO BE- SW'!$D106,SUM('TCO TO BE- SW'!I$37:I$46)*VLOOKUP('TCO TO BE- SW'!I$2,MODULY_CBA!$B$3:$L$23,10,0),0),0)</f>
        <v>87922.965865870297</v>
      </c>
      <c r="J106" s="588">
        <f>IFERROR(IF(VLOOKUP(J$2,MODULY_CBA!$B$3:$N$23,13,0)&lt;='TCO TO BE- SW'!$D106,SUM('TCO TO BE- SW'!J$37:J$46)*VLOOKUP('TCO TO BE- SW'!J$2,MODULY_CBA!$B$3:$L$23,10,0),0),0)</f>
        <v>46983.83488457444</v>
      </c>
      <c r="K106" s="588">
        <f>IFERROR(IF(VLOOKUP(K$2,MODULY_CBA!$B$3:$N$23,13,0)&lt;='TCO TO BE- SW'!$D106,SUM('TCO TO BE- SW'!K$37:K$46)*VLOOKUP('TCO TO BE- SW'!K$2,MODULY_CBA!$B$3:$L$23,10,0),0),0)</f>
        <v>28417.95861021879</v>
      </c>
      <c r="L106" s="588">
        <f>IFERROR(IF(VLOOKUP(L$2,MODULY_CBA!$B$3:$N$23,13,0)&lt;='TCO TO BE- SW'!$D106,SUM('TCO TO BE- SW'!L$37:L$46)*VLOOKUP('TCO TO BE- SW'!L$2,MODULY_CBA!$B$3:$L$23,10,0),0),0)</f>
        <v>41802.660110335652</v>
      </c>
      <c r="M106" s="588">
        <f>IFERROR(IF(VLOOKUP(M$2,MODULY_CBA!$B$3:$N$23,13,0)&lt;='TCO TO BE- SW'!$D106,SUM('TCO TO BE- SW'!M$37:M$46)*VLOOKUP('TCO TO BE- SW'!M$2,MODULY_CBA!$B$3:$L$23,10,0),0),0)</f>
        <v>670687.37399559177</v>
      </c>
      <c r="N106" s="588">
        <f>IFERROR(IF(VLOOKUP(N$2,MODULY_CBA!$B$3:$N$23,13,0)&lt;='TCO TO BE- SW'!$D106,SUM('TCO TO BE- SW'!N$37:N$46)*VLOOKUP('TCO TO BE- SW'!N$2,MODULY_CBA!$B$3:$L$23,10,0),0),0)</f>
        <v>79758.690464039479</v>
      </c>
      <c r="O106" s="588">
        <f>IFERROR(IF(VLOOKUP(O$2,MODULY_CBA!$B$3:$N$23,13,0)&lt;='TCO TO BE- SW'!$D106,SUM('TCO TO BE- SW'!O$37:O$46)*VLOOKUP('TCO TO BE- SW'!O$2,MODULY_CBA!$B$3:$L$23,10,0),0),0)</f>
        <v>384466.71904294618</v>
      </c>
      <c r="P106" s="588">
        <f>IFERROR(IF(VLOOKUP(P$2,MODULY_CBA!$B$3:$N$23,13,0)&lt;='TCO TO BE- SW'!$D106,SUM('TCO TO BE- SW'!P$37:P$46)*VLOOKUP('TCO TO BE- SW'!P$2,MODULY_CBA!$B$3:$L$23,10,0),0),0)</f>
        <v>49378.165651457515</v>
      </c>
      <c r="Q106" s="588">
        <f>IFERROR(IF(VLOOKUP(Q$2,MODULY_CBA!$B$3:$N$23,13,0)&lt;='TCO TO BE- SW'!$D106,SUM('TCO TO BE- SW'!Q$37:Q$46)*VLOOKUP('TCO TO BE- SW'!Q$2,MODULY_CBA!$B$3:$L$23,10,0),0),0)</f>
        <v>277153.59909772774</v>
      </c>
      <c r="R106" s="588">
        <f>IFERROR(IF(VLOOKUP(R$2,MODULY_CBA!$B$3:$N$23,13,0)&lt;='TCO TO BE- SW'!$D106,SUM('TCO TO BE- SW'!R$37:R$46)*VLOOKUP('TCO TO BE- SW'!R$2,MODULY_CBA!$B$3:$L$23,10,0),0),0)</f>
        <v>97225.52966507175</v>
      </c>
      <c r="S106" s="588">
        <f>IFERROR(IF(VLOOKUP(S$2,MODULY_CBA!$B$3:$N$23,13,0)&lt;='TCO TO BE- SW'!$D106,SUM('TCO TO BE- SW'!S$37:S$46)*VLOOKUP('TCO TO BE- SW'!S$2,MODULY_CBA!$B$3:$L$23,10,0),0),0)</f>
        <v>0</v>
      </c>
      <c r="T106" s="588">
        <f>IFERROR(IF(VLOOKUP(T$2,MODULY_CBA!$B$3:$N$23,13,0)&lt;='TCO TO BE- SW'!$D106,SUM('TCO TO BE- SW'!T$37:T$46)*VLOOKUP('TCO TO BE- SW'!T$2,MODULY_CBA!$B$3:$L$23,10,0),0),0)</f>
        <v>0</v>
      </c>
      <c r="U106" s="588">
        <f>IFERROR(IF(VLOOKUP(U$2,MODULY_CBA!$B$3:$N$23,13,0)&lt;='TCO TO BE- SW'!$D106,SUM('TCO TO BE- SW'!U$37:U$46)*VLOOKUP('TCO TO BE- SW'!U$2,MODULY_CBA!$B$3:$L$23,10,0),0),0)</f>
        <v>0</v>
      </c>
      <c r="V106" s="588">
        <f>IFERROR(IF(VLOOKUP(V$2,MODULY_CBA!$B$3:$N$23,13,0)&lt;='TCO TO BE- SW'!$D106,SUM('TCO TO BE- SW'!V$37:V$46)*VLOOKUP('TCO TO BE- SW'!V$2,MODULY_CBA!$B$3:$L$23,10,0),0),0)</f>
        <v>0</v>
      </c>
      <c r="W106" s="588">
        <f>IFERROR(IF(VLOOKUP(W$2,MODULY_CBA!$B$3:$N$23,13,0)&lt;='TCO TO BE- SW'!$D106,SUM('TCO TO BE- SW'!W$37:W$46)*VLOOKUP('TCO TO BE- SW'!W$2,MODULY_CBA!$B$3:$L$23,10,0),0),0)</f>
        <v>0</v>
      </c>
      <c r="X106" s="588">
        <f>IFERROR(IF(VLOOKUP(X$2,MODULY_CBA!$B$3:$N$23,13,0)&lt;='TCO TO BE- SW'!$D106,SUM('TCO TO BE- SW'!X$37:X$46)*VLOOKUP('TCO TO BE- SW'!X$2,MODULY_CBA!$B$3:$L$23,10,0),0),0)</f>
        <v>0</v>
      </c>
      <c r="Y106" s="588">
        <f>IFERROR(IF(VLOOKUP(Y$2,MODULY_CBA!$B$3:$N$23,13,0)&lt;='TCO TO BE- SW'!$D106,SUM('TCO TO BE- SW'!Y$37:Y$46)*VLOOKUP('TCO TO BE- SW'!Y$2,MODULY_CBA!$B$3:$L$23,10,0),0),0)</f>
        <v>0</v>
      </c>
      <c r="Z106" s="588">
        <f>IFERROR(IF(VLOOKUP(Z$2,MODULY_CBA!$B$3:$N$23,13,0)&lt;='TCO TO BE- SW'!$D106,SUM('TCO TO BE- SW'!Z$37:Z$46)*VLOOKUP('TCO TO BE- SW'!Z$2,MODULY_CBA!$B$3:$L$23,10,0),0),0)</f>
        <v>0</v>
      </c>
    </row>
    <row r="107" spans="1:26" outlineLevel="2">
      <c r="A107" s="841"/>
      <c r="B107" s="842"/>
      <c r="C107" s="842"/>
      <c r="D107" s="64">
        <v>8</v>
      </c>
      <c r="E107" s="68">
        <f t="shared" si="14"/>
        <v>1813764.4329000001</v>
      </c>
      <c r="F107" s="588">
        <f>IFERROR(IF(VLOOKUP(F$2,MODULY_CBA!$B$3:$N$23,13,0)&lt;='TCO TO BE- SW'!$D107,SUM('TCO TO BE- SW'!F$37:F$46)*VLOOKUP('TCO TO BE- SW'!F$2,MODULY_CBA!$B$3:$L$23,10,0),0),0)</f>
        <v>16367.802127708888</v>
      </c>
      <c r="G107" s="588">
        <f>IFERROR(IF(VLOOKUP(G$2,MODULY_CBA!$B$3:$N$23,13,0)&lt;='TCO TO BE- SW'!$D107,SUM('TCO TO BE- SW'!G$37:G$46)*VLOOKUP('TCO TO BE- SW'!G$2,MODULY_CBA!$B$3:$L$23,10,0),0),0)</f>
        <v>0</v>
      </c>
      <c r="H107" s="588">
        <f>IFERROR(IF(VLOOKUP(H$2,MODULY_CBA!$B$3:$N$23,13,0)&lt;='TCO TO BE- SW'!$D107,SUM('TCO TO BE- SW'!H$37:H$46)*VLOOKUP('TCO TO BE- SW'!H$2,MODULY_CBA!$B$3:$L$23,10,0),0),0)</f>
        <v>33599.133384457578</v>
      </c>
      <c r="I107" s="588">
        <f>IFERROR(IF(VLOOKUP(I$2,MODULY_CBA!$B$3:$N$23,13,0)&lt;='TCO TO BE- SW'!$D107,SUM('TCO TO BE- SW'!I$37:I$46)*VLOOKUP('TCO TO BE- SW'!I$2,MODULY_CBA!$B$3:$L$23,10,0),0),0)</f>
        <v>87922.965865870297</v>
      </c>
      <c r="J107" s="588">
        <f>IFERROR(IF(VLOOKUP(J$2,MODULY_CBA!$B$3:$N$23,13,0)&lt;='TCO TO BE- SW'!$D107,SUM('TCO TO BE- SW'!J$37:J$46)*VLOOKUP('TCO TO BE- SW'!J$2,MODULY_CBA!$B$3:$L$23,10,0),0),0)</f>
        <v>46983.83488457444</v>
      </c>
      <c r="K107" s="588">
        <f>IFERROR(IF(VLOOKUP(K$2,MODULY_CBA!$B$3:$N$23,13,0)&lt;='TCO TO BE- SW'!$D107,SUM('TCO TO BE- SW'!K$37:K$46)*VLOOKUP('TCO TO BE- SW'!K$2,MODULY_CBA!$B$3:$L$23,10,0),0),0)</f>
        <v>28417.95861021879</v>
      </c>
      <c r="L107" s="588">
        <f>IFERROR(IF(VLOOKUP(L$2,MODULY_CBA!$B$3:$N$23,13,0)&lt;='TCO TO BE- SW'!$D107,SUM('TCO TO BE- SW'!L$37:L$46)*VLOOKUP('TCO TO BE- SW'!L$2,MODULY_CBA!$B$3:$L$23,10,0),0),0)</f>
        <v>41802.660110335652</v>
      </c>
      <c r="M107" s="588">
        <f>IFERROR(IF(VLOOKUP(M$2,MODULY_CBA!$B$3:$N$23,13,0)&lt;='TCO TO BE- SW'!$D107,SUM('TCO TO BE- SW'!M$37:M$46)*VLOOKUP('TCO TO BE- SW'!M$2,MODULY_CBA!$B$3:$L$23,10,0),0),0)</f>
        <v>670687.37399559177</v>
      </c>
      <c r="N107" s="588">
        <f>IFERROR(IF(VLOOKUP(N$2,MODULY_CBA!$B$3:$N$23,13,0)&lt;='TCO TO BE- SW'!$D107,SUM('TCO TO BE- SW'!N$37:N$46)*VLOOKUP('TCO TO BE- SW'!N$2,MODULY_CBA!$B$3:$L$23,10,0),0),0)</f>
        <v>79758.690464039479</v>
      </c>
      <c r="O107" s="588">
        <f>IFERROR(IF(VLOOKUP(O$2,MODULY_CBA!$B$3:$N$23,13,0)&lt;='TCO TO BE- SW'!$D107,SUM('TCO TO BE- SW'!O$37:O$46)*VLOOKUP('TCO TO BE- SW'!O$2,MODULY_CBA!$B$3:$L$23,10,0),0),0)</f>
        <v>384466.71904294618</v>
      </c>
      <c r="P107" s="588">
        <f>IFERROR(IF(VLOOKUP(P$2,MODULY_CBA!$B$3:$N$23,13,0)&lt;='TCO TO BE- SW'!$D107,SUM('TCO TO BE- SW'!P$37:P$46)*VLOOKUP('TCO TO BE- SW'!P$2,MODULY_CBA!$B$3:$L$23,10,0),0),0)</f>
        <v>49378.165651457515</v>
      </c>
      <c r="Q107" s="588">
        <f>IFERROR(IF(VLOOKUP(Q$2,MODULY_CBA!$B$3:$N$23,13,0)&lt;='TCO TO BE- SW'!$D107,SUM('TCO TO BE- SW'!Q$37:Q$46)*VLOOKUP('TCO TO BE- SW'!Q$2,MODULY_CBA!$B$3:$L$23,10,0),0),0)</f>
        <v>277153.59909772774</v>
      </c>
      <c r="R107" s="588">
        <f>IFERROR(IF(VLOOKUP(R$2,MODULY_CBA!$B$3:$N$23,13,0)&lt;='TCO TO BE- SW'!$D107,SUM('TCO TO BE- SW'!R$37:R$46)*VLOOKUP('TCO TO BE- SW'!R$2,MODULY_CBA!$B$3:$L$23,10,0),0),0)</f>
        <v>97225.52966507175</v>
      </c>
      <c r="S107" s="588">
        <f>IFERROR(IF(VLOOKUP(S$2,MODULY_CBA!$B$3:$N$23,13,0)&lt;='TCO TO BE- SW'!$D107,SUM('TCO TO BE- SW'!S$37:S$46)*VLOOKUP('TCO TO BE- SW'!S$2,MODULY_CBA!$B$3:$L$23,10,0),0),0)</f>
        <v>0</v>
      </c>
      <c r="T107" s="588">
        <f>IFERROR(IF(VLOOKUP(T$2,MODULY_CBA!$B$3:$N$23,13,0)&lt;='TCO TO BE- SW'!$D107,SUM('TCO TO BE- SW'!T$37:T$46)*VLOOKUP('TCO TO BE- SW'!T$2,MODULY_CBA!$B$3:$L$23,10,0),0),0)</f>
        <v>0</v>
      </c>
      <c r="U107" s="588">
        <f>IFERROR(IF(VLOOKUP(U$2,MODULY_CBA!$B$3:$N$23,13,0)&lt;='TCO TO BE- SW'!$D107,SUM('TCO TO BE- SW'!U$37:U$46)*VLOOKUP('TCO TO BE- SW'!U$2,MODULY_CBA!$B$3:$L$23,10,0),0),0)</f>
        <v>0</v>
      </c>
      <c r="V107" s="588">
        <f>IFERROR(IF(VLOOKUP(V$2,MODULY_CBA!$B$3:$N$23,13,0)&lt;='TCO TO BE- SW'!$D107,SUM('TCO TO BE- SW'!V$37:V$46)*VLOOKUP('TCO TO BE- SW'!V$2,MODULY_CBA!$B$3:$L$23,10,0),0),0)</f>
        <v>0</v>
      </c>
      <c r="W107" s="588">
        <f>IFERROR(IF(VLOOKUP(W$2,MODULY_CBA!$B$3:$N$23,13,0)&lt;='TCO TO BE- SW'!$D107,SUM('TCO TO BE- SW'!W$37:W$46)*VLOOKUP('TCO TO BE- SW'!W$2,MODULY_CBA!$B$3:$L$23,10,0),0),0)</f>
        <v>0</v>
      </c>
      <c r="X107" s="588">
        <f>IFERROR(IF(VLOOKUP(X$2,MODULY_CBA!$B$3:$N$23,13,0)&lt;='TCO TO BE- SW'!$D107,SUM('TCO TO BE- SW'!X$37:X$46)*VLOOKUP('TCO TO BE- SW'!X$2,MODULY_CBA!$B$3:$L$23,10,0),0),0)</f>
        <v>0</v>
      </c>
      <c r="Y107" s="588">
        <f>IFERROR(IF(VLOOKUP(Y$2,MODULY_CBA!$B$3:$N$23,13,0)&lt;='TCO TO BE- SW'!$D107,SUM('TCO TO BE- SW'!Y$37:Y$46)*VLOOKUP('TCO TO BE- SW'!Y$2,MODULY_CBA!$B$3:$L$23,10,0),0),0)</f>
        <v>0</v>
      </c>
      <c r="Z107" s="588">
        <f>IFERROR(IF(VLOOKUP(Z$2,MODULY_CBA!$B$3:$N$23,13,0)&lt;='TCO TO BE- SW'!$D107,SUM('TCO TO BE- SW'!Z$37:Z$46)*VLOOKUP('TCO TO BE- SW'!Z$2,MODULY_CBA!$B$3:$L$23,10,0),0),0)</f>
        <v>0</v>
      </c>
    </row>
    <row r="108" spans="1:26" outlineLevel="2">
      <c r="A108" s="841"/>
      <c r="B108" s="842"/>
      <c r="C108" s="842"/>
      <c r="D108" s="64">
        <v>9</v>
      </c>
      <c r="E108" s="68">
        <f t="shared" si="14"/>
        <v>1813764.4329000001</v>
      </c>
      <c r="F108" s="588">
        <f>IFERROR(IF(VLOOKUP(F$2,MODULY_CBA!$B$3:$N$23,13,0)&lt;='TCO TO BE- SW'!$D108,SUM('TCO TO BE- SW'!F$37:F$46)*VLOOKUP('TCO TO BE- SW'!F$2,MODULY_CBA!$B$3:$L$23,10,0),0),0)</f>
        <v>16367.802127708888</v>
      </c>
      <c r="G108" s="588">
        <f>IFERROR(IF(VLOOKUP(G$2,MODULY_CBA!$B$3:$N$23,13,0)&lt;='TCO TO BE- SW'!$D108,SUM('TCO TO BE- SW'!G$37:G$46)*VLOOKUP('TCO TO BE- SW'!G$2,MODULY_CBA!$B$3:$L$23,10,0),0),0)</f>
        <v>0</v>
      </c>
      <c r="H108" s="588">
        <f>IFERROR(IF(VLOOKUP(H$2,MODULY_CBA!$B$3:$N$23,13,0)&lt;='TCO TO BE- SW'!$D108,SUM('TCO TO BE- SW'!H$37:H$46)*VLOOKUP('TCO TO BE- SW'!H$2,MODULY_CBA!$B$3:$L$23,10,0),0),0)</f>
        <v>33599.133384457578</v>
      </c>
      <c r="I108" s="588">
        <f>IFERROR(IF(VLOOKUP(I$2,MODULY_CBA!$B$3:$N$23,13,0)&lt;='TCO TO BE- SW'!$D108,SUM('TCO TO BE- SW'!I$37:I$46)*VLOOKUP('TCO TO BE- SW'!I$2,MODULY_CBA!$B$3:$L$23,10,0),0),0)</f>
        <v>87922.965865870297</v>
      </c>
      <c r="J108" s="588">
        <f>IFERROR(IF(VLOOKUP(J$2,MODULY_CBA!$B$3:$N$23,13,0)&lt;='TCO TO BE- SW'!$D108,SUM('TCO TO BE- SW'!J$37:J$46)*VLOOKUP('TCO TO BE- SW'!J$2,MODULY_CBA!$B$3:$L$23,10,0),0),0)</f>
        <v>46983.83488457444</v>
      </c>
      <c r="K108" s="588">
        <f>IFERROR(IF(VLOOKUP(K$2,MODULY_CBA!$B$3:$N$23,13,0)&lt;='TCO TO BE- SW'!$D108,SUM('TCO TO BE- SW'!K$37:K$46)*VLOOKUP('TCO TO BE- SW'!K$2,MODULY_CBA!$B$3:$L$23,10,0),0),0)</f>
        <v>28417.95861021879</v>
      </c>
      <c r="L108" s="588">
        <f>IFERROR(IF(VLOOKUP(L$2,MODULY_CBA!$B$3:$N$23,13,0)&lt;='TCO TO BE- SW'!$D108,SUM('TCO TO BE- SW'!L$37:L$46)*VLOOKUP('TCO TO BE- SW'!L$2,MODULY_CBA!$B$3:$L$23,10,0),0),0)</f>
        <v>41802.660110335652</v>
      </c>
      <c r="M108" s="588">
        <f>IFERROR(IF(VLOOKUP(M$2,MODULY_CBA!$B$3:$N$23,13,0)&lt;='TCO TO BE- SW'!$D108,SUM('TCO TO BE- SW'!M$37:M$46)*VLOOKUP('TCO TO BE- SW'!M$2,MODULY_CBA!$B$3:$L$23,10,0),0),0)</f>
        <v>670687.37399559177</v>
      </c>
      <c r="N108" s="588">
        <f>IFERROR(IF(VLOOKUP(N$2,MODULY_CBA!$B$3:$N$23,13,0)&lt;='TCO TO BE- SW'!$D108,SUM('TCO TO BE- SW'!N$37:N$46)*VLOOKUP('TCO TO BE- SW'!N$2,MODULY_CBA!$B$3:$L$23,10,0),0),0)</f>
        <v>79758.690464039479</v>
      </c>
      <c r="O108" s="588">
        <f>IFERROR(IF(VLOOKUP(O$2,MODULY_CBA!$B$3:$N$23,13,0)&lt;='TCO TO BE- SW'!$D108,SUM('TCO TO BE- SW'!O$37:O$46)*VLOOKUP('TCO TO BE- SW'!O$2,MODULY_CBA!$B$3:$L$23,10,0),0),0)</f>
        <v>384466.71904294618</v>
      </c>
      <c r="P108" s="588">
        <f>IFERROR(IF(VLOOKUP(P$2,MODULY_CBA!$B$3:$N$23,13,0)&lt;='TCO TO BE- SW'!$D108,SUM('TCO TO BE- SW'!P$37:P$46)*VLOOKUP('TCO TO BE- SW'!P$2,MODULY_CBA!$B$3:$L$23,10,0),0),0)</f>
        <v>49378.165651457515</v>
      </c>
      <c r="Q108" s="588">
        <f>IFERROR(IF(VLOOKUP(Q$2,MODULY_CBA!$B$3:$N$23,13,0)&lt;='TCO TO BE- SW'!$D108,SUM('TCO TO BE- SW'!Q$37:Q$46)*VLOOKUP('TCO TO BE- SW'!Q$2,MODULY_CBA!$B$3:$L$23,10,0),0),0)</f>
        <v>277153.59909772774</v>
      </c>
      <c r="R108" s="588">
        <f>IFERROR(IF(VLOOKUP(R$2,MODULY_CBA!$B$3:$N$23,13,0)&lt;='TCO TO BE- SW'!$D108,SUM('TCO TO BE- SW'!R$37:R$46)*VLOOKUP('TCO TO BE- SW'!R$2,MODULY_CBA!$B$3:$L$23,10,0),0),0)</f>
        <v>97225.52966507175</v>
      </c>
      <c r="S108" s="588">
        <f>IFERROR(IF(VLOOKUP(S$2,MODULY_CBA!$B$3:$N$23,13,0)&lt;='TCO TO BE- SW'!$D108,SUM('TCO TO BE- SW'!S$37:S$46)*VLOOKUP('TCO TO BE- SW'!S$2,MODULY_CBA!$B$3:$L$23,10,0),0),0)</f>
        <v>0</v>
      </c>
      <c r="T108" s="588">
        <f>IFERROR(IF(VLOOKUP(T$2,MODULY_CBA!$B$3:$N$23,13,0)&lt;='TCO TO BE- SW'!$D108,SUM('TCO TO BE- SW'!T$37:T$46)*VLOOKUP('TCO TO BE- SW'!T$2,MODULY_CBA!$B$3:$L$23,10,0),0),0)</f>
        <v>0</v>
      </c>
      <c r="U108" s="588">
        <f>IFERROR(IF(VLOOKUP(U$2,MODULY_CBA!$B$3:$N$23,13,0)&lt;='TCO TO BE- SW'!$D108,SUM('TCO TO BE- SW'!U$37:U$46)*VLOOKUP('TCO TO BE- SW'!U$2,MODULY_CBA!$B$3:$L$23,10,0),0),0)</f>
        <v>0</v>
      </c>
      <c r="V108" s="588">
        <f>IFERROR(IF(VLOOKUP(V$2,MODULY_CBA!$B$3:$N$23,13,0)&lt;='TCO TO BE- SW'!$D108,SUM('TCO TO BE- SW'!V$37:V$46)*VLOOKUP('TCO TO BE- SW'!V$2,MODULY_CBA!$B$3:$L$23,10,0),0),0)</f>
        <v>0</v>
      </c>
      <c r="W108" s="588">
        <f>IFERROR(IF(VLOOKUP(W$2,MODULY_CBA!$B$3:$N$23,13,0)&lt;='TCO TO BE- SW'!$D108,SUM('TCO TO BE- SW'!W$37:W$46)*VLOOKUP('TCO TO BE- SW'!W$2,MODULY_CBA!$B$3:$L$23,10,0),0),0)</f>
        <v>0</v>
      </c>
      <c r="X108" s="588">
        <f>IFERROR(IF(VLOOKUP(X$2,MODULY_CBA!$B$3:$N$23,13,0)&lt;='TCO TO BE- SW'!$D108,SUM('TCO TO BE- SW'!X$37:X$46)*VLOOKUP('TCO TO BE- SW'!X$2,MODULY_CBA!$B$3:$L$23,10,0),0),0)</f>
        <v>0</v>
      </c>
      <c r="Y108" s="588">
        <f>IFERROR(IF(VLOOKUP(Y$2,MODULY_CBA!$B$3:$N$23,13,0)&lt;='TCO TO BE- SW'!$D108,SUM('TCO TO BE- SW'!Y$37:Y$46)*VLOOKUP('TCO TO BE- SW'!Y$2,MODULY_CBA!$B$3:$L$23,10,0),0),0)</f>
        <v>0</v>
      </c>
      <c r="Z108" s="588">
        <f>IFERROR(IF(VLOOKUP(Z$2,MODULY_CBA!$B$3:$N$23,13,0)&lt;='TCO TO BE- SW'!$D108,SUM('TCO TO BE- SW'!Z$37:Z$46)*VLOOKUP('TCO TO BE- SW'!Z$2,MODULY_CBA!$B$3:$L$23,10,0),0),0)</f>
        <v>0</v>
      </c>
    </row>
    <row r="109" spans="1:26" ht="15" outlineLevel="2" thickBot="1">
      <c r="A109" s="841"/>
      <c r="B109" s="842"/>
      <c r="C109" s="842"/>
      <c r="D109" s="65">
        <v>10</v>
      </c>
      <c r="E109" s="69">
        <f t="shared" si="14"/>
        <v>1813764.4329000001</v>
      </c>
      <c r="F109" s="588">
        <f>IFERROR(IF(VLOOKUP(F$2,MODULY_CBA!$B$3:$N$23,13,0)&lt;='TCO TO BE- SW'!$D109,SUM('TCO TO BE- SW'!F$37:F$46)*VLOOKUP('TCO TO BE- SW'!F$2,MODULY_CBA!$B$3:$L$23,10,0),0),0)</f>
        <v>16367.802127708888</v>
      </c>
      <c r="G109" s="588">
        <f>IFERROR(IF(VLOOKUP(G$2,MODULY_CBA!$B$3:$N$23,13,0)&lt;='TCO TO BE- SW'!$D109,SUM('TCO TO BE- SW'!G$37:G$46)*VLOOKUP('TCO TO BE- SW'!G$2,MODULY_CBA!$B$3:$L$23,10,0),0),0)</f>
        <v>0</v>
      </c>
      <c r="H109" s="588">
        <f>IFERROR(IF(VLOOKUP(H$2,MODULY_CBA!$B$3:$N$23,13,0)&lt;='TCO TO BE- SW'!$D109,SUM('TCO TO BE- SW'!H$37:H$46)*VLOOKUP('TCO TO BE- SW'!H$2,MODULY_CBA!$B$3:$L$23,10,0),0),0)</f>
        <v>33599.133384457578</v>
      </c>
      <c r="I109" s="588">
        <f>IFERROR(IF(VLOOKUP(I$2,MODULY_CBA!$B$3:$N$23,13,0)&lt;='TCO TO BE- SW'!$D109,SUM('TCO TO BE- SW'!I$37:I$46)*VLOOKUP('TCO TO BE- SW'!I$2,MODULY_CBA!$B$3:$L$23,10,0),0),0)</f>
        <v>87922.965865870297</v>
      </c>
      <c r="J109" s="588">
        <f>IFERROR(IF(VLOOKUP(J$2,MODULY_CBA!$B$3:$N$23,13,0)&lt;='TCO TO BE- SW'!$D109,SUM('TCO TO BE- SW'!J$37:J$46)*VLOOKUP('TCO TO BE- SW'!J$2,MODULY_CBA!$B$3:$L$23,10,0),0),0)</f>
        <v>46983.83488457444</v>
      </c>
      <c r="K109" s="588">
        <f>IFERROR(IF(VLOOKUP(K$2,MODULY_CBA!$B$3:$N$23,13,0)&lt;='TCO TO BE- SW'!$D109,SUM('TCO TO BE- SW'!K$37:K$46)*VLOOKUP('TCO TO BE- SW'!K$2,MODULY_CBA!$B$3:$L$23,10,0),0),0)</f>
        <v>28417.95861021879</v>
      </c>
      <c r="L109" s="588">
        <f>IFERROR(IF(VLOOKUP(L$2,MODULY_CBA!$B$3:$N$23,13,0)&lt;='TCO TO BE- SW'!$D109,SUM('TCO TO BE- SW'!L$37:L$46)*VLOOKUP('TCO TO BE- SW'!L$2,MODULY_CBA!$B$3:$L$23,10,0),0),0)</f>
        <v>41802.660110335652</v>
      </c>
      <c r="M109" s="588">
        <f>IFERROR(IF(VLOOKUP(M$2,MODULY_CBA!$B$3:$N$23,13,0)&lt;='TCO TO BE- SW'!$D109,SUM('TCO TO BE- SW'!M$37:M$46)*VLOOKUP('TCO TO BE- SW'!M$2,MODULY_CBA!$B$3:$L$23,10,0),0),0)</f>
        <v>670687.37399559177</v>
      </c>
      <c r="N109" s="588">
        <f>IFERROR(IF(VLOOKUP(N$2,MODULY_CBA!$B$3:$N$23,13,0)&lt;='TCO TO BE- SW'!$D109,SUM('TCO TO BE- SW'!N$37:N$46)*VLOOKUP('TCO TO BE- SW'!N$2,MODULY_CBA!$B$3:$L$23,10,0),0),0)</f>
        <v>79758.690464039479</v>
      </c>
      <c r="O109" s="588">
        <f>IFERROR(IF(VLOOKUP(O$2,MODULY_CBA!$B$3:$N$23,13,0)&lt;='TCO TO BE- SW'!$D109,SUM('TCO TO BE- SW'!O$37:O$46)*VLOOKUP('TCO TO BE- SW'!O$2,MODULY_CBA!$B$3:$L$23,10,0),0),0)</f>
        <v>384466.71904294618</v>
      </c>
      <c r="P109" s="588">
        <f>IFERROR(IF(VLOOKUP(P$2,MODULY_CBA!$B$3:$N$23,13,0)&lt;='TCO TO BE- SW'!$D109,SUM('TCO TO BE- SW'!P$37:P$46)*VLOOKUP('TCO TO BE- SW'!P$2,MODULY_CBA!$B$3:$L$23,10,0),0),0)</f>
        <v>49378.165651457515</v>
      </c>
      <c r="Q109" s="588">
        <f>IFERROR(IF(VLOOKUP(Q$2,MODULY_CBA!$B$3:$N$23,13,0)&lt;='TCO TO BE- SW'!$D109,SUM('TCO TO BE- SW'!Q$37:Q$46)*VLOOKUP('TCO TO BE- SW'!Q$2,MODULY_CBA!$B$3:$L$23,10,0),0),0)</f>
        <v>277153.59909772774</v>
      </c>
      <c r="R109" s="588">
        <f>IFERROR(IF(VLOOKUP(R$2,MODULY_CBA!$B$3:$N$23,13,0)&lt;='TCO TO BE- SW'!$D109,SUM('TCO TO BE- SW'!R$37:R$46)*VLOOKUP('TCO TO BE- SW'!R$2,MODULY_CBA!$B$3:$L$23,10,0),0),0)</f>
        <v>97225.52966507175</v>
      </c>
      <c r="S109" s="588">
        <f>IFERROR(IF(VLOOKUP(S$2,MODULY_CBA!$B$3:$N$23,13,0)&lt;='TCO TO BE- SW'!$D109,SUM('TCO TO BE- SW'!S$37:S$46)*VLOOKUP('TCO TO BE- SW'!S$2,MODULY_CBA!$B$3:$L$23,10,0),0),0)</f>
        <v>0</v>
      </c>
      <c r="T109" s="588">
        <f>IFERROR(IF(VLOOKUP(T$2,MODULY_CBA!$B$3:$N$23,13,0)&lt;='TCO TO BE- SW'!$D109,SUM('TCO TO BE- SW'!T$37:T$46)*VLOOKUP('TCO TO BE- SW'!T$2,MODULY_CBA!$B$3:$L$23,10,0),0),0)</f>
        <v>0</v>
      </c>
      <c r="U109" s="588">
        <f>IFERROR(IF(VLOOKUP(U$2,MODULY_CBA!$B$3:$N$23,13,0)&lt;='TCO TO BE- SW'!$D109,SUM('TCO TO BE- SW'!U$37:U$46)*VLOOKUP('TCO TO BE- SW'!U$2,MODULY_CBA!$B$3:$L$23,10,0),0),0)</f>
        <v>0</v>
      </c>
      <c r="V109" s="588">
        <f>IFERROR(IF(VLOOKUP(V$2,MODULY_CBA!$B$3:$N$23,13,0)&lt;='TCO TO BE- SW'!$D109,SUM('TCO TO BE- SW'!V$37:V$46)*VLOOKUP('TCO TO BE- SW'!V$2,MODULY_CBA!$B$3:$L$23,10,0),0),0)</f>
        <v>0</v>
      </c>
      <c r="W109" s="588">
        <f>IFERROR(IF(VLOOKUP(W$2,MODULY_CBA!$B$3:$N$23,13,0)&lt;='TCO TO BE- SW'!$D109,SUM('TCO TO BE- SW'!W$37:W$46)*VLOOKUP('TCO TO BE- SW'!W$2,MODULY_CBA!$B$3:$L$23,10,0),0),0)</f>
        <v>0</v>
      </c>
      <c r="X109" s="588">
        <f>IFERROR(IF(VLOOKUP(X$2,MODULY_CBA!$B$3:$N$23,13,0)&lt;='TCO TO BE- SW'!$D109,SUM('TCO TO BE- SW'!X$37:X$46)*VLOOKUP('TCO TO BE- SW'!X$2,MODULY_CBA!$B$3:$L$23,10,0),0),0)</f>
        <v>0</v>
      </c>
      <c r="Y109" s="588">
        <f>IFERROR(IF(VLOOKUP(Y$2,MODULY_CBA!$B$3:$N$23,13,0)&lt;='TCO TO BE- SW'!$D109,SUM('TCO TO BE- SW'!Y$37:Y$46)*VLOOKUP('TCO TO BE- SW'!Y$2,MODULY_CBA!$B$3:$L$23,10,0),0),0)</f>
        <v>0</v>
      </c>
      <c r="Z109" s="588">
        <f>IFERROR(IF(VLOOKUP(Z$2,MODULY_CBA!$B$3:$N$23,13,0)&lt;='TCO TO BE- SW'!$D109,SUM('TCO TO BE- SW'!Z$37:Z$46)*VLOOKUP('TCO TO BE- SW'!Z$2,MODULY_CBA!$B$3:$L$23,10,0),0),0)</f>
        <v>0</v>
      </c>
    </row>
    <row r="110" spans="1:26" outlineLevel="2">
      <c r="A110" s="841" t="s">
        <v>2115</v>
      </c>
      <c r="B110" s="842" t="s">
        <v>2112</v>
      </c>
      <c r="C110" s="842">
        <v>635009</v>
      </c>
      <c r="D110" s="63">
        <v>1</v>
      </c>
      <c r="E110" s="68">
        <f t="shared" si="14"/>
        <v>0</v>
      </c>
      <c r="F110" s="578">
        <v>0</v>
      </c>
      <c r="G110" s="578">
        <v>0</v>
      </c>
      <c r="H110" s="578">
        <v>0</v>
      </c>
      <c r="I110" s="578">
        <v>0</v>
      </c>
      <c r="J110" s="578">
        <v>0</v>
      </c>
      <c r="K110" s="578">
        <v>0</v>
      </c>
      <c r="L110" s="578">
        <v>0</v>
      </c>
      <c r="M110" s="578">
        <v>0</v>
      </c>
      <c r="N110" s="578">
        <v>0</v>
      </c>
      <c r="O110" s="578">
        <v>0</v>
      </c>
      <c r="P110" s="578">
        <v>0</v>
      </c>
      <c r="Q110" s="578">
        <v>0</v>
      </c>
      <c r="R110" s="578">
        <v>0</v>
      </c>
      <c r="S110" s="578">
        <v>0</v>
      </c>
      <c r="T110" s="578">
        <v>0</v>
      </c>
      <c r="U110" s="578">
        <v>0</v>
      </c>
      <c r="V110" s="578">
        <v>0</v>
      </c>
      <c r="W110" s="578">
        <v>0</v>
      </c>
      <c r="X110" s="578">
        <v>0</v>
      </c>
      <c r="Y110" s="578">
        <v>0</v>
      </c>
      <c r="Z110" s="578">
        <v>0</v>
      </c>
    </row>
    <row r="111" spans="1:26" outlineLevel="2">
      <c r="A111" s="841"/>
      <c r="B111" s="842"/>
      <c r="C111" s="842"/>
      <c r="D111" s="64">
        <v>2</v>
      </c>
      <c r="E111" s="68">
        <f t="shared" si="14"/>
        <v>0</v>
      </c>
      <c r="F111" s="579">
        <v>0</v>
      </c>
      <c r="G111" s="579">
        <v>0</v>
      </c>
      <c r="H111" s="579">
        <v>0</v>
      </c>
      <c r="I111" s="579">
        <v>0</v>
      </c>
      <c r="J111" s="579">
        <v>0</v>
      </c>
      <c r="K111" s="579">
        <v>0</v>
      </c>
      <c r="L111" s="579">
        <v>0</v>
      </c>
      <c r="M111" s="579">
        <v>0</v>
      </c>
      <c r="N111" s="579">
        <v>0</v>
      </c>
      <c r="O111" s="579">
        <v>0</v>
      </c>
      <c r="P111" s="579">
        <v>0</v>
      </c>
      <c r="Q111" s="579">
        <v>0</v>
      </c>
      <c r="R111" s="579">
        <v>0</v>
      </c>
      <c r="S111" s="579">
        <v>0</v>
      </c>
      <c r="T111" s="579">
        <v>0</v>
      </c>
      <c r="U111" s="579">
        <v>0</v>
      </c>
      <c r="V111" s="579">
        <v>0</v>
      </c>
      <c r="W111" s="579">
        <v>0</v>
      </c>
      <c r="X111" s="579">
        <v>0</v>
      </c>
      <c r="Y111" s="579">
        <v>0</v>
      </c>
      <c r="Z111" s="579">
        <v>0</v>
      </c>
    </row>
    <row r="112" spans="1:26" outlineLevel="2">
      <c r="A112" s="841"/>
      <c r="B112" s="842"/>
      <c r="C112" s="842"/>
      <c r="D112" s="64">
        <v>3</v>
      </c>
      <c r="E112" s="68">
        <f t="shared" si="14"/>
        <v>0</v>
      </c>
      <c r="F112" s="579">
        <v>0</v>
      </c>
      <c r="G112" s="579">
        <v>0</v>
      </c>
      <c r="H112" s="579">
        <v>0</v>
      </c>
      <c r="I112" s="579">
        <v>0</v>
      </c>
      <c r="J112" s="579">
        <v>0</v>
      </c>
      <c r="K112" s="579">
        <v>0</v>
      </c>
      <c r="L112" s="579">
        <v>0</v>
      </c>
      <c r="M112" s="579">
        <v>0</v>
      </c>
      <c r="N112" s="579">
        <v>0</v>
      </c>
      <c r="O112" s="579">
        <v>0</v>
      </c>
      <c r="P112" s="579">
        <v>0</v>
      </c>
      <c r="Q112" s="579">
        <v>0</v>
      </c>
      <c r="R112" s="579">
        <v>0</v>
      </c>
      <c r="S112" s="579">
        <v>0</v>
      </c>
      <c r="T112" s="579">
        <v>0</v>
      </c>
      <c r="U112" s="579">
        <v>0</v>
      </c>
      <c r="V112" s="579">
        <v>0</v>
      </c>
      <c r="W112" s="579">
        <v>0</v>
      </c>
      <c r="X112" s="579">
        <v>0</v>
      </c>
      <c r="Y112" s="579">
        <v>0</v>
      </c>
      <c r="Z112" s="579">
        <v>0</v>
      </c>
    </row>
    <row r="113" spans="1:26" outlineLevel="2">
      <c r="A113" s="841"/>
      <c r="B113" s="842"/>
      <c r="C113" s="842"/>
      <c r="D113" s="64">
        <v>4</v>
      </c>
      <c r="E113" s="68">
        <f t="shared" si="14"/>
        <v>0</v>
      </c>
      <c r="F113" s="579">
        <v>0</v>
      </c>
      <c r="G113" s="579">
        <v>0</v>
      </c>
      <c r="H113" s="579">
        <v>0</v>
      </c>
      <c r="I113" s="579">
        <v>0</v>
      </c>
      <c r="J113" s="579">
        <v>0</v>
      </c>
      <c r="K113" s="579">
        <v>0</v>
      </c>
      <c r="L113" s="579">
        <v>0</v>
      </c>
      <c r="M113" s="579">
        <v>0</v>
      </c>
      <c r="N113" s="579">
        <v>0</v>
      </c>
      <c r="O113" s="579">
        <v>0</v>
      </c>
      <c r="P113" s="579">
        <v>0</v>
      </c>
      <c r="Q113" s="579">
        <v>0</v>
      </c>
      <c r="R113" s="579">
        <v>0</v>
      </c>
      <c r="S113" s="579">
        <v>0</v>
      </c>
      <c r="T113" s="579">
        <v>0</v>
      </c>
      <c r="U113" s="579">
        <v>0</v>
      </c>
      <c r="V113" s="579">
        <v>0</v>
      </c>
      <c r="W113" s="579">
        <v>0</v>
      </c>
      <c r="X113" s="579">
        <v>0</v>
      </c>
      <c r="Y113" s="579">
        <v>0</v>
      </c>
      <c r="Z113" s="579">
        <v>0</v>
      </c>
    </row>
    <row r="114" spans="1:26" outlineLevel="2">
      <c r="A114" s="841"/>
      <c r="B114" s="842"/>
      <c r="C114" s="842"/>
      <c r="D114" s="64">
        <v>5</v>
      </c>
      <c r="E114" s="68">
        <f t="shared" si="14"/>
        <v>0</v>
      </c>
      <c r="F114" s="579">
        <v>0</v>
      </c>
      <c r="G114" s="579">
        <v>0</v>
      </c>
      <c r="H114" s="579">
        <v>0</v>
      </c>
      <c r="I114" s="579">
        <v>0</v>
      </c>
      <c r="J114" s="579">
        <v>0</v>
      </c>
      <c r="K114" s="579">
        <v>0</v>
      </c>
      <c r="L114" s="579">
        <v>0</v>
      </c>
      <c r="M114" s="579">
        <v>0</v>
      </c>
      <c r="N114" s="579">
        <v>0</v>
      </c>
      <c r="O114" s="579">
        <v>0</v>
      </c>
      <c r="P114" s="579">
        <v>0</v>
      </c>
      <c r="Q114" s="579">
        <v>0</v>
      </c>
      <c r="R114" s="579">
        <v>0</v>
      </c>
      <c r="S114" s="579">
        <v>0</v>
      </c>
      <c r="T114" s="579">
        <v>0</v>
      </c>
      <c r="U114" s="579">
        <v>0</v>
      </c>
      <c r="V114" s="579">
        <v>0</v>
      </c>
      <c r="W114" s="579">
        <v>0</v>
      </c>
      <c r="X114" s="579">
        <v>0</v>
      </c>
      <c r="Y114" s="579">
        <v>0</v>
      </c>
      <c r="Z114" s="579">
        <v>0</v>
      </c>
    </row>
    <row r="115" spans="1:26" outlineLevel="2">
      <c r="A115" s="841"/>
      <c r="B115" s="842"/>
      <c r="C115" s="842"/>
      <c r="D115" s="64">
        <v>6</v>
      </c>
      <c r="E115" s="68">
        <f t="shared" si="14"/>
        <v>0</v>
      </c>
      <c r="F115" s="579">
        <v>0</v>
      </c>
      <c r="G115" s="579">
        <v>0</v>
      </c>
      <c r="H115" s="579">
        <v>0</v>
      </c>
      <c r="I115" s="579">
        <v>0</v>
      </c>
      <c r="J115" s="579">
        <v>0</v>
      </c>
      <c r="K115" s="579">
        <v>0</v>
      </c>
      <c r="L115" s="579">
        <v>0</v>
      </c>
      <c r="M115" s="579">
        <v>0</v>
      </c>
      <c r="N115" s="579">
        <v>0</v>
      </c>
      <c r="O115" s="579">
        <v>0</v>
      </c>
      <c r="P115" s="579">
        <v>0</v>
      </c>
      <c r="Q115" s="579">
        <v>0</v>
      </c>
      <c r="R115" s="579">
        <v>0</v>
      </c>
      <c r="S115" s="579">
        <v>0</v>
      </c>
      <c r="T115" s="579">
        <v>0</v>
      </c>
      <c r="U115" s="579">
        <v>0</v>
      </c>
      <c r="V115" s="579">
        <v>0</v>
      </c>
      <c r="W115" s="579">
        <v>0</v>
      </c>
      <c r="X115" s="579">
        <v>0</v>
      </c>
      <c r="Y115" s="579">
        <v>0</v>
      </c>
      <c r="Z115" s="579">
        <v>0</v>
      </c>
    </row>
    <row r="116" spans="1:26" outlineLevel="2">
      <c r="A116" s="841"/>
      <c r="B116" s="842"/>
      <c r="C116" s="842"/>
      <c r="D116" s="64">
        <v>7</v>
      </c>
      <c r="E116" s="68">
        <f t="shared" si="14"/>
        <v>0</v>
      </c>
      <c r="F116" s="579">
        <v>0</v>
      </c>
      <c r="G116" s="579">
        <v>0</v>
      </c>
      <c r="H116" s="579">
        <v>0</v>
      </c>
      <c r="I116" s="579">
        <v>0</v>
      </c>
      <c r="J116" s="579">
        <v>0</v>
      </c>
      <c r="K116" s="579">
        <v>0</v>
      </c>
      <c r="L116" s="579">
        <v>0</v>
      </c>
      <c r="M116" s="579">
        <v>0</v>
      </c>
      <c r="N116" s="579">
        <v>0</v>
      </c>
      <c r="O116" s="579">
        <v>0</v>
      </c>
      <c r="P116" s="579">
        <v>0</v>
      </c>
      <c r="Q116" s="579">
        <v>0</v>
      </c>
      <c r="R116" s="579">
        <v>0</v>
      </c>
      <c r="S116" s="579">
        <v>0</v>
      </c>
      <c r="T116" s="579">
        <v>0</v>
      </c>
      <c r="U116" s="579">
        <v>0</v>
      </c>
      <c r="V116" s="579">
        <v>0</v>
      </c>
      <c r="W116" s="579">
        <v>0</v>
      </c>
      <c r="X116" s="579">
        <v>0</v>
      </c>
      <c r="Y116" s="579">
        <v>0</v>
      </c>
      <c r="Z116" s="579">
        <v>0</v>
      </c>
    </row>
    <row r="117" spans="1:26" outlineLevel="2">
      <c r="A117" s="841"/>
      <c r="B117" s="842"/>
      <c r="C117" s="842"/>
      <c r="D117" s="64">
        <v>8</v>
      </c>
      <c r="E117" s="68">
        <f t="shared" si="14"/>
        <v>0</v>
      </c>
      <c r="F117" s="579">
        <v>0</v>
      </c>
      <c r="G117" s="579">
        <v>0</v>
      </c>
      <c r="H117" s="579">
        <v>0</v>
      </c>
      <c r="I117" s="579">
        <v>0</v>
      </c>
      <c r="J117" s="579">
        <v>0</v>
      </c>
      <c r="K117" s="579">
        <v>0</v>
      </c>
      <c r="L117" s="579">
        <v>0</v>
      </c>
      <c r="M117" s="579">
        <v>0</v>
      </c>
      <c r="N117" s="579">
        <v>0</v>
      </c>
      <c r="O117" s="579">
        <v>0</v>
      </c>
      <c r="P117" s="579">
        <v>0</v>
      </c>
      <c r="Q117" s="579">
        <v>0</v>
      </c>
      <c r="R117" s="579">
        <v>0</v>
      </c>
      <c r="S117" s="579">
        <v>0</v>
      </c>
      <c r="T117" s="579">
        <v>0</v>
      </c>
      <c r="U117" s="579">
        <v>0</v>
      </c>
      <c r="V117" s="579">
        <v>0</v>
      </c>
      <c r="W117" s="579">
        <v>0</v>
      </c>
      <c r="X117" s="579">
        <v>0</v>
      </c>
      <c r="Y117" s="579">
        <v>0</v>
      </c>
      <c r="Z117" s="579">
        <v>0</v>
      </c>
    </row>
    <row r="118" spans="1:26" outlineLevel="2">
      <c r="A118" s="841"/>
      <c r="B118" s="842"/>
      <c r="C118" s="842"/>
      <c r="D118" s="64">
        <v>9</v>
      </c>
      <c r="E118" s="68">
        <f t="shared" si="14"/>
        <v>0</v>
      </c>
      <c r="F118" s="579">
        <v>0</v>
      </c>
      <c r="G118" s="579">
        <v>0</v>
      </c>
      <c r="H118" s="579">
        <v>0</v>
      </c>
      <c r="I118" s="579">
        <v>0</v>
      </c>
      <c r="J118" s="579">
        <v>0</v>
      </c>
      <c r="K118" s="579">
        <v>0</v>
      </c>
      <c r="L118" s="579">
        <v>0</v>
      </c>
      <c r="M118" s="579">
        <v>0</v>
      </c>
      <c r="N118" s="579">
        <v>0</v>
      </c>
      <c r="O118" s="579">
        <v>0</v>
      </c>
      <c r="P118" s="579">
        <v>0</v>
      </c>
      <c r="Q118" s="579">
        <v>0</v>
      </c>
      <c r="R118" s="579">
        <v>0</v>
      </c>
      <c r="S118" s="579">
        <v>0</v>
      </c>
      <c r="T118" s="579">
        <v>0</v>
      </c>
      <c r="U118" s="579">
        <v>0</v>
      </c>
      <c r="V118" s="579">
        <v>0</v>
      </c>
      <c r="W118" s="579">
        <v>0</v>
      </c>
      <c r="X118" s="579">
        <v>0</v>
      </c>
      <c r="Y118" s="579">
        <v>0</v>
      </c>
      <c r="Z118" s="579">
        <v>0</v>
      </c>
    </row>
    <row r="119" spans="1:26" ht="15" outlineLevel="2" thickBot="1">
      <c r="A119" s="841"/>
      <c r="B119" s="842"/>
      <c r="C119" s="842"/>
      <c r="D119" s="65">
        <v>10</v>
      </c>
      <c r="E119" s="69">
        <f t="shared" si="14"/>
        <v>0</v>
      </c>
      <c r="F119" s="583">
        <v>0</v>
      </c>
      <c r="G119" s="583">
        <v>0</v>
      </c>
      <c r="H119" s="583">
        <v>0</v>
      </c>
      <c r="I119" s="583">
        <v>0</v>
      </c>
      <c r="J119" s="583">
        <v>0</v>
      </c>
      <c r="K119" s="583">
        <v>0</v>
      </c>
      <c r="L119" s="583">
        <v>0</v>
      </c>
      <c r="M119" s="583">
        <v>0</v>
      </c>
      <c r="N119" s="583">
        <v>0</v>
      </c>
      <c r="O119" s="583">
        <v>0</v>
      </c>
      <c r="P119" s="583">
        <v>0</v>
      </c>
      <c r="Q119" s="583">
        <v>0</v>
      </c>
      <c r="R119" s="583">
        <v>0</v>
      </c>
      <c r="S119" s="583">
        <v>0</v>
      </c>
      <c r="T119" s="583">
        <v>0</v>
      </c>
      <c r="U119" s="583">
        <v>0</v>
      </c>
      <c r="V119" s="583">
        <v>0</v>
      </c>
      <c r="W119" s="583">
        <v>0</v>
      </c>
      <c r="X119" s="583">
        <v>0</v>
      </c>
      <c r="Y119" s="583">
        <v>0</v>
      </c>
      <c r="Z119" s="583">
        <v>0</v>
      </c>
    </row>
    <row r="120" spans="1:26" outlineLevel="2">
      <c r="A120" s="841" t="s">
        <v>2116</v>
      </c>
      <c r="B120" s="842" t="s">
        <v>2031</v>
      </c>
      <c r="C120" s="842">
        <v>718006</v>
      </c>
      <c r="D120" s="63">
        <v>1</v>
      </c>
      <c r="E120" s="68">
        <f t="shared" si="14"/>
        <v>0</v>
      </c>
      <c r="F120" s="588">
        <f>IFERROR(IF(VLOOKUP(F$2,MODULY_CBA!$B$3:$N$23,13,0)&lt;='TCO TO BE- SW'!$D120,SUM('TCO TO BE- SW'!F$37:F$46)*VLOOKUP('TCO TO BE- SW'!F$2,MODULY_CBA!$B$3:$L$23,11,0),0),0)</f>
        <v>0</v>
      </c>
      <c r="G120" s="588">
        <f>IFERROR(IF(VLOOKUP(G$2,MODULY_CBA!$B$3:$N$23,13,0)&lt;='TCO TO BE- SW'!$D120,SUM('TCO TO BE- SW'!G$37:G$46)*VLOOKUP('TCO TO BE- SW'!G$2,MODULY_CBA!$B$3:$L$23,11,0),0),0)</f>
        <v>0</v>
      </c>
      <c r="H120" s="588">
        <f>IFERROR(IF(VLOOKUP(H$2,MODULY_CBA!$B$3:$N$23,13,0)&lt;='TCO TO BE- SW'!$D120,SUM('TCO TO BE- SW'!H$37:H$46)*VLOOKUP('TCO TO BE- SW'!H$2,MODULY_CBA!$B$3:$L$23,11,0),0),0)</f>
        <v>0</v>
      </c>
      <c r="I120" s="588">
        <f>IFERROR(IF(VLOOKUP(I$2,MODULY_CBA!$B$3:$N$23,13,0)&lt;='TCO TO BE- SW'!$D120,SUM('TCO TO BE- SW'!I$37:I$46)*VLOOKUP('TCO TO BE- SW'!I$2,MODULY_CBA!$B$3:$L$23,11,0),0),0)</f>
        <v>0</v>
      </c>
      <c r="J120" s="588">
        <f>IFERROR(IF(VLOOKUP(J$2,MODULY_CBA!$B$3:$N$23,13,0)&lt;='TCO TO BE- SW'!$D120,SUM('TCO TO BE- SW'!J$37:J$46)*VLOOKUP('TCO TO BE- SW'!J$2,MODULY_CBA!$B$3:$L$23,11,0),0),0)</f>
        <v>0</v>
      </c>
      <c r="K120" s="588">
        <f>IFERROR(IF(VLOOKUP(K$2,MODULY_CBA!$B$3:$N$23,13,0)&lt;='TCO TO BE- SW'!$D120,SUM('TCO TO BE- SW'!K$37:K$46)*VLOOKUP('TCO TO BE- SW'!K$2,MODULY_CBA!$B$3:$L$23,11,0),0),0)</f>
        <v>0</v>
      </c>
      <c r="L120" s="588">
        <f>IFERROR(IF(VLOOKUP(L$2,MODULY_CBA!$B$3:$N$23,13,0)&lt;='TCO TO BE- SW'!$D120,SUM('TCO TO BE- SW'!L$37:L$46)*VLOOKUP('TCO TO BE- SW'!L$2,MODULY_CBA!$B$3:$L$23,11,0),0),0)</f>
        <v>0</v>
      </c>
      <c r="M120" s="588">
        <f>IFERROR(IF(VLOOKUP(M$2,MODULY_CBA!$B$3:$N$23,13,0)&lt;='TCO TO BE- SW'!$D120,SUM('TCO TO BE- SW'!M$37:M$46)*VLOOKUP('TCO TO BE- SW'!M$2,MODULY_CBA!$B$3:$L$23,11,0),0),0)</f>
        <v>0</v>
      </c>
      <c r="N120" s="588">
        <f>IFERROR(IF(VLOOKUP(N$2,MODULY_CBA!$B$3:$N$23,13,0)&lt;='TCO TO BE- SW'!$D120,SUM('TCO TO BE- SW'!N$37:N$46)*VLOOKUP('TCO TO BE- SW'!N$2,MODULY_CBA!$B$3:$L$23,11,0),0),0)</f>
        <v>0</v>
      </c>
      <c r="O120" s="588">
        <f>IFERROR(IF(VLOOKUP(O$2,MODULY_CBA!$B$3:$N$23,13,0)&lt;='TCO TO BE- SW'!$D120,SUM('TCO TO BE- SW'!O$37:O$46)*VLOOKUP('TCO TO BE- SW'!O$2,MODULY_CBA!$B$3:$L$23,11,0),0),0)</f>
        <v>0</v>
      </c>
      <c r="P120" s="588">
        <f>IFERROR(IF(VLOOKUP(P$2,MODULY_CBA!$B$3:$N$23,13,0)&lt;='TCO TO BE- SW'!$D120,SUM('TCO TO BE- SW'!P$37:P$46)*VLOOKUP('TCO TO BE- SW'!P$2,MODULY_CBA!$B$3:$L$23,11,0),0),0)</f>
        <v>0</v>
      </c>
      <c r="Q120" s="588">
        <f>IFERROR(IF(VLOOKUP(Q$2,MODULY_CBA!$B$3:$N$23,13,0)&lt;='TCO TO BE- SW'!$D120,SUM('TCO TO BE- SW'!Q$37:Q$46)*VLOOKUP('TCO TO BE- SW'!Q$2,MODULY_CBA!$B$3:$L$23,11,0),0),0)</f>
        <v>0</v>
      </c>
      <c r="R120" s="588">
        <f>IFERROR(IF(VLOOKUP(R$2,MODULY_CBA!$B$3:$N$23,13,0)&lt;='TCO TO BE- SW'!$D120,SUM('TCO TO BE- SW'!R$37:R$46)*VLOOKUP('TCO TO BE- SW'!R$2,MODULY_CBA!$B$3:$L$23,11,0),0),0)</f>
        <v>0</v>
      </c>
      <c r="S120" s="588">
        <f>IFERROR(IF(VLOOKUP(S$2,MODULY_CBA!$B$3:$N$23,13,0)&lt;='TCO TO BE- SW'!$D120,SUM('TCO TO BE- SW'!S$37:S$46)*VLOOKUP('TCO TO BE- SW'!S$2,MODULY_CBA!$B$3:$L$23,11,0),0),0)</f>
        <v>0</v>
      </c>
      <c r="T120" s="588">
        <f>IFERROR(IF(VLOOKUP(T$2,MODULY_CBA!$B$3:$N$23,13,0)&lt;='TCO TO BE- SW'!$D120,SUM('TCO TO BE- SW'!T$37:T$46)*VLOOKUP('TCO TO BE- SW'!T$2,MODULY_CBA!$B$3:$L$23,11,0),0),0)</f>
        <v>0</v>
      </c>
      <c r="U120" s="588">
        <f>IFERROR(IF(VLOOKUP(U$2,MODULY_CBA!$B$3:$N$23,13,0)&lt;='TCO TO BE- SW'!$D120,SUM('TCO TO BE- SW'!U$37:U$46)*VLOOKUP('TCO TO BE- SW'!U$2,MODULY_CBA!$B$3:$L$23,11,0),0),0)</f>
        <v>0</v>
      </c>
      <c r="V120" s="588">
        <f>IFERROR(IF(VLOOKUP(V$2,MODULY_CBA!$B$3:$N$23,13,0)&lt;='TCO TO BE- SW'!$D120,SUM('TCO TO BE- SW'!V$37:V$46)*VLOOKUP('TCO TO BE- SW'!V$2,MODULY_CBA!$B$3:$L$23,11,0),0),0)</f>
        <v>0</v>
      </c>
      <c r="W120" s="588">
        <f>IFERROR(IF(VLOOKUP(W$2,MODULY_CBA!$B$3:$N$23,13,0)&lt;='TCO TO BE- SW'!$D120,SUM('TCO TO BE- SW'!W$37:W$46)*VLOOKUP('TCO TO BE- SW'!W$2,MODULY_CBA!$B$3:$L$23,11,0),0),0)</f>
        <v>0</v>
      </c>
      <c r="X120" s="588">
        <f>IFERROR(IF(VLOOKUP(X$2,MODULY_CBA!$B$3:$N$23,13,0)&lt;='TCO TO BE- SW'!$D120,SUM('TCO TO BE- SW'!X$37:X$46)*VLOOKUP('TCO TO BE- SW'!X$2,MODULY_CBA!$B$3:$L$23,11,0),0),0)</f>
        <v>0</v>
      </c>
      <c r="Y120" s="588">
        <f>IFERROR(IF(VLOOKUP(Y$2,MODULY_CBA!$B$3:$N$23,13,0)&lt;='TCO TO BE- SW'!$D120,SUM('TCO TO BE- SW'!Y$37:Y$46)*VLOOKUP('TCO TO BE- SW'!Y$2,MODULY_CBA!$B$3:$L$23,11,0),0),0)</f>
        <v>0</v>
      </c>
      <c r="Z120" s="588">
        <f>IFERROR(IF(VLOOKUP(Z$2,MODULY_CBA!$B$3:$N$23,13,0)&lt;='TCO TO BE- SW'!$D120,SUM('TCO TO BE- SW'!Z$37:Z$46)*VLOOKUP('TCO TO BE- SW'!Z$2,MODULY_CBA!$B$3:$L$23,11,0),0),0)</f>
        <v>0</v>
      </c>
    </row>
    <row r="121" spans="1:26" outlineLevel="2">
      <c r="A121" s="841"/>
      <c r="B121" s="842"/>
      <c r="C121" s="842"/>
      <c r="D121" s="64">
        <v>2</v>
      </c>
      <c r="E121" s="68">
        <f t="shared" si="14"/>
        <v>621382.10366022191</v>
      </c>
      <c r="F121" s="588">
        <f>IFERROR(IF(VLOOKUP(F$2,MODULY_CBA!$B$3:$N$23,13,0)&lt;='TCO TO BE- SW'!$D121,SUM('TCO TO BE- SW'!F$37:F$46)*VLOOKUP('TCO TO BE- SW'!F$2,MODULY_CBA!$B$3:$L$23,11,0),0),0)</f>
        <v>0</v>
      </c>
      <c r="G121" s="588">
        <f>IFERROR(IF(VLOOKUP(G$2,MODULY_CBA!$B$3:$N$23,13,0)&lt;='TCO TO BE- SW'!$D121,SUM('TCO TO BE- SW'!G$37:G$46)*VLOOKUP('TCO TO BE- SW'!G$2,MODULY_CBA!$B$3:$L$23,11,0),0),0)</f>
        <v>0</v>
      </c>
      <c r="H121" s="588">
        <f>IFERROR(IF(VLOOKUP(H$2,MODULY_CBA!$B$3:$N$23,13,0)&lt;='TCO TO BE- SW'!$D121,SUM('TCO TO BE- SW'!H$37:H$46)*VLOOKUP('TCO TO BE- SW'!H$2,MODULY_CBA!$B$3:$L$23,11,0),0),0)</f>
        <v>38399.009582237231</v>
      </c>
      <c r="I121" s="588">
        <f>IFERROR(IF(VLOOKUP(I$2,MODULY_CBA!$B$3:$N$23,13,0)&lt;='TCO TO BE- SW'!$D121,SUM('TCO TO BE- SW'!I$37:I$46)*VLOOKUP('TCO TO BE- SW'!I$2,MODULY_CBA!$B$3:$L$23,11,0),0),0)</f>
        <v>0</v>
      </c>
      <c r="J121" s="588">
        <f>IFERROR(IF(VLOOKUP(J$2,MODULY_CBA!$B$3:$N$23,13,0)&lt;='TCO TO BE- SW'!$D121,SUM('TCO TO BE- SW'!J$37:J$46)*VLOOKUP('TCO TO BE- SW'!J$2,MODULY_CBA!$B$3:$L$23,11,0),0),0)</f>
        <v>0</v>
      </c>
      <c r="K121" s="588">
        <f>IFERROR(IF(VLOOKUP(K$2,MODULY_CBA!$B$3:$N$23,13,0)&lt;='TCO TO BE- SW'!$D121,SUM('TCO TO BE- SW'!K$37:K$46)*VLOOKUP('TCO TO BE- SW'!K$2,MODULY_CBA!$B$3:$L$23,11,0),0),0)</f>
        <v>32477.666983107185</v>
      </c>
      <c r="L121" s="588">
        <f>IFERROR(IF(VLOOKUP(L$2,MODULY_CBA!$B$3:$N$23,13,0)&lt;='TCO TO BE- SW'!$D121,SUM('TCO TO BE- SW'!L$37:L$46)*VLOOKUP('TCO TO BE- SW'!L$2,MODULY_CBA!$B$3:$L$23,11,0),0),0)</f>
        <v>0</v>
      </c>
      <c r="M121" s="588">
        <f>IFERROR(IF(VLOOKUP(M$2,MODULY_CBA!$B$3:$N$23,13,0)&lt;='TCO TO BE- SW'!$D121,SUM('TCO TO BE- SW'!M$37:M$46)*VLOOKUP('TCO TO BE- SW'!M$2,MODULY_CBA!$B$3:$L$23,11,0),0),0)</f>
        <v>0</v>
      </c>
      <c r="N121" s="588">
        <f>IFERROR(IF(VLOOKUP(N$2,MODULY_CBA!$B$3:$N$23,13,0)&lt;='TCO TO BE- SW'!$D121,SUM('TCO TO BE- SW'!N$37:N$46)*VLOOKUP('TCO TO BE- SW'!N$2,MODULY_CBA!$B$3:$L$23,11,0),0),0)</f>
        <v>0</v>
      </c>
      <c r="O121" s="588">
        <f>IFERROR(IF(VLOOKUP(O$2,MODULY_CBA!$B$3:$N$23,13,0)&lt;='TCO TO BE- SW'!$D121,SUM('TCO TO BE- SW'!O$37:O$46)*VLOOKUP('TCO TO BE- SW'!O$2,MODULY_CBA!$B$3:$L$23,11,0),0),0)</f>
        <v>439390.5360490813</v>
      </c>
      <c r="P121" s="588">
        <f>IFERROR(IF(VLOOKUP(P$2,MODULY_CBA!$B$3:$N$23,13,0)&lt;='TCO TO BE- SW'!$D121,SUM('TCO TO BE- SW'!P$37:P$46)*VLOOKUP('TCO TO BE- SW'!P$2,MODULY_CBA!$B$3:$L$23,11,0),0),0)</f>
        <v>0</v>
      </c>
      <c r="Q121" s="588">
        <f>IFERROR(IF(VLOOKUP(Q$2,MODULY_CBA!$B$3:$N$23,13,0)&lt;='TCO TO BE- SW'!$D121,SUM('TCO TO BE- SW'!Q$37:Q$46)*VLOOKUP('TCO TO BE- SW'!Q$2,MODULY_CBA!$B$3:$L$23,11,0),0),0)</f>
        <v>0</v>
      </c>
      <c r="R121" s="588">
        <f>IFERROR(IF(VLOOKUP(R$2,MODULY_CBA!$B$3:$N$23,13,0)&lt;='TCO TO BE- SW'!$D121,SUM('TCO TO BE- SW'!R$37:R$46)*VLOOKUP('TCO TO BE- SW'!R$2,MODULY_CBA!$B$3:$L$23,11,0),0),0)</f>
        <v>111114.89104579628</v>
      </c>
      <c r="S121" s="588">
        <f>IFERROR(IF(VLOOKUP(S$2,MODULY_CBA!$B$3:$N$23,13,0)&lt;='TCO TO BE- SW'!$D121,SUM('TCO TO BE- SW'!S$37:S$46)*VLOOKUP('TCO TO BE- SW'!S$2,MODULY_CBA!$B$3:$L$23,11,0),0),0)</f>
        <v>0</v>
      </c>
      <c r="T121" s="588">
        <f>IFERROR(IF(VLOOKUP(T$2,MODULY_CBA!$B$3:$N$23,13,0)&lt;='TCO TO BE- SW'!$D121,SUM('TCO TO BE- SW'!T$37:T$46)*VLOOKUP('TCO TO BE- SW'!T$2,MODULY_CBA!$B$3:$L$23,11,0),0),0)</f>
        <v>0</v>
      </c>
      <c r="U121" s="588">
        <f>IFERROR(IF(VLOOKUP(U$2,MODULY_CBA!$B$3:$N$23,13,0)&lt;='TCO TO BE- SW'!$D121,SUM('TCO TO BE- SW'!U$37:U$46)*VLOOKUP('TCO TO BE- SW'!U$2,MODULY_CBA!$B$3:$L$23,11,0),0),0)</f>
        <v>0</v>
      </c>
      <c r="V121" s="588">
        <f>IFERROR(IF(VLOOKUP(V$2,MODULY_CBA!$B$3:$N$23,13,0)&lt;='TCO TO BE- SW'!$D121,SUM('TCO TO BE- SW'!V$37:V$46)*VLOOKUP('TCO TO BE- SW'!V$2,MODULY_CBA!$B$3:$L$23,11,0),0),0)</f>
        <v>0</v>
      </c>
      <c r="W121" s="588">
        <f>IFERROR(IF(VLOOKUP(W$2,MODULY_CBA!$B$3:$N$23,13,0)&lt;='TCO TO BE- SW'!$D121,SUM('TCO TO BE- SW'!W$37:W$46)*VLOOKUP('TCO TO BE- SW'!W$2,MODULY_CBA!$B$3:$L$23,11,0),0),0)</f>
        <v>0</v>
      </c>
      <c r="X121" s="588">
        <f>IFERROR(IF(VLOOKUP(X$2,MODULY_CBA!$B$3:$N$23,13,0)&lt;='TCO TO BE- SW'!$D121,SUM('TCO TO BE- SW'!X$37:X$46)*VLOOKUP('TCO TO BE- SW'!X$2,MODULY_CBA!$B$3:$L$23,11,0),0),0)</f>
        <v>0</v>
      </c>
      <c r="Y121" s="588">
        <f>IFERROR(IF(VLOOKUP(Y$2,MODULY_CBA!$B$3:$N$23,13,0)&lt;='TCO TO BE- SW'!$D121,SUM('TCO TO BE- SW'!Y$37:Y$46)*VLOOKUP('TCO TO BE- SW'!Y$2,MODULY_CBA!$B$3:$L$23,11,0),0),0)</f>
        <v>0</v>
      </c>
      <c r="Z121" s="588">
        <f>IFERROR(IF(VLOOKUP(Z$2,MODULY_CBA!$B$3:$N$23,13,0)&lt;='TCO TO BE- SW'!$D121,SUM('TCO TO BE- SW'!Z$37:Z$46)*VLOOKUP('TCO TO BE- SW'!Z$2,MODULY_CBA!$B$3:$L$23,11,0),0),0)</f>
        <v>0</v>
      </c>
    </row>
    <row r="122" spans="1:26" outlineLevel="2">
      <c r="A122" s="841"/>
      <c r="B122" s="842"/>
      <c r="C122" s="842"/>
      <c r="D122" s="64">
        <v>3</v>
      </c>
      <c r="E122" s="68">
        <f t="shared" si="14"/>
        <v>1868183.5900255274</v>
      </c>
      <c r="F122" s="588">
        <f>IFERROR(IF(VLOOKUP(F$2,MODULY_CBA!$B$3:$N$23,13,0)&lt;='TCO TO BE- SW'!$D122,SUM('TCO TO BE- SW'!F$37:F$46)*VLOOKUP('TCO TO BE- SW'!F$2,MODULY_CBA!$B$3:$L$23,11,0),0),0)</f>
        <v>18706.059574524443</v>
      </c>
      <c r="G122" s="588">
        <f>IFERROR(IF(VLOOKUP(G$2,MODULY_CBA!$B$3:$N$23,13,0)&lt;='TCO TO BE- SW'!$D122,SUM('TCO TO BE- SW'!G$37:G$46)*VLOOKUP('TCO TO BE- SW'!G$2,MODULY_CBA!$B$3:$L$23,11,0),0),0)</f>
        <v>0</v>
      </c>
      <c r="H122" s="588">
        <f>IFERROR(IF(VLOOKUP(H$2,MODULY_CBA!$B$3:$N$23,13,0)&lt;='TCO TO BE- SW'!$D122,SUM('TCO TO BE- SW'!H$37:H$46)*VLOOKUP('TCO TO BE- SW'!H$2,MODULY_CBA!$B$3:$L$23,11,0),0),0)</f>
        <v>38399.009582237231</v>
      </c>
      <c r="I122" s="588">
        <f>IFERROR(IF(VLOOKUP(I$2,MODULY_CBA!$B$3:$N$23,13,0)&lt;='TCO TO BE- SW'!$D122,SUM('TCO TO BE- SW'!I$37:I$46)*VLOOKUP('TCO TO BE- SW'!I$2,MODULY_CBA!$B$3:$L$23,11,0),0),0)</f>
        <v>0</v>
      </c>
      <c r="J122" s="588">
        <f>IFERROR(IF(VLOOKUP(J$2,MODULY_CBA!$B$3:$N$23,13,0)&lt;='TCO TO BE- SW'!$D122,SUM('TCO TO BE- SW'!J$37:J$46)*VLOOKUP('TCO TO BE- SW'!J$2,MODULY_CBA!$B$3:$L$23,11,0),0),0)</f>
        <v>53695.811296656495</v>
      </c>
      <c r="K122" s="588">
        <f>IFERROR(IF(VLOOKUP(K$2,MODULY_CBA!$B$3:$N$23,13,0)&lt;='TCO TO BE- SW'!$D122,SUM('TCO TO BE- SW'!K$37:K$46)*VLOOKUP('TCO TO BE- SW'!K$2,MODULY_CBA!$B$3:$L$23,11,0),0),0)</f>
        <v>32477.666983107185</v>
      </c>
      <c r="L122" s="588">
        <f>IFERROR(IF(VLOOKUP(L$2,MODULY_CBA!$B$3:$N$23,13,0)&lt;='TCO TO BE- SW'!$D122,SUM('TCO TO BE- SW'!L$37:L$46)*VLOOKUP('TCO TO BE- SW'!L$2,MODULY_CBA!$B$3:$L$23,11,0),0),0)</f>
        <v>0</v>
      </c>
      <c r="M122" s="588">
        <f>IFERROR(IF(VLOOKUP(M$2,MODULY_CBA!$B$3:$N$23,13,0)&lt;='TCO TO BE- SW'!$D122,SUM('TCO TO BE- SW'!M$37:M$46)*VLOOKUP('TCO TO BE- SW'!M$2,MODULY_CBA!$B$3:$L$23,11,0),0),0)</f>
        <v>766499.85599496204</v>
      </c>
      <c r="N122" s="588">
        <f>IFERROR(IF(VLOOKUP(N$2,MODULY_CBA!$B$3:$N$23,13,0)&lt;='TCO TO BE- SW'!$D122,SUM('TCO TO BE- SW'!N$37:N$46)*VLOOKUP('TCO TO BE- SW'!N$2,MODULY_CBA!$B$3:$L$23,11,0),0),0)</f>
        <v>91152.789101759408</v>
      </c>
      <c r="O122" s="588">
        <f>IFERROR(IF(VLOOKUP(O$2,MODULY_CBA!$B$3:$N$23,13,0)&lt;='TCO TO BE- SW'!$D122,SUM('TCO TO BE- SW'!O$37:O$46)*VLOOKUP('TCO TO BE- SW'!O$2,MODULY_CBA!$B$3:$L$23,11,0),0),0)</f>
        <v>439390.5360490813</v>
      </c>
      <c r="P122" s="588">
        <f>IFERROR(IF(VLOOKUP(P$2,MODULY_CBA!$B$3:$N$23,13,0)&lt;='TCO TO BE- SW'!$D122,SUM('TCO TO BE- SW'!P$37:P$46)*VLOOKUP('TCO TO BE- SW'!P$2,MODULY_CBA!$B$3:$L$23,11,0),0),0)</f>
        <v>0</v>
      </c>
      <c r="Q122" s="588">
        <f>IFERROR(IF(VLOOKUP(Q$2,MODULY_CBA!$B$3:$N$23,13,0)&lt;='TCO TO BE- SW'!$D122,SUM('TCO TO BE- SW'!Q$37:Q$46)*VLOOKUP('TCO TO BE- SW'!Q$2,MODULY_CBA!$B$3:$L$23,11,0),0),0)</f>
        <v>316746.97039740311</v>
      </c>
      <c r="R122" s="588">
        <f>IFERROR(IF(VLOOKUP(R$2,MODULY_CBA!$B$3:$N$23,13,0)&lt;='TCO TO BE- SW'!$D122,SUM('TCO TO BE- SW'!R$37:R$46)*VLOOKUP('TCO TO BE- SW'!R$2,MODULY_CBA!$B$3:$L$23,11,0),0),0)</f>
        <v>111114.89104579628</v>
      </c>
      <c r="S122" s="588">
        <f>IFERROR(IF(VLOOKUP(S$2,MODULY_CBA!$B$3:$N$23,13,0)&lt;='TCO TO BE- SW'!$D122,SUM('TCO TO BE- SW'!S$37:S$46)*VLOOKUP('TCO TO BE- SW'!S$2,MODULY_CBA!$B$3:$L$23,11,0),0),0)</f>
        <v>0</v>
      </c>
      <c r="T122" s="588">
        <f>IFERROR(IF(VLOOKUP(T$2,MODULY_CBA!$B$3:$N$23,13,0)&lt;='TCO TO BE- SW'!$D122,SUM('TCO TO BE- SW'!T$37:T$46)*VLOOKUP('TCO TO BE- SW'!T$2,MODULY_CBA!$B$3:$L$23,11,0),0),0)</f>
        <v>0</v>
      </c>
      <c r="U122" s="588">
        <f>IFERROR(IF(VLOOKUP(U$2,MODULY_CBA!$B$3:$N$23,13,0)&lt;='TCO TO BE- SW'!$D122,SUM('TCO TO BE- SW'!U$37:U$46)*VLOOKUP('TCO TO BE- SW'!U$2,MODULY_CBA!$B$3:$L$23,11,0),0),0)</f>
        <v>0</v>
      </c>
      <c r="V122" s="588">
        <f>IFERROR(IF(VLOOKUP(V$2,MODULY_CBA!$B$3:$N$23,13,0)&lt;='TCO TO BE- SW'!$D122,SUM('TCO TO BE- SW'!V$37:V$46)*VLOOKUP('TCO TO BE- SW'!V$2,MODULY_CBA!$B$3:$L$23,11,0),0),0)</f>
        <v>0</v>
      </c>
      <c r="W122" s="588">
        <f>IFERROR(IF(VLOOKUP(W$2,MODULY_CBA!$B$3:$N$23,13,0)&lt;='TCO TO BE- SW'!$D122,SUM('TCO TO BE- SW'!W$37:W$46)*VLOOKUP('TCO TO BE- SW'!W$2,MODULY_CBA!$B$3:$L$23,11,0),0),0)</f>
        <v>0</v>
      </c>
      <c r="X122" s="588">
        <f>IFERROR(IF(VLOOKUP(X$2,MODULY_CBA!$B$3:$N$23,13,0)&lt;='TCO TO BE- SW'!$D122,SUM('TCO TO BE- SW'!X$37:X$46)*VLOOKUP('TCO TO BE- SW'!X$2,MODULY_CBA!$B$3:$L$23,11,0),0),0)</f>
        <v>0</v>
      </c>
      <c r="Y122" s="588">
        <f>IFERROR(IF(VLOOKUP(Y$2,MODULY_CBA!$B$3:$N$23,13,0)&lt;='TCO TO BE- SW'!$D122,SUM('TCO TO BE- SW'!Y$37:Y$46)*VLOOKUP('TCO TO BE- SW'!Y$2,MODULY_CBA!$B$3:$L$23,11,0),0),0)</f>
        <v>0</v>
      </c>
      <c r="Z122" s="588">
        <f>IFERROR(IF(VLOOKUP(Z$2,MODULY_CBA!$B$3:$N$23,13,0)&lt;='TCO TO BE- SW'!$D122,SUM('TCO TO BE- SW'!Z$37:Z$46)*VLOOKUP('TCO TO BE- SW'!Z$2,MODULY_CBA!$B$3:$L$23,11,0),0),0)</f>
        <v>0</v>
      </c>
    </row>
    <row r="123" spans="1:26" outlineLevel="2">
      <c r="A123" s="841"/>
      <c r="B123" s="842"/>
      <c r="C123" s="842"/>
      <c r="D123" s="64">
        <v>4</v>
      </c>
      <c r="E123" s="68">
        <f t="shared" si="14"/>
        <v>2072873.6376</v>
      </c>
      <c r="F123" s="588">
        <f>IFERROR(IF(VLOOKUP(F$2,MODULY_CBA!$B$3:$N$23,13,0)&lt;='TCO TO BE- SW'!$D123,SUM('TCO TO BE- SW'!F$37:F$46)*VLOOKUP('TCO TO BE- SW'!F$2,MODULY_CBA!$B$3:$L$23,11,0),0),0)</f>
        <v>18706.059574524443</v>
      </c>
      <c r="G123" s="588">
        <f>IFERROR(IF(VLOOKUP(G$2,MODULY_CBA!$B$3:$N$23,13,0)&lt;='TCO TO BE- SW'!$D123,SUM('TCO TO BE- SW'!G$37:G$46)*VLOOKUP('TCO TO BE- SW'!G$2,MODULY_CBA!$B$3:$L$23,11,0),0),0)</f>
        <v>0</v>
      </c>
      <c r="H123" s="588">
        <f>IFERROR(IF(VLOOKUP(H$2,MODULY_CBA!$B$3:$N$23,13,0)&lt;='TCO TO BE- SW'!$D123,SUM('TCO TO BE- SW'!H$37:H$46)*VLOOKUP('TCO TO BE- SW'!H$2,MODULY_CBA!$B$3:$L$23,11,0),0),0)</f>
        <v>38399.009582237231</v>
      </c>
      <c r="I123" s="588">
        <f>IFERROR(IF(VLOOKUP(I$2,MODULY_CBA!$B$3:$N$23,13,0)&lt;='TCO TO BE- SW'!$D123,SUM('TCO TO BE- SW'!I$37:I$46)*VLOOKUP('TCO TO BE- SW'!I$2,MODULY_CBA!$B$3:$L$23,11,0),0),0)</f>
        <v>100483.38956099462</v>
      </c>
      <c r="J123" s="588">
        <f>IFERROR(IF(VLOOKUP(J$2,MODULY_CBA!$B$3:$N$23,13,0)&lt;='TCO TO BE- SW'!$D123,SUM('TCO TO BE- SW'!J$37:J$46)*VLOOKUP('TCO TO BE- SW'!J$2,MODULY_CBA!$B$3:$L$23,11,0),0),0)</f>
        <v>53695.811296656495</v>
      </c>
      <c r="K123" s="588">
        <f>IFERROR(IF(VLOOKUP(K$2,MODULY_CBA!$B$3:$N$23,13,0)&lt;='TCO TO BE- SW'!$D123,SUM('TCO TO BE- SW'!K$37:K$46)*VLOOKUP('TCO TO BE- SW'!K$2,MODULY_CBA!$B$3:$L$23,11,0),0),0)</f>
        <v>32477.666983107185</v>
      </c>
      <c r="L123" s="588">
        <f>IFERROR(IF(VLOOKUP(L$2,MODULY_CBA!$B$3:$N$23,13,0)&lt;='TCO TO BE- SW'!$D123,SUM('TCO TO BE- SW'!L$37:L$46)*VLOOKUP('TCO TO BE- SW'!L$2,MODULY_CBA!$B$3:$L$23,11,0),0),0)</f>
        <v>47774.468697526456</v>
      </c>
      <c r="M123" s="588">
        <f>IFERROR(IF(VLOOKUP(M$2,MODULY_CBA!$B$3:$N$23,13,0)&lt;='TCO TO BE- SW'!$D123,SUM('TCO TO BE- SW'!M$37:M$46)*VLOOKUP('TCO TO BE- SW'!M$2,MODULY_CBA!$B$3:$L$23,11,0),0),0)</f>
        <v>766499.85599496204</v>
      </c>
      <c r="N123" s="588">
        <f>IFERROR(IF(VLOOKUP(N$2,MODULY_CBA!$B$3:$N$23,13,0)&lt;='TCO TO BE- SW'!$D123,SUM('TCO TO BE- SW'!N$37:N$46)*VLOOKUP('TCO TO BE- SW'!N$2,MODULY_CBA!$B$3:$L$23,11,0),0),0)</f>
        <v>91152.789101759408</v>
      </c>
      <c r="O123" s="588">
        <f>IFERROR(IF(VLOOKUP(O$2,MODULY_CBA!$B$3:$N$23,13,0)&lt;='TCO TO BE- SW'!$D123,SUM('TCO TO BE- SW'!O$37:O$46)*VLOOKUP('TCO TO BE- SW'!O$2,MODULY_CBA!$B$3:$L$23,11,0),0),0)</f>
        <v>439390.5360490813</v>
      </c>
      <c r="P123" s="588">
        <f>IFERROR(IF(VLOOKUP(P$2,MODULY_CBA!$B$3:$N$23,13,0)&lt;='TCO TO BE- SW'!$D123,SUM('TCO TO BE- SW'!P$37:P$46)*VLOOKUP('TCO TO BE- SW'!P$2,MODULY_CBA!$B$3:$L$23,11,0),0),0)</f>
        <v>56432.189315951437</v>
      </c>
      <c r="Q123" s="588">
        <f>IFERROR(IF(VLOOKUP(Q$2,MODULY_CBA!$B$3:$N$23,13,0)&lt;='TCO TO BE- SW'!$D123,SUM('TCO TO BE- SW'!Q$37:Q$46)*VLOOKUP('TCO TO BE- SW'!Q$2,MODULY_CBA!$B$3:$L$23,11,0),0),0)</f>
        <v>316746.97039740311</v>
      </c>
      <c r="R123" s="588">
        <f>IFERROR(IF(VLOOKUP(R$2,MODULY_CBA!$B$3:$N$23,13,0)&lt;='TCO TO BE- SW'!$D123,SUM('TCO TO BE- SW'!R$37:R$46)*VLOOKUP('TCO TO BE- SW'!R$2,MODULY_CBA!$B$3:$L$23,11,0),0),0)</f>
        <v>111114.89104579628</v>
      </c>
      <c r="S123" s="588">
        <f>IFERROR(IF(VLOOKUP(S$2,MODULY_CBA!$B$3:$N$23,13,0)&lt;='TCO TO BE- SW'!$D123,SUM('TCO TO BE- SW'!S$37:S$46)*VLOOKUP('TCO TO BE- SW'!S$2,MODULY_CBA!$B$3:$L$23,11,0),0),0)</f>
        <v>0</v>
      </c>
      <c r="T123" s="588">
        <f>IFERROR(IF(VLOOKUP(T$2,MODULY_CBA!$B$3:$N$23,13,0)&lt;='TCO TO BE- SW'!$D123,SUM('TCO TO BE- SW'!T$37:T$46)*VLOOKUP('TCO TO BE- SW'!T$2,MODULY_CBA!$B$3:$L$23,11,0),0),0)</f>
        <v>0</v>
      </c>
      <c r="U123" s="588">
        <f>IFERROR(IF(VLOOKUP(U$2,MODULY_CBA!$B$3:$N$23,13,0)&lt;='TCO TO BE- SW'!$D123,SUM('TCO TO BE- SW'!U$37:U$46)*VLOOKUP('TCO TO BE- SW'!U$2,MODULY_CBA!$B$3:$L$23,11,0),0),0)</f>
        <v>0</v>
      </c>
      <c r="V123" s="588">
        <f>IFERROR(IF(VLOOKUP(V$2,MODULY_CBA!$B$3:$N$23,13,0)&lt;='TCO TO BE- SW'!$D123,SUM('TCO TO BE- SW'!V$37:V$46)*VLOOKUP('TCO TO BE- SW'!V$2,MODULY_CBA!$B$3:$L$23,11,0),0),0)</f>
        <v>0</v>
      </c>
      <c r="W123" s="588">
        <f>IFERROR(IF(VLOOKUP(W$2,MODULY_CBA!$B$3:$N$23,13,0)&lt;='TCO TO BE- SW'!$D123,SUM('TCO TO BE- SW'!W$37:W$46)*VLOOKUP('TCO TO BE- SW'!W$2,MODULY_CBA!$B$3:$L$23,11,0),0),0)</f>
        <v>0</v>
      </c>
      <c r="X123" s="588">
        <f>IFERROR(IF(VLOOKUP(X$2,MODULY_CBA!$B$3:$N$23,13,0)&lt;='TCO TO BE- SW'!$D123,SUM('TCO TO BE- SW'!X$37:X$46)*VLOOKUP('TCO TO BE- SW'!X$2,MODULY_CBA!$B$3:$L$23,11,0),0),0)</f>
        <v>0</v>
      </c>
      <c r="Y123" s="588">
        <f>IFERROR(IF(VLOOKUP(Y$2,MODULY_CBA!$B$3:$N$23,13,0)&lt;='TCO TO BE- SW'!$D123,SUM('TCO TO BE- SW'!Y$37:Y$46)*VLOOKUP('TCO TO BE- SW'!Y$2,MODULY_CBA!$B$3:$L$23,11,0),0),0)</f>
        <v>0</v>
      </c>
      <c r="Z123" s="588">
        <f>IFERROR(IF(VLOOKUP(Z$2,MODULY_CBA!$B$3:$N$23,13,0)&lt;='TCO TO BE- SW'!$D123,SUM('TCO TO BE- SW'!Z$37:Z$46)*VLOOKUP('TCO TO BE- SW'!Z$2,MODULY_CBA!$B$3:$L$23,11,0),0),0)</f>
        <v>0</v>
      </c>
    </row>
    <row r="124" spans="1:26" outlineLevel="2">
      <c r="A124" s="841"/>
      <c r="B124" s="842"/>
      <c r="C124" s="842"/>
      <c r="D124" s="64">
        <v>5</v>
      </c>
      <c r="E124" s="68">
        <f t="shared" si="14"/>
        <v>2072873.6376</v>
      </c>
      <c r="F124" s="588">
        <f>IFERROR(IF(VLOOKUP(F$2,MODULY_CBA!$B$3:$N$23,13,0)&lt;='TCO TO BE- SW'!$D124,SUM('TCO TO BE- SW'!F$37:F$46)*VLOOKUP('TCO TO BE- SW'!F$2,MODULY_CBA!$B$3:$L$23,11,0),0),0)</f>
        <v>18706.059574524443</v>
      </c>
      <c r="G124" s="588">
        <f>IFERROR(IF(VLOOKUP(G$2,MODULY_CBA!$B$3:$N$23,13,0)&lt;='TCO TO BE- SW'!$D124,SUM('TCO TO BE- SW'!G$37:G$46)*VLOOKUP('TCO TO BE- SW'!G$2,MODULY_CBA!$B$3:$L$23,11,0),0),0)</f>
        <v>0</v>
      </c>
      <c r="H124" s="588">
        <f>IFERROR(IF(VLOOKUP(H$2,MODULY_CBA!$B$3:$N$23,13,0)&lt;='TCO TO BE- SW'!$D124,SUM('TCO TO BE- SW'!H$37:H$46)*VLOOKUP('TCO TO BE- SW'!H$2,MODULY_CBA!$B$3:$L$23,11,0),0),0)</f>
        <v>38399.009582237231</v>
      </c>
      <c r="I124" s="588">
        <f>IFERROR(IF(VLOOKUP(I$2,MODULY_CBA!$B$3:$N$23,13,0)&lt;='TCO TO BE- SW'!$D124,SUM('TCO TO BE- SW'!I$37:I$46)*VLOOKUP('TCO TO BE- SW'!I$2,MODULY_CBA!$B$3:$L$23,11,0),0),0)</f>
        <v>100483.38956099462</v>
      </c>
      <c r="J124" s="588">
        <f>IFERROR(IF(VLOOKUP(J$2,MODULY_CBA!$B$3:$N$23,13,0)&lt;='TCO TO BE- SW'!$D124,SUM('TCO TO BE- SW'!J$37:J$46)*VLOOKUP('TCO TO BE- SW'!J$2,MODULY_CBA!$B$3:$L$23,11,0),0),0)</f>
        <v>53695.811296656495</v>
      </c>
      <c r="K124" s="588">
        <f>IFERROR(IF(VLOOKUP(K$2,MODULY_CBA!$B$3:$N$23,13,0)&lt;='TCO TO BE- SW'!$D124,SUM('TCO TO BE- SW'!K$37:K$46)*VLOOKUP('TCO TO BE- SW'!K$2,MODULY_CBA!$B$3:$L$23,11,0),0),0)</f>
        <v>32477.666983107185</v>
      </c>
      <c r="L124" s="588">
        <f>IFERROR(IF(VLOOKUP(L$2,MODULY_CBA!$B$3:$N$23,13,0)&lt;='TCO TO BE- SW'!$D124,SUM('TCO TO BE- SW'!L$37:L$46)*VLOOKUP('TCO TO BE- SW'!L$2,MODULY_CBA!$B$3:$L$23,11,0),0),0)</f>
        <v>47774.468697526456</v>
      </c>
      <c r="M124" s="588">
        <f>IFERROR(IF(VLOOKUP(M$2,MODULY_CBA!$B$3:$N$23,13,0)&lt;='TCO TO BE- SW'!$D124,SUM('TCO TO BE- SW'!M$37:M$46)*VLOOKUP('TCO TO BE- SW'!M$2,MODULY_CBA!$B$3:$L$23,11,0),0),0)</f>
        <v>766499.85599496204</v>
      </c>
      <c r="N124" s="588">
        <f>IFERROR(IF(VLOOKUP(N$2,MODULY_CBA!$B$3:$N$23,13,0)&lt;='TCO TO BE- SW'!$D124,SUM('TCO TO BE- SW'!N$37:N$46)*VLOOKUP('TCO TO BE- SW'!N$2,MODULY_CBA!$B$3:$L$23,11,0),0),0)</f>
        <v>91152.789101759408</v>
      </c>
      <c r="O124" s="588">
        <f>IFERROR(IF(VLOOKUP(O$2,MODULY_CBA!$B$3:$N$23,13,0)&lt;='TCO TO BE- SW'!$D124,SUM('TCO TO BE- SW'!O$37:O$46)*VLOOKUP('TCO TO BE- SW'!O$2,MODULY_CBA!$B$3:$L$23,11,0),0),0)</f>
        <v>439390.5360490813</v>
      </c>
      <c r="P124" s="588">
        <f>IFERROR(IF(VLOOKUP(P$2,MODULY_CBA!$B$3:$N$23,13,0)&lt;='TCO TO BE- SW'!$D124,SUM('TCO TO BE- SW'!P$37:P$46)*VLOOKUP('TCO TO BE- SW'!P$2,MODULY_CBA!$B$3:$L$23,11,0),0),0)</f>
        <v>56432.189315951437</v>
      </c>
      <c r="Q124" s="588">
        <f>IFERROR(IF(VLOOKUP(Q$2,MODULY_CBA!$B$3:$N$23,13,0)&lt;='TCO TO BE- SW'!$D124,SUM('TCO TO BE- SW'!Q$37:Q$46)*VLOOKUP('TCO TO BE- SW'!Q$2,MODULY_CBA!$B$3:$L$23,11,0),0),0)</f>
        <v>316746.97039740311</v>
      </c>
      <c r="R124" s="588">
        <f>IFERROR(IF(VLOOKUP(R$2,MODULY_CBA!$B$3:$N$23,13,0)&lt;='TCO TO BE- SW'!$D124,SUM('TCO TO BE- SW'!R$37:R$46)*VLOOKUP('TCO TO BE- SW'!R$2,MODULY_CBA!$B$3:$L$23,11,0),0),0)</f>
        <v>111114.89104579628</v>
      </c>
      <c r="S124" s="588">
        <f>IFERROR(IF(VLOOKUP(S$2,MODULY_CBA!$B$3:$N$23,13,0)&lt;='TCO TO BE- SW'!$D124,SUM('TCO TO BE- SW'!S$37:S$46)*VLOOKUP('TCO TO BE- SW'!S$2,MODULY_CBA!$B$3:$L$23,11,0),0),0)</f>
        <v>0</v>
      </c>
      <c r="T124" s="588">
        <f>IFERROR(IF(VLOOKUP(T$2,MODULY_CBA!$B$3:$N$23,13,0)&lt;='TCO TO BE- SW'!$D124,SUM('TCO TO BE- SW'!T$37:T$46)*VLOOKUP('TCO TO BE- SW'!T$2,MODULY_CBA!$B$3:$L$23,11,0),0),0)</f>
        <v>0</v>
      </c>
      <c r="U124" s="588">
        <f>IFERROR(IF(VLOOKUP(U$2,MODULY_CBA!$B$3:$N$23,13,0)&lt;='TCO TO BE- SW'!$D124,SUM('TCO TO BE- SW'!U$37:U$46)*VLOOKUP('TCO TO BE- SW'!U$2,MODULY_CBA!$B$3:$L$23,11,0),0),0)</f>
        <v>0</v>
      </c>
      <c r="V124" s="588">
        <f>IFERROR(IF(VLOOKUP(V$2,MODULY_CBA!$B$3:$N$23,13,0)&lt;='TCO TO BE- SW'!$D124,SUM('TCO TO BE- SW'!V$37:V$46)*VLOOKUP('TCO TO BE- SW'!V$2,MODULY_CBA!$B$3:$L$23,11,0),0),0)</f>
        <v>0</v>
      </c>
      <c r="W124" s="588">
        <f>IFERROR(IF(VLOOKUP(W$2,MODULY_CBA!$B$3:$N$23,13,0)&lt;='TCO TO BE- SW'!$D124,SUM('TCO TO BE- SW'!W$37:W$46)*VLOOKUP('TCO TO BE- SW'!W$2,MODULY_CBA!$B$3:$L$23,11,0),0),0)</f>
        <v>0</v>
      </c>
      <c r="X124" s="588">
        <f>IFERROR(IF(VLOOKUP(X$2,MODULY_CBA!$B$3:$N$23,13,0)&lt;='TCO TO BE- SW'!$D124,SUM('TCO TO BE- SW'!X$37:X$46)*VLOOKUP('TCO TO BE- SW'!X$2,MODULY_CBA!$B$3:$L$23,11,0),0),0)</f>
        <v>0</v>
      </c>
      <c r="Y124" s="588">
        <f>IFERROR(IF(VLOOKUP(Y$2,MODULY_CBA!$B$3:$N$23,13,0)&lt;='TCO TO BE- SW'!$D124,SUM('TCO TO BE- SW'!Y$37:Y$46)*VLOOKUP('TCO TO BE- SW'!Y$2,MODULY_CBA!$B$3:$L$23,11,0),0),0)</f>
        <v>0</v>
      </c>
      <c r="Z124" s="588">
        <f>IFERROR(IF(VLOOKUP(Z$2,MODULY_CBA!$B$3:$N$23,13,0)&lt;='TCO TO BE- SW'!$D124,SUM('TCO TO BE- SW'!Z$37:Z$46)*VLOOKUP('TCO TO BE- SW'!Z$2,MODULY_CBA!$B$3:$L$23,11,0),0),0)</f>
        <v>0</v>
      </c>
    </row>
    <row r="125" spans="1:26" outlineLevel="2">
      <c r="A125" s="841"/>
      <c r="B125" s="842"/>
      <c r="C125" s="842"/>
      <c r="D125" s="64">
        <v>6</v>
      </c>
      <c r="E125" s="68">
        <f t="shared" si="14"/>
        <v>2072873.6376</v>
      </c>
      <c r="F125" s="588">
        <f>IFERROR(IF(VLOOKUP(F$2,MODULY_CBA!$B$3:$N$23,13,0)&lt;='TCO TO BE- SW'!$D125,SUM('TCO TO BE- SW'!F$37:F$46)*VLOOKUP('TCO TO BE- SW'!F$2,MODULY_CBA!$B$3:$L$23,11,0),0),0)</f>
        <v>18706.059574524443</v>
      </c>
      <c r="G125" s="588">
        <f>IFERROR(IF(VLOOKUP(G$2,MODULY_CBA!$B$3:$N$23,13,0)&lt;='TCO TO BE- SW'!$D125,SUM('TCO TO BE- SW'!G$37:G$46)*VLOOKUP('TCO TO BE- SW'!G$2,MODULY_CBA!$B$3:$L$23,11,0),0),0)</f>
        <v>0</v>
      </c>
      <c r="H125" s="588">
        <f>IFERROR(IF(VLOOKUP(H$2,MODULY_CBA!$B$3:$N$23,13,0)&lt;='TCO TO BE- SW'!$D125,SUM('TCO TO BE- SW'!H$37:H$46)*VLOOKUP('TCO TO BE- SW'!H$2,MODULY_CBA!$B$3:$L$23,11,0),0),0)</f>
        <v>38399.009582237231</v>
      </c>
      <c r="I125" s="588">
        <f>IFERROR(IF(VLOOKUP(I$2,MODULY_CBA!$B$3:$N$23,13,0)&lt;='TCO TO BE- SW'!$D125,SUM('TCO TO BE- SW'!I$37:I$46)*VLOOKUP('TCO TO BE- SW'!I$2,MODULY_CBA!$B$3:$L$23,11,0),0),0)</f>
        <v>100483.38956099462</v>
      </c>
      <c r="J125" s="588">
        <f>IFERROR(IF(VLOOKUP(J$2,MODULY_CBA!$B$3:$N$23,13,0)&lt;='TCO TO BE- SW'!$D125,SUM('TCO TO BE- SW'!J$37:J$46)*VLOOKUP('TCO TO BE- SW'!J$2,MODULY_CBA!$B$3:$L$23,11,0),0),0)</f>
        <v>53695.811296656495</v>
      </c>
      <c r="K125" s="588">
        <f>IFERROR(IF(VLOOKUP(K$2,MODULY_CBA!$B$3:$N$23,13,0)&lt;='TCO TO BE- SW'!$D125,SUM('TCO TO BE- SW'!K$37:K$46)*VLOOKUP('TCO TO BE- SW'!K$2,MODULY_CBA!$B$3:$L$23,11,0),0),0)</f>
        <v>32477.666983107185</v>
      </c>
      <c r="L125" s="588">
        <f>IFERROR(IF(VLOOKUP(L$2,MODULY_CBA!$B$3:$N$23,13,0)&lt;='TCO TO BE- SW'!$D125,SUM('TCO TO BE- SW'!L$37:L$46)*VLOOKUP('TCO TO BE- SW'!L$2,MODULY_CBA!$B$3:$L$23,11,0),0),0)</f>
        <v>47774.468697526456</v>
      </c>
      <c r="M125" s="588">
        <f>IFERROR(IF(VLOOKUP(M$2,MODULY_CBA!$B$3:$N$23,13,0)&lt;='TCO TO BE- SW'!$D125,SUM('TCO TO BE- SW'!M$37:M$46)*VLOOKUP('TCO TO BE- SW'!M$2,MODULY_CBA!$B$3:$L$23,11,0),0),0)</f>
        <v>766499.85599496204</v>
      </c>
      <c r="N125" s="588">
        <f>IFERROR(IF(VLOOKUP(N$2,MODULY_CBA!$B$3:$N$23,13,0)&lt;='TCO TO BE- SW'!$D125,SUM('TCO TO BE- SW'!N$37:N$46)*VLOOKUP('TCO TO BE- SW'!N$2,MODULY_CBA!$B$3:$L$23,11,0),0),0)</f>
        <v>91152.789101759408</v>
      </c>
      <c r="O125" s="588">
        <f>IFERROR(IF(VLOOKUP(O$2,MODULY_CBA!$B$3:$N$23,13,0)&lt;='TCO TO BE- SW'!$D125,SUM('TCO TO BE- SW'!O$37:O$46)*VLOOKUP('TCO TO BE- SW'!O$2,MODULY_CBA!$B$3:$L$23,11,0),0),0)</f>
        <v>439390.5360490813</v>
      </c>
      <c r="P125" s="588">
        <f>IFERROR(IF(VLOOKUP(P$2,MODULY_CBA!$B$3:$N$23,13,0)&lt;='TCO TO BE- SW'!$D125,SUM('TCO TO BE- SW'!P$37:P$46)*VLOOKUP('TCO TO BE- SW'!P$2,MODULY_CBA!$B$3:$L$23,11,0),0),0)</f>
        <v>56432.189315951437</v>
      </c>
      <c r="Q125" s="588">
        <f>IFERROR(IF(VLOOKUP(Q$2,MODULY_CBA!$B$3:$N$23,13,0)&lt;='TCO TO BE- SW'!$D125,SUM('TCO TO BE- SW'!Q$37:Q$46)*VLOOKUP('TCO TO BE- SW'!Q$2,MODULY_CBA!$B$3:$L$23,11,0),0),0)</f>
        <v>316746.97039740311</v>
      </c>
      <c r="R125" s="588">
        <f>IFERROR(IF(VLOOKUP(R$2,MODULY_CBA!$B$3:$N$23,13,0)&lt;='TCO TO BE- SW'!$D125,SUM('TCO TO BE- SW'!R$37:R$46)*VLOOKUP('TCO TO BE- SW'!R$2,MODULY_CBA!$B$3:$L$23,11,0),0),0)</f>
        <v>111114.89104579628</v>
      </c>
      <c r="S125" s="588">
        <f>IFERROR(IF(VLOOKUP(S$2,MODULY_CBA!$B$3:$N$23,13,0)&lt;='TCO TO BE- SW'!$D125,SUM('TCO TO BE- SW'!S$37:S$46)*VLOOKUP('TCO TO BE- SW'!S$2,MODULY_CBA!$B$3:$L$23,11,0),0),0)</f>
        <v>0</v>
      </c>
      <c r="T125" s="588">
        <f>IFERROR(IF(VLOOKUP(T$2,MODULY_CBA!$B$3:$N$23,13,0)&lt;='TCO TO BE- SW'!$D125,SUM('TCO TO BE- SW'!T$37:T$46)*VLOOKUP('TCO TO BE- SW'!T$2,MODULY_CBA!$B$3:$L$23,11,0),0),0)</f>
        <v>0</v>
      </c>
      <c r="U125" s="588">
        <f>IFERROR(IF(VLOOKUP(U$2,MODULY_CBA!$B$3:$N$23,13,0)&lt;='TCO TO BE- SW'!$D125,SUM('TCO TO BE- SW'!U$37:U$46)*VLOOKUP('TCO TO BE- SW'!U$2,MODULY_CBA!$B$3:$L$23,11,0),0),0)</f>
        <v>0</v>
      </c>
      <c r="V125" s="588">
        <f>IFERROR(IF(VLOOKUP(V$2,MODULY_CBA!$B$3:$N$23,13,0)&lt;='TCO TO BE- SW'!$D125,SUM('TCO TO BE- SW'!V$37:V$46)*VLOOKUP('TCO TO BE- SW'!V$2,MODULY_CBA!$B$3:$L$23,11,0),0),0)</f>
        <v>0</v>
      </c>
      <c r="W125" s="588">
        <f>IFERROR(IF(VLOOKUP(W$2,MODULY_CBA!$B$3:$N$23,13,0)&lt;='TCO TO BE- SW'!$D125,SUM('TCO TO BE- SW'!W$37:W$46)*VLOOKUP('TCO TO BE- SW'!W$2,MODULY_CBA!$B$3:$L$23,11,0),0),0)</f>
        <v>0</v>
      </c>
      <c r="X125" s="588">
        <f>IFERROR(IF(VLOOKUP(X$2,MODULY_CBA!$B$3:$N$23,13,0)&lt;='TCO TO BE- SW'!$D125,SUM('TCO TO BE- SW'!X$37:X$46)*VLOOKUP('TCO TO BE- SW'!X$2,MODULY_CBA!$B$3:$L$23,11,0),0),0)</f>
        <v>0</v>
      </c>
      <c r="Y125" s="588">
        <f>IFERROR(IF(VLOOKUP(Y$2,MODULY_CBA!$B$3:$N$23,13,0)&lt;='TCO TO BE- SW'!$D125,SUM('TCO TO BE- SW'!Y$37:Y$46)*VLOOKUP('TCO TO BE- SW'!Y$2,MODULY_CBA!$B$3:$L$23,11,0),0),0)</f>
        <v>0</v>
      </c>
      <c r="Z125" s="588">
        <f>IFERROR(IF(VLOOKUP(Z$2,MODULY_CBA!$B$3:$N$23,13,0)&lt;='TCO TO BE- SW'!$D125,SUM('TCO TO BE- SW'!Z$37:Z$46)*VLOOKUP('TCO TO BE- SW'!Z$2,MODULY_CBA!$B$3:$L$23,11,0),0),0)</f>
        <v>0</v>
      </c>
    </row>
    <row r="126" spans="1:26" outlineLevel="2">
      <c r="A126" s="841"/>
      <c r="B126" s="842"/>
      <c r="C126" s="842"/>
      <c r="D126" s="64">
        <v>7</v>
      </c>
      <c r="E126" s="68">
        <f t="shared" si="14"/>
        <v>2072873.6376</v>
      </c>
      <c r="F126" s="588">
        <f>IFERROR(IF(VLOOKUP(F$2,MODULY_CBA!$B$3:$N$23,13,0)&lt;='TCO TO BE- SW'!$D126,SUM('TCO TO BE- SW'!F$37:F$46)*VLOOKUP('TCO TO BE- SW'!F$2,MODULY_CBA!$B$3:$L$23,11,0),0),0)</f>
        <v>18706.059574524443</v>
      </c>
      <c r="G126" s="588">
        <f>IFERROR(IF(VLOOKUP(G$2,MODULY_CBA!$B$3:$N$23,13,0)&lt;='TCO TO BE- SW'!$D126,SUM('TCO TO BE- SW'!G$37:G$46)*VLOOKUP('TCO TO BE- SW'!G$2,MODULY_CBA!$B$3:$L$23,11,0),0),0)</f>
        <v>0</v>
      </c>
      <c r="H126" s="588">
        <f>IFERROR(IF(VLOOKUP(H$2,MODULY_CBA!$B$3:$N$23,13,0)&lt;='TCO TO BE- SW'!$D126,SUM('TCO TO BE- SW'!H$37:H$46)*VLOOKUP('TCO TO BE- SW'!H$2,MODULY_CBA!$B$3:$L$23,11,0),0),0)</f>
        <v>38399.009582237231</v>
      </c>
      <c r="I126" s="588">
        <f>IFERROR(IF(VLOOKUP(I$2,MODULY_CBA!$B$3:$N$23,13,0)&lt;='TCO TO BE- SW'!$D126,SUM('TCO TO BE- SW'!I$37:I$46)*VLOOKUP('TCO TO BE- SW'!I$2,MODULY_CBA!$B$3:$L$23,11,0),0),0)</f>
        <v>100483.38956099462</v>
      </c>
      <c r="J126" s="588">
        <f>IFERROR(IF(VLOOKUP(J$2,MODULY_CBA!$B$3:$N$23,13,0)&lt;='TCO TO BE- SW'!$D126,SUM('TCO TO BE- SW'!J$37:J$46)*VLOOKUP('TCO TO BE- SW'!J$2,MODULY_CBA!$B$3:$L$23,11,0),0),0)</f>
        <v>53695.811296656495</v>
      </c>
      <c r="K126" s="588">
        <f>IFERROR(IF(VLOOKUP(K$2,MODULY_CBA!$B$3:$N$23,13,0)&lt;='TCO TO BE- SW'!$D126,SUM('TCO TO BE- SW'!K$37:K$46)*VLOOKUP('TCO TO BE- SW'!K$2,MODULY_CBA!$B$3:$L$23,11,0),0),0)</f>
        <v>32477.666983107185</v>
      </c>
      <c r="L126" s="588">
        <f>IFERROR(IF(VLOOKUP(L$2,MODULY_CBA!$B$3:$N$23,13,0)&lt;='TCO TO BE- SW'!$D126,SUM('TCO TO BE- SW'!L$37:L$46)*VLOOKUP('TCO TO BE- SW'!L$2,MODULY_CBA!$B$3:$L$23,11,0),0),0)</f>
        <v>47774.468697526456</v>
      </c>
      <c r="M126" s="588">
        <f>IFERROR(IF(VLOOKUP(M$2,MODULY_CBA!$B$3:$N$23,13,0)&lt;='TCO TO BE- SW'!$D126,SUM('TCO TO BE- SW'!M$37:M$46)*VLOOKUP('TCO TO BE- SW'!M$2,MODULY_CBA!$B$3:$L$23,11,0),0),0)</f>
        <v>766499.85599496204</v>
      </c>
      <c r="N126" s="588">
        <f>IFERROR(IF(VLOOKUP(N$2,MODULY_CBA!$B$3:$N$23,13,0)&lt;='TCO TO BE- SW'!$D126,SUM('TCO TO BE- SW'!N$37:N$46)*VLOOKUP('TCO TO BE- SW'!N$2,MODULY_CBA!$B$3:$L$23,11,0),0),0)</f>
        <v>91152.789101759408</v>
      </c>
      <c r="O126" s="588">
        <f>IFERROR(IF(VLOOKUP(O$2,MODULY_CBA!$B$3:$N$23,13,0)&lt;='TCO TO BE- SW'!$D126,SUM('TCO TO BE- SW'!O$37:O$46)*VLOOKUP('TCO TO BE- SW'!O$2,MODULY_CBA!$B$3:$L$23,11,0),0),0)</f>
        <v>439390.5360490813</v>
      </c>
      <c r="P126" s="588">
        <f>IFERROR(IF(VLOOKUP(P$2,MODULY_CBA!$B$3:$N$23,13,0)&lt;='TCO TO BE- SW'!$D126,SUM('TCO TO BE- SW'!P$37:P$46)*VLOOKUP('TCO TO BE- SW'!P$2,MODULY_CBA!$B$3:$L$23,11,0),0),0)</f>
        <v>56432.189315951437</v>
      </c>
      <c r="Q126" s="588">
        <f>IFERROR(IF(VLOOKUP(Q$2,MODULY_CBA!$B$3:$N$23,13,0)&lt;='TCO TO BE- SW'!$D126,SUM('TCO TO BE- SW'!Q$37:Q$46)*VLOOKUP('TCO TO BE- SW'!Q$2,MODULY_CBA!$B$3:$L$23,11,0),0),0)</f>
        <v>316746.97039740311</v>
      </c>
      <c r="R126" s="588">
        <f>IFERROR(IF(VLOOKUP(R$2,MODULY_CBA!$B$3:$N$23,13,0)&lt;='TCO TO BE- SW'!$D126,SUM('TCO TO BE- SW'!R$37:R$46)*VLOOKUP('TCO TO BE- SW'!R$2,MODULY_CBA!$B$3:$L$23,11,0),0),0)</f>
        <v>111114.89104579628</v>
      </c>
      <c r="S126" s="588">
        <f>IFERROR(IF(VLOOKUP(S$2,MODULY_CBA!$B$3:$N$23,13,0)&lt;='TCO TO BE- SW'!$D126,SUM('TCO TO BE- SW'!S$37:S$46)*VLOOKUP('TCO TO BE- SW'!S$2,MODULY_CBA!$B$3:$L$23,11,0),0),0)</f>
        <v>0</v>
      </c>
      <c r="T126" s="588">
        <f>IFERROR(IF(VLOOKUP(T$2,MODULY_CBA!$B$3:$N$23,13,0)&lt;='TCO TO BE- SW'!$D126,SUM('TCO TO BE- SW'!T$37:T$46)*VLOOKUP('TCO TO BE- SW'!T$2,MODULY_CBA!$B$3:$L$23,11,0),0),0)</f>
        <v>0</v>
      </c>
      <c r="U126" s="588">
        <f>IFERROR(IF(VLOOKUP(U$2,MODULY_CBA!$B$3:$N$23,13,0)&lt;='TCO TO BE- SW'!$D126,SUM('TCO TO BE- SW'!U$37:U$46)*VLOOKUP('TCO TO BE- SW'!U$2,MODULY_CBA!$B$3:$L$23,11,0),0),0)</f>
        <v>0</v>
      </c>
      <c r="V126" s="588">
        <f>IFERROR(IF(VLOOKUP(V$2,MODULY_CBA!$B$3:$N$23,13,0)&lt;='TCO TO BE- SW'!$D126,SUM('TCO TO BE- SW'!V$37:V$46)*VLOOKUP('TCO TO BE- SW'!V$2,MODULY_CBA!$B$3:$L$23,11,0),0),0)</f>
        <v>0</v>
      </c>
      <c r="W126" s="588">
        <f>IFERROR(IF(VLOOKUP(W$2,MODULY_CBA!$B$3:$N$23,13,0)&lt;='TCO TO BE- SW'!$D126,SUM('TCO TO BE- SW'!W$37:W$46)*VLOOKUP('TCO TO BE- SW'!W$2,MODULY_CBA!$B$3:$L$23,11,0),0),0)</f>
        <v>0</v>
      </c>
      <c r="X126" s="588">
        <f>IFERROR(IF(VLOOKUP(X$2,MODULY_CBA!$B$3:$N$23,13,0)&lt;='TCO TO BE- SW'!$D126,SUM('TCO TO BE- SW'!X$37:X$46)*VLOOKUP('TCO TO BE- SW'!X$2,MODULY_CBA!$B$3:$L$23,11,0),0),0)</f>
        <v>0</v>
      </c>
      <c r="Y126" s="588">
        <f>IFERROR(IF(VLOOKUP(Y$2,MODULY_CBA!$B$3:$N$23,13,0)&lt;='TCO TO BE- SW'!$D126,SUM('TCO TO BE- SW'!Y$37:Y$46)*VLOOKUP('TCO TO BE- SW'!Y$2,MODULY_CBA!$B$3:$L$23,11,0),0),0)</f>
        <v>0</v>
      </c>
      <c r="Z126" s="588">
        <f>IFERROR(IF(VLOOKUP(Z$2,MODULY_CBA!$B$3:$N$23,13,0)&lt;='TCO TO BE- SW'!$D126,SUM('TCO TO BE- SW'!Z$37:Z$46)*VLOOKUP('TCO TO BE- SW'!Z$2,MODULY_CBA!$B$3:$L$23,11,0),0),0)</f>
        <v>0</v>
      </c>
    </row>
    <row r="127" spans="1:26" outlineLevel="2">
      <c r="A127" s="841"/>
      <c r="B127" s="842"/>
      <c r="C127" s="842"/>
      <c r="D127" s="64">
        <v>8</v>
      </c>
      <c r="E127" s="68">
        <f t="shared" si="14"/>
        <v>2072873.6376</v>
      </c>
      <c r="F127" s="588">
        <f>IFERROR(IF(VLOOKUP(F$2,MODULY_CBA!$B$3:$N$23,13,0)&lt;='TCO TO BE- SW'!$D127,SUM('TCO TO BE- SW'!F$37:F$46)*VLOOKUP('TCO TO BE- SW'!F$2,MODULY_CBA!$B$3:$L$23,11,0),0),0)</f>
        <v>18706.059574524443</v>
      </c>
      <c r="G127" s="588">
        <f>IFERROR(IF(VLOOKUP(G$2,MODULY_CBA!$B$3:$N$23,13,0)&lt;='TCO TO BE- SW'!$D127,SUM('TCO TO BE- SW'!G$37:G$46)*VLOOKUP('TCO TO BE- SW'!G$2,MODULY_CBA!$B$3:$L$23,11,0),0),0)</f>
        <v>0</v>
      </c>
      <c r="H127" s="588">
        <f>IFERROR(IF(VLOOKUP(H$2,MODULY_CBA!$B$3:$N$23,13,0)&lt;='TCO TO BE- SW'!$D127,SUM('TCO TO BE- SW'!H$37:H$46)*VLOOKUP('TCO TO BE- SW'!H$2,MODULY_CBA!$B$3:$L$23,11,0),0),0)</f>
        <v>38399.009582237231</v>
      </c>
      <c r="I127" s="588">
        <f>IFERROR(IF(VLOOKUP(I$2,MODULY_CBA!$B$3:$N$23,13,0)&lt;='TCO TO BE- SW'!$D127,SUM('TCO TO BE- SW'!I$37:I$46)*VLOOKUP('TCO TO BE- SW'!I$2,MODULY_CBA!$B$3:$L$23,11,0),0),0)</f>
        <v>100483.38956099462</v>
      </c>
      <c r="J127" s="588">
        <f>IFERROR(IF(VLOOKUP(J$2,MODULY_CBA!$B$3:$N$23,13,0)&lt;='TCO TO BE- SW'!$D127,SUM('TCO TO BE- SW'!J$37:J$46)*VLOOKUP('TCO TO BE- SW'!J$2,MODULY_CBA!$B$3:$L$23,11,0),0),0)</f>
        <v>53695.811296656495</v>
      </c>
      <c r="K127" s="588">
        <f>IFERROR(IF(VLOOKUP(K$2,MODULY_CBA!$B$3:$N$23,13,0)&lt;='TCO TO BE- SW'!$D127,SUM('TCO TO BE- SW'!K$37:K$46)*VLOOKUP('TCO TO BE- SW'!K$2,MODULY_CBA!$B$3:$L$23,11,0),0),0)</f>
        <v>32477.666983107185</v>
      </c>
      <c r="L127" s="588">
        <f>IFERROR(IF(VLOOKUP(L$2,MODULY_CBA!$B$3:$N$23,13,0)&lt;='TCO TO BE- SW'!$D127,SUM('TCO TO BE- SW'!L$37:L$46)*VLOOKUP('TCO TO BE- SW'!L$2,MODULY_CBA!$B$3:$L$23,11,0),0),0)</f>
        <v>47774.468697526456</v>
      </c>
      <c r="M127" s="588">
        <f>IFERROR(IF(VLOOKUP(M$2,MODULY_CBA!$B$3:$N$23,13,0)&lt;='TCO TO BE- SW'!$D127,SUM('TCO TO BE- SW'!M$37:M$46)*VLOOKUP('TCO TO BE- SW'!M$2,MODULY_CBA!$B$3:$L$23,11,0),0),0)</f>
        <v>766499.85599496204</v>
      </c>
      <c r="N127" s="588">
        <f>IFERROR(IF(VLOOKUP(N$2,MODULY_CBA!$B$3:$N$23,13,0)&lt;='TCO TO BE- SW'!$D127,SUM('TCO TO BE- SW'!N$37:N$46)*VLOOKUP('TCO TO BE- SW'!N$2,MODULY_CBA!$B$3:$L$23,11,0),0),0)</f>
        <v>91152.789101759408</v>
      </c>
      <c r="O127" s="588">
        <f>IFERROR(IF(VLOOKUP(O$2,MODULY_CBA!$B$3:$N$23,13,0)&lt;='TCO TO BE- SW'!$D127,SUM('TCO TO BE- SW'!O$37:O$46)*VLOOKUP('TCO TO BE- SW'!O$2,MODULY_CBA!$B$3:$L$23,11,0),0),0)</f>
        <v>439390.5360490813</v>
      </c>
      <c r="P127" s="588">
        <f>IFERROR(IF(VLOOKUP(P$2,MODULY_CBA!$B$3:$N$23,13,0)&lt;='TCO TO BE- SW'!$D127,SUM('TCO TO BE- SW'!P$37:P$46)*VLOOKUP('TCO TO BE- SW'!P$2,MODULY_CBA!$B$3:$L$23,11,0),0),0)</f>
        <v>56432.189315951437</v>
      </c>
      <c r="Q127" s="588">
        <f>IFERROR(IF(VLOOKUP(Q$2,MODULY_CBA!$B$3:$N$23,13,0)&lt;='TCO TO BE- SW'!$D127,SUM('TCO TO BE- SW'!Q$37:Q$46)*VLOOKUP('TCO TO BE- SW'!Q$2,MODULY_CBA!$B$3:$L$23,11,0),0),0)</f>
        <v>316746.97039740311</v>
      </c>
      <c r="R127" s="588">
        <f>IFERROR(IF(VLOOKUP(R$2,MODULY_CBA!$B$3:$N$23,13,0)&lt;='TCO TO BE- SW'!$D127,SUM('TCO TO BE- SW'!R$37:R$46)*VLOOKUP('TCO TO BE- SW'!R$2,MODULY_CBA!$B$3:$L$23,11,0),0),0)</f>
        <v>111114.89104579628</v>
      </c>
      <c r="S127" s="588">
        <f>IFERROR(IF(VLOOKUP(S$2,MODULY_CBA!$B$3:$N$23,13,0)&lt;='TCO TO BE- SW'!$D127,SUM('TCO TO BE- SW'!S$37:S$46)*VLOOKUP('TCO TO BE- SW'!S$2,MODULY_CBA!$B$3:$L$23,11,0),0),0)</f>
        <v>0</v>
      </c>
      <c r="T127" s="588">
        <f>IFERROR(IF(VLOOKUP(T$2,MODULY_CBA!$B$3:$N$23,13,0)&lt;='TCO TO BE- SW'!$D127,SUM('TCO TO BE- SW'!T$37:T$46)*VLOOKUP('TCO TO BE- SW'!T$2,MODULY_CBA!$B$3:$L$23,11,0),0),0)</f>
        <v>0</v>
      </c>
      <c r="U127" s="588">
        <f>IFERROR(IF(VLOOKUP(U$2,MODULY_CBA!$B$3:$N$23,13,0)&lt;='TCO TO BE- SW'!$D127,SUM('TCO TO BE- SW'!U$37:U$46)*VLOOKUP('TCO TO BE- SW'!U$2,MODULY_CBA!$B$3:$L$23,11,0),0),0)</f>
        <v>0</v>
      </c>
      <c r="V127" s="588">
        <f>IFERROR(IF(VLOOKUP(V$2,MODULY_CBA!$B$3:$N$23,13,0)&lt;='TCO TO BE- SW'!$D127,SUM('TCO TO BE- SW'!V$37:V$46)*VLOOKUP('TCO TO BE- SW'!V$2,MODULY_CBA!$B$3:$L$23,11,0),0),0)</f>
        <v>0</v>
      </c>
      <c r="W127" s="588">
        <f>IFERROR(IF(VLOOKUP(W$2,MODULY_CBA!$B$3:$N$23,13,0)&lt;='TCO TO BE- SW'!$D127,SUM('TCO TO BE- SW'!W$37:W$46)*VLOOKUP('TCO TO BE- SW'!W$2,MODULY_CBA!$B$3:$L$23,11,0),0),0)</f>
        <v>0</v>
      </c>
      <c r="X127" s="588">
        <f>IFERROR(IF(VLOOKUP(X$2,MODULY_CBA!$B$3:$N$23,13,0)&lt;='TCO TO BE- SW'!$D127,SUM('TCO TO BE- SW'!X$37:X$46)*VLOOKUP('TCO TO BE- SW'!X$2,MODULY_CBA!$B$3:$L$23,11,0),0),0)</f>
        <v>0</v>
      </c>
      <c r="Y127" s="588">
        <f>IFERROR(IF(VLOOKUP(Y$2,MODULY_CBA!$B$3:$N$23,13,0)&lt;='TCO TO BE- SW'!$D127,SUM('TCO TO BE- SW'!Y$37:Y$46)*VLOOKUP('TCO TO BE- SW'!Y$2,MODULY_CBA!$B$3:$L$23,11,0),0),0)</f>
        <v>0</v>
      </c>
      <c r="Z127" s="588">
        <f>IFERROR(IF(VLOOKUP(Z$2,MODULY_CBA!$B$3:$N$23,13,0)&lt;='TCO TO BE- SW'!$D127,SUM('TCO TO BE- SW'!Z$37:Z$46)*VLOOKUP('TCO TO BE- SW'!Z$2,MODULY_CBA!$B$3:$L$23,11,0),0),0)</f>
        <v>0</v>
      </c>
    </row>
    <row r="128" spans="1:26" outlineLevel="2">
      <c r="A128" s="841"/>
      <c r="B128" s="842"/>
      <c r="C128" s="842"/>
      <c r="D128" s="64">
        <v>9</v>
      </c>
      <c r="E128" s="68">
        <f t="shared" si="14"/>
        <v>2072873.6376</v>
      </c>
      <c r="F128" s="588">
        <f>IFERROR(IF(VLOOKUP(F$2,MODULY_CBA!$B$3:$N$23,13,0)&lt;='TCO TO BE- SW'!$D128,SUM('TCO TO BE- SW'!F$37:F$46)*VLOOKUP('TCO TO BE- SW'!F$2,MODULY_CBA!$B$3:$L$23,11,0),0),0)</f>
        <v>18706.059574524443</v>
      </c>
      <c r="G128" s="588">
        <f>IFERROR(IF(VLOOKUP(G$2,MODULY_CBA!$B$3:$N$23,13,0)&lt;='TCO TO BE- SW'!$D128,SUM('TCO TO BE- SW'!G$37:G$46)*VLOOKUP('TCO TO BE- SW'!G$2,MODULY_CBA!$B$3:$L$23,11,0),0),0)</f>
        <v>0</v>
      </c>
      <c r="H128" s="588">
        <f>IFERROR(IF(VLOOKUP(H$2,MODULY_CBA!$B$3:$N$23,13,0)&lt;='TCO TO BE- SW'!$D128,SUM('TCO TO BE- SW'!H$37:H$46)*VLOOKUP('TCO TO BE- SW'!H$2,MODULY_CBA!$B$3:$L$23,11,0),0),0)</f>
        <v>38399.009582237231</v>
      </c>
      <c r="I128" s="588">
        <f>IFERROR(IF(VLOOKUP(I$2,MODULY_CBA!$B$3:$N$23,13,0)&lt;='TCO TO BE- SW'!$D128,SUM('TCO TO BE- SW'!I$37:I$46)*VLOOKUP('TCO TO BE- SW'!I$2,MODULY_CBA!$B$3:$L$23,11,0),0),0)</f>
        <v>100483.38956099462</v>
      </c>
      <c r="J128" s="588">
        <f>IFERROR(IF(VLOOKUP(J$2,MODULY_CBA!$B$3:$N$23,13,0)&lt;='TCO TO BE- SW'!$D128,SUM('TCO TO BE- SW'!J$37:J$46)*VLOOKUP('TCO TO BE- SW'!J$2,MODULY_CBA!$B$3:$L$23,11,0),0),0)</f>
        <v>53695.811296656495</v>
      </c>
      <c r="K128" s="588">
        <f>IFERROR(IF(VLOOKUP(K$2,MODULY_CBA!$B$3:$N$23,13,0)&lt;='TCO TO BE- SW'!$D128,SUM('TCO TO BE- SW'!K$37:K$46)*VLOOKUP('TCO TO BE- SW'!K$2,MODULY_CBA!$B$3:$L$23,11,0),0),0)</f>
        <v>32477.666983107185</v>
      </c>
      <c r="L128" s="588">
        <f>IFERROR(IF(VLOOKUP(L$2,MODULY_CBA!$B$3:$N$23,13,0)&lt;='TCO TO BE- SW'!$D128,SUM('TCO TO BE- SW'!L$37:L$46)*VLOOKUP('TCO TO BE- SW'!L$2,MODULY_CBA!$B$3:$L$23,11,0),0),0)</f>
        <v>47774.468697526456</v>
      </c>
      <c r="M128" s="588">
        <f>IFERROR(IF(VLOOKUP(M$2,MODULY_CBA!$B$3:$N$23,13,0)&lt;='TCO TO BE- SW'!$D128,SUM('TCO TO BE- SW'!M$37:M$46)*VLOOKUP('TCO TO BE- SW'!M$2,MODULY_CBA!$B$3:$L$23,11,0),0),0)</f>
        <v>766499.85599496204</v>
      </c>
      <c r="N128" s="588">
        <f>IFERROR(IF(VLOOKUP(N$2,MODULY_CBA!$B$3:$N$23,13,0)&lt;='TCO TO BE- SW'!$D128,SUM('TCO TO BE- SW'!N$37:N$46)*VLOOKUP('TCO TO BE- SW'!N$2,MODULY_CBA!$B$3:$L$23,11,0),0),0)</f>
        <v>91152.789101759408</v>
      </c>
      <c r="O128" s="588">
        <f>IFERROR(IF(VLOOKUP(O$2,MODULY_CBA!$B$3:$N$23,13,0)&lt;='TCO TO BE- SW'!$D128,SUM('TCO TO BE- SW'!O$37:O$46)*VLOOKUP('TCO TO BE- SW'!O$2,MODULY_CBA!$B$3:$L$23,11,0),0),0)</f>
        <v>439390.5360490813</v>
      </c>
      <c r="P128" s="588">
        <f>IFERROR(IF(VLOOKUP(P$2,MODULY_CBA!$B$3:$N$23,13,0)&lt;='TCO TO BE- SW'!$D128,SUM('TCO TO BE- SW'!P$37:P$46)*VLOOKUP('TCO TO BE- SW'!P$2,MODULY_CBA!$B$3:$L$23,11,0),0),0)</f>
        <v>56432.189315951437</v>
      </c>
      <c r="Q128" s="588">
        <f>IFERROR(IF(VLOOKUP(Q$2,MODULY_CBA!$B$3:$N$23,13,0)&lt;='TCO TO BE- SW'!$D128,SUM('TCO TO BE- SW'!Q$37:Q$46)*VLOOKUP('TCO TO BE- SW'!Q$2,MODULY_CBA!$B$3:$L$23,11,0),0),0)</f>
        <v>316746.97039740311</v>
      </c>
      <c r="R128" s="588">
        <f>IFERROR(IF(VLOOKUP(R$2,MODULY_CBA!$B$3:$N$23,13,0)&lt;='TCO TO BE- SW'!$D128,SUM('TCO TO BE- SW'!R$37:R$46)*VLOOKUP('TCO TO BE- SW'!R$2,MODULY_CBA!$B$3:$L$23,11,0),0),0)</f>
        <v>111114.89104579628</v>
      </c>
      <c r="S128" s="588">
        <f>IFERROR(IF(VLOOKUP(S$2,MODULY_CBA!$B$3:$N$23,13,0)&lt;='TCO TO BE- SW'!$D128,SUM('TCO TO BE- SW'!S$37:S$46)*VLOOKUP('TCO TO BE- SW'!S$2,MODULY_CBA!$B$3:$L$23,11,0),0),0)</f>
        <v>0</v>
      </c>
      <c r="T128" s="588">
        <f>IFERROR(IF(VLOOKUP(T$2,MODULY_CBA!$B$3:$N$23,13,0)&lt;='TCO TO BE- SW'!$D128,SUM('TCO TO BE- SW'!T$37:T$46)*VLOOKUP('TCO TO BE- SW'!T$2,MODULY_CBA!$B$3:$L$23,11,0),0),0)</f>
        <v>0</v>
      </c>
      <c r="U128" s="588">
        <f>IFERROR(IF(VLOOKUP(U$2,MODULY_CBA!$B$3:$N$23,13,0)&lt;='TCO TO BE- SW'!$D128,SUM('TCO TO BE- SW'!U$37:U$46)*VLOOKUP('TCO TO BE- SW'!U$2,MODULY_CBA!$B$3:$L$23,11,0),0),0)</f>
        <v>0</v>
      </c>
      <c r="V128" s="588">
        <f>IFERROR(IF(VLOOKUP(V$2,MODULY_CBA!$B$3:$N$23,13,0)&lt;='TCO TO BE- SW'!$D128,SUM('TCO TO BE- SW'!V$37:V$46)*VLOOKUP('TCO TO BE- SW'!V$2,MODULY_CBA!$B$3:$L$23,11,0),0),0)</f>
        <v>0</v>
      </c>
      <c r="W128" s="588">
        <f>IFERROR(IF(VLOOKUP(W$2,MODULY_CBA!$B$3:$N$23,13,0)&lt;='TCO TO BE- SW'!$D128,SUM('TCO TO BE- SW'!W$37:W$46)*VLOOKUP('TCO TO BE- SW'!W$2,MODULY_CBA!$B$3:$L$23,11,0),0),0)</f>
        <v>0</v>
      </c>
      <c r="X128" s="588">
        <f>IFERROR(IF(VLOOKUP(X$2,MODULY_CBA!$B$3:$N$23,13,0)&lt;='TCO TO BE- SW'!$D128,SUM('TCO TO BE- SW'!X$37:X$46)*VLOOKUP('TCO TO BE- SW'!X$2,MODULY_CBA!$B$3:$L$23,11,0),0),0)</f>
        <v>0</v>
      </c>
      <c r="Y128" s="588">
        <f>IFERROR(IF(VLOOKUP(Y$2,MODULY_CBA!$B$3:$N$23,13,0)&lt;='TCO TO BE- SW'!$D128,SUM('TCO TO BE- SW'!Y$37:Y$46)*VLOOKUP('TCO TO BE- SW'!Y$2,MODULY_CBA!$B$3:$L$23,11,0),0),0)</f>
        <v>0</v>
      </c>
      <c r="Z128" s="588">
        <f>IFERROR(IF(VLOOKUP(Z$2,MODULY_CBA!$B$3:$N$23,13,0)&lt;='TCO TO BE- SW'!$D128,SUM('TCO TO BE- SW'!Z$37:Z$46)*VLOOKUP('TCO TO BE- SW'!Z$2,MODULY_CBA!$B$3:$L$23,11,0),0),0)</f>
        <v>0</v>
      </c>
    </row>
    <row r="129" spans="1:27" ht="15" outlineLevel="2" thickBot="1">
      <c r="A129" s="841"/>
      <c r="B129" s="842"/>
      <c r="C129" s="842"/>
      <c r="D129" s="65">
        <v>10</v>
      </c>
      <c r="E129" s="69">
        <f t="shared" si="14"/>
        <v>2072873.6376</v>
      </c>
      <c r="F129" s="588">
        <f>IFERROR(IF(VLOOKUP(F$2,MODULY_CBA!$B$3:$N$23,13,0)&lt;='TCO TO BE- SW'!$D129,SUM('TCO TO BE- SW'!F$37:F$46)*VLOOKUP('TCO TO BE- SW'!F$2,MODULY_CBA!$B$3:$L$23,11,0),0),0)</f>
        <v>18706.059574524443</v>
      </c>
      <c r="G129" s="588">
        <f>IFERROR(IF(VLOOKUP(G$2,MODULY_CBA!$B$3:$N$23,13,0)&lt;='TCO TO BE- SW'!$D129,SUM('TCO TO BE- SW'!G$37:G$46)*VLOOKUP('TCO TO BE- SW'!G$2,MODULY_CBA!$B$3:$L$23,11,0),0),0)</f>
        <v>0</v>
      </c>
      <c r="H129" s="588">
        <f>IFERROR(IF(VLOOKUP(H$2,MODULY_CBA!$B$3:$N$23,13,0)&lt;='TCO TO BE- SW'!$D129,SUM('TCO TO BE- SW'!H$37:H$46)*VLOOKUP('TCO TO BE- SW'!H$2,MODULY_CBA!$B$3:$L$23,11,0),0),0)</f>
        <v>38399.009582237231</v>
      </c>
      <c r="I129" s="588">
        <f>IFERROR(IF(VLOOKUP(I$2,MODULY_CBA!$B$3:$N$23,13,0)&lt;='TCO TO BE- SW'!$D129,SUM('TCO TO BE- SW'!I$37:I$46)*VLOOKUP('TCO TO BE- SW'!I$2,MODULY_CBA!$B$3:$L$23,11,0),0),0)</f>
        <v>100483.38956099462</v>
      </c>
      <c r="J129" s="588">
        <f>IFERROR(IF(VLOOKUP(J$2,MODULY_CBA!$B$3:$N$23,13,0)&lt;='TCO TO BE- SW'!$D129,SUM('TCO TO BE- SW'!J$37:J$46)*VLOOKUP('TCO TO BE- SW'!J$2,MODULY_CBA!$B$3:$L$23,11,0),0),0)</f>
        <v>53695.811296656495</v>
      </c>
      <c r="K129" s="588">
        <f>IFERROR(IF(VLOOKUP(K$2,MODULY_CBA!$B$3:$N$23,13,0)&lt;='TCO TO BE- SW'!$D129,SUM('TCO TO BE- SW'!K$37:K$46)*VLOOKUP('TCO TO BE- SW'!K$2,MODULY_CBA!$B$3:$L$23,11,0),0),0)</f>
        <v>32477.666983107185</v>
      </c>
      <c r="L129" s="588">
        <f>IFERROR(IF(VLOOKUP(L$2,MODULY_CBA!$B$3:$N$23,13,0)&lt;='TCO TO BE- SW'!$D129,SUM('TCO TO BE- SW'!L$37:L$46)*VLOOKUP('TCO TO BE- SW'!L$2,MODULY_CBA!$B$3:$L$23,11,0),0),0)</f>
        <v>47774.468697526456</v>
      </c>
      <c r="M129" s="588">
        <f>IFERROR(IF(VLOOKUP(M$2,MODULY_CBA!$B$3:$N$23,13,0)&lt;='TCO TO BE- SW'!$D129,SUM('TCO TO BE- SW'!M$37:M$46)*VLOOKUP('TCO TO BE- SW'!M$2,MODULY_CBA!$B$3:$L$23,11,0),0),0)</f>
        <v>766499.85599496204</v>
      </c>
      <c r="N129" s="588">
        <f>IFERROR(IF(VLOOKUP(N$2,MODULY_CBA!$B$3:$N$23,13,0)&lt;='TCO TO BE- SW'!$D129,SUM('TCO TO BE- SW'!N$37:N$46)*VLOOKUP('TCO TO BE- SW'!N$2,MODULY_CBA!$B$3:$L$23,11,0),0),0)</f>
        <v>91152.789101759408</v>
      </c>
      <c r="O129" s="588">
        <f>IFERROR(IF(VLOOKUP(O$2,MODULY_CBA!$B$3:$N$23,13,0)&lt;='TCO TO BE- SW'!$D129,SUM('TCO TO BE- SW'!O$37:O$46)*VLOOKUP('TCO TO BE- SW'!O$2,MODULY_CBA!$B$3:$L$23,11,0),0),0)</f>
        <v>439390.5360490813</v>
      </c>
      <c r="P129" s="588">
        <f>IFERROR(IF(VLOOKUP(P$2,MODULY_CBA!$B$3:$N$23,13,0)&lt;='TCO TO BE- SW'!$D129,SUM('TCO TO BE- SW'!P$37:P$46)*VLOOKUP('TCO TO BE- SW'!P$2,MODULY_CBA!$B$3:$L$23,11,0),0),0)</f>
        <v>56432.189315951437</v>
      </c>
      <c r="Q129" s="588">
        <f>IFERROR(IF(VLOOKUP(Q$2,MODULY_CBA!$B$3:$N$23,13,0)&lt;='TCO TO BE- SW'!$D129,SUM('TCO TO BE- SW'!Q$37:Q$46)*VLOOKUP('TCO TO BE- SW'!Q$2,MODULY_CBA!$B$3:$L$23,11,0),0),0)</f>
        <v>316746.97039740311</v>
      </c>
      <c r="R129" s="588">
        <f>IFERROR(IF(VLOOKUP(R$2,MODULY_CBA!$B$3:$N$23,13,0)&lt;='TCO TO BE- SW'!$D129,SUM('TCO TO BE- SW'!R$37:R$46)*VLOOKUP('TCO TO BE- SW'!R$2,MODULY_CBA!$B$3:$L$23,11,0),0),0)</f>
        <v>111114.89104579628</v>
      </c>
      <c r="S129" s="588">
        <f>IFERROR(IF(VLOOKUP(S$2,MODULY_CBA!$B$3:$N$23,13,0)&lt;='TCO TO BE- SW'!$D129,SUM('TCO TO BE- SW'!S$37:S$46)*VLOOKUP('TCO TO BE- SW'!S$2,MODULY_CBA!$B$3:$L$23,11,0),0),0)</f>
        <v>0</v>
      </c>
      <c r="T129" s="588">
        <f>IFERROR(IF(VLOOKUP(T$2,MODULY_CBA!$B$3:$N$23,13,0)&lt;='TCO TO BE- SW'!$D129,SUM('TCO TO BE- SW'!T$37:T$46)*VLOOKUP('TCO TO BE- SW'!T$2,MODULY_CBA!$B$3:$L$23,11,0),0),0)</f>
        <v>0</v>
      </c>
      <c r="U129" s="588">
        <f>IFERROR(IF(VLOOKUP(U$2,MODULY_CBA!$B$3:$N$23,13,0)&lt;='TCO TO BE- SW'!$D129,SUM('TCO TO BE- SW'!U$37:U$46)*VLOOKUP('TCO TO BE- SW'!U$2,MODULY_CBA!$B$3:$L$23,11,0),0),0)</f>
        <v>0</v>
      </c>
      <c r="V129" s="588">
        <f>IFERROR(IF(VLOOKUP(V$2,MODULY_CBA!$B$3:$N$23,13,0)&lt;='TCO TO BE- SW'!$D129,SUM('TCO TO BE- SW'!V$37:V$46)*VLOOKUP('TCO TO BE- SW'!V$2,MODULY_CBA!$B$3:$L$23,11,0),0),0)</f>
        <v>0</v>
      </c>
      <c r="W129" s="588">
        <f>IFERROR(IF(VLOOKUP(W$2,MODULY_CBA!$B$3:$N$23,13,0)&lt;='TCO TO BE- SW'!$D129,SUM('TCO TO BE- SW'!W$37:W$46)*VLOOKUP('TCO TO BE- SW'!W$2,MODULY_CBA!$B$3:$L$23,11,0),0),0)</f>
        <v>0</v>
      </c>
      <c r="X129" s="588">
        <f>IFERROR(IF(VLOOKUP(X$2,MODULY_CBA!$B$3:$N$23,13,0)&lt;='TCO TO BE- SW'!$D129,SUM('TCO TO BE- SW'!X$37:X$46)*VLOOKUP('TCO TO BE- SW'!X$2,MODULY_CBA!$B$3:$L$23,11,0),0),0)</f>
        <v>0</v>
      </c>
      <c r="Y129" s="588">
        <f>IFERROR(IF(VLOOKUP(Y$2,MODULY_CBA!$B$3:$N$23,13,0)&lt;='TCO TO BE- SW'!$D129,SUM('TCO TO BE- SW'!Y$37:Y$46)*VLOOKUP('TCO TO BE- SW'!Y$2,MODULY_CBA!$B$3:$L$23,11,0),0),0)</f>
        <v>0</v>
      </c>
      <c r="Z129" s="588">
        <f>IFERROR(IF(VLOOKUP(Z$2,MODULY_CBA!$B$3:$N$23,13,0)&lt;='TCO TO BE- SW'!$D129,SUM('TCO TO BE- SW'!Z$37:Z$46)*VLOOKUP('TCO TO BE- SW'!Z$2,MODULY_CBA!$B$3:$L$23,11,0),0),0)</f>
        <v>0</v>
      </c>
    </row>
    <row r="130" spans="1:27" outlineLevel="2">
      <c r="A130" s="841" t="s">
        <v>2117</v>
      </c>
      <c r="B130" s="842" t="s">
        <v>2118</v>
      </c>
      <c r="C130" s="842">
        <v>610</v>
      </c>
      <c r="D130" s="63">
        <v>1</v>
      </c>
      <c r="E130" s="68">
        <f t="shared" si="14"/>
        <v>0</v>
      </c>
      <c r="F130" s="578">
        <v>0</v>
      </c>
      <c r="G130" s="578">
        <v>0</v>
      </c>
      <c r="H130" s="578">
        <v>0</v>
      </c>
      <c r="I130" s="578">
        <v>0</v>
      </c>
      <c r="J130" s="578">
        <v>0</v>
      </c>
      <c r="K130" s="578">
        <v>0</v>
      </c>
      <c r="L130" s="578">
        <v>0</v>
      </c>
      <c r="M130" s="578">
        <v>0</v>
      </c>
      <c r="N130" s="578">
        <v>0</v>
      </c>
      <c r="O130" s="578">
        <v>0</v>
      </c>
      <c r="P130" s="578">
        <v>0</v>
      </c>
      <c r="Q130" s="578">
        <v>0</v>
      </c>
      <c r="R130" s="578">
        <v>0</v>
      </c>
      <c r="S130" s="578">
        <v>0</v>
      </c>
      <c r="T130" s="578">
        <v>0</v>
      </c>
      <c r="U130" s="578">
        <v>0</v>
      </c>
      <c r="V130" s="578">
        <v>0</v>
      </c>
      <c r="W130" s="578">
        <v>0</v>
      </c>
      <c r="X130" s="578">
        <v>0</v>
      </c>
      <c r="Y130" s="578">
        <v>0</v>
      </c>
      <c r="Z130" s="578">
        <v>0</v>
      </c>
    </row>
    <row r="131" spans="1:27" outlineLevel="2">
      <c r="A131" s="841"/>
      <c r="B131" s="842"/>
      <c r="C131" s="842"/>
      <c r="D131" s="64">
        <v>2</v>
      </c>
      <c r="E131" s="68">
        <f t="shared" si="14"/>
        <v>0</v>
      </c>
      <c r="F131" s="579">
        <v>0</v>
      </c>
      <c r="G131" s="579">
        <v>0</v>
      </c>
      <c r="H131" s="579">
        <v>0</v>
      </c>
      <c r="I131" s="579">
        <v>0</v>
      </c>
      <c r="J131" s="579">
        <v>0</v>
      </c>
      <c r="K131" s="579">
        <v>0</v>
      </c>
      <c r="L131" s="579">
        <v>0</v>
      </c>
      <c r="M131" s="579">
        <v>0</v>
      </c>
      <c r="N131" s="579">
        <v>0</v>
      </c>
      <c r="O131" s="579">
        <v>0</v>
      </c>
      <c r="P131" s="579">
        <v>0</v>
      </c>
      <c r="Q131" s="579">
        <v>0</v>
      </c>
      <c r="R131" s="579">
        <v>0</v>
      </c>
      <c r="S131" s="579">
        <v>0</v>
      </c>
      <c r="T131" s="579">
        <v>0</v>
      </c>
      <c r="U131" s="579">
        <v>0</v>
      </c>
      <c r="V131" s="579">
        <v>0</v>
      </c>
      <c r="W131" s="579">
        <v>0</v>
      </c>
      <c r="X131" s="579">
        <v>0</v>
      </c>
      <c r="Y131" s="579">
        <v>0</v>
      </c>
      <c r="Z131" s="579">
        <v>0</v>
      </c>
    </row>
    <row r="132" spans="1:27" outlineLevel="2">
      <c r="A132" s="841"/>
      <c r="B132" s="842"/>
      <c r="C132" s="842"/>
      <c r="D132" s="64">
        <v>3</v>
      </c>
      <c r="E132" s="68">
        <f t="shared" si="14"/>
        <v>0</v>
      </c>
      <c r="F132" s="579">
        <v>0</v>
      </c>
      <c r="G132" s="579">
        <v>0</v>
      </c>
      <c r="H132" s="579">
        <v>0</v>
      </c>
      <c r="I132" s="579">
        <v>0</v>
      </c>
      <c r="J132" s="579">
        <v>0</v>
      </c>
      <c r="K132" s="579">
        <v>0</v>
      </c>
      <c r="L132" s="579">
        <v>0</v>
      </c>
      <c r="M132" s="579">
        <v>0</v>
      </c>
      <c r="N132" s="579">
        <v>0</v>
      </c>
      <c r="O132" s="579">
        <v>0</v>
      </c>
      <c r="P132" s="579">
        <v>0</v>
      </c>
      <c r="Q132" s="579">
        <v>0</v>
      </c>
      <c r="R132" s="579">
        <v>0</v>
      </c>
      <c r="S132" s="579">
        <v>0</v>
      </c>
      <c r="T132" s="579">
        <v>0</v>
      </c>
      <c r="U132" s="579">
        <v>0</v>
      </c>
      <c r="V132" s="579">
        <v>0</v>
      </c>
      <c r="W132" s="579">
        <v>0</v>
      </c>
      <c r="X132" s="579">
        <v>0</v>
      </c>
      <c r="Y132" s="579">
        <v>0</v>
      </c>
      <c r="Z132" s="579">
        <v>0</v>
      </c>
    </row>
    <row r="133" spans="1:27" outlineLevel="2">
      <c r="A133" s="841"/>
      <c r="B133" s="842"/>
      <c r="C133" s="842"/>
      <c r="D133" s="64">
        <v>4</v>
      </c>
      <c r="E133" s="68">
        <f t="shared" si="14"/>
        <v>0</v>
      </c>
      <c r="F133" s="579">
        <v>0</v>
      </c>
      <c r="G133" s="579">
        <v>0</v>
      </c>
      <c r="H133" s="579">
        <v>0</v>
      </c>
      <c r="I133" s="579">
        <v>0</v>
      </c>
      <c r="J133" s="579">
        <v>0</v>
      </c>
      <c r="K133" s="579">
        <v>0</v>
      </c>
      <c r="L133" s="579">
        <v>0</v>
      </c>
      <c r="M133" s="579">
        <v>0</v>
      </c>
      <c r="N133" s="579">
        <v>0</v>
      </c>
      <c r="O133" s="579">
        <v>0</v>
      </c>
      <c r="P133" s="579">
        <v>0</v>
      </c>
      <c r="Q133" s="579">
        <v>0</v>
      </c>
      <c r="R133" s="579">
        <v>0</v>
      </c>
      <c r="S133" s="579">
        <v>0</v>
      </c>
      <c r="T133" s="579">
        <v>0</v>
      </c>
      <c r="U133" s="579">
        <v>0</v>
      </c>
      <c r="V133" s="579">
        <v>0</v>
      </c>
      <c r="W133" s="579">
        <v>0</v>
      </c>
      <c r="X133" s="579">
        <v>0</v>
      </c>
      <c r="Y133" s="579">
        <v>0</v>
      </c>
      <c r="Z133" s="579">
        <v>0</v>
      </c>
    </row>
    <row r="134" spans="1:27" outlineLevel="2">
      <c r="A134" s="841"/>
      <c r="B134" s="842"/>
      <c r="C134" s="842"/>
      <c r="D134" s="64">
        <v>5</v>
      </c>
      <c r="E134" s="68">
        <f t="shared" si="14"/>
        <v>0</v>
      </c>
      <c r="F134" s="579">
        <v>0</v>
      </c>
      <c r="G134" s="579">
        <v>0</v>
      </c>
      <c r="H134" s="579">
        <v>0</v>
      </c>
      <c r="I134" s="579">
        <v>0</v>
      </c>
      <c r="J134" s="579">
        <v>0</v>
      </c>
      <c r="K134" s="579">
        <v>0</v>
      </c>
      <c r="L134" s="579">
        <v>0</v>
      </c>
      <c r="M134" s="579">
        <v>0</v>
      </c>
      <c r="N134" s="579">
        <v>0</v>
      </c>
      <c r="O134" s="579">
        <v>0</v>
      </c>
      <c r="P134" s="579">
        <v>0</v>
      </c>
      <c r="Q134" s="579">
        <v>0</v>
      </c>
      <c r="R134" s="579">
        <v>0</v>
      </c>
      <c r="S134" s="579">
        <v>0</v>
      </c>
      <c r="T134" s="579">
        <v>0</v>
      </c>
      <c r="U134" s="579">
        <v>0</v>
      </c>
      <c r="V134" s="579">
        <v>0</v>
      </c>
      <c r="W134" s="579">
        <v>0</v>
      </c>
      <c r="X134" s="579">
        <v>0</v>
      </c>
      <c r="Y134" s="579">
        <v>0</v>
      </c>
      <c r="Z134" s="579">
        <v>0</v>
      </c>
    </row>
    <row r="135" spans="1:27" outlineLevel="2">
      <c r="A135" s="841"/>
      <c r="B135" s="842"/>
      <c r="C135" s="842"/>
      <c r="D135" s="64">
        <v>6</v>
      </c>
      <c r="E135" s="68">
        <f t="shared" si="14"/>
        <v>0</v>
      </c>
      <c r="F135" s="579">
        <v>0</v>
      </c>
      <c r="G135" s="579">
        <v>0</v>
      </c>
      <c r="H135" s="579">
        <v>0</v>
      </c>
      <c r="I135" s="579">
        <v>0</v>
      </c>
      <c r="J135" s="579">
        <v>0</v>
      </c>
      <c r="K135" s="579">
        <v>0</v>
      </c>
      <c r="L135" s="579">
        <v>0</v>
      </c>
      <c r="M135" s="579">
        <v>0</v>
      </c>
      <c r="N135" s="579">
        <v>0</v>
      </c>
      <c r="O135" s="579">
        <v>0</v>
      </c>
      <c r="P135" s="579">
        <v>0</v>
      </c>
      <c r="Q135" s="579">
        <v>0</v>
      </c>
      <c r="R135" s="579">
        <v>0</v>
      </c>
      <c r="S135" s="579">
        <v>0</v>
      </c>
      <c r="T135" s="579">
        <v>0</v>
      </c>
      <c r="U135" s="579">
        <v>0</v>
      </c>
      <c r="V135" s="579">
        <v>0</v>
      </c>
      <c r="W135" s="579">
        <v>0</v>
      </c>
      <c r="X135" s="579">
        <v>0</v>
      </c>
      <c r="Y135" s="579">
        <v>0</v>
      </c>
      <c r="Z135" s="579">
        <v>0</v>
      </c>
    </row>
    <row r="136" spans="1:27" outlineLevel="2">
      <c r="A136" s="841"/>
      <c r="B136" s="842"/>
      <c r="C136" s="842"/>
      <c r="D136" s="64">
        <v>7</v>
      </c>
      <c r="E136" s="68">
        <f t="shared" si="14"/>
        <v>0</v>
      </c>
      <c r="F136" s="579">
        <v>0</v>
      </c>
      <c r="G136" s="579">
        <v>0</v>
      </c>
      <c r="H136" s="579">
        <v>0</v>
      </c>
      <c r="I136" s="579">
        <v>0</v>
      </c>
      <c r="J136" s="579">
        <v>0</v>
      </c>
      <c r="K136" s="579">
        <v>0</v>
      </c>
      <c r="L136" s="579">
        <v>0</v>
      </c>
      <c r="M136" s="579">
        <v>0</v>
      </c>
      <c r="N136" s="579">
        <v>0</v>
      </c>
      <c r="O136" s="579">
        <v>0</v>
      </c>
      <c r="P136" s="579">
        <v>0</v>
      </c>
      <c r="Q136" s="579">
        <v>0</v>
      </c>
      <c r="R136" s="579">
        <v>0</v>
      </c>
      <c r="S136" s="579">
        <v>0</v>
      </c>
      <c r="T136" s="579">
        <v>0</v>
      </c>
      <c r="U136" s="579">
        <v>0</v>
      </c>
      <c r="V136" s="579">
        <v>0</v>
      </c>
      <c r="W136" s="579">
        <v>0</v>
      </c>
      <c r="X136" s="579">
        <v>0</v>
      </c>
      <c r="Y136" s="579">
        <v>0</v>
      </c>
      <c r="Z136" s="579">
        <v>0</v>
      </c>
    </row>
    <row r="137" spans="1:27" outlineLevel="2">
      <c r="A137" s="841"/>
      <c r="B137" s="842"/>
      <c r="C137" s="842"/>
      <c r="D137" s="64">
        <v>8</v>
      </c>
      <c r="E137" s="68">
        <f t="shared" si="14"/>
        <v>0</v>
      </c>
      <c r="F137" s="579">
        <v>0</v>
      </c>
      <c r="G137" s="579">
        <v>0</v>
      </c>
      <c r="H137" s="579">
        <v>0</v>
      </c>
      <c r="I137" s="579">
        <v>0</v>
      </c>
      <c r="J137" s="579">
        <v>0</v>
      </c>
      <c r="K137" s="579">
        <v>0</v>
      </c>
      <c r="L137" s="579">
        <v>0</v>
      </c>
      <c r="M137" s="579">
        <v>0</v>
      </c>
      <c r="N137" s="579">
        <v>0</v>
      </c>
      <c r="O137" s="579">
        <v>0</v>
      </c>
      <c r="P137" s="579">
        <v>0</v>
      </c>
      <c r="Q137" s="579">
        <v>0</v>
      </c>
      <c r="R137" s="579">
        <v>0</v>
      </c>
      <c r="S137" s="579">
        <v>0</v>
      </c>
      <c r="T137" s="579">
        <v>0</v>
      </c>
      <c r="U137" s="579">
        <v>0</v>
      </c>
      <c r="V137" s="579">
        <v>0</v>
      </c>
      <c r="W137" s="579">
        <v>0</v>
      </c>
      <c r="X137" s="579">
        <v>0</v>
      </c>
      <c r="Y137" s="579">
        <v>0</v>
      </c>
      <c r="Z137" s="579">
        <v>0</v>
      </c>
    </row>
    <row r="138" spans="1:27" outlineLevel="2">
      <c r="A138" s="841"/>
      <c r="B138" s="842"/>
      <c r="C138" s="842"/>
      <c r="D138" s="64">
        <v>9</v>
      </c>
      <c r="E138" s="68">
        <f t="shared" si="14"/>
        <v>0</v>
      </c>
      <c r="F138" s="579">
        <v>0</v>
      </c>
      <c r="G138" s="579">
        <v>0</v>
      </c>
      <c r="H138" s="579">
        <v>0</v>
      </c>
      <c r="I138" s="579">
        <v>0</v>
      </c>
      <c r="J138" s="579">
        <v>0</v>
      </c>
      <c r="K138" s="579">
        <v>0</v>
      </c>
      <c r="L138" s="579">
        <v>0</v>
      </c>
      <c r="M138" s="579">
        <v>0</v>
      </c>
      <c r="N138" s="579">
        <v>0</v>
      </c>
      <c r="O138" s="579">
        <v>0</v>
      </c>
      <c r="P138" s="579">
        <v>0</v>
      </c>
      <c r="Q138" s="579">
        <v>0</v>
      </c>
      <c r="R138" s="579">
        <v>0</v>
      </c>
      <c r="S138" s="579">
        <v>0</v>
      </c>
      <c r="T138" s="579">
        <v>0</v>
      </c>
      <c r="U138" s="579">
        <v>0</v>
      </c>
      <c r="V138" s="579">
        <v>0</v>
      </c>
      <c r="W138" s="579">
        <v>0</v>
      </c>
      <c r="X138" s="579">
        <v>0</v>
      </c>
      <c r="Y138" s="579">
        <v>0</v>
      </c>
      <c r="Z138" s="579">
        <v>0</v>
      </c>
    </row>
    <row r="139" spans="1:27" ht="15" outlineLevel="2" thickBot="1">
      <c r="A139" s="841"/>
      <c r="B139" s="842"/>
      <c r="C139" s="842"/>
      <c r="D139" s="65">
        <v>10</v>
      </c>
      <c r="E139" s="69">
        <f t="shared" si="14"/>
        <v>0</v>
      </c>
      <c r="F139" s="579">
        <v>0</v>
      </c>
      <c r="G139" s="579">
        <v>0</v>
      </c>
      <c r="H139" s="579">
        <v>0</v>
      </c>
      <c r="I139" s="579">
        <v>0</v>
      </c>
      <c r="J139" s="579">
        <v>0</v>
      </c>
      <c r="K139" s="579">
        <v>0</v>
      </c>
      <c r="L139" s="579">
        <v>0</v>
      </c>
      <c r="M139" s="579">
        <v>0</v>
      </c>
      <c r="N139" s="579">
        <v>0</v>
      </c>
      <c r="O139" s="579">
        <v>0</v>
      </c>
      <c r="P139" s="579">
        <v>0</v>
      </c>
      <c r="Q139" s="579">
        <v>0</v>
      </c>
      <c r="R139" s="579">
        <v>0</v>
      </c>
      <c r="S139" s="579">
        <v>0</v>
      </c>
      <c r="T139" s="579">
        <v>0</v>
      </c>
      <c r="U139" s="579">
        <v>0</v>
      </c>
      <c r="V139" s="579">
        <v>0</v>
      </c>
      <c r="W139" s="579">
        <v>0</v>
      </c>
      <c r="X139" s="579">
        <v>0</v>
      </c>
      <c r="Y139" s="579">
        <v>0</v>
      </c>
      <c r="Z139" s="579">
        <v>0</v>
      </c>
      <c r="AA139" s="364"/>
    </row>
    <row r="140" spans="1:27" outlineLevel="2">
      <c r="A140" s="841" t="s">
        <v>2119</v>
      </c>
      <c r="B140" s="842" t="s">
        <v>2120</v>
      </c>
      <c r="C140" s="842">
        <v>637040</v>
      </c>
      <c r="D140" s="63">
        <v>1</v>
      </c>
      <c r="E140" s="68">
        <f t="shared" si="14"/>
        <v>0</v>
      </c>
      <c r="F140" s="578">
        <v>0</v>
      </c>
      <c r="G140" s="578">
        <v>0</v>
      </c>
      <c r="H140" s="578">
        <v>0</v>
      </c>
      <c r="I140" s="578">
        <v>0</v>
      </c>
      <c r="J140" s="578">
        <v>0</v>
      </c>
      <c r="K140" s="578">
        <v>0</v>
      </c>
      <c r="L140" s="578">
        <v>0</v>
      </c>
      <c r="M140" s="578">
        <v>0</v>
      </c>
      <c r="N140" s="578">
        <v>0</v>
      </c>
      <c r="O140" s="578">
        <v>0</v>
      </c>
      <c r="P140" s="578">
        <v>0</v>
      </c>
      <c r="Q140" s="578">
        <v>0</v>
      </c>
      <c r="R140" s="578">
        <v>0</v>
      </c>
      <c r="S140" s="578">
        <v>0</v>
      </c>
      <c r="T140" s="578">
        <v>0</v>
      </c>
      <c r="U140" s="578">
        <v>0</v>
      </c>
      <c r="V140" s="578">
        <v>0</v>
      </c>
      <c r="W140" s="578">
        <v>0</v>
      </c>
      <c r="X140" s="578">
        <v>0</v>
      </c>
      <c r="Y140" s="578">
        <v>0</v>
      </c>
      <c r="Z140" s="578">
        <v>0</v>
      </c>
    </row>
    <row r="141" spans="1:27" outlineLevel="2">
      <c r="A141" s="841"/>
      <c r="B141" s="842"/>
      <c r="C141" s="842"/>
      <c r="D141" s="64">
        <v>2</v>
      </c>
      <c r="E141" s="68">
        <f t="shared" si="14"/>
        <v>0</v>
      </c>
      <c r="F141" s="579">
        <v>0</v>
      </c>
      <c r="G141" s="579">
        <v>0</v>
      </c>
      <c r="H141" s="579">
        <v>0</v>
      </c>
      <c r="I141" s="579">
        <v>0</v>
      </c>
      <c r="J141" s="579">
        <v>0</v>
      </c>
      <c r="K141" s="579">
        <v>0</v>
      </c>
      <c r="L141" s="579">
        <v>0</v>
      </c>
      <c r="M141" s="579">
        <v>0</v>
      </c>
      <c r="N141" s="579">
        <v>0</v>
      </c>
      <c r="O141" s="579">
        <v>0</v>
      </c>
      <c r="P141" s="579">
        <v>0</v>
      </c>
      <c r="Q141" s="579">
        <v>0</v>
      </c>
      <c r="R141" s="579">
        <v>0</v>
      </c>
      <c r="S141" s="579">
        <v>0</v>
      </c>
      <c r="T141" s="579">
        <v>0</v>
      </c>
      <c r="U141" s="579">
        <v>0</v>
      </c>
      <c r="V141" s="579">
        <v>0</v>
      </c>
      <c r="W141" s="579">
        <v>0</v>
      </c>
      <c r="X141" s="579">
        <v>0</v>
      </c>
      <c r="Y141" s="579">
        <v>0</v>
      </c>
      <c r="Z141" s="579">
        <v>0</v>
      </c>
    </row>
    <row r="142" spans="1:27" outlineLevel="2">
      <c r="A142" s="841"/>
      <c r="B142" s="842"/>
      <c r="C142" s="842"/>
      <c r="D142" s="64">
        <v>3</v>
      </c>
      <c r="E142" s="68">
        <f t="shared" si="14"/>
        <v>0</v>
      </c>
      <c r="F142" s="579">
        <v>0</v>
      </c>
      <c r="G142" s="579">
        <v>0</v>
      </c>
      <c r="H142" s="579">
        <v>0</v>
      </c>
      <c r="I142" s="579">
        <v>0</v>
      </c>
      <c r="J142" s="579">
        <v>0</v>
      </c>
      <c r="K142" s="579">
        <v>0</v>
      </c>
      <c r="L142" s="579">
        <v>0</v>
      </c>
      <c r="M142" s="579">
        <v>0</v>
      </c>
      <c r="N142" s="579">
        <v>0</v>
      </c>
      <c r="O142" s="579">
        <v>0</v>
      </c>
      <c r="P142" s="579">
        <v>0</v>
      </c>
      <c r="Q142" s="579">
        <v>0</v>
      </c>
      <c r="R142" s="579">
        <v>0</v>
      </c>
      <c r="S142" s="579">
        <v>0</v>
      </c>
      <c r="T142" s="579">
        <v>0</v>
      </c>
      <c r="U142" s="579">
        <v>0</v>
      </c>
      <c r="V142" s="579">
        <v>0</v>
      </c>
      <c r="W142" s="579">
        <v>0</v>
      </c>
      <c r="X142" s="579">
        <v>0</v>
      </c>
      <c r="Y142" s="579">
        <v>0</v>
      </c>
      <c r="Z142" s="579">
        <v>0</v>
      </c>
    </row>
    <row r="143" spans="1:27" outlineLevel="2">
      <c r="A143" s="841"/>
      <c r="B143" s="842"/>
      <c r="C143" s="842"/>
      <c r="D143" s="64">
        <v>4</v>
      </c>
      <c r="E143" s="68">
        <f t="shared" si="14"/>
        <v>0</v>
      </c>
      <c r="F143" s="579">
        <v>0</v>
      </c>
      <c r="G143" s="579">
        <v>0</v>
      </c>
      <c r="H143" s="579">
        <v>0</v>
      </c>
      <c r="I143" s="579">
        <v>0</v>
      </c>
      <c r="J143" s="579">
        <v>0</v>
      </c>
      <c r="K143" s="579">
        <v>0</v>
      </c>
      <c r="L143" s="579">
        <v>0</v>
      </c>
      <c r="M143" s="579">
        <v>0</v>
      </c>
      <c r="N143" s="579">
        <v>0</v>
      </c>
      <c r="O143" s="579">
        <v>0</v>
      </c>
      <c r="P143" s="579">
        <v>0</v>
      </c>
      <c r="Q143" s="579">
        <v>0</v>
      </c>
      <c r="R143" s="579">
        <v>0</v>
      </c>
      <c r="S143" s="579">
        <v>0</v>
      </c>
      <c r="T143" s="579">
        <v>0</v>
      </c>
      <c r="U143" s="579">
        <v>0</v>
      </c>
      <c r="V143" s="579">
        <v>0</v>
      </c>
      <c r="W143" s="579">
        <v>0</v>
      </c>
      <c r="X143" s="579">
        <v>0</v>
      </c>
      <c r="Y143" s="579">
        <v>0</v>
      </c>
      <c r="Z143" s="579">
        <v>0</v>
      </c>
    </row>
    <row r="144" spans="1:27" outlineLevel="2">
      <c r="A144" s="841"/>
      <c r="B144" s="842"/>
      <c r="C144" s="842"/>
      <c r="D144" s="64">
        <v>5</v>
      </c>
      <c r="E144" s="68">
        <f t="shared" si="14"/>
        <v>0</v>
      </c>
      <c r="F144" s="579">
        <v>0</v>
      </c>
      <c r="G144" s="579">
        <v>0</v>
      </c>
      <c r="H144" s="579">
        <v>0</v>
      </c>
      <c r="I144" s="579">
        <v>0</v>
      </c>
      <c r="J144" s="579">
        <v>0</v>
      </c>
      <c r="K144" s="579">
        <v>0</v>
      </c>
      <c r="L144" s="579">
        <v>0</v>
      </c>
      <c r="M144" s="579">
        <v>0</v>
      </c>
      <c r="N144" s="579">
        <v>0</v>
      </c>
      <c r="O144" s="579">
        <v>0</v>
      </c>
      <c r="P144" s="579">
        <v>0</v>
      </c>
      <c r="Q144" s="579">
        <v>0</v>
      </c>
      <c r="R144" s="579">
        <v>0</v>
      </c>
      <c r="S144" s="579">
        <v>0</v>
      </c>
      <c r="T144" s="579">
        <v>0</v>
      </c>
      <c r="U144" s="579">
        <v>0</v>
      </c>
      <c r="V144" s="579">
        <v>0</v>
      </c>
      <c r="W144" s="579">
        <v>0</v>
      </c>
      <c r="X144" s="579">
        <v>0</v>
      </c>
      <c r="Y144" s="579">
        <v>0</v>
      </c>
      <c r="Z144" s="579">
        <v>0</v>
      </c>
    </row>
    <row r="145" spans="1:26" outlineLevel="2">
      <c r="A145" s="841"/>
      <c r="B145" s="842"/>
      <c r="C145" s="842"/>
      <c r="D145" s="64">
        <v>6</v>
      </c>
      <c r="E145" s="68">
        <f t="shared" si="14"/>
        <v>0</v>
      </c>
      <c r="F145" s="579">
        <v>0</v>
      </c>
      <c r="G145" s="579">
        <v>0</v>
      </c>
      <c r="H145" s="579">
        <v>0</v>
      </c>
      <c r="I145" s="579">
        <v>0</v>
      </c>
      <c r="J145" s="579">
        <v>0</v>
      </c>
      <c r="K145" s="579">
        <v>0</v>
      </c>
      <c r="L145" s="579">
        <v>0</v>
      </c>
      <c r="M145" s="579">
        <v>0</v>
      </c>
      <c r="N145" s="579">
        <v>0</v>
      </c>
      <c r="O145" s="579">
        <v>0</v>
      </c>
      <c r="P145" s="579">
        <v>0</v>
      </c>
      <c r="Q145" s="579">
        <v>0</v>
      </c>
      <c r="R145" s="579">
        <v>0</v>
      </c>
      <c r="S145" s="579">
        <v>0</v>
      </c>
      <c r="T145" s="579">
        <v>0</v>
      </c>
      <c r="U145" s="579">
        <v>0</v>
      </c>
      <c r="V145" s="579">
        <v>0</v>
      </c>
      <c r="W145" s="579">
        <v>0</v>
      </c>
      <c r="X145" s="579">
        <v>0</v>
      </c>
      <c r="Y145" s="579">
        <v>0</v>
      </c>
      <c r="Z145" s="579">
        <v>0</v>
      </c>
    </row>
    <row r="146" spans="1:26" outlineLevel="2">
      <c r="A146" s="841"/>
      <c r="B146" s="842"/>
      <c r="C146" s="842"/>
      <c r="D146" s="64">
        <v>7</v>
      </c>
      <c r="E146" s="68">
        <f t="shared" si="14"/>
        <v>0</v>
      </c>
      <c r="F146" s="579">
        <v>0</v>
      </c>
      <c r="G146" s="579">
        <v>0</v>
      </c>
      <c r="H146" s="579">
        <v>0</v>
      </c>
      <c r="I146" s="579">
        <v>0</v>
      </c>
      <c r="J146" s="579">
        <v>0</v>
      </c>
      <c r="K146" s="579">
        <v>0</v>
      </c>
      <c r="L146" s="579">
        <v>0</v>
      </c>
      <c r="M146" s="579">
        <v>0</v>
      </c>
      <c r="N146" s="579">
        <v>0</v>
      </c>
      <c r="O146" s="579">
        <v>0</v>
      </c>
      <c r="P146" s="579">
        <v>0</v>
      </c>
      <c r="Q146" s="579">
        <v>0</v>
      </c>
      <c r="R146" s="579">
        <v>0</v>
      </c>
      <c r="S146" s="579">
        <v>0</v>
      </c>
      <c r="T146" s="579">
        <v>0</v>
      </c>
      <c r="U146" s="579">
        <v>0</v>
      </c>
      <c r="V146" s="579">
        <v>0</v>
      </c>
      <c r="W146" s="579">
        <v>0</v>
      </c>
      <c r="X146" s="579">
        <v>0</v>
      </c>
      <c r="Y146" s="579">
        <v>0</v>
      </c>
      <c r="Z146" s="579">
        <v>0</v>
      </c>
    </row>
    <row r="147" spans="1:26" outlineLevel="2">
      <c r="A147" s="841"/>
      <c r="B147" s="842"/>
      <c r="C147" s="842"/>
      <c r="D147" s="64">
        <v>8</v>
      </c>
      <c r="E147" s="68">
        <f t="shared" si="14"/>
        <v>0</v>
      </c>
      <c r="F147" s="579">
        <v>0</v>
      </c>
      <c r="G147" s="579">
        <v>0</v>
      </c>
      <c r="H147" s="579">
        <v>0</v>
      </c>
      <c r="I147" s="579">
        <v>0</v>
      </c>
      <c r="J147" s="579">
        <v>0</v>
      </c>
      <c r="K147" s="579">
        <v>0</v>
      </c>
      <c r="L147" s="579">
        <v>0</v>
      </c>
      <c r="M147" s="579">
        <v>0</v>
      </c>
      <c r="N147" s="579">
        <v>0</v>
      </c>
      <c r="O147" s="579">
        <v>0</v>
      </c>
      <c r="P147" s="579">
        <v>0</v>
      </c>
      <c r="Q147" s="579">
        <v>0</v>
      </c>
      <c r="R147" s="579">
        <v>0</v>
      </c>
      <c r="S147" s="579">
        <v>0</v>
      </c>
      <c r="T147" s="579">
        <v>0</v>
      </c>
      <c r="U147" s="579">
        <v>0</v>
      </c>
      <c r="V147" s="579">
        <v>0</v>
      </c>
      <c r="W147" s="579">
        <v>0</v>
      </c>
      <c r="X147" s="579">
        <v>0</v>
      </c>
      <c r="Y147" s="579">
        <v>0</v>
      </c>
      <c r="Z147" s="579">
        <v>0</v>
      </c>
    </row>
    <row r="148" spans="1:26" outlineLevel="2">
      <c r="A148" s="841"/>
      <c r="B148" s="842"/>
      <c r="C148" s="842"/>
      <c r="D148" s="64">
        <v>9</v>
      </c>
      <c r="E148" s="68">
        <f t="shared" si="14"/>
        <v>0</v>
      </c>
      <c r="F148" s="579">
        <v>0</v>
      </c>
      <c r="G148" s="579">
        <v>0</v>
      </c>
      <c r="H148" s="579">
        <v>0</v>
      </c>
      <c r="I148" s="579">
        <v>0</v>
      </c>
      <c r="J148" s="579">
        <v>0</v>
      </c>
      <c r="K148" s="579">
        <v>0</v>
      </c>
      <c r="L148" s="579">
        <v>0</v>
      </c>
      <c r="M148" s="579">
        <v>0</v>
      </c>
      <c r="N148" s="579">
        <v>0</v>
      </c>
      <c r="O148" s="579">
        <v>0</v>
      </c>
      <c r="P148" s="579">
        <v>0</v>
      </c>
      <c r="Q148" s="579">
        <v>0</v>
      </c>
      <c r="R148" s="579">
        <v>0</v>
      </c>
      <c r="S148" s="579">
        <v>0</v>
      </c>
      <c r="T148" s="579">
        <v>0</v>
      </c>
      <c r="U148" s="579">
        <v>0</v>
      </c>
      <c r="V148" s="579">
        <v>0</v>
      </c>
      <c r="W148" s="579">
        <v>0</v>
      </c>
      <c r="X148" s="579">
        <v>0</v>
      </c>
      <c r="Y148" s="579">
        <v>0</v>
      </c>
      <c r="Z148" s="579">
        <v>0</v>
      </c>
    </row>
    <row r="149" spans="1:26" ht="15" outlineLevel="2" thickBot="1">
      <c r="A149" s="841"/>
      <c r="B149" s="842"/>
      <c r="C149" s="842"/>
      <c r="D149" s="65">
        <v>10</v>
      </c>
      <c r="E149" s="69">
        <f t="shared" si="14"/>
        <v>0</v>
      </c>
      <c r="F149" s="583">
        <v>0</v>
      </c>
      <c r="G149" s="583">
        <v>0</v>
      </c>
      <c r="H149" s="583">
        <v>0</v>
      </c>
      <c r="I149" s="583">
        <v>0</v>
      </c>
      <c r="J149" s="583">
        <v>0</v>
      </c>
      <c r="K149" s="583">
        <v>0</v>
      </c>
      <c r="L149" s="583">
        <v>0</v>
      </c>
      <c r="M149" s="583">
        <v>0</v>
      </c>
      <c r="N149" s="583">
        <v>0</v>
      </c>
      <c r="O149" s="583">
        <v>0</v>
      </c>
      <c r="P149" s="583">
        <v>0</v>
      </c>
      <c r="Q149" s="583">
        <v>0</v>
      </c>
      <c r="R149" s="583">
        <v>0</v>
      </c>
      <c r="S149" s="583">
        <v>0</v>
      </c>
      <c r="T149" s="583">
        <v>0</v>
      </c>
      <c r="U149" s="583">
        <v>0</v>
      </c>
      <c r="V149" s="583">
        <v>0</v>
      </c>
      <c r="W149" s="583">
        <v>0</v>
      </c>
      <c r="X149" s="583">
        <v>0</v>
      </c>
      <c r="Y149" s="583">
        <v>0</v>
      </c>
      <c r="Z149" s="583">
        <v>0</v>
      </c>
    </row>
    <row r="150" spans="1:26" ht="15" thickBot="1">
      <c r="A150" s="17" t="s">
        <v>2134</v>
      </c>
      <c r="B150" s="17"/>
      <c r="C150" s="17"/>
      <c r="D150" s="27"/>
      <c r="E150" s="110">
        <f t="shared" ref="E150:Z150" si="15">SUM(E151:E170)</f>
        <v>3019546.2549000001</v>
      </c>
      <c r="F150" s="111">
        <f t="shared" si="15"/>
        <v>16914.032439206647</v>
      </c>
      <c r="G150" s="111">
        <f t="shared" si="15"/>
        <v>0</v>
      </c>
      <c r="H150" s="111">
        <f t="shared" si="15"/>
        <v>34720.411913575284</v>
      </c>
      <c r="I150" s="111">
        <f t="shared" si="15"/>
        <v>90857.152671038115</v>
      </c>
      <c r="J150" s="111">
        <f t="shared" si="15"/>
        <v>48551.790958585989</v>
      </c>
      <c r="K150" s="111">
        <f t="shared" si="15"/>
        <v>29366.329702603387</v>
      </c>
      <c r="L150" s="111">
        <f t="shared" si="15"/>
        <v>43197.708747614102</v>
      </c>
      <c r="M150" s="111">
        <f t="shared" si="15"/>
        <v>693069.71771876258</v>
      </c>
      <c r="N150" s="111">
        <f t="shared" si="15"/>
        <v>82420.417065870279</v>
      </c>
      <c r="O150" s="111">
        <f t="shared" si="15"/>
        <v>397297.23679143674</v>
      </c>
      <c r="P150" s="111">
        <f t="shared" si="15"/>
        <v>51026.025919716951</v>
      </c>
      <c r="Q150" s="111">
        <f t="shared" si="15"/>
        <v>286402.83705812506</v>
      </c>
      <c r="R150" s="111">
        <f t="shared" si="15"/>
        <v>100470.16391346492</v>
      </c>
      <c r="S150" s="111">
        <f t="shared" si="15"/>
        <v>1145252.4300000002</v>
      </c>
      <c r="T150" s="111">
        <f t="shared" si="15"/>
        <v>0</v>
      </c>
      <c r="U150" s="111">
        <f t="shared" si="15"/>
        <v>0</v>
      </c>
      <c r="V150" s="111">
        <f t="shared" si="15"/>
        <v>0</v>
      </c>
      <c r="W150" s="111">
        <f t="shared" si="15"/>
        <v>0</v>
      </c>
      <c r="X150" s="111">
        <f t="shared" si="15"/>
        <v>0</v>
      </c>
      <c r="Y150" s="111">
        <f t="shared" si="15"/>
        <v>0</v>
      </c>
      <c r="Z150" s="111">
        <f t="shared" si="15"/>
        <v>0</v>
      </c>
    </row>
    <row r="151" spans="1:26">
      <c r="A151" s="841" t="s">
        <v>1979</v>
      </c>
      <c r="B151" s="842"/>
      <c r="C151" s="842"/>
      <c r="D151" s="63">
        <v>1</v>
      </c>
      <c r="E151" s="67">
        <f t="shared" ref="E151:E170" si="16">SUM(F151:Z151)</f>
        <v>78297.600000000006</v>
      </c>
      <c r="F151" s="575">
        <f>IFERROR(IF((POZICIE_INTERNE!$B$40-12*('TCO TO BE- SW'!$D151-1))&gt;12,((F$4+'TCO TO BE - HW'!F$4)/($E$4+'TCO TO BE - HW'!$E$4)*SUM(POZICIE_INTERNE!$I$40:$I$51))/POZICIE_INTERNE!$B$40*12,IF((POZICIE_INTERNE!$B$40-12*('TCO TO BE- SW'!$D151-1))&lt;0,0,(POZICIE_INTERNE!$B$40-12*('TCO TO BE- SW'!$D151-1))*((F$4+'TCO TO BE - HW'!F$4)/($E$4+'TCO TO BE - HW'!$E$4)*SUM(POZICIE_INTERNE!$I$40:$I$51))/POZICIE_INTERNE!$B$40)),0)+IFERROR(IF((EXTERNE_POZICIE!$B$41-12*('TCO TO BE- SW'!$D151-1))&gt;12,((F$4+'TCO TO BE - HW'!F$4)/($E$4+'TCO TO BE - HW'!$E$4)*SUM(EXTERNE_POZICIE!$M$41:$M$52)*1.23)/EXTERNE_POZICIE!$B$41*12,IF((EXTERNE_POZICIE!$B$41-12*('TCO TO BE- SW'!$D151-1))&lt;0,0,(EXTERNE_POZICIE!$B$41-12*('TCO TO BE- SW'!$D151-1))*((F$4+'TCO TO BE - HW'!F$4)/($E$4+'TCO TO BE - HW'!$E$4)*SUM(EXTERNE_POZICIE!$M$41:$M$52)*1.23)/EXTERNE_POZICIE!$B$41)),0)+IFERROR(SUM(#REF!)*'TCO TO BE- SW'!F$4/'TCO TO BE- SW'!$E$4,0)</f>
        <v>438.58514972670446</v>
      </c>
      <c r="G151" s="575">
        <f>IFERROR(IF((POZICIE_INTERNE!$B$40-12*('TCO TO BE- SW'!$D151-1))&gt;12,((G$4+'TCO TO BE - HW'!G$4)/($E$4+'TCO TO BE - HW'!$E$4)*SUM(POZICIE_INTERNE!$I$40:$I$51))/POZICIE_INTERNE!$B$40*12,IF((POZICIE_INTERNE!$B$40-12*('TCO TO BE- SW'!$D151-1))&lt;0,0,(POZICIE_INTERNE!$B$40-12*('TCO TO BE- SW'!$D151-1))*((G$4+'TCO TO BE - HW'!G$4)/($E$4+'TCO TO BE - HW'!$E$4)*SUM(POZICIE_INTERNE!$I$40:$I$51))/POZICIE_INTERNE!$B$40)),0)+IFERROR(IF((EXTERNE_POZICIE!$B$41-12*('TCO TO BE- SW'!$D151-1))&gt;12,((G$4+'TCO TO BE - HW'!G$4)/($E$4+'TCO TO BE - HW'!$E$4)*SUM(EXTERNE_POZICIE!$M$41:$M$52)*1.23)/EXTERNE_POZICIE!$B$41*12,IF((EXTERNE_POZICIE!$B$41-12*('TCO TO BE- SW'!$D151-1))&lt;0,0,(EXTERNE_POZICIE!$B$41-12*('TCO TO BE- SW'!$D151-1))*((G$4+'TCO TO BE - HW'!G$4)/($E$4+'TCO TO BE - HW'!$E$4)*SUM(EXTERNE_POZICIE!$M$41:$M$52)*1.23)/EXTERNE_POZICIE!$B$41)),0)+IFERROR(SUM(#REF!)*'TCO TO BE- SW'!G$4/'TCO TO BE- SW'!$E$4,0)</f>
        <v>0</v>
      </c>
      <c r="H151" s="575">
        <f>IFERROR(IF((POZICIE_INTERNE!$B$40-12*('TCO TO BE- SW'!$D151-1))&gt;12,((H$4+'TCO TO BE - HW'!H$4)/($E$4+'TCO TO BE - HW'!$E$4)*SUM(POZICIE_INTERNE!$I$40:$I$51))/POZICIE_INTERNE!$B$40*12,IF((POZICIE_INTERNE!$B$40-12*('TCO TO BE- SW'!$D151-1))&lt;0,0,(POZICIE_INTERNE!$B$40-12*('TCO TO BE- SW'!$D151-1))*((H$4+'TCO TO BE - HW'!H$4)/($E$4+'TCO TO BE - HW'!$E$4)*SUM(POZICIE_INTERNE!$I$40:$I$51))/POZICIE_INTERNE!$B$40)),0)+IFERROR(IF((EXTERNE_POZICIE!$B$41-12*('TCO TO BE- SW'!$D151-1))&gt;12,((H$4+'TCO TO BE - HW'!H$4)/($E$4+'TCO TO BE - HW'!$E$4)*SUM(EXTERNE_POZICIE!$M$41:$M$52)*1.23)/EXTERNE_POZICIE!$B$41*12,IF((EXTERNE_POZICIE!$B$41-12*('TCO TO BE- SW'!$D151-1))&lt;0,0,(EXTERNE_POZICIE!$B$41-12*('TCO TO BE- SW'!$D151-1))*((H$4+'TCO TO BE - HW'!H$4)/($E$4+'TCO TO BE - HW'!$E$4)*SUM(EXTERNE_POZICIE!$M$41:$M$52)*1.23)/EXTERNE_POZICIE!$B$41)),0)+IFERROR(SUM(#REF!)*'TCO TO BE- SW'!H$4/'TCO TO BE- SW'!$E$4,0)</f>
        <v>900.30908433107697</v>
      </c>
      <c r="I151" s="575">
        <f>IFERROR(IF((POZICIE_INTERNE!$B$40-12*('TCO TO BE- SW'!$D151-1))&gt;12,((I$4+'TCO TO BE - HW'!I$4)/($E$4+'TCO TO BE - HW'!$E$4)*SUM(POZICIE_INTERNE!$I$40:$I$51))/POZICIE_INTERNE!$B$40*12,IF((POZICIE_INTERNE!$B$40-12*('TCO TO BE- SW'!$D151-1))&lt;0,0,(POZICIE_INTERNE!$B$40-12*('TCO TO BE- SW'!$D151-1))*((I$4+'TCO TO BE - HW'!I$4)/($E$4+'TCO TO BE - HW'!$E$4)*SUM(POZICIE_INTERNE!$I$40:$I$51))/POZICIE_INTERNE!$B$40)),0)+IFERROR(IF((EXTERNE_POZICIE!$B$41-12*('TCO TO BE- SW'!$D151-1))&gt;12,((I$4+'TCO TO BE - HW'!I$4)/($E$4+'TCO TO BE - HW'!$E$4)*SUM(EXTERNE_POZICIE!$M$41:$M$52)*1.23)/EXTERNE_POZICIE!$B$41*12,IF((EXTERNE_POZICIE!$B$41-12*('TCO TO BE- SW'!$D151-1))&lt;0,0,(EXTERNE_POZICIE!$B$41-12*('TCO TO BE- SW'!$D151-1))*((I$4+'TCO TO BE - HW'!I$4)/($E$4+'TCO TO BE - HW'!$E$4)*SUM(EXTERNE_POZICIE!$M$41:$M$52)*1.23)/EXTERNE_POZICIE!$B$41)),0)+IFERROR(SUM(#REF!)*'TCO TO BE- SW'!I$4/'TCO TO BE- SW'!$E$4,0)</f>
        <v>2355.9490057261828</v>
      </c>
      <c r="J151" s="575">
        <f>IFERROR(IF((POZICIE_INTERNE!$B$40-12*('TCO TO BE- SW'!$D151-1))&gt;12,((J$4+'TCO TO BE - HW'!J$4)/($E$4+'TCO TO BE - HW'!$E$4)*SUM(POZICIE_INTERNE!$I$40:$I$51))/POZICIE_INTERNE!$B$40*12,IF((POZICIE_INTERNE!$B$40-12*('TCO TO BE- SW'!$D151-1))&lt;0,0,(POZICIE_INTERNE!$B$40-12*('TCO TO BE- SW'!$D151-1))*((J$4+'TCO TO BE - HW'!J$4)/($E$4+'TCO TO BE - HW'!$E$4)*SUM(POZICIE_INTERNE!$I$40:$I$51))/POZICIE_INTERNE!$B$40)),0)+IFERROR(IF((EXTERNE_POZICIE!$B$41-12*('TCO TO BE- SW'!$D151-1))&gt;12,((J$4+'TCO TO BE - HW'!J$4)/($E$4+'TCO TO BE - HW'!$E$4)*SUM(EXTERNE_POZICIE!$M$41:$M$52)*1.23)/EXTERNE_POZICIE!$B$41*12,IF((EXTERNE_POZICIE!$B$41-12*('TCO TO BE- SW'!$D151-1))&lt;0,0,(EXTERNE_POZICIE!$B$41-12*('TCO TO BE- SW'!$D151-1))*((J$4+'TCO TO BE - HW'!J$4)/($E$4+'TCO TO BE - HW'!$E$4)*SUM(EXTERNE_POZICIE!$M$41:$M$52)*1.23)/EXTERNE_POZICIE!$B$41)),0)+IFERROR(SUM(#REF!)*'TCO TO BE- SW'!J$4/'TCO TO BE- SW'!$E$4,0)</f>
        <v>1258.9602499349287</v>
      </c>
      <c r="K151" s="575">
        <f>IFERROR(IF((POZICIE_INTERNE!$B$40-12*('TCO TO BE- SW'!$D151-1))&gt;12,((K$4+'TCO TO BE - HW'!K$4)/($E$4+'TCO TO BE - HW'!$E$4)*SUM(POZICIE_INTERNE!$I$40:$I$51))/POZICIE_INTERNE!$B$40*12,IF((POZICIE_INTERNE!$B$40-12*('TCO TO BE- SW'!$D151-1))&lt;0,0,(POZICIE_INTERNE!$B$40-12*('TCO TO BE- SW'!$D151-1))*((K$4+'TCO TO BE - HW'!K$4)/($E$4+'TCO TO BE - HW'!$E$4)*SUM(POZICIE_INTERNE!$I$40:$I$51))/POZICIE_INTERNE!$B$40)),0)+IFERROR(IF((EXTERNE_POZICIE!$B$41-12*('TCO TO BE- SW'!$D151-1))&gt;12,((K$4+'TCO TO BE - HW'!K$4)/($E$4+'TCO TO BE - HW'!$E$4)*SUM(EXTERNE_POZICIE!$M$41:$M$52)*1.23)/EXTERNE_POZICIE!$B$41*12,IF((EXTERNE_POZICIE!$B$41-12*('TCO TO BE- SW'!$D151-1))&lt;0,0,(EXTERNE_POZICIE!$B$41-12*('TCO TO BE- SW'!$D151-1))*((K$4+'TCO TO BE - HW'!K$4)/($E$4+'TCO TO BE - HW'!$E$4)*SUM(EXTERNE_POZICIE!$M$41:$M$52)*1.23)/EXTERNE_POZICIE!$B$41)),0)+IFERROR(SUM(#REF!)*'TCO TO BE- SW'!K$4/'TCO TO BE- SW'!$E$4,0)</f>
        <v>761.47637506506965</v>
      </c>
      <c r="L151" s="575">
        <f>IFERROR(IF((POZICIE_INTERNE!$B$40-12*('TCO TO BE- SW'!$D151-1))&gt;12,((L$4+'TCO TO BE - HW'!L$4)/($E$4+'TCO TO BE - HW'!$E$4)*SUM(POZICIE_INTERNE!$I$40:$I$51))/POZICIE_INTERNE!$B$40*12,IF((POZICIE_INTERNE!$B$40-12*('TCO TO BE- SW'!$D151-1))&lt;0,0,(POZICIE_INTERNE!$B$40-12*('TCO TO BE- SW'!$D151-1))*((L$4+'TCO TO BE - HW'!L$4)/($E$4+'TCO TO BE - HW'!$E$4)*SUM(POZICIE_INTERNE!$I$40:$I$51))/POZICIE_INTERNE!$B$40)),0)+IFERROR(IF((EXTERNE_POZICIE!$B$41-12*('TCO TO BE- SW'!$D151-1))&gt;12,((L$4+'TCO TO BE - HW'!L$4)/($E$4+'TCO TO BE - HW'!$E$4)*SUM(EXTERNE_POZICIE!$M$41:$M$52)*1.23)/EXTERNE_POZICIE!$B$41*12,IF((EXTERNE_POZICIE!$B$41-12*('TCO TO BE- SW'!$D151-1))&lt;0,0,(EXTERNE_POZICIE!$B$41-12*('TCO TO BE- SW'!$D151-1))*((L$4+'TCO TO BE - HW'!L$4)/($E$4+'TCO TO BE - HW'!$E$4)*SUM(EXTERNE_POZICIE!$M$41:$M$52)*1.23)/EXTERNE_POZICIE!$B$41)),0)+IFERROR(SUM(#REF!)*'TCO TO BE- SW'!L$4/'TCO TO BE- SW'!$E$4,0)</f>
        <v>1120.1275406689217</v>
      </c>
      <c r="M151" s="575">
        <f>IFERROR(IF((POZICIE_INTERNE!$B$40-12*('TCO TO BE- SW'!$D151-1))&gt;12,((M$4+'TCO TO BE - HW'!M$4)/($E$4+'TCO TO BE - HW'!$E$4)*SUM(POZICIE_INTERNE!$I$40:$I$51))/POZICIE_INTERNE!$B$40*12,IF((POZICIE_INTERNE!$B$40-12*('TCO TO BE- SW'!$D151-1))&lt;0,0,(POZICIE_INTERNE!$B$40-12*('TCO TO BE- SW'!$D151-1))*((M$4+'TCO TO BE - HW'!M$4)/($E$4+'TCO TO BE - HW'!$E$4)*SUM(POZICIE_INTERNE!$I$40:$I$51))/POZICIE_INTERNE!$B$40)),0)+IFERROR(IF((EXTERNE_POZICIE!$B$41-12*('TCO TO BE- SW'!$D151-1))&gt;12,((M$4+'TCO TO BE - HW'!M$4)/($E$4+'TCO TO BE - HW'!$E$4)*SUM(EXTERNE_POZICIE!$M$41:$M$52)*1.23)/EXTERNE_POZICIE!$B$41*12,IF((EXTERNE_POZICIE!$B$41-12*('TCO TO BE- SW'!$D151-1))&lt;0,0,(EXTERNE_POZICIE!$B$41-12*('TCO TO BE- SW'!$D151-1))*((M$4+'TCO TO BE - HW'!M$4)/($E$4+'TCO TO BE - HW'!$E$4)*SUM(EXTERNE_POZICIE!$M$41:$M$52)*1.23)/EXTERNE_POZICIE!$B$41)),0)+IFERROR(SUM(#REF!)*'TCO TO BE- SW'!M$4/'TCO TO BE- SW'!$E$4,0)</f>
        <v>17971.473509305037</v>
      </c>
      <c r="N151" s="575">
        <f>IFERROR(IF((POZICIE_INTERNE!$B$40-12*('TCO TO BE- SW'!$D151-1))&gt;12,((N$4+'TCO TO BE - HW'!N$4)/($E$4+'TCO TO BE - HW'!$E$4)*SUM(POZICIE_INTERNE!$I$40:$I$51))/POZICIE_INTERNE!$B$40*12,IF((POZICIE_INTERNE!$B$40-12*('TCO TO BE- SW'!$D151-1))&lt;0,0,(POZICIE_INTERNE!$B$40-12*('TCO TO BE- SW'!$D151-1))*((N$4+'TCO TO BE - HW'!N$4)/($E$4+'TCO TO BE - HW'!$E$4)*SUM(POZICIE_INTERNE!$I$40:$I$51))/POZICIE_INTERNE!$B$40)),0)+IFERROR(IF((EXTERNE_POZICIE!$B$41-12*('TCO TO BE- SW'!$D151-1))&gt;12,((N$4+'TCO TO BE - HW'!N$4)/($E$4+'TCO TO BE - HW'!$E$4)*SUM(EXTERNE_POZICIE!$M$41:$M$52)*1.23)/EXTERNE_POZICIE!$B$41*12,IF((EXTERNE_POZICIE!$B$41-12*('TCO TO BE- SW'!$D151-1))&lt;0,0,(EXTERNE_POZICIE!$B$41-12*('TCO TO BE- SW'!$D151-1))*((N$4+'TCO TO BE - HW'!N$4)/($E$4+'TCO TO BE - HW'!$E$4)*SUM(EXTERNE_POZICIE!$M$41:$M$52)*1.23)/EXTERNE_POZICIE!$B$41)),0)+IFERROR(SUM(#REF!)*'TCO TO BE- SW'!N$4/'TCO TO BE- SW'!$E$4,0)</f>
        <v>2137.1823123373229</v>
      </c>
      <c r="O151" s="575">
        <f>IFERROR(IF((POZICIE_INTERNE!$B$40-12*('TCO TO BE- SW'!$D151-1))&gt;12,((O$4+'TCO TO BE - HW'!O$4)/($E$4+'TCO TO BE - HW'!$E$4)*SUM(POZICIE_INTERNE!$I$40:$I$51))/POZICIE_INTERNE!$B$40*12,IF((POZICIE_INTERNE!$B$40-12*('TCO TO BE- SW'!$D151-1))&lt;0,0,(POZICIE_INTERNE!$B$40-12*('TCO TO BE- SW'!$D151-1))*((O$4+'TCO TO BE - HW'!O$4)/($E$4+'TCO TO BE - HW'!$E$4)*SUM(POZICIE_INTERNE!$I$40:$I$51))/POZICIE_INTERNE!$B$40)),0)+IFERROR(IF((EXTERNE_POZICIE!$B$41-12*('TCO TO BE- SW'!$D151-1))&gt;12,((O$4+'TCO TO BE - HW'!O$4)/($E$4+'TCO TO BE - HW'!$E$4)*SUM(EXTERNE_POZICIE!$M$41:$M$52)*1.23)/EXTERNE_POZICIE!$B$41*12,IF((EXTERNE_POZICIE!$B$41-12*('TCO TO BE- SW'!$D151-1))&lt;0,0,(EXTERNE_POZICIE!$B$41-12*('TCO TO BE- SW'!$D151-1))*((O$4+'TCO TO BE - HW'!O$4)/($E$4+'TCO TO BE - HW'!$E$4)*SUM(EXTERNE_POZICIE!$M$41:$M$52)*1.23)/EXTERNE_POZICIE!$B$41)),0)+IFERROR(SUM(#REF!)*'TCO TO BE- SW'!O$4/'TCO TO BE- SW'!$E$4,0)</f>
        <v>10302.018085307123</v>
      </c>
      <c r="P151" s="575">
        <f>IFERROR(IF((POZICIE_INTERNE!$B$40-12*('TCO TO BE- SW'!$D151-1))&gt;12,((P$4+'TCO TO BE - HW'!P$4)/($E$4+'TCO TO BE - HW'!$E$4)*SUM(POZICIE_INTERNE!$I$40:$I$51))/POZICIE_INTERNE!$B$40*12,IF((POZICIE_INTERNE!$B$40-12*('TCO TO BE- SW'!$D151-1))&lt;0,0,(POZICIE_INTERNE!$B$40-12*('TCO TO BE- SW'!$D151-1))*((P$4+'TCO TO BE - HW'!P$4)/($E$4+'TCO TO BE - HW'!$E$4)*SUM(POZICIE_INTERNE!$I$40:$I$51))/POZICIE_INTERNE!$B$40)),0)+IFERROR(IF((EXTERNE_POZICIE!$B$41-12*('TCO TO BE- SW'!$D151-1))&gt;12,((P$4+'TCO TO BE - HW'!P$4)/($E$4+'TCO TO BE - HW'!$E$4)*SUM(EXTERNE_POZICIE!$M$41:$M$52)*1.23)/EXTERNE_POZICIE!$B$41*12,IF((EXTERNE_POZICIE!$B$41-12*('TCO TO BE- SW'!$D151-1))&lt;0,0,(EXTERNE_POZICIE!$B$41-12*('TCO TO BE- SW'!$D151-1))*((P$4+'TCO TO BE - HW'!P$4)/($E$4+'TCO TO BE - HW'!$E$4)*SUM(EXTERNE_POZICIE!$M$41:$M$52)*1.23)/EXTERNE_POZICIE!$B$41)),0)+IFERROR(SUM(#REF!)*'TCO TO BE- SW'!P$4/'TCO TO BE- SW'!$E$4,0)</f>
        <v>1323.1177898230083</v>
      </c>
      <c r="Q151" s="575">
        <f>IFERROR(IF((POZICIE_INTERNE!$B$40-12*('TCO TO BE- SW'!$D151-1))&gt;12,((Q$4+'TCO TO BE - HW'!Q$4)/($E$4+'TCO TO BE - HW'!$E$4)*SUM(POZICIE_INTERNE!$I$40:$I$51))/POZICIE_INTERNE!$B$40*12,IF((POZICIE_INTERNE!$B$40-12*('TCO TO BE- SW'!$D151-1))&lt;0,0,(POZICIE_INTERNE!$B$40-12*('TCO TO BE- SW'!$D151-1))*((Q$4+'TCO TO BE - HW'!Q$4)/($E$4+'TCO TO BE - HW'!$E$4)*SUM(POZICIE_INTERNE!$I$40:$I$51))/POZICIE_INTERNE!$B$40)),0)+IFERROR(IF((EXTERNE_POZICIE!$B$41-12*('TCO TO BE- SW'!$D151-1))&gt;12,((Q$4+'TCO TO BE - HW'!Q$4)/($E$4+'TCO TO BE - HW'!$E$4)*SUM(EXTERNE_POZICIE!$M$41:$M$52)*1.23)/EXTERNE_POZICIE!$B$41*12,IF((EXTERNE_POZICIE!$B$41-12*('TCO TO BE- SW'!$D151-1))&lt;0,0,(EXTERNE_POZICIE!$B$41-12*('TCO TO BE- SW'!$D151-1))*((Q$4+'TCO TO BE - HW'!Q$4)/($E$4+'TCO TO BE - HW'!$E$4)*SUM(EXTERNE_POZICIE!$M$41:$M$52)*1.23)/EXTERNE_POZICIE!$B$41)),0)+IFERROR(SUM(#REF!)*'TCO TO BE- SW'!Q$4/'TCO TO BE- SW'!$E$4,0)</f>
        <v>7426.4981827823995</v>
      </c>
      <c r="R151" s="575">
        <f>IFERROR(IF((POZICIE_INTERNE!$B$40-12*('TCO TO BE- SW'!$D151-1))&gt;12,((R$4+'TCO TO BE - HW'!R$4)/($E$4+'TCO TO BE - HW'!$E$4)*SUM(POZICIE_INTERNE!$I$40:$I$51))/POZICIE_INTERNE!$B$40*12,IF((POZICIE_INTERNE!$B$40-12*('TCO TO BE- SW'!$D151-1))&lt;0,0,(POZICIE_INTERNE!$B$40-12*('TCO TO BE- SW'!$D151-1))*((R$4+'TCO TO BE - HW'!R$4)/($E$4+'TCO TO BE - HW'!$E$4)*SUM(POZICIE_INTERNE!$I$40:$I$51))/POZICIE_INTERNE!$B$40)),0)+IFERROR(IF((EXTERNE_POZICIE!$B$41-12*('TCO TO BE- SW'!$D151-1))&gt;12,((R$4+'TCO TO BE - HW'!R$4)/($E$4+'TCO TO BE - HW'!$E$4)*SUM(EXTERNE_POZICIE!$M$41:$M$52)*1.23)/EXTERNE_POZICIE!$B$41*12,IF((EXTERNE_POZICIE!$B$41-12*('TCO TO BE- SW'!$D151-1))&lt;0,0,(EXTERNE_POZICIE!$B$41-12*('TCO TO BE- SW'!$D151-1))*((R$4+'TCO TO BE - HW'!R$4)/($E$4+'TCO TO BE - HW'!$E$4)*SUM(EXTERNE_POZICIE!$M$41:$M$52)*1.23)/EXTERNE_POZICIE!$B$41)),0)+IFERROR(SUM(#REF!)*'TCO TO BE- SW'!R$4/'TCO TO BE- SW'!$E$4,0)</f>
        <v>2605.2168246356046</v>
      </c>
      <c r="S151" s="575">
        <f>IFERROR(IF((POZICIE_INTERNE!$B$40-12*('TCO TO BE- SW'!$D151-1))&gt;12,((S$4+'TCO TO BE - HW'!S$4)/($E$4+'TCO TO BE - HW'!$E$4)*SUM(POZICIE_INTERNE!$I$40:$I$51))/POZICIE_INTERNE!$B$40*12,IF((POZICIE_INTERNE!$B$40-12*('TCO TO BE- SW'!$D151-1))&lt;0,0,(POZICIE_INTERNE!$B$40-12*('TCO TO BE- SW'!$D151-1))*((S$4+'TCO TO BE - HW'!S$4)/($E$4+'TCO TO BE - HW'!$E$4)*SUM(POZICIE_INTERNE!$I$40:$I$51))/POZICIE_INTERNE!$B$40)),0)+IFERROR(IF((EXTERNE_POZICIE!$B$41-12*('TCO TO BE- SW'!$D151-1))&gt;12,((S$4+'TCO TO BE - HW'!S$4)/($E$4+'TCO TO BE - HW'!$E$4)*SUM(EXTERNE_POZICIE!$M$41:$M$52)*1.23)/EXTERNE_POZICIE!$B$41*12,IF((EXTERNE_POZICIE!$B$41-12*('TCO TO BE- SW'!$D151-1))&lt;0,0,(EXTERNE_POZICIE!$B$41-12*('TCO TO BE- SW'!$D151-1))*((S$4+'TCO TO BE - HW'!S$4)/($E$4+'TCO TO BE - HW'!$E$4)*SUM(EXTERNE_POZICIE!$M$41:$M$52)*1.23)/EXTERNE_POZICIE!$B$41)),0)+IFERROR(SUM(#REF!)*'TCO TO BE- SW'!S$4/'TCO TO BE- SW'!$E$4,0)</f>
        <v>29696.685890356621</v>
      </c>
      <c r="T151" s="575">
        <f>IFERROR(IF((POZICIE_INTERNE!$B$40-12*('TCO TO BE- SW'!$D151-1))&gt;12,((T$4+'TCO TO BE - HW'!T$4)/($E$4+'TCO TO BE - HW'!$E$4)*SUM(POZICIE_INTERNE!$I$40:$I$51))/POZICIE_INTERNE!$B$40*12,IF((POZICIE_INTERNE!$B$40-12*('TCO TO BE- SW'!$D151-1))&lt;0,0,(POZICIE_INTERNE!$B$40-12*('TCO TO BE- SW'!$D151-1))*((T$4+'TCO TO BE - HW'!T$4)/($E$4+'TCO TO BE - HW'!$E$4)*SUM(POZICIE_INTERNE!$I$40:$I$51))/POZICIE_INTERNE!$B$40)),0)+IFERROR(IF((EXTERNE_POZICIE!$B$41-12*('TCO TO BE- SW'!$D151-1))&gt;12,((T$4+'TCO TO BE - HW'!T$4)/($E$4+'TCO TO BE - HW'!$E$4)*SUM(EXTERNE_POZICIE!$M$41:$M$52)*1.23)/EXTERNE_POZICIE!$B$41*12,IF((EXTERNE_POZICIE!$B$41-12*('TCO TO BE- SW'!$D151-1))&lt;0,0,(EXTERNE_POZICIE!$B$41-12*('TCO TO BE- SW'!$D151-1))*((T$4+'TCO TO BE - HW'!T$4)/($E$4+'TCO TO BE - HW'!$E$4)*SUM(EXTERNE_POZICIE!$M$41:$M$52)*1.23)/EXTERNE_POZICIE!$B$41)),0)+IFERROR(SUM(#REF!)*'TCO TO BE- SW'!T$4/'TCO TO BE- SW'!$E$4,0)</f>
        <v>0</v>
      </c>
      <c r="U151" s="575">
        <f>IFERROR(IF((POZICIE_INTERNE!$B$40-12*('TCO TO BE- SW'!$D151-1))&gt;12,((U$4+'TCO TO BE - HW'!U$4)/($E$4+'TCO TO BE - HW'!$E$4)*SUM(POZICIE_INTERNE!$I$40:$I$51))/POZICIE_INTERNE!$B$40*12,IF((POZICIE_INTERNE!$B$40-12*('TCO TO BE- SW'!$D151-1))&lt;0,0,(POZICIE_INTERNE!$B$40-12*('TCO TO BE- SW'!$D151-1))*((U$4+'TCO TO BE - HW'!U$4)/($E$4+'TCO TO BE - HW'!$E$4)*SUM(POZICIE_INTERNE!$I$40:$I$51))/POZICIE_INTERNE!$B$40)),0)+IFERROR(IF((EXTERNE_POZICIE!$B$41-12*('TCO TO BE- SW'!$D151-1))&gt;12,((U$4+'TCO TO BE - HW'!U$4)/($E$4+'TCO TO BE - HW'!$E$4)*SUM(EXTERNE_POZICIE!$M$41:$M$52)*1.23)/EXTERNE_POZICIE!$B$41*12,IF((EXTERNE_POZICIE!$B$41-12*('TCO TO BE- SW'!$D151-1))&lt;0,0,(EXTERNE_POZICIE!$B$41-12*('TCO TO BE- SW'!$D151-1))*((U$4+'TCO TO BE - HW'!U$4)/($E$4+'TCO TO BE - HW'!$E$4)*SUM(EXTERNE_POZICIE!$M$41:$M$52)*1.23)/EXTERNE_POZICIE!$B$41)),0)+IFERROR(SUM(#REF!)*'TCO TO BE- SW'!U$4/'TCO TO BE- SW'!$E$4,0)</f>
        <v>0</v>
      </c>
      <c r="V151" s="575">
        <f>IFERROR(IF((POZICIE_INTERNE!$B$40-12*('TCO TO BE- SW'!$D151-1))&gt;12,((V$4+'TCO TO BE - HW'!V$4)/($E$4+'TCO TO BE - HW'!$E$4)*SUM(POZICIE_INTERNE!$I$40:$I$51))/POZICIE_INTERNE!$B$40*12,IF((POZICIE_INTERNE!$B$40-12*('TCO TO BE- SW'!$D151-1))&lt;0,0,(POZICIE_INTERNE!$B$40-12*('TCO TO BE- SW'!$D151-1))*((V$4+'TCO TO BE - HW'!V$4)/($E$4+'TCO TO BE - HW'!$E$4)*SUM(POZICIE_INTERNE!$I$40:$I$51))/POZICIE_INTERNE!$B$40)),0)+IFERROR(IF((EXTERNE_POZICIE!$B$41-12*('TCO TO BE- SW'!$D151-1))&gt;12,((V$4+'TCO TO BE - HW'!V$4)/($E$4+'TCO TO BE - HW'!$E$4)*SUM(EXTERNE_POZICIE!$M$41:$M$52)*1.23)/EXTERNE_POZICIE!$B$41*12,IF((EXTERNE_POZICIE!$B$41-12*('TCO TO BE- SW'!$D151-1))&lt;0,0,(EXTERNE_POZICIE!$B$41-12*('TCO TO BE- SW'!$D151-1))*((V$4+'TCO TO BE - HW'!V$4)/($E$4+'TCO TO BE - HW'!$E$4)*SUM(EXTERNE_POZICIE!$M$41:$M$52)*1.23)/EXTERNE_POZICIE!$B$41)),0)+IFERROR(SUM(#REF!)*'TCO TO BE- SW'!V$4/'TCO TO BE- SW'!$E$4,0)</f>
        <v>0</v>
      </c>
      <c r="W151" s="575">
        <f>IFERROR(IF((POZICIE_INTERNE!$B$40-12*('TCO TO BE- SW'!$D151-1))&gt;12,((W$4+'TCO TO BE - HW'!W$4)/($E$4+'TCO TO BE - HW'!$E$4)*SUM(POZICIE_INTERNE!$I$40:$I$51))/POZICIE_INTERNE!$B$40*12,IF((POZICIE_INTERNE!$B$40-12*('TCO TO BE- SW'!$D151-1))&lt;0,0,(POZICIE_INTERNE!$B$40-12*('TCO TO BE- SW'!$D151-1))*((W$4+'TCO TO BE - HW'!W$4)/($E$4+'TCO TO BE - HW'!$E$4)*SUM(POZICIE_INTERNE!$I$40:$I$51))/POZICIE_INTERNE!$B$40)),0)+IFERROR(IF((EXTERNE_POZICIE!$B$41-12*('TCO TO BE- SW'!$D151-1))&gt;12,((W$4+'TCO TO BE - HW'!W$4)/($E$4+'TCO TO BE - HW'!$E$4)*SUM(EXTERNE_POZICIE!$M$41:$M$52)*1.23)/EXTERNE_POZICIE!$B$41*12,IF((EXTERNE_POZICIE!$B$41-12*('TCO TO BE- SW'!$D151-1))&lt;0,0,(EXTERNE_POZICIE!$B$41-12*('TCO TO BE- SW'!$D151-1))*((W$4+'TCO TO BE - HW'!W$4)/($E$4+'TCO TO BE - HW'!$E$4)*SUM(EXTERNE_POZICIE!$M$41:$M$52)*1.23)/EXTERNE_POZICIE!$B$41)),0)+IFERROR(SUM(#REF!)*'TCO TO BE- SW'!W$4/'TCO TO BE- SW'!$E$4,0)</f>
        <v>0</v>
      </c>
      <c r="X151" s="575">
        <f>IFERROR(IF((POZICIE_INTERNE!$B$40-12*('TCO TO BE- SW'!$D151-1))&gt;12,((X$4+'TCO TO BE - HW'!X$4)/($E$4+'TCO TO BE - HW'!$E$4)*SUM(POZICIE_INTERNE!$I$40:$I$51))/POZICIE_INTERNE!$B$40*12,IF((POZICIE_INTERNE!$B$40-12*('TCO TO BE- SW'!$D151-1))&lt;0,0,(POZICIE_INTERNE!$B$40-12*('TCO TO BE- SW'!$D151-1))*((X$4+'TCO TO BE - HW'!X$4)/($E$4+'TCO TO BE - HW'!$E$4)*SUM(POZICIE_INTERNE!$I$40:$I$51))/POZICIE_INTERNE!$B$40)),0)+IFERROR(IF((EXTERNE_POZICIE!$B$41-12*('TCO TO BE- SW'!$D151-1))&gt;12,((X$4+'TCO TO BE - HW'!X$4)/($E$4+'TCO TO BE - HW'!$E$4)*SUM(EXTERNE_POZICIE!$M$41:$M$52)*1.23)/EXTERNE_POZICIE!$B$41*12,IF((EXTERNE_POZICIE!$B$41-12*('TCO TO BE- SW'!$D151-1))&lt;0,0,(EXTERNE_POZICIE!$B$41-12*('TCO TO BE- SW'!$D151-1))*((X$4+'TCO TO BE - HW'!X$4)/($E$4+'TCO TO BE - HW'!$E$4)*SUM(EXTERNE_POZICIE!$M$41:$M$52)*1.23)/EXTERNE_POZICIE!$B$41)),0)+IFERROR(SUM(#REF!)*'TCO TO BE- SW'!X$4/'TCO TO BE- SW'!$E$4,0)</f>
        <v>0</v>
      </c>
      <c r="Y151" s="575">
        <f>IFERROR(IF((POZICIE_INTERNE!$B$40-12*('TCO TO BE- SW'!$D151-1))&gt;12,((Y$4+'TCO TO BE - HW'!Y$4)/($E$4+'TCO TO BE - HW'!$E$4)*SUM(POZICIE_INTERNE!$I$40:$I$51))/POZICIE_INTERNE!$B$40*12,IF((POZICIE_INTERNE!$B$40-12*('TCO TO BE- SW'!$D151-1))&lt;0,0,(POZICIE_INTERNE!$B$40-12*('TCO TO BE- SW'!$D151-1))*((Y$4+'TCO TO BE - HW'!Y$4)/($E$4+'TCO TO BE - HW'!$E$4)*SUM(POZICIE_INTERNE!$I$40:$I$51))/POZICIE_INTERNE!$B$40)),0)+IFERROR(IF((EXTERNE_POZICIE!$B$41-12*('TCO TO BE- SW'!$D151-1))&gt;12,((Y$4+'TCO TO BE - HW'!Y$4)/($E$4+'TCO TO BE - HW'!$E$4)*SUM(EXTERNE_POZICIE!$M$41:$M$52)*1.23)/EXTERNE_POZICIE!$B$41*12,IF((EXTERNE_POZICIE!$B$41-12*('TCO TO BE- SW'!$D151-1))&lt;0,0,(EXTERNE_POZICIE!$B$41-12*('TCO TO BE- SW'!$D151-1))*((Y$4+'TCO TO BE - HW'!Y$4)/($E$4+'TCO TO BE - HW'!$E$4)*SUM(EXTERNE_POZICIE!$M$41:$M$52)*1.23)/EXTERNE_POZICIE!$B$41)),0)+IFERROR(SUM(#REF!)*'TCO TO BE- SW'!Y$4/'TCO TO BE- SW'!$E$4,0)</f>
        <v>0</v>
      </c>
      <c r="Z151" s="575">
        <f>IFERROR(IF((POZICIE_INTERNE!$B$40-12*('TCO TO BE- SW'!$D151-1))&gt;12,((Z$4+'TCO TO BE - HW'!Z$4)/($E$4+'TCO TO BE - HW'!$E$4)*SUM(POZICIE_INTERNE!$I$40:$I$51))/POZICIE_INTERNE!$B$40*12,IF((POZICIE_INTERNE!$B$40-12*('TCO TO BE- SW'!$D151-1))&lt;0,0,(POZICIE_INTERNE!$B$40-12*('TCO TO BE- SW'!$D151-1))*((Z$4+'TCO TO BE - HW'!Z$4)/($E$4+'TCO TO BE - HW'!$E$4)*SUM(POZICIE_INTERNE!$I$40:$I$51))/POZICIE_INTERNE!$B$40)),0)+IFERROR(IF((EXTERNE_POZICIE!$B$41-12*('TCO TO BE- SW'!$D151-1))&gt;12,((Z$4+'TCO TO BE - HW'!Z$4)/($E$4+'TCO TO BE - HW'!$E$4)*SUM(EXTERNE_POZICIE!$M$41:$M$52)*1.23)/EXTERNE_POZICIE!$B$41*12,IF((EXTERNE_POZICIE!$B$41-12*('TCO TO BE- SW'!$D151-1))&lt;0,0,(EXTERNE_POZICIE!$B$41-12*('TCO TO BE- SW'!$D151-1))*((Z$4+'TCO TO BE - HW'!Z$4)/($E$4+'TCO TO BE - HW'!$E$4)*SUM(EXTERNE_POZICIE!$M$41:$M$52)*1.23)/EXTERNE_POZICIE!$B$41)),0)+IFERROR(SUM(#REF!)*'TCO TO BE- SW'!Z$4/'TCO TO BE- SW'!$E$4,0)</f>
        <v>0</v>
      </c>
    </row>
    <row r="152" spans="1:26">
      <c r="A152" s="841"/>
      <c r="B152" s="842"/>
      <c r="C152" s="842"/>
      <c r="D152" s="64">
        <v>2</v>
      </c>
      <c r="E152" s="68">
        <f t="shared" si="16"/>
        <v>78297.600000000006</v>
      </c>
      <c r="F152" s="576">
        <f>IFERROR(IF((POZICIE_INTERNE!$B$40-12*('TCO TO BE- SW'!$D152-1))&gt;12,((F$4+'TCO TO BE - HW'!F$4)/($E$4+'TCO TO BE - HW'!$E$4)*SUM(POZICIE_INTERNE!$I$40:$I$51))/POZICIE_INTERNE!$B$40*12,IF((POZICIE_INTERNE!$B$40-12*('TCO TO BE- SW'!$D152-1))&lt;0,0,(POZICIE_INTERNE!$B$40-12*('TCO TO BE- SW'!$D152-1))*((F$4+'TCO TO BE - HW'!F$4)/($E$4+'TCO TO BE - HW'!$E$4)*SUM(POZICIE_INTERNE!$I$40:$I$51))/POZICIE_INTERNE!$B$40)),0)+IFERROR(IF((EXTERNE_POZICIE!$B$41-12*('TCO TO BE- SW'!$D152-1))&gt;12,((F$4+'TCO TO BE - HW'!F$4)/($E$4+'TCO TO BE - HW'!$E$4)*SUM(EXTERNE_POZICIE!$M$41:$M$52)*1.23)/EXTERNE_POZICIE!$B$41*12,IF((EXTERNE_POZICIE!$B$41-12*('TCO TO BE- SW'!$D152-1))&lt;0,0,(EXTERNE_POZICIE!$B$41-12*('TCO TO BE- SW'!$D152-1))*((F$4+'TCO TO BE - HW'!F$4)/($E$4+'TCO TO BE - HW'!$E$4)*SUM(EXTERNE_POZICIE!$M$41:$M$52)*1.23)/EXTERNE_POZICIE!$B$41)),0)+IFERROR(SUM(#REF!)*'TCO TO BE- SW'!F$4/'TCO TO BE- SW'!$E$4,0)</f>
        <v>438.58514972670446</v>
      </c>
      <c r="G152" s="576">
        <f>IFERROR(IF((POZICIE_INTERNE!$B$40-12*('TCO TO BE- SW'!$D152-1))&gt;12,((G$4+'TCO TO BE - HW'!G$4)/($E$4+'TCO TO BE - HW'!$E$4)*SUM(POZICIE_INTERNE!$I$40:$I$51))/POZICIE_INTERNE!$B$40*12,IF((POZICIE_INTERNE!$B$40-12*('TCO TO BE- SW'!$D152-1))&lt;0,0,(POZICIE_INTERNE!$B$40-12*('TCO TO BE- SW'!$D152-1))*((G$4+'TCO TO BE - HW'!G$4)/($E$4+'TCO TO BE - HW'!$E$4)*SUM(POZICIE_INTERNE!$I$40:$I$51))/POZICIE_INTERNE!$B$40)),0)+IFERROR(IF((EXTERNE_POZICIE!$B$41-12*('TCO TO BE- SW'!$D152-1))&gt;12,((G$4+'TCO TO BE - HW'!G$4)/($E$4+'TCO TO BE - HW'!$E$4)*SUM(EXTERNE_POZICIE!$M$41:$M$52)*1.23)/EXTERNE_POZICIE!$B$41*12,IF((EXTERNE_POZICIE!$B$41-12*('TCO TO BE- SW'!$D152-1))&lt;0,0,(EXTERNE_POZICIE!$B$41-12*('TCO TO BE- SW'!$D152-1))*((G$4+'TCO TO BE - HW'!G$4)/($E$4+'TCO TO BE - HW'!$E$4)*SUM(EXTERNE_POZICIE!$M$41:$M$52)*1.23)/EXTERNE_POZICIE!$B$41)),0)+IFERROR(SUM(#REF!)*'TCO TO BE- SW'!G$4/'TCO TO BE- SW'!$E$4,0)</f>
        <v>0</v>
      </c>
      <c r="H152" s="576">
        <f>IFERROR(IF((POZICIE_INTERNE!$B$40-12*('TCO TO BE- SW'!$D152-1))&gt;12,((H$4+'TCO TO BE - HW'!H$4)/($E$4+'TCO TO BE - HW'!$E$4)*SUM(POZICIE_INTERNE!$I$40:$I$51))/POZICIE_INTERNE!$B$40*12,IF((POZICIE_INTERNE!$B$40-12*('TCO TO BE- SW'!$D152-1))&lt;0,0,(POZICIE_INTERNE!$B$40-12*('TCO TO BE- SW'!$D152-1))*((H$4+'TCO TO BE - HW'!H$4)/($E$4+'TCO TO BE - HW'!$E$4)*SUM(POZICIE_INTERNE!$I$40:$I$51))/POZICIE_INTERNE!$B$40)),0)+IFERROR(IF((EXTERNE_POZICIE!$B$41-12*('TCO TO BE- SW'!$D152-1))&gt;12,((H$4+'TCO TO BE - HW'!H$4)/($E$4+'TCO TO BE - HW'!$E$4)*SUM(EXTERNE_POZICIE!$M$41:$M$52)*1.23)/EXTERNE_POZICIE!$B$41*12,IF((EXTERNE_POZICIE!$B$41-12*('TCO TO BE- SW'!$D152-1))&lt;0,0,(EXTERNE_POZICIE!$B$41-12*('TCO TO BE- SW'!$D152-1))*((H$4+'TCO TO BE - HW'!H$4)/($E$4+'TCO TO BE - HW'!$E$4)*SUM(EXTERNE_POZICIE!$M$41:$M$52)*1.23)/EXTERNE_POZICIE!$B$41)),0)+IFERROR(SUM(#REF!)*'TCO TO BE- SW'!H$4/'TCO TO BE- SW'!$E$4,0)</f>
        <v>900.30908433107697</v>
      </c>
      <c r="I152" s="576">
        <f>IFERROR(IF((POZICIE_INTERNE!$B$40-12*('TCO TO BE- SW'!$D152-1))&gt;12,((I$4+'TCO TO BE - HW'!I$4)/($E$4+'TCO TO BE - HW'!$E$4)*SUM(POZICIE_INTERNE!$I$40:$I$51))/POZICIE_INTERNE!$B$40*12,IF((POZICIE_INTERNE!$B$40-12*('TCO TO BE- SW'!$D152-1))&lt;0,0,(POZICIE_INTERNE!$B$40-12*('TCO TO BE- SW'!$D152-1))*((I$4+'TCO TO BE - HW'!I$4)/($E$4+'TCO TO BE - HW'!$E$4)*SUM(POZICIE_INTERNE!$I$40:$I$51))/POZICIE_INTERNE!$B$40)),0)+IFERROR(IF((EXTERNE_POZICIE!$B$41-12*('TCO TO BE- SW'!$D152-1))&gt;12,((I$4+'TCO TO BE - HW'!I$4)/($E$4+'TCO TO BE - HW'!$E$4)*SUM(EXTERNE_POZICIE!$M$41:$M$52)*1.23)/EXTERNE_POZICIE!$B$41*12,IF((EXTERNE_POZICIE!$B$41-12*('TCO TO BE- SW'!$D152-1))&lt;0,0,(EXTERNE_POZICIE!$B$41-12*('TCO TO BE- SW'!$D152-1))*((I$4+'TCO TO BE - HW'!I$4)/($E$4+'TCO TO BE - HW'!$E$4)*SUM(EXTERNE_POZICIE!$M$41:$M$52)*1.23)/EXTERNE_POZICIE!$B$41)),0)+IFERROR(SUM(#REF!)*'TCO TO BE- SW'!I$4/'TCO TO BE- SW'!$E$4,0)</f>
        <v>2355.9490057261828</v>
      </c>
      <c r="J152" s="576">
        <f>IFERROR(IF((POZICIE_INTERNE!$B$40-12*('TCO TO BE- SW'!$D152-1))&gt;12,((J$4+'TCO TO BE - HW'!J$4)/($E$4+'TCO TO BE - HW'!$E$4)*SUM(POZICIE_INTERNE!$I$40:$I$51))/POZICIE_INTERNE!$B$40*12,IF((POZICIE_INTERNE!$B$40-12*('TCO TO BE- SW'!$D152-1))&lt;0,0,(POZICIE_INTERNE!$B$40-12*('TCO TO BE- SW'!$D152-1))*((J$4+'TCO TO BE - HW'!J$4)/($E$4+'TCO TO BE - HW'!$E$4)*SUM(POZICIE_INTERNE!$I$40:$I$51))/POZICIE_INTERNE!$B$40)),0)+IFERROR(IF((EXTERNE_POZICIE!$B$41-12*('TCO TO BE- SW'!$D152-1))&gt;12,((J$4+'TCO TO BE - HW'!J$4)/($E$4+'TCO TO BE - HW'!$E$4)*SUM(EXTERNE_POZICIE!$M$41:$M$52)*1.23)/EXTERNE_POZICIE!$B$41*12,IF((EXTERNE_POZICIE!$B$41-12*('TCO TO BE- SW'!$D152-1))&lt;0,0,(EXTERNE_POZICIE!$B$41-12*('TCO TO BE- SW'!$D152-1))*((J$4+'TCO TO BE - HW'!J$4)/($E$4+'TCO TO BE - HW'!$E$4)*SUM(EXTERNE_POZICIE!$M$41:$M$52)*1.23)/EXTERNE_POZICIE!$B$41)),0)+IFERROR(SUM(#REF!)*'TCO TO BE- SW'!J$4/'TCO TO BE- SW'!$E$4,0)</f>
        <v>1258.9602499349287</v>
      </c>
      <c r="K152" s="576">
        <f>IFERROR(IF((POZICIE_INTERNE!$B$40-12*('TCO TO BE- SW'!$D152-1))&gt;12,((K$4+'TCO TO BE - HW'!K$4)/($E$4+'TCO TO BE - HW'!$E$4)*SUM(POZICIE_INTERNE!$I$40:$I$51))/POZICIE_INTERNE!$B$40*12,IF((POZICIE_INTERNE!$B$40-12*('TCO TO BE- SW'!$D152-1))&lt;0,0,(POZICIE_INTERNE!$B$40-12*('TCO TO BE- SW'!$D152-1))*((K$4+'TCO TO BE - HW'!K$4)/($E$4+'TCO TO BE - HW'!$E$4)*SUM(POZICIE_INTERNE!$I$40:$I$51))/POZICIE_INTERNE!$B$40)),0)+IFERROR(IF((EXTERNE_POZICIE!$B$41-12*('TCO TO BE- SW'!$D152-1))&gt;12,((K$4+'TCO TO BE - HW'!K$4)/($E$4+'TCO TO BE - HW'!$E$4)*SUM(EXTERNE_POZICIE!$M$41:$M$52)*1.23)/EXTERNE_POZICIE!$B$41*12,IF((EXTERNE_POZICIE!$B$41-12*('TCO TO BE- SW'!$D152-1))&lt;0,0,(EXTERNE_POZICIE!$B$41-12*('TCO TO BE- SW'!$D152-1))*((K$4+'TCO TO BE - HW'!K$4)/($E$4+'TCO TO BE - HW'!$E$4)*SUM(EXTERNE_POZICIE!$M$41:$M$52)*1.23)/EXTERNE_POZICIE!$B$41)),0)+IFERROR(SUM(#REF!)*'TCO TO BE- SW'!K$4/'TCO TO BE- SW'!$E$4,0)</f>
        <v>761.47637506506965</v>
      </c>
      <c r="L152" s="576">
        <f>IFERROR(IF((POZICIE_INTERNE!$B$40-12*('TCO TO BE- SW'!$D152-1))&gt;12,((L$4+'TCO TO BE - HW'!L$4)/($E$4+'TCO TO BE - HW'!$E$4)*SUM(POZICIE_INTERNE!$I$40:$I$51))/POZICIE_INTERNE!$B$40*12,IF((POZICIE_INTERNE!$B$40-12*('TCO TO BE- SW'!$D152-1))&lt;0,0,(POZICIE_INTERNE!$B$40-12*('TCO TO BE- SW'!$D152-1))*((L$4+'TCO TO BE - HW'!L$4)/($E$4+'TCO TO BE - HW'!$E$4)*SUM(POZICIE_INTERNE!$I$40:$I$51))/POZICIE_INTERNE!$B$40)),0)+IFERROR(IF((EXTERNE_POZICIE!$B$41-12*('TCO TO BE- SW'!$D152-1))&gt;12,((L$4+'TCO TO BE - HW'!L$4)/($E$4+'TCO TO BE - HW'!$E$4)*SUM(EXTERNE_POZICIE!$M$41:$M$52)*1.23)/EXTERNE_POZICIE!$B$41*12,IF((EXTERNE_POZICIE!$B$41-12*('TCO TO BE- SW'!$D152-1))&lt;0,0,(EXTERNE_POZICIE!$B$41-12*('TCO TO BE- SW'!$D152-1))*((L$4+'TCO TO BE - HW'!L$4)/($E$4+'TCO TO BE - HW'!$E$4)*SUM(EXTERNE_POZICIE!$M$41:$M$52)*1.23)/EXTERNE_POZICIE!$B$41)),0)+IFERROR(SUM(#REF!)*'TCO TO BE- SW'!L$4/'TCO TO BE- SW'!$E$4,0)</f>
        <v>1120.1275406689217</v>
      </c>
      <c r="M152" s="576">
        <f>IFERROR(IF((POZICIE_INTERNE!$B$40-12*('TCO TO BE- SW'!$D152-1))&gt;12,((M$4+'TCO TO BE - HW'!M$4)/($E$4+'TCO TO BE - HW'!$E$4)*SUM(POZICIE_INTERNE!$I$40:$I$51))/POZICIE_INTERNE!$B$40*12,IF((POZICIE_INTERNE!$B$40-12*('TCO TO BE- SW'!$D152-1))&lt;0,0,(POZICIE_INTERNE!$B$40-12*('TCO TO BE- SW'!$D152-1))*((M$4+'TCO TO BE - HW'!M$4)/($E$4+'TCO TO BE - HW'!$E$4)*SUM(POZICIE_INTERNE!$I$40:$I$51))/POZICIE_INTERNE!$B$40)),0)+IFERROR(IF((EXTERNE_POZICIE!$B$41-12*('TCO TO BE- SW'!$D152-1))&gt;12,((M$4+'TCO TO BE - HW'!M$4)/($E$4+'TCO TO BE - HW'!$E$4)*SUM(EXTERNE_POZICIE!$M$41:$M$52)*1.23)/EXTERNE_POZICIE!$B$41*12,IF((EXTERNE_POZICIE!$B$41-12*('TCO TO BE- SW'!$D152-1))&lt;0,0,(EXTERNE_POZICIE!$B$41-12*('TCO TO BE- SW'!$D152-1))*((M$4+'TCO TO BE - HW'!M$4)/($E$4+'TCO TO BE - HW'!$E$4)*SUM(EXTERNE_POZICIE!$M$41:$M$52)*1.23)/EXTERNE_POZICIE!$B$41)),0)+IFERROR(SUM(#REF!)*'TCO TO BE- SW'!M$4/'TCO TO BE- SW'!$E$4,0)</f>
        <v>17971.473509305037</v>
      </c>
      <c r="N152" s="576">
        <f>IFERROR(IF((POZICIE_INTERNE!$B$40-12*('TCO TO BE- SW'!$D152-1))&gt;12,((N$4+'TCO TO BE - HW'!N$4)/($E$4+'TCO TO BE - HW'!$E$4)*SUM(POZICIE_INTERNE!$I$40:$I$51))/POZICIE_INTERNE!$B$40*12,IF((POZICIE_INTERNE!$B$40-12*('TCO TO BE- SW'!$D152-1))&lt;0,0,(POZICIE_INTERNE!$B$40-12*('TCO TO BE- SW'!$D152-1))*((N$4+'TCO TO BE - HW'!N$4)/($E$4+'TCO TO BE - HW'!$E$4)*SUM(POZICIE_INTERNE!$I$40:$I$51))/POZICIE_INTERNE!$B$40)),0)+IFERROR(IF((EXTERNE_POZICIE!$B$41-12*('TCO TO BE- SW'!$D152-1))&gt;12,((N$4+'TCO TO BE - HW'!N$4)/($E$4+'TCO TO BE - HW'!$E$4)*SUM(EXTERNE_POZICIE!$M$41:$M$52)*1.23)/EXTERNE_POZICIE!$B$41*12,IF((EXTERNE_POZICIE!$B$41-12*('TCO TO BE- SW'!$D152-1))&lt;0,0,(EXTERNE_POZICIE!$B$41-12*('TCO TO BE- SW'!$D152-1))*((N$4+'TCO TO BE - HW'!N$4)/($E$4+'TCO TO BE - HW'!$E$4)*SUM(EXTERNE_POZICIE!$M$41:$M$52)*1.23)/EXTERNE_POZICIE!$B$41)),0)+IFERROR(SUM(#REF!)*'TCO TO BE- SW'!N$4/'TCO TO BE- SW'!$E$4,0)</f>
        <v>2137.1823123373229</v>
      </c>
      <c r="O152" s="576">
        <f>IFERROR(IF((POZICIE_INTERNE!$B$40-12*('TCO TO BE- SW'!$D152-1))&gt;12,((O$4+'TCO TO BE - HW'!O$4)/($E$4+'TCO TO BE - HW'!$E$4)*SUM(POZICIE_INTERNE!$I$40:$I$51))/POZICIE_INTERNE!$B$40*12,IF((POZICIE_INTERNE!$B$40-12*('TCO TO BE- SW'!$D152-1))&lt;0,0,(POZICIE_INTERNE!$B$40-12*('TCO TO BE- SW'!$D152-1))*((O$4+'TCO TO BE - HW'!O$4)/($E$4+'TCO TO BE - HW'!$E$4)*SUM(POZICIE_INTERNE!$I$40:$I$51))/POZICIE_INTERNE!$B$40)),0)+IFERROR(IF((EXTERNE_POZICIE!$B$41-12*('TCO TO BE- SW'!$D152-1))&gt;12,((O$4+'TCO TO BE - HW'!O$4)/($E$4+'TCO TO BE - HW'!$E$4)*SUM(EXTERNE_POZICIE!$M$41:$M$52)*1.23)/EXTERNE_POZICIE!$B$41*12,IF((EXTERNE_POZICIE!$B$41-12*('TCO TO BE- SW'!$D152-1))&lt;0,0,(EXTERNE_POZICIE!$B$41-12*('TCO TO BE- SW'!$D152-1))*((O$4+'TCO TO BE - HW'!O$4)/($E$4+'TCO TO BE - HW'!$E$4)*SUM(EXTERNE_POZICIE!$M$41:$M$52)*1.23)/EXTERNE_POZICIE!$B$41)),0)+IFERROR(SUM(#REF!)*'TCO TO BE- SW'!O$4/'TCO TO BE- SW'!$E$4,0)</f>
        <v>10302.018085307123</v>
      </c>
      <c r="P152" s="576">
        <f>IFERROR(IF((POZICIE_INTERNE!$B$40-12*('TCO TO BE- SW'!$D152-1))&gt;12,((P$4+'TCO TO BE - HW'!P$4)/($E$4+'TCO TO BE - HW'!$E$4)*SUM(POZICIE_INTERNE!$I$40:$I$51))/POZICIE_INTERNE!$B$40*12,IF((POZICIE_INTERNE!$B$40-12*('TCO TO BE- SW'!$D152-1))&lt;0,0,(POZICIE_INTERNE!$B$40-12*('TCO TO BE- SW'!$D152-1))*((P$4+'TCO TO BE - HW'!P$4)/($E$4+'TCO TO BE - HW'!$E$4)*SUM(POZICIE_INTERNE!$I$40:$I$51))/POZICIE_INTERNE!$B$40)),0)+IFERROR(IF((EXTERNE_POZICIE!$B$41-12*('TCO TO BE- SW'!$D152-1))&gt;12,((P$4+'TCO TO BE - HW'!P$4)/($E$4+'TCO TO BE - HW'!$E$4)*SUM(EXTERNE_POZICIE!$M$41:$M$52)*1.23)/EXTERNE_POZICIE!$B$41*12,IF((EXTERNE_POZICIE!$B$41-12*('TCO TO BE- SW'!$D152-1))&lt;0,0,(EXTERNE_POZICIE!$B$41-12*('TCO TO BE- SW'!$D152-1))*((P$4+'TCO TO BE - HW'!P$4)/($E$4+'TCO TO BE - HW'!$E$4)*SUM(EXTERNE_POZICIE!$M$41:$M$52)*1.23)/EXTERNE_POZICIE!$B$41)),0)+IFERROR(SUM(#REF!)*'TCO TO BE- SW'!P$4/'TCO TO BE- SW'!$E$4,0)</f>
        <v>1323.1177898230083</v>
      </c>
      <c r="Q152" s="576">
        <f>IFERROR(IF((POZICIE_INTERNE!$B$40-12*('TCO TO BE- SW'!$D152-1))&gt;12,((Q$4+'TCO TO BE - HW'!Q$4)/($E$4+'TCO TO BE - HW'!$E$4)*SUM(POZICIE_INTERNE!$I$40:$I$51))/POZICIE_INTERNE!$B$40*12,IF((POZICIE_INTERNE!$B$40-12*('TCO TO BE- SW'!$D152-1))&lt;0,0,(POZICIE_INTERNE!$B$40-12*('TCO TO BE- SW'!$D152-1))*((Q$4+'TCO TO BE - HW'!Q$4)/($E$4+'TCO TO BE - HW'!$E$4)*SUM(POZICIE_INTERNE!$I$40:$I$51))/POZICIE_INTERNE!$B$40)),0)+IFERROR(IF((EXTERNE_POZICIE!$B$41-12*('TCO TO BE- SW'!$D152-1))&gt;12,((Q$4+'TCO TO BE - HW'!Q$4)/($E$4+'TCO TO BE - HW'!$E$4)*SUM(EXTERNE_POZICIE!$M$41:$M$52)*1.23)/EXTERNE_POZICIE!$B$41*12,IF((EXTERNE_POZICIE!$B$41-12*('TCO TO BE- SW'!$D152-1))&lt;0,0,(EXTERNE_POZICIE!$B$41-12*('TCO TO BE- SW'!$D152-1))*((Q$4+'TCO TO BE - HW'!Q$4)/($E$4+'TCO TO BE - HW'!$E$4)*SUM(EXTERNE_POZICIE!$M$41:$M$52)*1.23)/EXTERNE_POZICIE!$B$41)),0)+IFERROR(SUM(#REF!)*'TCO TO BE- SW'!Q$4/'TCO TO BE- SW'!$E$4,0)</f>
        <v>7426.4981827823995</v>
      </c>
      <c r="R152" s="576">
        <f>IFERROR(IF((POZICIE_INTERNE!$B$40-12*('TCO TO BE- SW'!$D152-1))&gt;12,((R$4+'TCO TO BE - HW'!R$4)/($E$4+'TCO TO BE - HW'!$E$4)*SUM(POZICIE_INTERNE!$I$40:$I$51))/POZICIE_INTERNE!$B$40*12,IF((POZICIE_INTERNE!$B$40-12*('TCO TO BE- SW'!$D152-1))&lt;0,0,(POZICIE_INTERNE!$B$40-12*('TCO TO BE- SW'!$D152-1))*((R$4+'TCO TO BE - HW'!R$4)/($E$4+'TCO TO BE - HW'!$E$4)*SUM(POZICIE_INTERNE!$I$40:$I$51))/POZICIE_INTERNE!$B$40)),0)+IFERROR(IF((EXTERNE_POZICIE!$B$41-12*('TCO TO BE- SW'!$D152-1))&gt;12,((R$4+'TCO TO BE - HW'!R$4)/($E$4+'TCO TO BE - HW'!$E$4)*SUM(EXTERNE_POZICIE!$M$41:$M$52)*1.23)/EXTERNE_POZICIE!$B$41*12,IF((EXTERNE_POZICIE!$B$41-12*('TCO TO BE- SW'!$D152-1))&lt;0,0,(EXTERNE_POZICIE!$B$41-12*('TCO TO BE- SW'!$D152-1))*((R$4+'TCO TO BE - HW'!R$4)/($E$4+'TCO TO BE - HW'!$E$4)*SUM(EXTERNE_POZICIE!$M$41:$M$52)*1.23)/EXTERNE_POZICIE!$B$41)),0)+IFERROR(SUM(#REF!)*'TCO TO BE- SW'!R$4/'TCO TO BE- SW'!$E$4,0)</f>
        <v>2605.2168246356046</v>
      </c>
      <c r="S152" s="576">
        <f>IFERROR(IF((POZICIE_INTERNE!$B$40-12*('TCO TO BE- SW'!$D152-1))&gt;12,((S$4+'TCO TO BE - HW'!S$4)/($E$4+'TCO TO BE - HW'!$E$4)*SUM(POZICIE_INTERNE!$I$40:$I$51))/POZICIE_INTERNE!$B$40*12,IF((POZICIE_INTERNE!$B$40-12*('TCO TO BE- SW'!$D152-1))&lt;0,0,(POZICIE_INTERNE!$B$40-12*('TCO TO BE- SW'!$D152-1))*((S$4+'TCO TO BE - HW'!S$4)/($E$4+'TCO TO BE - HW'!$E$4)*SUM(POZICIE_INTERNE!$I$40:$I$51))/POZICIE_INTERNE!$B$40)),0)+IFERROR(IF((EXTERNE_POZICIE!$B$41-12*('TCO TO BE- SW'!$D152-1))&gt;12,((S$4+'TCO TO BE - HW'!S$4)/($E$4+'TCO TO BE - HW'!$E$4)*SUM(EXTERNE_POZICIE!$M$41:$M$52)*1.23)/EXTERNE_POZICIE!$B$41*12,IF((EXTERNE_POZICIE!$B$41-12*('TCO TO BE- SW'!$D152-1))&lt;0,0,(EXTERNE_POZICIE!$B$41-12*('TCO TO BE- SW'!$D152-1))*((S$4+'TCO TO BE - HW'!S$4)/($E$4+'TCO TO BE - HW'!$E$4)*SUM(EXTERNE_POZICIE!$M$41:$M$52)*1.23)/EXTERNE_POZICIE!$B$41)),0)+IFERROR(SUM(#REF!)*'TCO TO BE- SW'!S$4/'TCO TO BE- SW'!$E$4,0)</f>
        <v>29696.685890356621</v>
      </c>
      <c r="T152" s="576">
        <f>IFERROR(IF((POZICIE_INTERNE!$B$40-12*('TCO TO BE- SW'!$D152-1))&gt;12,((T$4+'TCO TO BE - HW'!T$4)/($E$4+'TCO TO BE - HW'!$E$4)*SUM(POZICIE_INTERNE!$I$40:$I$51))/POZICIE_INTERNE!$B$40*12,IF((POZICIE_INTERNE!$B$40-12*('TCO TO BE- SW'!$D152-1))&lt;0,0,(POZICIE_INTERNE!$B$40-12*('TCO TO BE- SW'!$D152-1))*((T$4+'TCO TO BE - HW'!T$4)/($E$4+'TCO TO BE - HW'!$E$4)*SUM(POZICIE_INTERNE!$I$40:$I$51))/POZICIE_INTERNE!$B$40)),0)+IFERROR(IF((EXTERNE_POZICIE!$B$41-12*('TCO TO BE- SW'!$D152-1))&gt;12,((T$4+'TCO TO BE - HW'!T$4)/($E$4+'TCO TO BE - HW'!$E$4)*SUM(EXTERNE_POZICIE!$M$41:$M$52)*1.23)/EXTERNE_POZICIE!$B$41*12,IF((EXTERNE_POZICIE!$B$41-12*('TCO TO BE- SW'!$D152-1))&lt;0,0,(EXTERNE_POZICIE!$B$41-12*('TCO TO BE- SW'!$D152-1))*((T$4+'TCO TO BE - HW'!T$4)/($E$4+'TCO TO BE - HW'!$E$4)*SUM(EXTERNE_POZICIE!$M$41:$M$52)*1.23)/EXTERNE_POZICIE!$B$41)),0)+IFERROR(SUM(#REF!)*'TCO TO BE- SW'!T$4/'TCO TO BE- SW'!$E$4,0)</f>
        <v>0</v>
      </c>
      <c r="U152" s="576">
        <f>IFERROR(IF((POZICIE_INTERNE!$B$40-12*('TCO TO BE- SW'!$D152-1))&gt;12,((U$4+'TCO TO BE - HW'!U$4)/($E$4+'TCO TO BE - HW'!$E$4)*SUM(POZICIE_INTERNE!$I$40:$I$51))/POZICIE_INTERNE!$B$40*12,IF((POZICIE_INTERNE!$B$40-12*('TCO TO BE- SW'!$D152-1))&lt;0,0,(POZICIE_INTERNE!$B$40-12*('TCO TO BE- SW'!$D152-1))*((U$4+'TCO TO BE - HW'!U$4)/($E$4+'TCO TO BE - HW'!$E$4)*SUM(POZICIE_INTERNE!$I$40:$I$51))/POZICIE_INTERNE!$B$40)),0)+IFERROR(IF((EXTERNE_POZICIE!$B$41-12*('TCO TO BE- SW'!$D152-1))&gt;12,((U$4+'TCO TO BE - HW'!U$4)/($E$4+'TCO TO BE - HW'!$E$4)*SUM(EXTERNE_POZICIE!$M$41:$M$52)*1.23)/EXTERNE_POZICIE!$B$41*12,IF((EXTERNE_POZICIE!$B$41-12*('TCO TO BE- SW'!$D152-1))&lt;0,0,(EXTERNE_POZICIE!$B$41-12*('TCO TO BE- SW'!$D152-1))*((U$4+'TCO TO BE - HW'!U$4)/($E$4+'TCO TO BE - HW'!$E$4)*SUM(EXTERNE_POZICIE!$M$41:$M$52)*1.23)/EXTERNE_POZICIE!$B$41)),0)+IFERROR(SUM(#REF!)*'TCO TO BE- SW'!U$4/'TCO TO BE- SW'!$E$4,0)</f>
        <v>0</v>
      </c>
      <c r="V152" s="576">
        <f>IFERROR(IF((POZICIE_INTERNE!$B$40-12*('TCO TO BE- SW'!$D152-1))&gt;12,((V$4+'TCO TO BE - HW'!V$4)/($E$4+'TCO TO BE - HW'!$E$4)*SUM(POZICIE_INTERNE!$I$40:$I$51))/POZICIE_INTERNE!$B$40*12,IF((POZICIE_INTERNE!$B$40-12*('TCO TO BE- SW'!$D152-1))&lt;0,0,(POZICIE_INTERNE!$B$40-12*('TCO TO BE- SW'!$D152-1))*((V$4+'TCO TO BE - HW'!V$4)/($E$4+'TCO TO BE - HW'!$E$4)*SUM(POZICIE_INTERNE!$I$40:$I$51))/POZICIE_INTERNE!$B$40)),0)+IFERROR(IF((EXTERNE_POZICIE!$B$41-12*('TCO TO BE- SW'!$D152-1))&gt;12,((V$4+'TCO TO BE - HW'!V$4)/($E$4+'TCO TO BE - HW'!$E$4)*SUM(EXTERNE_POZICIE!$M$41:$M$52)*1.23)/EXTERNE_POZICIE!$B$41*12,IF((EXTERNE_POZICIE!$B$41-12*('TCO TO BE- SW'!$D152-1))&lt;0,0,(EXTERNE_POZICIE!$B$41-12*('TCO TO BE- SW'!$D152-1))*((V$4+'TCO TO BE - HW'!V$4)/($E$4+'TCO TO BE - HW'!$E$4)*SUM(EXTERNE_POZICIE!$M$41:$M$52)*1.23)/EXTERNE_POZICIE!$B$41)),0)+IFERROR(SUM(#REF!)*'TCO TO BE- SW'!V$4/'TCO TO BE- SW'!$E$4,0)</f>
        <v>0</v>
      </c>
      <c r="W152" s="576">
        <f>IFERROR(IF((POZICIE_INTERNE!$B$40-12*('TCO TO BE- SW'!$D152-1))&gt;12,((W$4+'TCO TO BE - HW'!W$4)/($E$4+'TCO TO BE - HW'!$E$4)*SUM(POZICIE_INTERNE!$I$40:$I$51))/POZICIE_INTERNE!$B$40*12,IF((POZICIE_INTERNE!$B$40-12*('TCO TO BE- SW'!$D152-1))&lt;0,0,(POZICIE_INTERNE!$B$40-12*('TCO TO BE- SW'!$D152-1))*((W$4+'TCO TO BE - HW'!W$4)/($E$4+'TCO TO BE - HW'!$E$4)*SUM(POZICIE_INTERNE!$I$40:$I$51))/POZICIE_INTERNE!$B$40)),0)+IFERROR(IF((EXTERNE_POZICIE!$B$41-12*('TCO TO BE- SW'!$D152-1))&gt;12,((W$4+'TCO TO BE - HW'!W$4)/($E$4+'TCO TO BE - HW'!$E$4)*SUM(EXTERNE_POZICIE!$M$41:$M$52)*1.23)/EXTERNE_POZICIE!$B$41*12,IF((EXTERNE_POZICIE!$B$41-12*('TCO TO BE- SW'!$D152-1))&lt;0,0,(EXTERNE_POZICIE!$B$41-12*('TCO TO BE- SW'!$D152-1))*((W$4+'TCO TO BE - HW'!W$4)/($E$4+'TCO TO BE - HW'!$E$4)*SUM(EXTERNE_POZICIE!$M$41:$M$52)*1.23)/EXTERNE_POZICIE!$B$41)),0)+IFERROR(SUM(#REF!)*'TCO TO BE- SW'!W$4/'TCO TO BE- SW'!$E$4,0)</f>
        <v>0</v>
      </c>
      <c r="X152" s="576">
        <f>IFERROR(IF((POZICIE_INTERNE!$B$40-12*('TCO TO BE- SW'!$D152-1))&gt;12,((X$4+'TCO TO BE - HW'!X$4)/($E$4+'TCO TO BE - HW'!$E$4)*SUM(POZICIE_INTERNE!$I$40:$I$51))/POZICIE_INTERNE!$B$40*12,IF((POZICIE_INTERNE!$B$40-12*('TCO TO BE- SW'!$D152-1))&lt;0,0,(POZICIE_INTERNE!$B$40-12*('TCO TO BE- SW'!$D152-1))*((X$4+'TCO TO BE - HW'!X$4)/($E$4+'TCO TO BE - HW'!$E$4)*SUM(POZICIE_INTERNE!$I$40:$I$51))/POZICIE_INTERNE!$B$40)),0)+IFERROR(IF((EXTERNE_POZICIE!$B$41-12*('TCO TO BE- SW'!$D152-1))&gt;12,((X$4+'TCO TO BE - HW'!X$4)/($E$4+'TCO TO BE - HW'!$E$4)*SUM(EXTERNE_POZICIE!$M$41:$M$52)*1.23)/EXTERNE_POZICIE!$B$41*12,IF((EXTERNE_POZICIE!$B$41-12*('TCO TO BE- SW'!$D152-1))&lt;0,0,(EXTERNE_POZICIE!$B$41-12*('TCO TO BE- SW'!$D152-1))*((X$4+'TCO TO BE - HW'!X$4)/($E$4+'TCO TO BE - HW'!$E$4)*SUM(EXTERNE_POZICIE!$M$41:$M$52)*1.23)/EXTERNE_POZICIE!$B$41)),0)+IFERROR(SUM(#REF!)*'TCO TO BE- SW'!X$4/'TCO TO BE- SW'!$E$4,0)</f>
        <v>0</v>
      </c>
      <c r="Y152" s="576">
        <f>IFERROR(IF((POZICIE_INTERNE!$B$40-12*('TCO TO BE- SW'!$D152-1))&gt;12,((Y$4+'TCO TO BE - HW'!Y$4)/($E$4+'TCO TO BE - HW'!$E$4)*SUM(POZICIE_INTERNE!$I$40:$I$51))/POZICIE_INTERNE!$B$40*12,IF((POZICIE_INTERNE!$B$40-12*('TCO TO BE- SW'!$D152-1))&lt;0,0,(POZICIE_INTERNE!$B$40-12*('TCO TO BE- SW'!$D152-1))*((Y$4+'TCO TO BE - HW'!Y$4)/($E$4+'TCO TO BE - HW'!$E$4)*SUM(POZICIE_INTERNE!$I$40:$I$51))/POZICIE_INTERNE!$B$40)),0)+IFERROR(IF((EXTERNE_POZICIE!$B$41-12*('TCO TO BE- SW'!$D152-1))&gt;12,((Y$4+'TCO TO BE - HW'!Y$4)/($E$4+'TCO TO BE - HW'!$E$4)*SUM(EXTERNE_POZICIE!$M$41:$M$52)*1.23)/EXTERNE_POZICIE!$B$41*12,IF((EXTERNE_POZICIE!$B$41-12*('TCO TO BE- SW'!$D152-1))&lt;0,0,(EXTERNE_POZICIE!$B$41-12*('TCO TO BE- SW'!$D152-1))*((Y$4+'TCO TO BE - HW'!Y$4)/($E$4+'TCO TO BE - HW'!$E$4)*SUM(EXTERNE_POZICIE!$M$41:$M$52)*1.23)/EXTERNE_POZICIE!$B$41)),0)+IFERROR(SUM(#REF!)*'TCO TO BE- SW'!Y$4/'TCO TO BE- SW'!$E$4,0)</f>
        <v>0</v>
      </c>
      <c r="Z152" s="576">
        <f>IFERROR(IF((POZICIE_INTERNE!$B$40-12*('TCO TO BE- SW'!$D152-1))&gt;12,((Z$4+'TCO TO BE - HW'!Z$4)/($E$4+'TCO TO BE - HW'!$E$4)*SUM(POZICIE_INTERNE!$I$40:$I$51))/POZICIE_INTERNE!$B$40*12,IF((POZICIE_INTERNE!$B$40-12*('TCO TO BE- SW'!$D152-1))&lt;0,0,(POZICIE_INTERNE!$B$40-12*('TCO TO BE- SW'!$D152-1))*((Z$4+'TCO TO BE - HW'!Z$4)/($E$4+'TCO TO BE - HW'!$E$4)*SUM(POZICIE_INTERNE!$I$40:$I$51))/POZICIE_INTERNE!$B$40)),0)+IFERROR(IF((EXTERNE_POZICIE!$B$41-12*('TCO TO BE- SW'!$D152-1))&gt;12,((Z$4+'TCO TO BE - HW'!Z$4)/($E$4+'TCO TO BE - HW'!$E$4)*SUM(EXTERNE_POZICIE!$M$41:$M$52)*1.23)/EXTERNE_POZICIE!$B$41*12,IF((EXTERNE_POZICIE!$B$41-12*('TCO TO BE- SW'!$D152-1))&lt;0,0,(EXTERNE_POZICIE!$B$41-12*('TCO TO BE- SW'!$D152-1))*((Z$4+'TCO TO BE - HW'!Z$4)/($E$4+'TCO TO BE - HW'!$E$4)*SUM(EXTERNE_POZICIE!$M$41:$M$52)*1.23)/EXTERNE_POZICIE!$B$41)),0)+IFERROR(SUM(#REF!)*'TCO TO BE- SW'!Z$4/'TCO TO BE- SW'!$E$4,0)</f>
        <v>0</v>
      </c>
    </row>
    <row r="153" spans="1:26">
      <c r="A153" s="841"/>
      <c r="B153" s="842"/>
      <c r="C153" s="842"/>
      <c r="D153" s="64">
        <v>3</v>
      </c>
      <c r="E153" s="68">
        <f t="shared" si="16"/>
        <v>78297.600000000006</v>
      </c>
      <c r="F153" s="576">
        <f>IFERROR(IF((POZICIE_INTERNE!$B$40-12*('TCO TO BE- SW'!$D153-1))&gt;12,((F$4+'TCO TO BE - HW'!F$4)/($E$4+'TCO TO BE - HW'!$E$4)*SUM(POZICIE_INTERNE!$I$40:$I$51))/POZICIE_INTERNE!$B$40*12,IF((POZICIE_INTERNE!$B$40-12*('TCO TO BE- SW'!$D153-1))&lt;0,0,(POZICIE_INTERNE!$B$40-12*('TCO TO BE- SW'!$D153-1))*((F$4+'TCO TO BE - HW'!F$4)/($E$4+'TCO TO BE - HW'!$E$4)*SUM(POZICIE_INTERNE!$I$40:$I$51))/POZICIE_INTERNE!$B$40)),0)+IFERROR(IF((EXTERNE_POZICIE!$B$41-12*('TCO TO BE- SW'!$D153-1))&gt;12,((F$4+'TCO TO BE - HW'!F$4)/($E$4+'TCO TO BE - HW'!$E$4)*SUM(EXTERNE_POZICIE!$M$41:$M$52)*1.23)/EXTERNE_POZICIE!$B$41*12,IF((EXTERNE_POZICIE!$B$41-12*('TCO TO BE- SW'!$D153-1))&lt;0,0,(EXTERNE_POZICIE!$B$41-12*('TCO TO BE- SW'!$D153-1))*((F$4+'TCO TO BE - HW'!F$4)/($E$4+'TCO TO BE - HW'!$E$4)*SUM(EXTERNE_POZICIE!$M$41:$M$52)*1.23)/EXTERNE_POZICIE!$B$41)),0)+IFERROR(SUM(#REF!)*'TCO TO BE- SW'!F$4/'TCO TO BE- SW'!$E$4,0)</f>
        <v>438.58514972670446</v>
      </c>
      <c r="G153" s="576">
        <f>IFERROR(IF((POZICIE_INTERNE!$B$40-12*('TCO TO BE- SW'!$D153-1))&gt;12,((G$4+'TCO TO BE - HW'!G$4)/($E$4+'TCO TO BE - HW'!$E$4)*SUM(POZICIE_INTERNE!$I$40:$I$51))/POZICIE_INTERNE!$B$40*12,IF((POZICIE_INTERNE!$B$40-12*('TCO TO BE- SW'!$D153-1))&lt;0,0,(POZICIE_INTERNE!$B$40-12*('TCO TO BE- SW'!$D153-1))*((G$4+'TCO TO BE - HW'!G$4)/($E$4+'TCO TO BE - HW'!$E$4)*SUM(POZICIE_INTERNE!$I$40:$I$51))/POZICIE_INTERNE!$B$40)),0)+IFERROR(IF((EXTERNE_POZICIE!$B$41-12*('TCO TO BE- SW'!$D153-1))&gt;12,((G$4+'TCO TO BE - HW'!G$4)/($E$4+'TCO TO BE - HW'!$E$4)*SUM(EXTERNE_POZICIE!$M$41:$M$52)*1.23)/EXTERNE_POZICIE!$B$41*12,IF((EXTERNE_POZICIE!$B$41-12*('TCO TO BE- SW'!$D153-1))&lt;0,0,(EXTERNE_POZICIE!$B$41-12*('TCO TO BE- SW'!$D153-1))*((G$4+'TCO TO BE - HW'!G$4)/($E$4+'TCO TO BE - HW'!$E$4)*SUM(EXTERNE_POZICIE!$M$41:$M$52)*1.23)/EXTERNE_POZICIE!$B$41)),0)+IFERROR(SUM(#REF!)*'TCO TO BE- SW'!G$4/'TCO TO BE- SW'!$E$4,0)</f>
        <v>0</v>
      </c>
      <c r="H153" s="576">
        <f>IFERROR(IF((POZICIE_INTERNE!$B$40-12*('TCO TO BE- SW'!$D153-1))&gt;12,((H$4+'TCO TO BE - HW'!H$4)/($E$4+'TCO TO BE - HW'!$E$4)*SUM(POZICIE_INTERNE!$I$40:$I$51))/POZICIE_INTERNE!$B$40*12,IF((POZICIE_INTERNE!$B$40-12*('TCO TO BE- SW'!$D153-1))&lt;0,0,(POZICIE_INTERNE!$B$40-12*('TCO TO BE- SW'!$D153-1))*((H$4+'TCO TO BE - HW'!H$4)/($E$4+'TCO TO BE - HW'!$E$4)*SUM(POZICIE_INTERNE!$I$40:$I$51))/POZICIE_INTERNE!$B$40)),0)+IFERROR(IF((EXTERNE_POZICIE!$B$41-12*('TCO TO BE- SW'!$D153-1))&gt;12,((H$4+'TCO TO BE - HW'!H$4)/($E$4+'TCO TO BE - HW'!$E$4)*SUM(EXTERNE_POZICIE!$M$41:$M$52)*1.23)/EXTERNE_POZICIE!$B$41*12,IF((EXTERNE_POZICIE!$B$41-12*('TCO TO BE- SW'!$D153-1))&lt;0,0,(EXTERNE_POZICIE!$B$41-12*('TCO TO BE- SW'!$D153-1))*((H$4+'TCO TO BE - HW'!H$4)/($E$4+'TCO TO BE - HW'!$E$4)*SUM(EXTERNE_POZICIE!$M$41:$M$52)*1.23)/EXTERNE_POZICIE!$B$41)),0)+IFERROR(SUM(#REF!)*'TCO TO BE- SW'!H$4/'TCO TO BE- SW'!$E$4,0)</f>
        <v>900.30908433107697</v>
      </c>
      <c r="I153" s="576">
        <f>IFERROR(IF((POZICIE_INTERNE!$B$40-12*('TCO TO BE- SW'!$D153-1))&gt;12,((I$4+'TCO TO BE - HW'!I$4)/($E$4+'TCO TO BE - HW'!$E$4)*SUM(POZICIE_INTERNE!$I$40:$I$51))/POZICIE_INTERNE!$B$40*12,IF((POZICIE_INTERNE!$B$40-12*('TCO TO BE- SW'!$D153-1))&lt;0,0,(POZICIE_INTERNE!$B$40-12*('TCO TO BE- SW'!$D153-1))*((I$4+'TCO TO BE - HW'!I$4)/($E$4+'TCO TO BE - HW'!$E$4)*SUM(POZICIE_INTERNE!$I$40:$I$51))/POZICIE_INTERNE!$B$40)),0)+IFERROR(IF((EXTERNE_POZICIE!$B$41-12*('TCO TO BE- SW'!$D153-1))&gt;12,((I$4+'TCO TO BE - HW'!I$4)/($E$4+'TCO TO BE - HW'!$E$4)*SUM(EXTERNE_POZICIE!$M$41:$M$52)*1.23)/EXTERNE_POZICIE!$B$41*12,IF((EXTERNE_POZICIE!$B$41-12*('TCO TO BE- SW'!$D153-1))&lt;0,0,(EXTERNE_POZICIE!$B$41-12*('TCO TO BE- SW'!$D153-1))*((I$4+'TCO TO BE - HW'!I$4)/($E$4+'TCO TO BE - HW'!$E$4)*SUM(EXTERNE_POZICIE!$M$41:$M$52)*1.23)/EXTERNE_POZICIE!$B$41)),0)+IFERROR(SUM(#REF!)*'TCO TO BE- SW'!I$4/'TCO TO BE- SW'!$E$4,0)</f>
        <v>2355.9490057261828</v>
      </c>
      <c r="J153" s="576">
        <f>IFERROR(IF((POZICIE_INTERNE!$B$40-12*('TCO TO BE- SW'!$D153-1))&gt;12,((J$4+'TCO TO BE - HW'!J$4)/($E$4+'TCO TO BE - HW'!$E$4)*SUM(POZICIE_INTERNE!$I$40:$I$51))/POZICIE_INTERNE!$B$40*12,IF((POZICIE_INTERNE!$B$40-12*('TCO TO BE- SW'!$D153-1))&lt;0,0,(POZICIE_INTERNE!$B$40-12*('TCO TO BE- SW'!$D153-1))*((J$4+'TCO TO BE - HW'!J$4)/($E$4+'TCO TO BE - HW'!$E$4)*SUM(POZICIE_INTERNE!$I$40:$I$51))/POZICIE_INTERNE!$B$40)),0)+IFERROR(IF((EXTERNE_POZICIE!$B$41-12*('TCO TO BE- SW'!$D153-1))&gt;12,((J$4+'TCO TO BE - HW'!J$4)/($E$4+'TCO TO BE - HW'!$E$4)*SUM(EXTERNE_POZICIE!$M$41:$M$52)*1.23)/EXTERNE_POZICIE!$B$41*12,IF((EXTERNE_POZICIE!$B$41-12*('TCO TO BE- SW'!$D153-1))&lt;0,0,(EXTERNE_POZICIE!$B$41-12*('TCO TO BE- SW'!$D153-1))*((J$4+'TCO TO BE - HW'!J$4)/($E$4+'TCO TO BE - HW'!$E$4)*SUM(EXTERNE_POZICIE!$M$41:$M$52)*1.23)/EXTERNE_POZICIE!$B$41)),0)+IFERROR(SUM(#REF!)*'TCO TO BE- SW'!J$4/'TCO TO BE- SW'!$E$4,0)</f>
        <v>1258.9602499349287</v>
      </c>
      <c r="K153" s="576">
        <f>IFERROR(IF((POZICIE_INTERNE!$B$40-12*('TCO TO BE- SW'!$D153-1))&gt;12,((K$4+'TCO TO BE - HW'!K$4)/($E$4+'TCO TO BE - HW'!$E$4)*SUM(POZICIE_INTERNE!$I$40:$I$51))/POZICIE_INTERNE!$B$40*12,IF((POZICIE_INTERNE!$B$40-12*('TCO TO BE- SW'!$D153-1))&lt;0,0,(POZICIE_INTERNE!$B$40-12*('TCO TO BE- SW'!$D153-1))*((K$4+'TCO TO BE - HW'!K$4)/($E$4+'TCO TO BE - HW'!$E$4)*SUM(POZICIE_INTERNE!$I$40:$I$51))/POZICIE_INTERNE!$B$40)),0)+IFERROR(IF((EXTERNE_POZICIE!$B$41-12*('TCO TO BE- SW'!$D153-1))&gt;12,((K$4+'TCO TO BE - HW'!K$4)/($E$4+'TCO TO BE - HW'!$E$4)*SUM(EXTERNE_POZICIE!$M$41:$M$52)*1.23)/EXTERNE_POZICIE!$B$41*12,IF((EXTERNE_POZICIE!$B$41-12*('TCO TO BE- SW'!$D153-1))&lt;0,0,(EXTERNE_POZICIE!$B$41-12*('TCO TO BE- SW'!$D153-1))*((K$4+'TCO TO BE - HW'!K$4)/($E$4+'TCO TO BE - HW'!$E$4)*SUM(EXTERNE_POZICIE!$M$41:$M$52)*1.23)/EXTERNE_POZICIE!$B$41)),0)+IFERROR(SUM(#REF!)*'TCO TO BE- SW'!K$4/'TCO TO BE- SW'!$E$4,0)</f>
        <v>761.47637506506965</v>
      </c>
      <c r="L153" s="576">
        <f>IFERROR(IF((POZICIE_INTERNE!$B$40-12*('TCO TO BE- SW'!$D153-1))&gt;12,((L$4+'TCO TO BE - HW'!L$4)/($E$4+'TCO TO BE - HW'!$E$4)*SUM(POZICIE_INTERNE!$I$40:$I$51))/POZICIE_INTERNE!$B$40*12,IF((POZICIE_INTERNE!$B$40-12*('TCO TO BE- SW'!$D153-1))&lt;0,0,(POZICIE_INTERNE!$B$40-12*('TCO TO BE- SW'!$D153-1))*((L$4+'TCO TO BE - HW'!L$4)/($E$4+'TCO TO BE - HW'!$E$4)*SUM(POZICIE_INTERNE!$I$40:$I$51))/POZICIE_INTERNE!$B$40)),0)+IFERROR(IF((EXTERNE_POZICIE!$B$41-12*('TCO TO BE- SW'!$D153-1))&gt;12,((L$4+'TCO TO BE - HW'!L$4)/($E$4+'TCO TO BE - HW'!$E$4)*SUM(EXTERNE_POZICIE!$M$41:$M$52)*1.23)/EXTERNE_POZICIE!$B$41*12,IF((EXTERNE_POZICIE!$B$41-12*('TCO TO BE- SW'!$D153-1))&lt;0,0,(EXTERNE_POZICIE!$B$41-12*('TCO TO BE- SW'!$D153-1))*((L$4+'TCO TO BE - HW'!L$4)/($E$4+'TCO TO BE - HW'!$E$4)*SUM(EXTERNE_POZICIE!$M$41:$M$52)*1.23)/EXTERNE_POZICIE!$B$41)),0)+IFERROR(SUM(#REF!)*'TCO TO BE- SW'!L$4/'TCO TO BE- SW'!$E$4,0)</f>
        <v>1120.1275406689217</v>
      </c>
      <c r="M153" s="576">
        <f>IFERROR(IF((POZICIE_INTERNE!$B$40-12*('TCO TO BE- SW'!$D153-1))&gt;12,((M$4+'TCO TO BE - HW'!M$4)/($E$4+'TCO TO BE - HW'!$E$4)*SUM(POZICIE_INTERNE!$I$40:$I$51))/POZICIE_INTERNE!$B$40*12,IF((POZICIE_INTERNE!$B$40-12*('TCO TO BE- SW'!$D153-1))&lt;0,0,(POZICIE_INTERNE!$B$40-12*('TCO TO BE- SW'!$D153-1))*((M$4+'TCO TO BE - HW'!M$4)/($E$4+'TCO TO BE - HW'!$E$4)*SUM(POZICIE_INTERNE!$I$40:$I$51))/POZICIE_INTERNE!$B$40)),0)+IFERROR(IF((EXTERNE_POZICIE!$B$41-12*('TCO TO BE- SW'!$D153-1))&gt;12,((M$4+'TCO TO BE - HW'!M$4)/($E$4+'TCO TO BE - HW'!$E$4)*SUM(EXTERNE_POZICIE!$M$41:$M$52)*1.23)/EXTERNE_POZICIE!$B$41*12,IF((EXTERNE_POZICIE!$B$41-12*('TCO TO BE- SW'!$D153-1))&lt;0,0,(EXTERNE_POZICIE!$B$41-12*('TCO TO BE- SW'!$D153-1))*((M$4+'TCO TO BE - HW'!M$4)/($E$4+'TCO TO BE - HW'!$E$4)*SUM(EXTERNE_POZICIE!$M$41:$M$52)*1.23)/EXTERNE_POZICIE!$B$41)),0)+IFERROR(SUM(#REF!)*'TCO TO BE- SW'!M$4/'TCO TO BE- SW'!$E$4,0)</f>
        <v>17971.473509305037</v>
      </c>
      <c r="N153" s="576">
        <f>IFERROR(IF((POZICIE_INTERNE!$B$40-12*('TCO TO BE- SW'!$D153-1))&gt;12,((N$4+'TCO TO BE - HW'!N$4)/($E$4+'TCO TO BE - HW'!$E$4)*SUM(POZICIE_INTERNE!$I$40:$I$51))/POZICIE_INTERNE!$B$40*12,IF((POZICIE_INTERNE!$B$40-12*('TCO TO BE- SW'!$D153-1))&lt;0,0,(POZICIE_INTERNE!$B$40-12*('TCO TO BE- SW'!$D153-1))*((N$4+'TCO TO BE - HW'!N$4)/($E$4+'TCO TO BE - HW'!$E$4)*SUM(POZICIE_INTERNE!$I$40:$I$51))/POZICIE_INTERNE!$B$40)),0)+IFERROR(IF((EXTERNE_POZICIE!$B$41-12*('TCO TO BE- SW'!$D153-1))&gt;12,((N$4+'TCO TO BE - HW'!N$4)/($E$4+'TCO TO BE - HW'!$E$4)*SUM(EXTERNE_POZICIE!$M$41:$M$52)*1.23)/EXTERNE_POZICIE!$B$41*12,IF((EXTERNE_POZICIE!$B$41-12*('TCO TO BE- SW'!$D153-1))&lt;0,0,(EXTERNE_POZICIE!$B$41-12*('TCO TO BE- SW'!$D153-1))*((N$4+'TCO TO BE - HW'!N$4)/($E$4+'TCO TO BE - HW'!$E$4)*SUM(EXTERNE_POZICIE!$M$41:$M$52)*1.23)/EXTERNE_POZICIE!$B$41)),0)+IFERROR(SUM(#REF!)*'TCO TO BE- SW'!N$4/'TCO TO BE- SW'!$E$4,0)</f>
        <v>2137.1823123373229</v>
      </c>
      <c r="O153" s="576">
        <f>IFERROR(IF((POZICIE_INTERNE!$B$40-12*('TCO TO BE- SW'!$D153-1))&gt;12,((O$4+'TCO TO BE - HW'!O$4)/($E$4+'TCO TO BE - HW'!$E$4)*SUM(POZICIE_INTERNE!$I$40:$I$51))/POZICIE_INTERNE!$B$40*12,IF((POZICIE_INTERNE!$B$40-12*('TCO TO BE- SW'!$D153-1))&lt;0,0,(POZICIE_INTERNE!$B$40-12*('TCO TO BE- SW'!$D153-1))*((O$4+'TCO TO BE - HW'!O$4)/($E$4+'TCO TO BE - HW'!$E$4)*SUM(POZICIE_INTERNE!$I$40:$I$51))/POZICIE_INTERNE!$B$40)),0)+IFERROR(IF((EXTERNE_POZICIE!$B$41-12*('TCO TO BE- SW'!$D153-1))&gt;12,((O$4+'TCO TO BE - HW'!O$4)/($E$4+'TCO TO BE - HW'!$E$4)*SUM(EXTERNE_POZICIE!$M$41:$M$52)*1.23)/EXTERNE_POZICIE!$B$41*12,IF((EXTERNE_POZICIE!$B$41-12*('TCO TO BE- SW'!$D153-1))&lt;0,0,(EXTERNE_POZICIE!$B$41-12*('TCO TO BE- SW'!$D153-1))*((O$4+'TCO TO BE - HW'!O$4)/($E$4+'TCO TO BE - HW'!$E$4)*SUM(EXTERNE_POZICIE!$M$41:$M$52)*1.23)/EXTERNE_POZICIE!$B$41)),0)+IFERROR(SUM(#REF!)*'TCO TO BE- SW'!O$4/'TCO TO BE- SW'!$E$4,0)</f>
        <v>10302.018085307125</v>
      </c>
      <c r="P153" s="576">
        <f>IFERROR(IF((POZICIE_INTERNE!$B$40-12*('TCO TO BE- SW'!$D153-1))&gt;12,((P$4+'TCO TO BE - HW'!P$4)/($E$4+'TCO TO BE - HW'!$E$4)*SUM(POZICIE_INTERNE!$I$40:$I$51))/POZICIE_INTERNE!$B$40*12,IF((POZICIE_INTERNE!$B$40-12*('TCO TO BE- SW'!$D153-1))&lt;0,0,(POZICIE_INTERNE!$B$40-12*('TCO TO BE- SW'!$D153-1))*((P$4+'TCO TO BE - HW'!P$4)/($E$4+'TCO TO BE - HW'!$E$4)*SUM(POZICIE_INTERNE!$I$40:$I$51))/POZICIE_INTERNE!$B$40)),0)+IFERROR(IF((EXTERNE_POZICIE!$B$41-12*('TCO TO BE- SW'!$D153-1))&gt;12,((P$4+'TCO TO BE - HW'!P$4)/($E$4+'TCO TO BE - HW'!$E$4)*SUM(EXTERNE_POZICIE!$M$41:$M$52)*1.23)/EXTERNE_POZICIE!$B$41*12,IF((EXTERNE_POZICIE!$B$41-12*('TCO TO BE- SW'!$D153-1))&lt;0,0,(EXTERNE_POZICIE!$B$41-12*('TCO TO BE- SW'!$D153-1))*((P$4+'TCO TO BE - HW'!P$4)/($E$4+'TCO TO BE - HW'!$E$4)*SUM(EXTERNE_POZICIE!$M$41:$M$52)*1.23)/EXTERNE_POZICIE!$B$41)),0)+IFERROR(SUM(#REF!)*'TCO TO BE- SW'!P$4/'TCO TO BE- SW'!$E$4,0)</f>
        <v>1323.117789823008</v>
      </c>
      <c r="Q153" s="576">
        <f>IFERROR(IF((POZICIE_INTERNE!$B$40-12*('TCO TO BE- SW'!$D153-1))&gt;12,((Q$4+'TCO TO BE - HW'!Q$4)/($E$4+'TCO TO BE - HW'!$E$4)*SUM(POZICIE_INTERNE!$I$40:$I$51))/POZICIE_INTERNE!$B$40*12,IF((POZICIE_INTERNE!$B$40-12*('TCO TO BE- SW'!$D153-1))&lt;0,0,(POZICIE_INTERNE!$B$40-12*('TCO TO BE- SW'!$D153-1))*((Q$4+'TCO TO BE - HW'!Q$4)/($E$4+'TCO TO BE - HW'!$E$4)*SUM(POZICIE_INTERNE!$I$40:$I$51))/POZICIE_INTERNE!$B$40)),0)+IFERROR(IF((EXTERNE_POZICIE!$B$41-12*('TCO TO BE- SW'!$D153-1))&gt;12,((Q$4+'TCO TO BE - HW'!Q$4)/($E$4+'TCO TO BE - HW'!$E$4)*SUM(EXTERNE_POZICIE!$M$41:$M$52)*1.23)/EXTERNE_POZICIE!$B$41*12,IF((EXTERNE_POZICIE!$B$41-12*('TCO TO BE- SW'!$D153-1))&lt;0,0,(EXTERNE_POZICIE!$B$41-12*('TCO TO BE- SW'!$D153-1))*((Q$4+'TCO TO BE - HW'!Q$4)/($E$4+'TCO TO BE - HW'!$E$4)*SUM(EXTERNE_POZICIE!$M$41:$M$52)*1.23)/EXTERNE_POZICIE!$B$41)),0)+IFERROR(SUM(#REF!)*'TCO TO BE- SW'!Q$4/'TCO TO BE- SW'!$E$4,0)</f>
        <v>7426.4981827824004</v>
      </c>
      <c r="R153" s="576">
        <f>IFERROR(IF((POZICIE_INTERNE!$B$40-12*('TCO TO BE- SW'!$D153-1))&gt;12,((R$4+'TCO TO BE - HW'!R$4)/($E$4+'TCO TO BE - HW'!$E$4)*SUM(POZICIE_INTERNE!$I$40:$I$51))/POZICIE_INTERNE!$B$40*12,IF((POZICIE_INTERNE!$B$40-12*('TCO TO BE- SW'!$D153-1))&lt;0,0,(POZICIE_INTERNE!$B$40-12*('TCO TO BE- SW'!$D153-1))*((R$4+'TCO TO BE - HW'!R$4)/($E$4+'TCO TO BE - HW'!$E$4)*SUM(POZICIE_INTERNE!$I$40:$I$51))/POZICIE_INTERNE!$B$40)),0)+IFERROR(IF((EXTERNE_POZICIE!$B$41-12*('TCO TO BE- SW'!$D153-1))&gt;12,((R$4+'TCO TO BE - HW'!R$4)/($E$4+'TCO TO BE - HW'!$E$4)*SUM(EXTERNE_POZICIE!$M$41:$M$52)*1.23)/EXTERNE_POZICIE!$B$41*12,IF((EXTERNE_POZICIE!$B$41-12*('TCO TO BE- SW'!$D153-1))&lt;0,0,(EXTERNE_POZICIE!$B$41-12*('TCO TO BE- SW'!$D153-1))*((R$4+'TCO TO BE - HW'!R$4)/($E$4+'TCO TO BE - HW'!$E$4)*SUM(EXTERNE_POZICIE!$M$41:$M$52)*1.23)/EXTERNE_POZICIE!$B$41)),0)+IFERROR(SUM(#REF!)*'TCO TO BE- SW'!R$4/'TCO TO BE- SW'!$E$4,0)</f>
        <v>2605.2168246356046</v>
      </c>
      <c r="S153" s="576">
        <f>IFERROR(IF((POZICIE_INTERNE!$B$40-12*('TCO TO BE- SW'!$D153-1))&gt;12,((S$4+'TCO TO BE - HW'!S$4)/($E$4+'TCO TO BE - HW'!$E$4)*SUM(POZICIE_INTERNE!$I$40:$I$51))/POZICIE_INTERNE!$B$40*12,IF((POZICIE_INTERNE!$B$40-12*('TCO TO BE- SW'!$D153-1))&lt;0,0,(POZICIE_INTERNE!$B$40-12*('TCO TO BE- SW'!$D153-1))*((S$4+'TCO TO BE - HW'!S$4)/($E$4+'TCO TO BE - HW'!$E$4)*SUM(POZICIE_INTERNE!$I$40:$I$51))/POZICIE_INTERNE!$B$40)),0)+IFERROR(IF((EXTERNE_POZICIE!$B$41-12*('TCO TO BE- SW'!$D153-1))&gt;12,((S$4+'TCO TO BE - HW'!S$4)/($E$4+'TCO TO BE - HW'!$E$4)*SUM(EXTERNE_POZICIE!$M$41:$M$52)*1.23)/EXTERNE_POZICIE!$B$41*12,IF((EXTERNE_POZICIE!$B$41-12*('TCO TO BE- SW'!$D153-1))&lt;0,0,(EXTERNE_POZICIE!$B$41-12*('TCO TO BE- SW'!$D153-1))*((S$4+'TCO TO BE - HW'!S$4)/($E$4+'TCO TO BE - HW'!$E$4)*SUM(EXTERNE_POZICIE!$M$41:$M$52)*1.23)/EXTERNE_POZICIE!$B$41)),0)+IFERROR(SUM(#REF!)*'TCO TO BE- SW'!S$4/'TCO TO BE- SW'!$E$4,0)</f>
        <v>29696.685890356621</v>
      </c>
      <c r="T153" s="576">
        <f>IFERROR(IF((POZICIE_INTERNE!$B$40-12*('TCO TO BE- SW'!$D153-1))&gt;12,((T$4+'TCO TO BE - HW'!T$4)/($E$4+'TCO TO BE - HW'!$E$4)*SUM(POZICIE_INTERNE!$I$40:$I$51))/POZICIE_INTERNE!$B$40*12,IF((POZICIE_INTERNE!$B$40-12*('TCO TO BE- SW'!$D153-1))&lt;0,0,(POZICIE_INTERNE!$B$40-12*('TCO TO BE- SW'!$D153-1))*((T$4+'TCO TO BE - HW'!T$4)/($E$4+'TCO TO BE - HW'!$E$4)*SUM(POZICIE_INTERNE!$I$40:$I$51))/POZICIE_INTERNE!$B$40)),0)+IFERROR(IF((EXTERNE_POZICIE!$B$41-12*('TCO TO BE- SW'!$D153-1))&gt;12,((T$4+'TCO TO BE - HW'!T$4)/($E$4+'TCO TO BE - HW'!$E$4)*SUM(EXTERNE_POZICIE!$M$41:$M$52)*1.23)/EXTERNE_POZICIE!$B$41*12,IF((EXTERNE_POZICIE!$B$41-12*('TCO TO BE- SW'!$D153-1))&lt;0,0,(EXTERNE_POZICIE!$B$41-12*('TCO TO BE- SW'!$D153-1))*((T$4+'TCO TO BE - HW'!T$4)/($E$4+'TCO TO BE - HW'!$E$4)*SUM(EXTERNE_POZICIE!$M$41:$M$52)*1.23)/EXTERNE_POZICIE!$B$41)),0)+IFERROR(SUM(#REF!)*'TCO TO BE- SW'!T$4/'TCO TO BE- SW'!$E$4,0)</f>
        <v>0</v>
      </c>
      <c r="U153" s="576">
        <f>IFERROR(IF((POZICIE_INTERNE!$B$40-12*('TCO TO BE- SW'!$D153-1))&gt;12,((U$4+'TCO TO BE - HW'!U$4)/($E$4+'TCO TO BE - HW'!$E$4)*SUM(POZICIE_INTERNE!$I$40:$I$51))/POZICIE_INTERNE!$B$40*12,IF((POZICIE_INTERNE!$B$40-12*('TCO TO BE- SW'!$D153-1))&lt;0,0,(POZICIE_INTERNE!$B$40-12*('TCO TO BE- SW'!$D153-1))*((U$4+'TCO TO BE - HW'!U$4)/($E$4+'TCO TO BE - HW'!$E$4)*SUM(POZICIE_INTERNE!$I$40:$I$51))/POZICIE_INTERNE!$B$40)),0)+IFERROR(IF((EXTERNE_POZICIE!$B$41-12*('TCO TO BE- SW'!$D153-1))&gt;12,((U$4+'TCO TO BE - HW'!U$4)/($E$4+'TCO TO BE - HW'!$E$4)*SUM(EXTERNE_POZICIE!$M$41:$M$52)*1.23)/EXTERNE_POZICIE!$B$41*12,IF((EXTERNE_POZICIE!$B$41-12*('TCO TO BE- SW'!$D153-1))&lt;0,0,(EXTERNE_POZICIE!$B$41-12*('TCO TO BE- SW'!$D153-1))*((U$4+'TCO TO BE - HW'!U$4)/($E$4+'TCO TO BE - HW'!$E$4)*SUM(EXTERNE_POZICIE!$M$41:$M$52)*1.23)/EXTERNE_POZICIE!$B$41)),0)+IFERROR(SUM(#REF!)*'TCO TO BE- SW'!U$4/'TCO TO BE- SW'!$E$4,0)</f>
        <v>0</v>
      </c>
      <c r="V153" s="576">
        <f>IFERROR(IF((POZICIE_INTERNE!$B$40-12*('TCO TO BE- SW'!$D153-1))&gt;12,((V$4+'TCO TO BE - HW'!V$4)/($E$4+'TCO TO BE - HW'!$E$4)*SUM(POZICIE_INTERNE!$I$40:$I$51))/POZICIE_INTERNE!$B$40*12,IF((POZICIE_INTERNE!$B$40-12*('TCO TO BE- SW'!$D153-1))&lt;0,0,(POZICIE_INTERNE!$B$40-12*('TCO TO BE- SW'!$D153-1))*((V$4+'TCO TO BE - HW'!V$4)/($E$4+'TCO TO BE - HW'!$E$4)*SUM(POZICIE_INTERNE!$I$40:$I$51))/POZICIE_INTERNE!$B$40)),0)+IFERROR(IF((EXTERNE_POZICIE!$B$41-12*('TCO TO BE- SW'!$D153-1))&gt;12,((V$4+'TCO TO BE - HW'!V$4)/($E$4+'TCO TO BE - HW'!$E$4)*SUM(EXTERNE_POZICIE!$M$41:$M$52)*1.23)/EXTERNE_POZICIE!$B$41*12,IF((EXTERNE_POZICIE!$B$41-12*('TCO TO BE- SW'!$D153-1))&lt;0,0,(EXTERNE_POZICIE!$B$41-12*('TCO TO BE- SW'!$D153-1))*((V$4+'TCO TO BE - HW'!V$4)/($E$4+'TCO TO BE - HW'!$E$4)*SUM(EXTERNE_POZICIE!$M$41:$M$52)*1.23)/EXTERNE_POZICIE!$B$41)),0)+IFERROR(SUM(#REF!)*'TCO TO BE- SW'!V$4/'TCO TO BE- SW'!$E$4,0)</f>
        <v>0</v>
      </c>
      <c r="W153" s="576">
        <f>IFERROR(IF((POZICIE_INTERNE!$B$40-12*('TCO TO BE- SW'!$D153-1))&gt;12,((W$4+'TCO TO BE - HW'!W$4)/($E$4+'TCO TO BE - HW'!$E$4)*SUM(POZICIE_INTERNE!$I$40:$I$51))/POZICIE_INTERNE!$B$40*12,IF((POZICIE_INTERNE!$B$40-12*('TCO TO BE- SW'!$D153-1))&lt;0,0,(POZICIE_INTERNE!$B$40-12*('TCO TO BE- SW'!$D153-1))*((W$4+'TCO TO BE - HW'!W$4)/($E$4+'TCO TO BE - HW'!$E$4)*SUM(POZICIE_INTERNE!$I$40:$I$51))/POZICIE_INTERNE!$B$40)),0)+IFERROR(IF((EXTERNE_POZICIE!$B$41-12*('TCO TO BE- SW'!$D153-1))&gt;12,((W$4+'TCO TO BE - HW'!W$4)/($E$4+'TCO TO BE - HW'!$E$4)*SUM(EXTERNE_POZICIE!$M$41:$M$52)*1.23)/EXTERNE_POZICIE!$B$41*12,IF((EXTERNE_POZICIE!$B$41-12*('TCO TO BE- SW'!$D153-1))&lt;0,0,(EXTERNE_POZICIE!$B$41-12*('TCO TO BE- SW'!$D153-1))*((W$4+'TCO TO BE - HW'!W$4)/($E$4+'TCO TO BE - HW'!$E$4)*SUM(EXTERNE_POZICIE!$M$41:$M$52)*1.23)/EXTERNE_POZICIE!$B$41)),0)+IFERROR(SUM(#REF!)*'TCO TO BE- SW'!W$4/'TCO TO BE- SW'!$E$4,0)</f>
        <v>0</v>
      </c>
      <c r="X153" s="576">
        <f>IFERROR(IF((POZICIE_INTERNE!$B$40-12*('TCO TO BE- SW'!$D153-1))&gt;12,((X$4+'TCO TO BE - HW'!X$4)/($E$4+'TCO TO BE - HW'!$E$4)*SUM(POZICIE_INTERNE!$I$40:$I$51))/POZICIE_INTERNE!$B$40*12,IF((POZICIE_INTERNE!$B$40-12*('TCO TO BE- SW'!$D153-1))&lt;0,0,(POZICIE_INTERNE!$B$40-12*('TCO TO BE- SW'!$D153-1))*((X$4+'TCO TO BE - HW'!X$4)/($E$4+'TCO TO BE - HW'!$E$4)*SUM(POZICIE_INTERNE!$I$40:$I$51))/POZICIE_INTERNE!$B$40)),0)+IFERROR(IF((EXTERNE_POZICIE!$B$41-12*('TCO TO BE- SW'!$D153-1))&gt;12,((X$4+'TCO TO BE - HW'!X$4)/($E$4+'TCO TO BE - HW'!$E$4)*SUM(EXTERNE_POZICIE!$M$41:$M$52)*1.23)/EXTERNE_POZICIE!$B$41*12,IF((EXTERNE_POZICIE!$B$41-12*('TCO TO BE- SW'!$D153-1))&lt;0,0,(EXTERNE_POZICIE!$B$41-12*('TCO TO BE- SW'!$D153-1))*((X$4+'TCO TO BE - HW'!X$4)/($E$4+'TCO TO BE - HW'!$E$4)*SUM(EXTERNE_POZICIE!$M$41:$M$52)*1.23)/EXTERNE_POZICIE!$B$41)),0)+IFERROR(SUM(#REF!)*'TCO TO BE- SW'!X$4/'TCO TO BE- SW'!$E$4,0)</f>
        <v>0</v>
      </c>
      <c r="Y153" s="576">
        <f>IFERROR(IF((POZICIE_INTERNE!$B$40-12*('TCO TO BE- SW'!$D153-1))&gt;12,((Y$4+'TCO TO BE - HW'!Y$4)/($E$4+'TCO TO BE - HW'!$E$4)*SUM(POZICIE_INTERNE!$I$40:$I$51))/POZICIE_INTERNE!$B$40*12,IF((POZICIE_INTERNE!$B$40-12*('TCO TO BE- SW'!$D153-1))&lt;0,0,(POZICIE_INTERNE!$B$40-12*('TCO TO BE- SW'!$D153-1))*((Y$4+'TCO TO BE - HW'!Y$4)/($E$4+'TCO TO BE - HW'!$E$4)*SUM(POZICIE_INTERNE!$I$40:$I$51))/POZICIE_INTERNE!$B$40)),0)+IFERROR(IF((EXTERNE_POZICIE!$B$41-12*('TCO TO BE- SW'!$D153-1))&gt;12,((Y$4+'TCO TO BE - HW'!Y$4)/($E$4+'TCO TO BE - HW'!$E$4)*SUM(EXTERNE_POZICIE!$M$41:$M$52)*1.23)/EXTERNE_POZICIE!$B$41*12,IF((EXTERNE_POZICIE!$B$41-12*('TCO TO BE- SW'!$D153-1))&lt;0,0,(EXTERNE_POZICIE!$B$41-12*('TCO TO BE- SW'!$D153-1))*((Y$4+'TCO TO BE - HW'!Y$4)/($E$4+'TCO TO BE - HW'!$E$4)*SUM(EXTERNE_POZICIE!$M$41:$M$52)*1.23)/EXTERNE_POZICIE!$B$41)),0)+IFERROR(SUM(#REF!)*'TCO TO BE- SW'!Y$4/'TCO TO BE- SW'!$E$4,0)</f>
        <v>0</v>
      </c>
      <c r="Z153" s="576">
        <f>IFERROR(IF((POZICIE_INTERNE!$B$40-12*('TCO TO BE- SW'!$D153-1))&gt;12,((Z$4+'TCO TO BE - HW'!Z$4)/($E$4+'TCO TO BE - HW'!$E$4)*SUM(POZICIE_INTERNE!$I$40:$I$51))/POZICIE_INTERNE!$B$40*12,IF((POZICIE_INTERNE!$B$40-12*('TCO TO BE- SW'!$D153-1))&lt;0,0,(POZICIE_INTERNE!$B$40-12*('TCO TO BE- SW'!$D153-1))*((Z$4+'TCO TO BE - HW'!Z$4)/($E$4+'TCO TO BE - HW'!$E$4)*SUM(POZICIE_INTERNE!$I$40:$I$51))/POZICIE_INTERNE!$B$40)),0)+IFERROR(IF((EXTERNE_POZICIE!$B$41-12*('TCO TO BE- SW'!$D153-1))&gt;12,((Z$4+'TCO TO BE - HW'!Z$4)/($E$4+'TCO TO BE - HW'!$E$4)*SUM(EXTERNE_POZICIE!$M$41:$M$52)*1.23)/EXTERNE_POZICIE!$B$41*12,IF((EXTERNE_POZICIE!$B$41-12*('TCO TO BE- SW'!$D153-1))&lt;0,0,(EXTERNE_POZICIE!$B$41-12*('TCO TO BE- SW'!$D153-1))*((Z$4+'TCO TO BE - HW'!Z$4)/($E$4+'TCO TO BE - HW'!$E$4)*SUM(EXTERNE_POZICIE!$M$41:$M$52)*1.23)/EXTERNE_POZICIE!$B$41)),0)+IFERROR(SUM(#REF!)*'TCO TO BE- SW'!Z$4/'TCO TO BE- SW'!$E$4,0)</f>
        <v>0</v>
      </c>
    </row>
    <row r="154" spans="1:26">
      <c r="A154" s="841"/>
      <c r="B154" s="842"/>
      <c r="C154" s="842"/>
      <c r="D154" s="64">
        <v>4</v>
      </c>
      <c r="E154" s="68">
        <f t="shared" si="16"/>
        <v>0</v>
      </c>
      <c r="F154" s="576">
        <f>IFERROR(IF((POZICIE_INTERNE!$B$40-12*('TCO TO BE- SW'!$D154-1))&gt;12,((F$4+'TCO TO BE - HW'!F$4)/($E$4+'TCO TO BE - HW'!$E$4)*SUM(POZICIE_INTERNE!$I$40:$I$51))/POZICIE_INTERNE!$B$40*12,IF((POZICIE_INTERNE!$B$40-12*('TCO TO BE- SW'!$D154-1))&lt;0,0,(POZICIE_INTERNE!$B$40-12*('TCO TO BE- SW'!$D154-1))*((F$4+'TCO TO BE - HW'!F$4)/($E$4+'TCO TO BE - HW'!$E$4)*SUM(POZICIE_INTERNE!$I$40:$I$51))/POZICIE_INTERNE!$B$40)),0)+IFERROR(IF((EXTERNE_POZICIE!$B$41-12*('TCO TO BE- SW'!$D154-1))&gt;12,((F$4+'TCO TO BE - HW'!F$4)/($E$4+'TCO TO BE - HW'!$E$4)*SUM(EXTERNE_POZICIE!$M$41:$M$52)*1.23)/EXTERNE_POZICIE!$B$41*12,IF((EXTERNE_POZICIE!$B$41-12*('TCO TO BE- SW'!$D154-1))&lt;0,0,(EXTERNE_POZICIE!$B$41-12*('TCO TO BE- SW'!$D154-1))*((F$4+'TCO TO BE - HW'!F$4)/($E$4+'TCO TO BE - HW'!$E$4)*SUM(EXTERNE_POZICIE!$M$41:$M$52)*1.23)/EXTERNE_POZICIE!$B$41)),0)+IFERROR(SUM(#REF!)*'TCO TO BE- SW'!F$4/'TCO TO BE- SW'!$E$4,0)</f>
        <v>0</v>
      </c>
      <c r="G154" s="576">
        <f>IFERROR(IF((POZICIE_INTERNE!$B$40-12*('TCO TO BE- SW'!$D154-1))&gt;12,((G$4+'TCO TO BE - HW'!G$4)/($E$4+'TCO TO BE - HW'!$E$4)*SUM(POZICIE_INTERNE!$I$40:$I$51))/POZICIE_INTERNE!$B$40*12,IF((POZICIE_INTERNE!$B$40-12*('TCO TO BE- SW'!$D154-1))&lt;0,0,(POZICIE_INTERNE!$B$40-12*('TCO TO BE- SW'!$D154-1))*((G$4+'TCO TO BE - HW'!G$4)/($E$4+'TCO TO BE - HW'!$E$4)*SUM(POZICIE_INTERNE!$I$40:$I$51))/POZICIE_INTERNE!$B$40)),0)+IFERROR(IF((EXTERNE_POZICIE!$B$41-12*('TCO TO BE- SW'!$D154-1))&gt;12,((G$4+'TCO TO BE - HW'!G$4)/($E$4+'TCO TO BE - HW'!$E$4)*SUM(EXTERNE_POZICIE!$M$41:$M$52)*1.23)/EXTERNE_POZICIE!$B$41*12,IF((EXTERNE_POZICIE!$B$41-12*('TCO TO BE- SW'!$D154-1))&lt;0,0,(EXTERNE_POZICIE!$B$41-12*('TCO TO BE- SW'!$D154-1))*((G$4+'TCO TO BE - HW'!G$4)/($E$4+'TCO TO BE - HW'!$E$4)*SUM(EXTERNE_POZICIE!$M$41:$M$52)*1.23)/EXTERNE_POZICIE!$B$41)),0)+IFERROR(SUM(#REF!)*'TCO TO BE- SW'!G$4/'TCO TO BE- SW'!$E$4,0)</f>
        <v>0</v>
      </c>
      <c r="H154" s="576">
        <f>IFERROR(IF((POZICIE_INTERNE!$B$40-12*('TCO TO BE- SW'!$D154-1))&gt;12,((H$4+'TCO TO BE - HW'!H$4)/($E$4+'TCO TO BE - HW'!$E$4)*SUM(POZICIE_INTERNE!$I$40:$I$51))/POZICIE_INTERNE!$B$40*12,IF((POZICIE_INTERNE!$B$40-12*('TCO TO BE- SW'!$D154-1))&lt;0,0,(POZICIE_INTERNE!$B$40-12*('TCO TO BE- SW'!$D154-1))*((H$4+'TCO TO BE - HW'!H$4)/($E$4+'TCO TO BE - HW'!$E$4)*SUM(POZICIE_INTERNE!$I$40:$I$51))/POZICIE_INTERNE!$B$40)),0)+IFERROR(IF((EXTERNE_POZICIE!$B$41-12*('TCO TO BE- SW'!$D154-1))&gt;12,((H$4+'TCO TO BE - HW'!H$4)/($E$4+'TCO TO BE - HW'!$E$4)*SUM(EXTERNE_POZICIE!$M$41:$M$52)*1.23)/EXTERNE_POZICIE!$B$41*12,IF((EXTERNE_POZICIE!$B$41-12*('TCO TO BE- SW'!$D154-1))&lt;0,0,(EXTERNE_POZICIE!$B$41-12*('TCO TO BE- SW'!$D154-1))*((H$4+'TCO TO BE - HW'!H$4)/($E$4+'TCO TO BE - HW'!$E$4)*SUM(EXTERNE_POZICIE!$M$41:$M$52)*1.23)/EXTERNE_POZICIE!$B$41)),0)+IFERROR(SUM(#REF!)*'TCO TO BE- SW'!H$4/'TCO TO BE- SW'!$E$4,0)</f>
        <v>0</v>
      </c>
      <c r="I154" s="576">
        <f>IFERROR(IF((POZICIE_INTERNE!$B$40-12*('TCO TO BE- SW'!$D154-1))&gt;12,((I$4+'TCO TO BE - HW'!I$4)/($E$4+'TCO TO BE - HW'!$E$4)*SUM(POZICIE_INTERNE!$I$40:$I$51))/POZICIE_INTERNE!$B$40*12,IF((POZICIE_INTERNE!$B$40-12*('TCO TO BE- SW'!$D154-1))&lt;0,0,(POZICIE_INTERNE!$B$40-12*('TCO TO BE- SW'!$D154-1))*((I$4+'TCO TO BE - HW'!I$4)/($E$4+'TCO TO BE - HW'!$E$4)*SUM(POZICIE_INTERNE!$I$40:$I$51))/POZICIE_INTERNE!$B$40)),0)+IFERROR(IF((EXTERNE_POZICIE!$B$41-12*('TCO TO BE- SW'!$D154-1))&gt;12,((I$4+'TCO TO BE - HW'!I$4)/($E$4+'TCO TO BE - HW'!$E$4)*SUM(EXTERNE_POZICIE!$M$41:$M$52)*1.23)/EXTERNE_POZICIE!$B$41*12,IF((EXTERNE_POZICIE!$B$41-12*('TCO TO BE- SW'!$D154-1))&lt;0,0,(EXTERNE_POZICIE!$B$41-12*('TCO TO BE- SW'!$D154-1))*((I$4+'TCO TO BE - HW'!I$4)/($E$4+'TCO TO BE - HW'!$E$4)*SUM(EXTERNE_POZICIE!$M$41:$M$52)*1.23)/EXTERNE_POZICIE!$B$41)),0)+IFERROR(SUM(#REF!)*'TCO TO BE- SW'!I$4/'TCO TO BE- SW'!$E$4,0)</f>
        <v>0</v>
      </c>
      <c r="J154" s="576">
        <f>IFERROR(IF((POZICIE_INTERNE!$B$40-12*('TCO TO BE- SW'!$D154-1))&gt;12,((J$4+'TCO TO BE - HW'!J$4)/($E$4+'TCO TO BE - HW'!$E$4)*SUM(POZICIE_INTERNE!$I$40:$I$51))/POZICIE_INTERNE!$B$40*12,IF((POZICIE_INTERNE!$B$40-12*('TCO TO BE- SW'!$D154-1))&lt;0,0,(POZICIE_INTERNE!$B$40-12*('TCO TO BE- SW'!$D154-1))*((J$4+'TCO TO BE - HW'!J$4)/($E$4+'TCO TO BE - HW'!$E$4)*SUM(POZICIE_INTERNE!$I$40:$I$51))/POZICIE_INTERNE!$B$40)),0)+IFERROR(IF((EXTERNE_POZICIE!$B$41-12*('TCO TO BE- SW'!$D154-1))&gt;12,((J$4+'TCO TO BE - HW'!J$4)/($E$4+'TCO TO BE - HW'!$E$4)*SUM(EXTERNE_POZICIE!$M$41:$M$52)*1.23)/EXTERNE_POZICIE!$B$41*12,IF((EXTERNE_POZICIE!$B$41-12*('TCO TO BE- SW'!$D154-1))&lt;0,0,(EXTERNE_POZICIE!$B$41-12*('TCO TO BE- SW'!$D154-1))*((J$4+'TCO TO BE - HW'!J$4)/($E$4+'TCO TO BE - HW'!$E$4)*SUM(EXTERNE_POZICIE!$M$41:$M$52)*1.23)/EXTERNE_POZICIE!$B$41)),0)+IFERROR(SUM(#REF!)*'TCO TO BE- SW'!J$4/'TCO TO BE- SW'!$E$4,0)</f>
        <v>0</v>
      </c>
      <c r="K154" s="576">
        <f>IFERROR(IF((POZICIE_INTERNE!$B$40-12*('TCO TO BE- SW'!$D154-1))&gt;12,((K$4+'TCO TO BE - HW'!K$4)/($E$4+'TCO TO BE - HW'!$E$4)*SUM(POZICIE_INTERNE!$I$40:$I$51))/POZICIE_INTERNE!$B$40*12,IF((POZICIE_INTERNE!$B$40-12*('TCO TO BE- SW'!$D154-1))&lt;0,0,(POZICIE_INTERNE!$B$40-12*('TCO TO BE- SW'!$D154-1))*((K$4+'TCO TO BE - HW'!K$4)/($E$4+'TCO TO BE - HW'!$E$4)*SUM(POZICIE_INTERNE!$I$40:$I$51))/POZICIE_INTERNE!$B$40)),0)+IFERROR(IF((EXTERNE_POZICIE!$B$41-12*('TCO TO BE- SW'!$D154-1))&gt;12,((K$4+'TCO TO BE - HW'!K$4)/($E$4+'TCO TO BE - HW'!$E$4)*SUM(EXTERNE_POZICIE!$M$41:$M$52)*1.23)/EXTERNE_POZICIE!$B$41*12,IF((EXTERNE_POZICIE!$B$41-12*('TCO TO BE- SW'!$D154-1))&lt;0,0,(EXTERNE_POZICIE!$B$41-12*('TCO TO BE- SW'!$D154-1))*((K$4+'TCO TO BE - HW'!K$4)/($E$4+'TCO TO BE - HW'!$E$4)*SUM(EXTERNE_POZICIE!$M$41:$M$52)*1.23)/EXTERNE_POZICIE!$B$41)),0)+IFERROR(SUM(#REF!)*'TCO TO BE- SW'!K$4/'TCO TO BE- SW'!$E$4,0)</f>
        <v>0</v>
      </c>
      <c r="L154" s="576">
        <f>IFERROR(IF((POZICIE_INTERNE!$B$40-12*('TCO TO BE- SW'!$D154-1))&gt;12,((L$4+'TCO TO BE - HW'!L$4)/($E$4+'TCO TO BE - HW'!$E$4)*SUM(POZICIE_INTERNE!$I$40:$I$51))/POZICIE_INTERNE!$B$40*12,IF((POZICIE_INTERNE!$B$40-12*('TCO TO BE- SW'!$D154-1))&lt;0,0,(POZICIE_INTERNE!$B$40-12*('TCO TO BE- SW'!$D154-1))*((L$4+'TCO TO BE - HW'!L$4)/($E$4+'TCO TO BE - HW'!$E$4)*SUM(POZICIE_INTERNE!$I$40:$I$51))/POZICIE_INTERNE!$B$40)),0)+IFERROR(IF((EXTERNE_POZICIE!$B$41-12*('TCO TO BE- SW'!$D154-1))&gt;12,((L$4+'TCO TO BE - HW'!L$4)/($E$4+'TCO TO BE - HW'!$E$4)*SUM(EXTERNE_POZICIE!$M$41:$M$52)*1.23)/EXTERNE_POZICIE!$B$41*12,IF((EXTERNE_POZICIE!$B$41-12*('TCO TO BE- SW'!$D154-1))&lt;0,0,(EXTERNE_POZICIE!$B$41-12*('TCO TO BE- SW'!$D154-1))*((L$4+'TCO TO BE - HW'!L$4)/($E$4+'TCO TO BE - HW'!$E$4)*SUM(EXTERNE_POZICIE!$M$41:$M$52)*1.23)/EXTERNE_POZICIE!$B$41)),0)+IFERROR(SUM(#REF!)*'TCO TO BE- SW'!L$4/'TCO TO BE- SW'!$E$4,0)</f>
        <v>0</v>
      </c>
      <c r="M154" s="576">
        <f>IFERROR(IF((POZICIE_INTERNE!$B$40-12*('TCO TO BE- SW'!$D154-1))&gt;12,((M$4+'TCO TO BE - HW'!M$4)/($E$4+'TCO TO BE - HW'!$E$4)*SUM(POZICIE_INTERNE!$I$40:$I$51))/POZICIE_INTERNE!$B$40*12,IF((POZICIE_INTERNE!$B$40-12*('TCO TO BE- SW'!$D154-1))&lt;0,0,(POZICIE_INTERNE!$B$40-12*('TCO TO BE- SW'!$D154-1))*((M$4+'TCO TO BE - HW'!M$4)/($E$4+'TCO TO BE - HW'!$E$4)*SUM(POZICIE_INTERNE!$I$40:$I$51))/POZICIE_INTERNE!$B$40)),0)+IFERROR(IF((EXTERNE_POZICIE!$B$41-12*('TCO TO BE- SW'!$D154-1))&gt;12,((M$4+'TCO TO BE - HW'!M$4)/($E$4+'TCO TO BE - HW'!$E$4)*SUM(EXTERNE_POZICIE!$M$41:$M$52)*1.23)/EXTERNE_POZICIE!$B$41*12,IF((EXTERNE_POZICIE!$B$41-12*('TCO TO BE- SW'!$D154-1))&lt;0,0,(EXTERNE_POZICIE!$B$41-12*('TCO TO BE- SW'!$D154-1))*((M$4+'TCO TO BE - HW'!M$4)/($E$4+'TCO TO BE - HW'!$E$4)*SUM(EXTERNE_POZICIE!$M$41:$M$52)*1.23)/EXTERNE_POZICIE!$B$41)),0)+IFERROR(SUM(#REF!)*'TCO TO BE- SW'!M$4/'TCO TO BE- SW'!$E$4,0)</f>
        <v>0</v>
      </c>
      <c r="N154" s="576">
        <f>IFERROR(IF((POZICIE_INTERNE!$B$40-12*('TCO TO BE- SW'!$D154-1))&gt;12,((N$4+'TCO TO BE - HW'!N$4)/($E$4+'TCO TO BE - HW'!$E$4)*SUM(POZICIE_INTERNE!$I$40:$I$51))/POZICIE_INTERNE!$B$40*12,IF((POZICIE_INTERNE!$B$40-12*('TCO TO BE- SW'!$D154-1))&lt;0,0,(POZICIE_INTERNE!$B$40-12*('TCO TO BE- SW'!$D154-1))*((N$4+'TCO TO BE - HW'!N$4)/($E$4+'TCO TO BE - HW'!$E$4)*SUM(POZICIE_INTERNE!$I$40:$I$51))/POZICIE_INTERNE!$B$40)),0)+IFERROR(IF((EXTERNE_POZICIE!$B$41-12*('TCO TO BE- SW'!$D154-1))&gt;12,((N$4+'TCO TO BE - HW'!N$4)/($E$4+'TCO TO BE - HW'!$E$4)*SUM(EXTERNE_POZICIE!$M$41:$M$52)*1.23)/EXTERNE_POZICIE!$B$41*12,IF((EXTERNE_POZICIE!$B$41-12*('TCO TO BE- SW'!$D154-1))&lt;0,0,(EXTERNE_POZICIE!$B$41-12*('TCO TO BE- SW'!$D154-1))*((N$4+'TCO TO BE - HW'!N$4)/($E$4+'TCO TO BE - HW'!$E$4)*SUM(EXTERNE_POZICIE!$M$41:$M$52)*1.23)/EXTERNE_POZICIE!$B$41)),0)+IFERROR(SUM(#REF!)*'TCO TO BE- SW'!N$4/'TCO TO BE- SW'!$E$4,0)</f>
        <v>0</v>
      </c>
      <c r="O154" s="576">
        <f>IFERROR(IF((POZICIE_INTERNE!$B$40-12*('TCO TO BE- SW'!$D154-1))&gt;12,((O$4+'TCO TO BE - HW'!O$4)/($E$4+'TCO TO BE - HW'!$E$4)*SUM(POZICIE_INTERNE!$I$40:$I$51))/POZICIE_INTERNE!$B$40*12,IF((POZICIE_INTERNE!$B$40-12*('TCO TO BE- SW'!$D154-1))&lt;0,0,(POZICIE_INTERNE!$B$40-12*('TCO TO BE- SW'!$D154-1))*((O$4+'TCO TO BE - HW'!O$4)/($E$4+'TCO TO BE - HW'!$E$4)*SUM(POZICIE_INTERNE!$I$40:$I$51))/POZICIE_INTERNE!$B$40)),0)+IFERROR(IF((EXTERNE_POZICIE!$B$41-12*('TCO TO BE- SW'!$D154-1))&gt;12,((O$4+'TCO TO BE - HW'!O$4)/($E$4+'TCO TO BE - HW'!$E$4)*SUM(EXTERNE_POZICIE!$M$41:$M$52)*1.23)/EXTERNE_POZICIE!$B$41*12,IF((EXTERNE_POZICIE!$B$41-12*('TCO TO BE- SW'!$D154-1))&lt;0,0,(EXTERNE_POZICIE!$B$41-12*('TCO TO BE- SW'!$D154-1))*((O$4+'TCO TO BE - HW'!O$4)/($E$4+'TCO TO BE - HW'!$E$4)*SUM(EXTERNE_POZICIE!$M$41:$M$52)*1.23)/EXTERNE_POZICIE!$B$41)),0)+IFERROR(SUM(#REF!)*'TCO TO BE- SW'!O$4/'TCO TO BE- SW'!$E$4,0)</f>
        <v>0</v>
      </c>
      <c r="P154" s="576">
        <f>IFERROR(IF((POZICIE_INTERNE!$B$40-12*('TCO TO BE- SW'!$D154-1))&gt;12,((P$4+'TCO TO BE - HW'!P$4)/($E$4+'TCO TO BE - HW'!$E$4)*SUM(POZICIE_INTERNE!$I$40:$I$51))/POZICIE_INTERNE!$B$40*12,IF((POZICIE_INTERNE!$B$40-12*('TCO TO BE- SW'!$D154-1))&lt;0,0,(POZICIE_INTERNE!$B$40-12*('TCO TO BE- SW'!$D154-1))*((P$4+'TCO TO BE - HW'!P$4)/($E$4+'TCO TO BE - HW'!$E$4)*SUM(POZICIE_INTERNE!$I$40:$I$51))/POZICIE_INTERNE!$B$40)),0)+IFERROR(IF((EXTERNE_POZICIE!$B$41-12*('TCO TO BE- SW'!$D154-1))&gt;12,((P$4+'TCO TO BE - HW'!P$4)/($E$4+'TCO TO BE - HW'!$E$4)*SUM(EXTERNE_POZICIE!$M$41:$M$52)*1.23)/EXTERNE_POZICIE!$B$41*12,IF((EXTERNE_POZICIE!$B$41-12*('TCO TO BE- SW'!$D154-1))&lt;0,0,(EXTERNE_POZICIE!$B$41-12*('TCO TO BE- SW'!$D154-1))*((P$4+'TCO TO BE - HW'!P$4)/($E$4+'TCO TO BE - HW'!$E$4)*SUM(EXTERNE_POZICIE!$M$41:$M$52)*1.23)/EXTERNE_POZICIE!$B$41)),0)+IFERROR(SUM(#REF!)*'TCO TO BE- SW'!P$4/'TCO TO BE- SW'!$E$4,0)</f>
        <v>0</v>
      </c>
      <c r="Q154" s="576">
        <f>IFERROR(IF((POZICIE_INTERNE!$B$40-12*('TCO TO BE- SW'!$D154-1))&gt;12,((Q$4+'TCO TO BE - HW'!Q$4)/($E$4+'TCO TO BE - HW'!$E$4)*SUM(POZICIE_INTERNE!$I$40:$I$51))/POZICIE_INTERNE!$B$40*12,IF((POZICIE_INTERNE!$B$40-12*('TCO TO BE- SW'!$D154-1))&lt;0,0,(POZICIE_INTERNE!$B$40-12*('TCO TO BE- SW'!$D154-1))*((Q$4+'TCO TO BE - HW'!Q$4)/($E$4+'TCO TO BE - HW'!$E$4)*SUM(POZICIE_INTERNE!$I$40:$I$51))/POZICIE_INTERNE!$B$40)),0)+IFERROR(IF((EXTERNE_POZICIE!$B$41-12*('TCO TO BE- SW'!$D154-1))&gt;12,((Q$4+'TCO TO BE - HW'!Q$4)/($E$4+'TCO TO BE - HW'!$E$4)*SUM(EXTERNE_POZICIE!$M$41:$M$52)*1.23)/EXTERNE_POZICIE!$B$41*12,IF((EXTERNE_POZICIE!$B$41-12*('TCO TO BE- SW'!$D154-1))&lt;0,0,(EXTERNE_POZICIE!$B$41-12*('TCO TO BE- SW'!$D154-1))*((Q$4+'TCO TO BE - HW'!Q$4)/($E$4+'TCO TO BE - HW'!$E$4)*SUM(EXTERNE_POZICIE!$M$41:$M$52)*1.23)/EXTERNE_POZICIE!$B$41)),0)+IFERROR(SUM(#REF!)*'TCO TO BE- SW'!Q$4/'TCO TO BE- SW'!$E$4,0)</f>
        <v>0</v>
      </c>
      <c r="R154" s="576">
        <f>IFERROR(IF((POZICIE_INTERNE!$B$40-12*('TCO TO BE- SW'!$D154-1))&gt;12,((R$4+'TCO TO BE - HW'!R$4)/($E$4+'TCO TO BE - HW'!$E$4)*SUM(POZICIE_INTERNE!$I$40:$I$51))/POZICIE_INTERNE!$B$40*12,IF((POZICIE_INTERNE!$B$40-12*('TCO TO BE- SW'!$D154-1))&lt;0,0,(POZICIE_INTERNE!$B$40-12*('TCO TO BE- SW'!$D154-1))*((R$4+'TCO TO BE - HW'!R$4)/($E$4+'TCO TO BE - HW'!$E$4)*SUM(POZICIE_INTERNE!$I$40:$I$51))/POZICIE_INTERNE!$B$40)),0)+IFERROR(IF((EXTERNE_POZICIE!$B$41-12*('TCO TO BE- SW'!$D154-1))&gt;12,((R$4+'TCO TO BE - HW'!R$4)/($E$4+'TCO TO BE - HW'!$E$4)*SUM(EXTERNE_POZICIE!$M$41:$M$52)*1.23)/EXTERNE_POZICIE!$B$41*12,IF((EXTERNE_POZICIE!$B$41-12*('TCO TO BE- SW'!$D154-1))&lt;0,0,(EXTERNE_POZICIE!$B$41-12*('TCO TO BE- SW'!$D154-1))*((R$4+'TCO TO BE - HW'!R$4)/($E$4+'TCO TO BE - HW'!$E$4)*SUM(EXTERNE_POZICIE!$M$41:$M$52)*1.23)/EXTERNE_POZICIE!$B$41)),0)+IFERROR(SUM(#REF!)*'TCO TO BE- SW'!R$4/'TCO TO BE- SW'!$E$4,0)</f>
        <v>0</v>
      </c>
      <c r="S154" s="576">
        <f>IFERROR(IF((POZICIE_INTERNE!$B$40-12*('TCO TO BE- SW'!$D154-1))&gt;12,((S$4+'TCO TO BE - HW'!S$4)/($E$4+'TCO TO BE - HW'!$E$4)*SUM(POZICIE_INTERNE!$I$40:$I$51))/POZICIE_INTERNE!$B$40*12,IF((POZICIE_INTERNE!$B$40-12*('TCO TO BE- SW'!$D154-1))&lt;0,0,(POZICIE_INTERNE!$B$40-12*('TCO TO BE- SW'!$D154-1))*((S$4+'TCO TO BE - HW'!S$4)/($E$4+'TCO TO BE - HW'!$E$4)*SUM(POZICIE_INTERNE!$I$40:$I$51))/POZICIE_INTERNE!$B$40)),0)+IFERROR(IF((EXTERNE_POZICIE!$B$41-12*('TCO TO BE- SW'!$D154-1))&gt;12,((S$4+'TCO TO BE - HW'!S$4)/($E$4+'TCO TO BE - HW'!$E$4)*SUM(EXTERNE_POZICIE!$M$41:$M$52)*1.23)/EXTERNE_POZICIE!$B$41*12,IF((EXTERNE_POZICIE!$B$41-12*('TCO TO BE- SW'!$D154-1))&lt;0,0,(EXTERNE_POZICIE!$B$41-12*('TCO TO BE- SW'!$D154-1))*((S$4+'TCO TO BE - HW'!S$4)/($E$4+'TCO TO BE - HW'!$E$4)*SUM(EXTERNE_POZICIE!$M$41:$M$52)*1.23)/EXTERNE_POZICIE!$B$41)),0)+IFERROR(SUM(#REF!)*'TCO TO BE- SW'!S$4/'TCO TO BE- SW'!$E$4,0)</f>
        <v>0</v>
      </c>
      <c r="T154" s="576">
        <f>IFERROR(IF((POZICIE_INTERNE!$B$40-12*('TCO TO BE- SW'!$D154-1))&gt;12,((T$4+'TCO TO BE - HW'!T$4)/($E$4+'TCO TO BE - HW'!$E$4)*SUM(POZICIE_INTERNE!$I$40:$I$51))/POZICIE_INTERNE!$B$40*12,IF((POZICIE_INTERNE!$B$40-12*('TCO TO BE- SW'!$D154-1))&lt;0,0,(POZICIE_INTERNE!$B$40-12*('TCO TO BE- SW'!$D154-1))*((T$4+'TCO TO BE - HW'!T$4)/($E$4+'TCO TO BE - HW'!$E$4)*SUM(POZICIE_INTERNE!$I$40:$I$51))/POZICIE_INTERNE!$B$40)),0)+IFERROR(IF((EXTERNE_POZICIE!$B$41-12*('TCO TO BE- SW'!$D154-1))&gt;12,((T$4+'TCO TO BE - HW'!T$4)/($E$4+'TCO TO BE - HW'!$E$4)*SUM(EXTERNE_POZICIE!$M$41:$M$52)*1.23)/EXTERNE_POZICIE!$B$41*12,IF((EXTERNE_POZICIE!$B$41-12*('TCO TO BE- SW'!$D154-1))&lt;0,0,(EXTERNE_POZICIE!$B$41-12*('TCO TO BE- SW'!$D154-1))*((T$4+'TCO TO BE - HW'!T$4)/($E$4+'TCO TO BE - HW'!$E$4)*SUM(EXTERNE_POZICIE!$M$41:$M$52)*1.23)/EXTERNE_POZICIE!$B$41)),0)+IFERROR(SUM(#REF!)*'TCO TO BE- SW'!T$4/'TCO TO BE- SW'!$E$4,0)</f>
        <v>0</v>
      </c>
      <c r="U154" s="576">
        <f>IFERROR(IF((POZICIE_INTERNE!$B$40-12*('TCO TO BE- SW'!$D154-1))&gt;12,((U$4+'TCO TO BE - HW'!U$4)/($E$4+'TCO TO BE - HW'!$E$4)*SUM(POZICIE_INTERNE!$I$40:$I$51))/POZICIE_INTERNE!$B$40*12,IF((POZICIE_INTERNE!$B$40-12*('TCO TO BE- SW'!$D154-1))&lt;0,0,(POZICIE_INTERNE!$B$40-12*('TCO TO BE- SW'!$D154-1))*((U$4+'TCO TO BE - HW'!U$4)/($E$4+'TCO TO BE - HW'!$E$4)*SUM(POZICIE_INTERNE!$I$40:$I$51))/POZICIE_INTERNE!$B$40)),0)+IFERROR(IF((EXTERNE_POZICIE!$B$41-12*('TCO TO BE- SW'!$D154-1))&gt;12,((U$4+'TCO TO BE - HW'!U$4)/($E$4+'TCO TO BE - HW'!$E$4)*SUM(EXTERNE_POZICIE!$M$41:$M$52)*1.23)/EXTERNE_POZICIE!$B$41*12,IF((EXTERNE_POZICIE!$B$41-12*('TCO TO BE- SW'!$D154-1))&lt;0,0,(EXTERNE_POZICIE!$B$41-12*('TCO TO BE- SW'!$D154-1))*((U$4+'TCO TO BE - HW'!U$4)/($E$4+'TCO TO BE - HW'!$E$4)*SUM(EXTERNE_POZICIE!$M$41:$M$52)*1.23)/EXTERNE_POZICIE!$B$41)),0)+IFERROR(SUM(#REF!)*'TCO TO BE- SW'!U$4/'TCO TO BE- SW'!$E$4,0)</f>
        <v>0</v>
      </c>
      <c r="V154" s="576">
        <f>IFERROR(IF((POZICIE_INTERNE!$B$40-12*('TCO TO BE- SW'!$D154-1))&gt;12,((V$4+'TCO TO BE - HW'!V$4)/($E$4+'TCO TO BE - HW'!$E$4)*SUM(POZICIE_INTERNE!$I$40:$I$51))/POZICIE_INTERNE!$B$40*12,IF((POZICIE_INTERNE!$B$40-12*('TCO TO BE- SW'!$D154-1))&lt;0,0,(POZICIE_INTERNE!$B$40-12*('TCO TO BE- SW'!$D154-1))*((V$4+'TCO TO BE - HW'!V$4)/($E$4+'TCO TO BE - HW'!$E$4)*SUM(POZICIE_INTERNE!$I$40:$I$51))/POZICIE_INTERNE!$B$40)),0)+IFERROR(IF((EXTERNE_POZICIE!$B$41-12*('TCO TO BE- SW'!$D154-1))&gt;12,((V$4+'TCO TO BE - HW'!V$4)/($E$4+'TCO TO BE - HW'!$E$4)*SUM(EXTERNE_POZICIE!$M$41:$M$52)*1.23)/EXTERNE_POZICIE!$B$41*12,IF((EXTERNE_POZICIE!$B$41-12*('TCO TO BE- SW'!$D154-1))&lt;0,0,(EXTERNE_POZICIE!$B$41-12*('TCO TO BE- SW'!$D154-1))*((V$4+'TCO TO BE - HW'!V$4)/($E$4+'TCO TO BE - HW'!$E$4)*SUM(EXTERNE_POZICIE!$M$41:$M$52)*1.23)/EXTERNE_POZICIE!$B$41)),0)+IFERROR(SUM(#REF!)*'TCO TO BE- SW'!V$4/'TCO TO BE- SW'!$E$4,0)</f>
        <v>0</v>
      </c>
      <c r="W154" s="576">
        <f>IFERROR(IF((POZICIE_INTERNE!$B$40-12*('TCO TO BE- SW'!$D154-1))&gt;12,((W$4+'TCO TO BE - HW'!W$4)/($E$4+'TCO TO BE - HW'!$E$4)*SUM(POZICIE_INTERNE!$I$40:$I$51))/POZICIE_INTERNE!$B$40*12,IF((POZICIE_INTERNE!$B$40-12*('TCO TO BE- SW'!$D154-1))&lt;0,0,(POZICIE_INTERNE!$B$40-12*('TCO TO BE- SW'!$D154-1))*((W$4+'TCO TO BE - HW'!W$4)/($E$4+'TCO TO BE - HW'!$E$4)*SUM(POZICIE_INTERNE!$I$40:$I$51))/POZICIE_INTERNE!$B$40)),0)+IFERROR(IF((EXTERNE_POZICIE!$B$41-12*('TCO TO BE- SW'!$D154-1))&gt;12,((W$4+'TCO TO BE - HW'!W$4)/($E$4+'TCO TO BE - HW'!$E$4)*SUM(EXTERNE_POZICIE!$M$41:$M$52)*1.23)/EXTERNE_POZICIE!$B$41*12,IF((EXTERNE_POZICIE!$B$41-12*('TCO TO BE- SW'!$D154-1))&lt;0,0,(EXTERNE_POZICIE!$B$41-12*('TCO TO BE- SW'!$D154-1))*((W$4+'TCO TO BE - HW'!W$4)/($E$4+'TCO TO BE - HW'!$E$4)*SUM(EXTERNE_POZICIE!$M$41:$M$52)*1.23)/EXTERNE_POZICIE!$B$41)),0)+IFERROR(SUM(#REF!)*'TCO TO BE- SW'!W$4/'TCO TO BE- SW'!$E$4,0)</f>
        <v>0</v>
      </c>
      <c r="X154" s="576">
        <f>IFERROR(IF((POZICIE_INTERNE!$B$40-12*('TCO TO BE- SW'!$D154-1))&gt;12,((X$4+'TCO TO BE - HW'!X$4)/($E$4+'TCO TO BE - HW'!$E$4)*SUM(POZICIE_INTERNE!$I$40:$I$51))/POZICIE_INTERNE!$B$40*12,IF((POZICIE_INTERNE!$B$40-12*('TCO TO BE- SW'!$D154-1))&lt;0,0,(POZICIE_INTERNE!$B$40-12*('TCO TO BE- SW'!$D154-1))*((X$4+'TCO TO BE - HW'!X$4)/($E$4+'TCO TO BE - HW'!$E$4)*SUM(POZICIE_INTERNE!$I$40:$I$51))/POZICIE_INTERNE!$B$40)),0)+IFERROR(IF((EXTERNE_POZICIE!$B$41-12*('TCO TO BE- SW'!$D154-1))&gt;12,((X$4+'TCO TO BE - HW'!X$4)/($E$4+'TCO TO BE - HW'!$E$4)*SUM(EXTERNE_POZICIE!$M$41:$M$52)*1.23)/EXTERNE_POZICIE!$B$41*12,IF((EXTERNE_POZICIE!$B$41-12*('TCO TO BE- SW'!$D154-1))&lt;0,0,(EXTERNE_POZICIE!$B$41-12*('TCO TO BE- SW'!$D154-1))*((X$4+'TCO TO BE - HW'!X$4)/($E$4+'TCO TO BE - HW'!$E$4)*SUM(EXTERNE_POZICIE!$M$41:$M$52)*1.23)/EXTERNE_POZICIE!$B$41)),0)+IFERROR(SUM(#REF!)*'TCO TO BE- SW'!X$4/'TCO TO BE- SW'!$E$4,0)</f>
        <v>0</v>
      </c>
      <c r="Y154" s="576">
        <f>IFERROR(IF((POZICIE_INTERNE!$B$40-12*('TCO TO BE- SW'!$D154-1))&gt;12,((Y$4+'TCO TO BE - HW'!Y$4)/($E$4+'TCO TO BE - HW'!$E$4)*SUM(POZICIE_INTERNE!$I$40:$I$51))/POZICIE_INTERNE!$B$40*12,IF((POZICIE_INTERNE!$B$40-12*('TCO TO BE- SW'!$D154-1))&lt;0,0,(POZICIE_INTERNE!$B$40-12*('TCO TO BE- SW'!$D154-1))*((Y$4+'TCO TO BE - HW'!Y$4)/($E$4+'TCO TO BE - HW'!$E$4)*SUM(POZICIE_INTERNE!$I$40:$I$51))/POZICIE_INTERNE!$B$40)),0)+IFERROR(IF((EXTERNE_POZICIE!$B$41-12*('TCO TO BE- SW'!$D154-1))&gt;12,((Y$4+'TCO TO BE - HW'!Y$4)/($E$4+'TCO TO BE - HW'!$E$4)*SUM(EXTERNE_POZICIE!$M$41:$M$52)*1.23)/EXTERNE_POZICIE!$B$41*12,IF((EXTERNE_POZICIE!$B$41-12*('TCO TO BE- SW'!$D154-1))&lt;0,0,(EXTERNE_POZICIE!$B$41-12*('TCO TO BE- SW'!$D154-1))*((Y$4+'TCO TO BE - HW'!Y$4)/($E$4+'TCO TO BE - HW'!$E$4)*SUM(EXTERNE_POZICIE!$M$41:$M$52)*1.23)/EXTERNE_POZICIE!$B$41)),0)+IFERROR(SUM(#REF!)*'TCO TO BE- SW'!Y$4/'TCO TO BE- SW'!$E$4,0)</f>
        <v>0</v>
      </c>
      <c r="Z154" s="576">
        <f>IFERROR(IF((POZICIE_INTERNE!$B$40-12*('TCO TO BE- SW'!$D154-1))&gt;12,((Z$4+'TCO TO BE - HW'!Z$4)/($E$4+'TCO TO BE - HW'!$E$4)*SUM(POZICIE_INTERNE!$I$40:$I$51))/POZICIE_INTERNE!$B$40*12,IF((POZICIE_INTERNE!$B$40-12*('TCO TO BE- SW'!$D154-1))&lt;0,0,(POZICIE_INTERNE!$B$40-12*('TCO TO BE- SW'!$D154-1))*((Z$4+'TCO TO BE - HW'!Z$4)/($E$4+'TCO TO BE - HW'!$E$4)*SUM(POZICIE_INTERNE!$I$40:$I$51))/POZICIE_INTERNE!$B$40)),0)+IFERROR(IF((EXTERNE_POZICIE!$B$41-12*('TCO TO BE- SW'!$D154-1))&gt;12,((Z$4+'TCO TO BE - HW'!Z$4)/($E$4+'TCO TO BE - HW'!$E$4)*SUM(EXTERNE_POZICIE!$M$41:$M$52)*1.23)/EXTERNE_POZICIE!$B$41*12,IF((EXTERNE_POZICIE!$B$41-12*('TCO TO BE- SW'!$D154-1))&lt;0,0,(EXTERNE_POZICIE!$B$41-12*('TCO TO BE- SW'!$D154-1))*((Z$4+'TCO TO BE - HW'!Z$4)/($E$4+'TCO TO BE - HW'!$E$4)*SUM(EXTERNE_POZICIE!$M$41:$M$52)*1.23)/EXTERNE_POZICIE!$B$41)),0)+IFERROR(SUM(#REF!)*'TCO TO BE- SW'!Z$4/'TCO TO BE- SW'!$E$4,0)</f>
        <v>0</v>
      </c>
    </row>
    <row r="155" spans="1:26">
      <c r="A155" s="841"/>
      <c r="B155" s="842"/>
      <c r="C155" s="842"/>
      <c r="D155" s="64">
        <v>5</v>
      </c>
      <c r="E155" s="68">
        <f t="shared" si="16"/>
        <v>0</v>
      </c>
      <c r="F155" s="576">
        <f>IFERROR(IF((POZICIE_INTERNE!$B$40-12*('TCO TO BE- SW'!$D155-1))&gt;12,((F$4+'TCO TO BE - HW'!F$4)/($E$4+'TCO TO BE - HW'!$E$4)*SUM(POZICIE_INTERNE!$I$40:$I$51))/POZICIE_INTERNE!$B$40*12,IF((POZICIE_INTERNE!$B$40-12*('TCO TO BE- SW'!$D155-1))&lt;0,0,(POZICIE_INTERNE!$B$40-12*('TCO TO BE- SW'!$D155-1))*((F$4+'TCO TO BE - HW'!F$4)/($E$4+'TCO TO BE - HW'!$E$4)*SUM(POZICIE_INTERNE!$I$40:$I$51))/POZICIE_INTERNE!$B$40)),0)+IFERROR(IF((EXTERNE_POZICIE!$B$41-12*('TCO TO BE- SW'!$D155-1))&gt;12,((F$4+'TCO TO BE - HW'!F$4)/($E$4+'TCO TO BE - HW'!$E$4)*SUM(EXTERNE_POZICIE!$M$41:$M$52)*1.23)/EXTERNE_POZICIE!$B$41*12,IF((EXTERNE_POZICIE!$B$41-12*('TCO TO BE- SW'!$D155-1))&lt;0,0,(EXTERNE_POZICIE!$B$41-12*('TCO TO BE- SW'!$D155-1))*((F$4+'TCO TO BE - HW'!F$4)/($E$4+'TCO TO BE - HW'!$E$4)*SUM(EXTERNE_POZICIE!$M$41:$M$52)*1.23)/EXTERNE_POZICIE!$B$41)),0)+IFERROR(SUM(#REF!)*'TCO TO BE- SW'!F$4/'TCO TO BE- SW'!$E$4,0)</f>
        <v>0</v>
      </c>
      <c r="G155" s="576">
        <f>IFERROR(IF((POZICIE_INTERNE!$B$40-12*('TCO TO BE- SW'!$D155-1))&gt;12,((G$4+'TCO TO BE - HW'!G$4)/($E$4+'TCO TO BE - HW'!$E$4)*SUM(POZICIE_INTERNE!$I$40:$I$51))/POZICIE_INTERNE!$B$40*12,IF((POZICIE_INTERNE!$B$40-12*('TCO TO BE- SW'!$D155-1))&lt;0,0,(POZICIE_INTERNE!$B$40-12*('TCO TO BE- SW'!$D155-1))*((G$4+'TCO TO BE - HW'!G$4)/($E$4+'TCO TO BE - HW'!$E$4)*SUM(POZICIE_INTERNE!$I$40:$I$51))/POZICIE_INTERNE!$B$40)),0)+IFERROR(IF((EXTERNE_POZICIE!$B$41-12*('TCO TO BE- SW'!$D155-1))&gt;12,((G$4+'TCO TO BE - HW'!G$4)/($E$4+'TCO TO BE - HW'!$E$4)*SUM(EXTERNE_POZICIE!$M$41:$M$52)*1.23)/EXTERNE_POZICIE!$B$41*12,IF((EXTERNE_POZICIE!$B$41-12*('TCO TO BE- SW'!$D155-1))&lt;0,0,(EXTERNE_POZICIE!$B$41-12*('TCO TO BE- SW'!$D155-1))*((G$4+'TCO TO BE - HW'!G$4)/($E$4+'TCO TO BE - HW'!$E$4)*SUM(EXTERNE_POZICIE!$M$41:$M$52)*1.23)/EXTERNE_POZICIE!$B$41)),0)+IFERROR(SUM(#REF!)*'TCO TO BE- SW'!G$4/'TCO TO BE- SW'!$E$4,0)</f>
        <v>0</v>
      </c>
      <c r="H155" s="576">
        <f>IFERROR(IF((POZICIE_INTERNE!$B$40-12*('TCO TO BE- SW'!$D155-1))&gt;12,((H$4+'TCO TO BE - HW'!H$4)/($E$4+'TCO TO BE - HW'!$E$4)*SUM(POZICIE_INTERNE!$I$40:$I$51))/POZICIE_INTERNE!$B$40*12,IF((POZICIE_INTERNE!$B$40-12*('TCO TO BE- SW'!$D155-1))&lt;0,0,(POZICIE_INTERNE!$B$40-12*('TCO TO BE- SW'!$D155-1))*((H$4+'TCO TO BE - HW'!H$4)/($E$4+'TCO TO BE - HW'!$E$4)*SUM(POZICIE_INTERNE!$I$40:$I$51))/POZICIE_INTERNE!$B$40)),0)+IFERROR(IF((EXTERNE_POZICIE!$B$41-12*('TCO TO BE- SW'!$D155-1))&gt;12,((H$4+'TCO TO BE - HW'!H$4)/($E$4+'TCO TO BE - HW'!$E$4)*SUM(EXTERNE_POZICIE!$M$41:$M$52)*1.23)/EXTERNE_POZICIE!$B$41*12,IF((EXTERNE_POZICIE!$B$41-12*('TCO TO BE- SW'!$D155-1))&lt;0,0,(EXTERNE_POZICIE!$B$41-12*('TCO TO BE- SW'!$D155-1))*((H$4+'TCO TO BE - HW'!H$4)/($E$4+'TCO TO BE - HW'!$E$4)*SUM(EXTERNE_POZICIE!$M$41:$M$52)*1.23)/EXTERNE_POZICIE!$B$41)),0)+IFERROR(SUM(#REF!)*'TCO TO BE- SW'!H$4/'TCO TO BE- SW'!$E$4,0)</f>
        <v>0</v>
      </c>
      <c r="I155" s="576">
        <f>IFERROR(IF((POZICIE_INTERNE!$B$40-12*('TCO TO BE- SW'!$D155-1))&gt;12,((I$4+'TCO TO BE - HW'!I$4)/($E$4+'TCO TO BE - HW'!$E$4)*SUM(POZICIE_INTERNE!$I$40:$I$51))/POZICIE_INTERNE!$B$40*12,IF((POZICIE_INTERNE!$B$40-12*('TCO TO BE- SW'!$D155-1))&lt;0,0,(POZICIE_INTERNE!$B$40-12*('TCO TO BE- SW'!$D155-1))*((I$4+'TCO TO BE - HW'!I$4)/($E$4+'TCO TO BE - HW'!$E$4)*SUM(POZICIE_INTERNE!$I$40:$I$51))/POZICIE_INTERNE!$B$40)),0)+IFERROR(IF((EXTERNE_POZICIE!$B$41-12*('TCO TO BE- SW'!$D155-1))&gt;12,((I$4+'TCO TO BE - HW'!I$4)/($E$4+'TCO TO BE - HW'!$E$4)*SUM(EXTERNE_POZICIE!$M$41:$M$52)*1.23)/EXTERNE_POZICIE!$B$41*12,IF((EXTERNE_POZICIE!$B$41-12*('TCO TO BE- SW'!$D155-1))&lt;0,0,(EXTERNE_POZICIE!$B$41-12*('TCO TO BE- SW'!$D155-1))*((I$4+'TCO TO BE - HW'!I$4)/($E$4+'TCO TO BE - HW'!$E$4)*SUM(EXTERNE_POZICIE!$M$41:$M$52)*1.23)/EXTERNE_POZICIE!$B$41)),0)+IFERROR(SUM(#REF!)*'TCO TO BE- SW'!I$4/'TCO TO BE- SW'!$E$4,0)</f>
        <v>0</v>
      </c>
      <c r="J155" s="576">
        <f>IFERROR(IF((POZICIE_INTERNE!$B$40-12*('TCO TO BE- SW'!$D155-1))&gt;12,((J$4+'TCO TO BE - HW'!J$4)/($E$4+'TCO TO BE - HW'!$E$4)*SUM(POZICIE_INTERNE!$I$40:$I$51))/POZICIE_INTERNE!$B$40*12,IF((POZICIE_INTERNE!$B$40-12*('TCO TO BE- SW'!$D155-1))&lt;0,0,(POZICIE_INTERNE!$B$40-12*('TCO TO BE- SW'!$D155-1))*((J$4+'TCO TO BE - HW'!J$4)/($E$4+'TCO TO BE - HW'!$E$4)*SUM(POZICIE_INTERNE!$I$40:$I$51))/POZICIE_INTERNE!$B$40)),0)+IFERROR(IF((EXTERNE_POZICIE!$B$41-12*('TCO TO BE- SW'!$D155-1))&gt;12,((J$4+'TCO TO BE - HW'!J$4)/($E$4+'TCO TO BE - HW'!$E$4)*SUM(EXTERNE_POZICIE!$M$41:$M$52)*1.23)/EXTERNE_POZICIE!$B$41*12,IF((EXTERNE_POZICIE!$B$41-12*('TCO TO BE- SW'!$D155-1))&lt;0,0,(EXTERNE_POZICIE!$B$41-12*('TCO TO BE- SW'!$D155-1))*((J$4+'TCO TO BE - HW'!J$4)/($E$4+'TCO TO BE - HW'!$E$4)*SUM(EXTERNE_POZICIE!$M$41:$M$52)*1.23)/EXTERNE_POZICIE!$B$41)),0)+IFERROR(SUM(#REF!)*'TCO TO BE- SW'!J$4/'TCO TO BE- SW'!$E$4,0)</f>
        <v>0</v>
      </c>
      <c r="K155" s="576">
        <f>IFERROR(IF((POZICIE_INTERNE!$B$40-12*('TCO TO BE- SW'!$D155-1))&gt;12,((K$4+'TCO TO BE - HW'!K$4)/($E$4+'TCO TO BE - HW'!$E$4)*SUM(POZICIE_INTERNE!$I$40:$I$51))/POZICIE_INTERNE!$B$40*12,IF((POZICIE_INTERNE!$B$40-12*('TCO TO BE- SW'!$D155-1))&lt;0,0,(POZICIE_INTERNE!$B$40-12*('TCO TO BE- SW'!$D155-1))*((K$4+'TCO TO BE - HW'!K$4)/($E$4+'TCO TO BE - HW'!$E$4)*SUM(POZICIE_INTERNE!$I$40:$I$51))/POZICIE_INTERNE!$B$40)),0)+IFERROR(IF((EXTERNE_POZICIE!$B$41-12*('TCO TO BE- SW'!$D155-1))&gt;12,((K$4+'TCO TO BE - HW'!K$4)/($E$4+'TCO TO BE - HW'!$E$4)*SUM(EXTERNE_POZICIE!$M$41:$M$52)*1.23)/EXTERNE_POZICIE!$B$41*12,IF((EXTERNE_POZICIE!$B$41-12*('TCO TO BE- SW'!$D155-1))&lt;0,0,(EXTERNE_POZICIE!$B$41-12*('TCO TO BE- SW'!$D155-1))*((K$4+'TCO TO BE - HW'!K$4)/($E$4+'TCO TO BE - HW'!$E$4)*SUM(EXTERNE_POZICIE!$M$41:$M$52)*1.23)/EXTERNE_POZICIE!$B$41)),0)+IFERROR(SUM(#REF!)*'TCO TO BE- SW'!K$4/'TCO TO BE- SW'!$E$4,0)</f>
        <v>0</v>
      </c>
      <c r="L155" s="576">
        <f>IFERROR(IF((POZICIE_INTERNE!$B$40-12*('TCO TO BE- SW'!$D155-1))&gt;12,((L$4+'TCO TO BE - HW'!L$4)/($E$4+'TCO TO BE - HW'!$E$4)*SUM(POZICIE_INTERNE!$I$40:$I$51))/POZICIE_INTERNE!$B$40*12,IF((POZICIE_INTERNE!$B$40-12*('TCO TO BE- SW'!$D155-1))&lt;0,0,(POZICIE_INTERNE!$B$40-12*('TCO TO BE- SW'!$D155-1))*((L$4+'TCO TO BE - HW'!L$4)/($E$4+'TCO TO BE - HW'!$E$4)*SUM(POZICIE_INTERNE!$I$40:$I$51))/POZICIE_INTERNE!$B$40)),0)+IFERROR(IF((EXTERNE_POZICIE!$B$41-12*('TCO TO BE- SW'!$D155-1))&gt;12,((L$4+'TCO TO BE - HW'!L$4)/($E$4+'TCO TO BE - HW'!$E$4)*SUM(EXTERNE_POZICIE!$M$41:$M$52)*1.23)/EXTERNE_POZICIE!$B$41*12,IF((EXTERNE_POZICIE!$B$41-12*('TCO TO BE- SW'!$D155-1))&lt;0,0,(EXTERNE_POZICIE!$B$41-12*('TCO TO BE- SW'!$D155-1))*((L$4+'TCO TO BE - HW'!L$4)/($E$4+'TCO TO BE - HW'!$E$4)*SUM(EXTERNE_POZICIE!$M$41:$M$52)*1.23)/EXTERNE_POZICIE!$B$41)),0)+IFERROR(SUM(#REF!)*'TCO TO BE- SW'!L$4/'TCO TO BE- SW'!$E$4,0)</f>
        <v>0</v>
      </c>
      <c r="M155" s="576">
        <f>IFERROR(IF((POZICIE_INTERNE!$B$40-12*('TCO TO BE- SW'!$D155-1))&gt;12,((M$4+'TCO TO BE - HW'!M$4)/($E$4+'TCO TO BE - HW'!$E$4)*SUM(POZICIE_INTERNE!$I$40:$I$51))/POZICIE_INTERNE!$B$40*12,IF((POZICIE_INTERNE!$B$40-12*('TCO TO BE- SW'!$D155-1))&lt;0,0,(POZICIE_INTERNE!$B$40-12*('TCO TO BE- SW'!$D155-1))*((M$4+'TCO TO BE - HW'!M$4)/($E$4+'TCO TO BE - HW'!$E$4)*SUM(POZICIE_INTERNE!$I$40:$I$51))/POZICIE_INTERNE!$B$40)),0)+IFERROR(IF((EXTERNE_POZICIE!$B$41-12*('TCO TO BE- SW'!$D155-1))&gt;12,((M$4+'TCO TO BE - HW'!M$4)/($E$4+'TCO TO BE - HW'!$E$4)*SUM(EXTERNE_POZICIE!$M$41:$M$52)*1.23)/EXTERNE_POZICIE!$B$41*12,IF((EXTERNE_POZICIE!$B$41-12*('TCO TO BE- SW'!$D155-1))&lt;0,0,(EXTERNE_POZICIE!$B$41-12*('TCO TO BE- SW'!$D155-1))*((M$4+'TCO TO BE - HW'!M$4)/($E$4+'TCO TO BE - HW'!$E$4)*SUM(EXTERNE_POZICIE!$M$41:$M$52)*1.23)/EXTERNE_POZICIE!$B$41)),0)+IFERROR(SUM(#REF!)*'TCO TO BE- SW'!M$4/'TCO TO BE- SW'!$E$4,0)</f>
        <v>0</v>
      </c>
      <c r="N155" s="576">
        <f>IFERROR(IF((POZICIE_INTERNE!$B$40-12*('TCO TO BE- SW'!$D155-1))&gt;12,((N$4+'TCO TO BE - HW'!N$4)/($E$4+'TCO TO BE - HW'!$E$4)*SUM(POZICIE_INTERNE!$I$40:$I$51))/POZICIE_INTERNE!$B$40*12,IF((POZICIE_INTERNE!$B$40-12*('TCO TO BE- SW'!$D155-1))&lt;0,0,(POZICIE_INTERNE!$B$40-12*('TCO TO BE- SW'!$D155-1))*((N$4+'TCO TO BE - HW'!N$4)/($E$4+'TCO TO BE - HW'!$E$4)*SUM(POZICIE_INTERNE!$I$40:$I$51))/POZICIE_INTERNE!$B$40)),0)+IFERROR(IF((EXTERNE_POZICIE!$B$41-12*('TCO TO BE- SW'!$D155-1))&gt;12,((N$4+'TCO TO BE - HW'!N$4)/($E$4+'TCO TO BE - HW'!$E$4)*SUM(EXTERNE_POZICIE!$M$41:$M$52)*1.23)/EXTERNE_POZICIE!$B$41*12,IF((EXTERNE_POZICIE!$B$41-12*('TCO TO BE- SW'!$D155-1))&lt;0,0,(EXTERNE_POZICIE!$B$41-12*('TCO TO BE- SW'!$D155-1))*((N$4+'TCO TO BE - HW'!N$4)/($E$4+'TCO TO BE - HW'!$E$4)*SUM(EXTERNE_POZICIE!$M$41:$M$52)*1.23)/EXTERNE_POZICIE!$B$41)),0)+IFERROR(SUM(#REF!)*'TCO TO BE- SW'!N$4/'TCO TO BE- SW'!$E$4,0)</f>
        <v>0</v>
      </c>
      <c r="O155" s="576">
        <f>IFERROR(IF((POZICIE_INTERNE!$B$40-12*('TCO TO BE- SW'!$D155-1))&gt;12,((O$4+'TCO TO BE - HW'!O$4)/($E$4+'TCO TO BE - HW'!$E$4)*SUM(POZICIE_INTERNE!$I$40:$I$51))/POZICIE_INTERNE!$B$40*12,IF((POZICIE_INTERNE!$B$40-12*('TCO TO BE- SW'!$D155-1))&lt;0,0,(POZICIE_INTERNE!$B$40-12*('TCO TO BE- SW'!$D155-1))*((O$4+'TCO TO BE - HW'!O$4)/($E$4+'TCO TO BE - HW'!$E$4)*SUM(POZICIE_INTERNE!$I$40:$I$51))/POZICIE_INTERNE!$B$40)),0)+IFERROR(IF((EXTERNE_POZICIE!$B$41-12*('TCO TO BE- SW'!$D155-1))&gt;12,((O$4+'TCO TO BE - HW'!O$4)/($E$4+'TCO TO BE - HW'!$E$4)*SUM(EXTERNE_POZICIE!$M$41:$M$52)*1.23)/EXTERNE_POZICIE!$B$41*12,IF((EXTERNE_POZICIE!$B$41-12*('TCO TO BE- SW'!$D155-1))&lt;0,0,(EXTERNE_POZICIE!$B$41-12*('TCO TO BE- SW'!$D155-1))*((O$4+'TCO TO BE - HW'!O$4)/($E$4+'TCO TO BE - HW'!$E$4)*SUM(EXTERNE_POZICIE!$M$41:$M$52)*1.23)/EXTERNE_POZICIE!$B$41)),0)+IFERROR(SUM(#REF!)*'TCO TO BE- SW'!O$4/'TCO TO BE- SW'!$E$4,0)</f>
        <v>0</v>
      </c>
      <c r="P155" s="576">
        <f>IFERROR(IF((POZICIE_INTERNE!$B$40-12*('TCO TO BE- SW'!$D155-1))&gt;12,((P$4+'TCO TO BE - HW'!P$4)/($E$4+'TCO TO BE - HW'!$E$4)*SUM(POZICIE_INTERNE!$I$40:$I$51))/POZICIE_INTERNE!$B$40*12,IF((POZICIE_INTERNE!$B$40-12*('TCO TO BE- SW'!$D155-1))&lt;0,0,(POZICIE_INTERNE!$B$40-12*('TCO TO BE- SW'!$D155-1))*((P$4+'TCO TO BE - HW'!P$4)/($E$4+'TCO TO BE - HW'!$E$4)*SUM(POZICIE_INTERNE!$I$40:$I$51))/POZICIE_INTERNE!$B$40)),0)+IFERROR(IF((EXTERNE_POZICIE!$B$41-12*('TCO TO BE- SW'!$D155-1))&gt;12,((P$4+'TCO TO BE - HW'!P$4)/($E$4+'TCO TO BE - HW'!$E$4)*SUM(EXTERNE_POZICIE!$M$41:$M$52)*1.23)/EXTERNE_POZICIE!$B$41*12,IF((EXTERNE_POZICIE!$B$41-12*('TCO TO BE- SW'!$D155-1))&lt;0,0,(EXTERNE_POZICIE!$B$41-12*('TCO TO BE- SW'!$D155-1))*((P$4+'TCO TO BE - HW'!P$4)/($E$4+'TCO TO BE - HW'!$E$4)*SUM(EXTERNE_POZICIE!$M$41:$M$52)*1.23)/EXTERNE_POZICIE!$B$41)),0)+IFERROR(SUM(#REF!)*'TCO TO BE- SW'!P$4/'TCO TO BE- SW'!$E$4,0)</f>
        <v>0</v>
      </c>
      <c r="Q155" s="576">
        <f>IFERROR(IF((POZICIE_INTERNE!$B$40-12*('TCO TO BE- SW'!$D155-1))&gt;12,((Q$4+'TCO TO BE - HW'!Q$4)/($E$4+'TCO TO BE - HW'!$E$4)*SUM(POZICIE_INTERNE!$I$40:$I$51))/POZICIE_INTERNE!$B$40*12,IF((POZICIE_INTERNE!$B$40-12*('TCO TO BE- SW'!$D155-1))&lt;0,0,(POZICIE_INTERNE!$B$40-12*('TCO TO BE- SW'!$D155-1))*((Q$4+'TCO TO BE - HW'!Q$4)/($E$4+'TCO TO BE - HW'!$E$4)*SUM(POZICIE_INTERNE!$I$40:$I$51))/POZICIE_INTERNE!$B$40)),0)+IFERROR(IF((EXTERNE_POZICIE!$B$41-12*('TCO TO BE- SW'!$D155-1))&gt;12,((Q$4+'TCO TO BE - HW'!Q$4)/($E$4+'TCO TO BE - HW'!$E$4)*SUM(EXTERNE_POZICIE!$M$41:$M$52)*1.23)/EXTERNE_POZICIE!$B$41*12,IF((EXTERNE_POZICIE!$B$41-12*('TCO TO BE- SW'!$D155-1))&lt;0,0,(EXTERNE_POZICIE!$B$41-12*('TCO TO BE- SW'!$D155-1))*((Q$4+'TCO TO BE - HW'!Q$4)/($E$4+'TCO TO BE - HW'!$E$4)*SUM(EXTERNE_POZICIE!$M$41:$M$52)*1.23)/EXTERNE_POZICIE!$B$41)),0)+IFERROR(SUM(#REF!)*'TCO TO BE- SW'!Q$4/'TCO TO BE- SW'!$E$4,0)</f>
        <v>0</v>
      </c>
      <c r="R155" s="576">
        <f>IFERROR(IF((POZICIE_INTERNE!$B$40-12*('TCO TO BE- SW'!$D155-1))&gt;12,((R$4+'TCO TO BE - HW'!R$4)/($E$4+'TCO TO BE - HW'!$E$4)*SUM(POZICIE_INTERNE!$I$40:$I$51))/POZICIE_INTERNE!$B$40*12,IF((POZICIE_INTERNE!$B$40-12*('TCO TO BE- SW'!$D155-1))&lt;0,0,(POZICIE_INTERNE!$B$40-12*('TCO TO BE- SW'!$D155-1))*((R$4+'TCO TO BE - HW'!R$4)/($E$4+'TCO TO BE - HW'!$E$4)*SUM(POZICIE_INTERNE!$I$40:$I$51))/POZICIE_INTERNE!$B$40)),0)+IFERROR(IF((EXTERNE_POZICIE!$B$41-12*('TCO TO BE- SW'!$D155-1))&gt;12,((R$4+'TCO TO BE - HW'!R$4)/($E$4+'TCO TO BE - HW'!$E$4)*SUM(EXTERNE_POZICIE!$M$41:$M$52)*1.23)/EXTERNE_POZICIE!$B$41*12,IF((EXTERNE_POZICIE!$B$41-12*('TCO TO BE- SW'!$D155-1))&lt;0,0,(EXTERNE_POZICIE!$B$41-12*('TCO TO BE- SW'!$D155-1))*((R$4+'TCO TO BE - HW'!R$4)/($E$4+'TCO TO BE - HW'!$E$4)*SUM(EXTERNE_POZICIE!$M$41:$M$52)*1.23)/EXTERNE_POZICIE!$B$41)),0)+IFERROR(SUM(#REF!)*'TCO TO BE- SW'!R$4/'TCO TO BE- SW'!$E$4,0)</f>
        <v>0</v>
      </c>
      <c r="S155" s="576">
        <f>IFERROR(IF((POZICIE_INTERNE!$B$40-12*('TCO TO BE- SW'!$D155-1))&gt;12,((S$4+'TCO TO BE - HW'!S$4)/($E$4+'TCO TO BE - HW'!$E$4)*SUM(POZICIE_INTERNE!$I$40:$I$51))/POZICIE_INTERNE!$B$40*12,IF((POZICIE_INTERNE!$B$40-12*('TCO TO BE- SW'!$D155-1))&lt;0,0,(POZICIE_INTERNE!$B$40-12*('TCO TO BE- SW'!$D155-1))*((S$4+'TCO TO BE - HW'!S$4)/($E$4+'TCO TO BE - HW'!$E$4)*SUM(POZICIE_INTERNE!$I$40:$I$51))/POZICIE_INTERNE!$B$40)),0)+IFERROR(IF((EXTERNE_POZICIE!$B$41-12*('TCO TO BE- SW'!$D155-1))&gt;12,((S$4+'TCO TO BE - HW'!S$4)/($E$4+'TCO TO BE - HW'!$E$4)*SUM(EXTERNE_POZICIE!$M$41:$M$52)*1.23)/EXTERNE_POZICIE!$B$41*12,IF((EXTERNE_POZICIE!$B$41-12*('TCO TO BE- SW'!$D155-1))&lt;0,0,(EXTERNE_POZICIE!$B$41-12*('TCO TO BE- SW'!$D155-1))*((S$4+'TCO TO BE - HW'!S$4)/($E$4+'TCO TO BE - HW'!$E$4)*SUM(EXTERNE_POZICIE!$M$41:$M$52)*1.23)/EXTERNE_POZICIE!$B$41)),0)+IFERROR(SUM(#REF!)*'TCO TO BE- SW'!S$4/'TCO TO BE- SW'!$E$4,0)</f>
        <v>0</v>
      </c>
      <c r="T155" s="576">
        <f>IFERROR(IF((POZICIE_INTERNE!$B$40-12*('TCO TO BE- SW'!$D155-1))&gt;12,((T$4+'TCO TO BE - HW'!T$4)/($E$4+'TCO TO BE - HW'!$E$4)*SUM(POZICIE_INTERNE!$I$40:$I$51))/POZICIE_INTERNE!$B$40*12,IF((POZICIE_INTERNE!$B$40-12*('TCO TO BE- SW'!$D155-1))&lt;0,0,(POZICIE_INTERNE!$B$40-12*('TCO TO BE- SW'!$D155-1))*((T$4+'TCO TO BE - HW'!T$4)/($E$4+'TCO TO BE - HW'!$E$4)*SUM(POZICIE_INTERNE!$I$40:$I$51))/POZICIE_INTERNE!$B$40)),0)+IFERROR(IF((EXTERNE_POZICIE!$B$41-12*('TCO TO BE- SW'!$D155-1))&gt;12,((T$4+'TCO TO BE - HW'!T$4)/($E$4+'TCO TO BE - HW'!$E$4)*SUM(EXTERNE_POZICIE!$M$41:$M$52)*1.23)/EXTERNE_POZICIE!$B$41*12,IF((EXTERNE_POZICIE!$B$41-12*('TCO TO BE- SW'!$D155-1))&lt;0,0,(EXTERNE_POZICIE!$B$41-12*('TCO TO BE- SW'!$D155-1))*((T$4+'TCO TO BE - HW'!T$4)/($E$4+'TCO TO BE - HW'!$E$4)*SUM(EXTERNE_POZICIE!$M$41:$M$52)*1.23)/EXTERNE_POZICIE!$B$41)),0)+IFERROR(SUM(#REF!)*'TCO TO BE- SW'!T$4/'TCO TO BE- SW'!$E$4,0)</f>
        <v>0</v>
      </c>
      <c r="U155" s="576">
        <f>IFERROR(IF((POZICIE_INTERNE!$B$40-12*('TCO TO BE- SW'!$D155-1))&gt;12,((U$4+'TCO TO BE - HW'!U$4)/($E$4+'TCO TO BE - HW'!$E$4)*SUM(POZICIE_INTERNE!$I$40:$I$51))/POZICIE_INTERNE!$B$40*12,IF((POZICIE_INTERNE!$B$40-12*('TCO TO BE- SW'!$D155-1))&lt;0,0,(POZICIE_INTERNE!$B$40-12*('TCO TO BE- SW'!$D155-1))*((U$4+'TCO TO BE - HW'!U$4)/($E$4+'TCO TO BE - HW'!$E$4)*SUM(POZICIE_INTERNE!$I$40:$I$51))/POZICIE_INTERNE!$B$40)),0)+IFERROR(IF((EXTERNE_POZICIE!$B$41-12*('TCO TO BE- SW'!$D155-1))&gt;12,((U$4+'TCO TO BE - HW'!U$4)/($E$4+'TCO TO BE - HW'!$E$4)*SUM(EXTERNE_POZICIE!$M$41:$M$52)*1.23)/EXTERNE_POZICIE!$B$41*12,IF((EXTERNE_POZICIE!$B$41-12*('TCO TO BE- SW'!$D155-1))&lt;0,0,(EXTERNE_POZICIE!$B$41-12*('TCO TO BE- SW'!$D155-1))*((U$4+'TCO TO BE - HW'!U$4)/($E$4+'TCO TO BE - HW'!$E$4)*SUM(EXTERNE_POZICIE!$M$41:$M$52)*1.23)/EXTERNE_POZICIE!$B$41)),0)+IFERROR(SUM(#REF!)*'TCO TO BE- SW'!U$4/'TCO TO BE- SW'!$E$4,0)</f>
        <v>0</v>
      </c>
      <c r="V155" s="576">
        <f>IFERROR(IF((POZICIE_INTERNE!$B$40-12*('TCO TO BE- SW'!$D155-1))&gt;12,((V$4+'TCO TO BE - HW'!V$4)/($E$4+'TCO TO BE - HW'!$E$4)*SUM(POZICIE_INTERNE!$I$40:$I$51))/POZICIE_INTERNE!$B$40*12,IF((POZICIE_INTERNE!$B$40-12*('TCO TO BE- SW'!$D155-1))&lt;0,0,(POZICIE_INTERNE!$B$40-12*('TCO TO BE- SW'!$D155-1))*((V$4+'TCO TO BE - HW'!V$4)/($E$4+'TCO TO BE - HW'!$E$4)*SUM(POZICIE_INTERNE!$I$40:$I$51))/POZICIE_INTERNE!$B$40)),0)+IFERROR(IF((EXTERNE_POZICIE!$B$41-12*('TCO TO BE- SW'!$D155-1))&gt;12,((V$4+'TCO TO BE - HW'!V$4)/($E$4+'TCO TO BE - HW'!$E$4)*SUM(EXTERNE_POZICIE!$M$41:$M$52)*1.23)/EXTERNE_POZICIE!$B$41*12,IF((EXTERNE_POZICIE!$B$41-12*('TCO TO BE- SW'!$D155-1))&lt;0,0,(EXTERNE_POZICIE!$B$41-12*('TCO TO BE- SW'!$D155-1))*((V$4+'TCO TO BE - HW'!V$4)/($E$4+'TCO TO BE - HW'!$E$4)*SUM(EXTERNE_POZICIE!$M$41:$M$52)*1.23)/EXTERNE_POZICIE!$B$41)),0)+IFERROR(SUM(#REF!)*'TCO TO BE- SW'!V$4/'TCO TO BE- SW'!$E$4,0)</f>
        <v>0</v>
      </c>
      <c r="W155" s="576">
        <f>IFERROR(IF((POZICIE_INTERNE!$B$40-12*('TCO TO BE- SW'!$D155-1))&gt;12,((W$4+'TCO TO BE - HW'!W$4)/($E$4+'TCO TO BE - HW'!$E$4)*SUM(POZICIE_INTERNE!$I$40:$I$51))/POZICIE_INTERNE!$B$40*12,IF((POZICIE_INTERNE!$B$40-12*('TCO TO BE- SW'!$D155-1))&lt;0,0,(POZICIE_INTERNE!$B$40-12*('TCO TO BE- SW'!$D155-1))*((W$4+'TCO TO BE - HW'!W$4)/($E$4+'TCO TO BE - HW'!$E$4)*SUM(POZICIE_INTERNE!$I$40:$I$51))/POZICIE_INTERNE!$B$40)),0)+IFERROR(IF((EXTERNE_POZICIE!$B$41-12*('TCO TO BE- SW'!$D155-1))&gt;12,((W$4+'TCO TO BE - HW'!W$4)/($E$4+'TCO TO BE - HW'!$E$4)*SUM(EXTERNE_POZICIE!$M$41:$M$52)*1.23)/EXTERNE_POZICIE!$B$41*12,IF((EXTERNE_POZICIE!$B$41-12*('TCO TO BE- SW'!$D155-1))&lt;0,0,(EXTERNE_POZICIE!$B$41-12*('TCO TO BE- SW'!$D155-1))*((W$4+'TCO TO BE - HW'!W$4)/($E$4+'TCO TO BE - HW'!$E$4)*SUM(EXTERNE_POZICIE!$M$41:$M$52)*1.23)/EXTERNE_POZICIE!$B$41)),0)+IFERROR(SUM(#REF!)*'TCO TO BE- SW'!W$4/'TCO TO BE- SW'!$E$4,0)</f>
        <v>0</v>
      </c>
      <c r="X155" s="576">
        <f>IFERROR(IF((POZICIE_INTERNE!$B$40-12*('TCO TO BE- SW'!$D155-1))&gt;12,((X$4+'TCO TO BE - HW'!X$4)/($E$4+'TCO TO BE - HW'!$E$4)*SUM(POZICIE_INTERNE!$I$40:$I$51))/POZICIE_INTERNE!$B$40*12,IF((POZICIE_INTERNE!$B$40-12*('TCO TO BE- SW'!$D155-1))&lt;0,0,(POZICIE_INTERNE!$B$40-12*('TCO TO BE- SW'!$D155-1))*((X$4+'TCO TO BE - HW'!X$4)/($E$4+'TCO TO BE - HW'!$E$4)*SUM(POZICIE_INTERNE!$I$40:$I$51))/POZICIE_INTERNE!$B$40)),0)+IFERROR(IF((EXTERNE_POZICIE!$B$41-12*('TCO TO BE- SW'!$D155-1))&gt;12,((X$4+'TCO TO BE - HW'!X$4)/($E$4+'TCO TO BE - HW'!$E$4)*SUM(EXTERNE_POZICIE!$M$41:$M$52)*1.23)/EXTERNE_POZICIE!$B$41*12,IF((EXTERNE_POZICIE!$B$41-12*('TCO TO BE- SW'!$D155-1))&lt;0,0,(EXTERNE_POZICIE!$B$41-12*('TCO TO BE- SW'!$D155-1))*((X$4+'TCO TO BE - HW'!X$4)/($E$4+'TCO TO BE - HW'!$E$4)*SUM(EXTERNE_POZICIE!$M$41:$M$52)*1.23)/EXTERNE_POZICIE!$B$41)),0)+IFERROR(SUM(#REF!)*'TCO TO BE- SW'!X$4/'TCO TO BE- SW'!$E$4,0)</f>
        <v>0</v>
      </c>
      <c r="Y155" s="576">
        <f>IFERROR(IF((POZICIE_INTERNE!$B$40-12*('TCO TO BE- SW'!$D155-1))&gt;12,((Y$4+'TCO TO BE - HW'!Y$4)/($E$4+'TCO TO BE - HW'!$E$4)*SUM(POZICIE_INTERNE!$I$40:$I$51))/POZICIE_INTERNE!$B$40*12,IF((POZICIE_INTERNE!$B$40-12*('TCO TO BE- SW'!$D155-1))&lt;0,0,(POZICIE_INTERNE!$B$40-12*('TCO TO BE- SW'!$D155-1))*((Y$4+'TCO TO BE - HW'!Y$4)/($E$4+'TCO TO BE - HW'!$E$4)*SUM(POZICIE_INTERNE!$I$40:$I$51))/POZICIE_INTERNE!$B$40)),0)+IFERROR(IF((EXTERNE_POZICIE!$B$41-12*('TCO TO BE- SW'!$D155-1))&gt;12,((Y$4+'TCO TO BE - HW'!Y$4)/($E$4+'TCO TO BE - HW'!$E$4)*SUM(EXTERNE_POZICIE!$M$41:$M$52)*1.23)/EXTERNE_POZICIE!$B$41*12,IF((EXTERNE_POZICIE!$B$41-12*('TCO TO BE- SW'!$D155-1))&lt;0,0,(EXTERNE_POZICIE!$B$41-12*('TCO TO BE- SW'!$D155-1))*((Y$4+'TCO TO BE - HW'!Y$4)/($E$4+'TCO TO BE - HW'!$E$4)*SUM(EXTERNE_POZICIE!$M$41:$M$52)*1.23)/EXTERNE_POZICIE!$B$41)),0)+IFERROR(SUM(#REF!)*'TCO TO BE- SW'!Y$4/'TCO TO BE- SW'!$E$4,0)</f>
        <v>0</v>
      </c>
      <c r="Z155" s="576">
        <f>IFERROR(IF((POZICIE_INTERNE!$B$40-12*('TCO TO BE- SW'!$D155-1))&gt;12,((Z$4+'TCO TO BE - HW'!Z$4)/($E$4+'TCO TO BE - HW'!$E$4)*SUM(POZICIE_INTERNE!$I$40:$I$51))/POZICIE_INTERNE!$B$40*12,IF((POZICIE_INTERNE!$B$40-12*('TCO TO BE- SW'!$D155-1))&lt;0,0,(POZICIE_INTERNE!$B$40-12*('TCO TO BE- SW'!$D155-1))*((Z$4+'TCO TO BE - HW'!Z$4)/($E$4+'TCO TO BE - HW'!$E$4)*SUM(POZICIE_INTERNE!$I$40:$I$51))/POZICIE_INTERNE!$B$40)),0)+IFERROR(IF((EXTERNE_POZICIE!$B$41-12*('TCO TO BE- SW'!$D155-1))&gt;12,((Z$4+'TCO TO BE - HW'!Z$4)/($E$4+'TCO TO BE - HW'!$E$4)*SUM(EXTERNE_POZICIE!$M$41:$M$52)*1.23)/EXTERNE_POZICIE!$B$41*12,IF((EXTERNE_POZICIE!$B$41-12*('TCO TO BE- SW'!$D155-1))&lt;0,0,(EXTERNE_POZICIE!$B$41-12*('TCO TO BE- SW'!$D155-1))*((Z$4+'TCO TO BE - HW'!Z$4)/($E$4+'TCO TO BE - HW'!$E$4)*SUM(EXTERNE_POZICIE!$M$41:$M$52)*1.23)/EXTERNE_POZICIE!$B$41)),0)+IFERROR(SUM(#REF!)*'TCO TO BE- SW'!Z$4/'TCO TO BE- SW'!$E$4,0)</f>
        <v>0</v>
      </c>
    </row>
    <row r="156" spans="1:26">
      <c r="A156" s="841"/>
      <c r="B156" s="842"/>
      <c r="C156" s="842"/>
      <c r="D156" s="64">
        <v>6</v>
      </c>
      <c r="E156" s="68">
        <f t="shared" si="16"/>
        <v>0</v>
      </c>
      <c r="F156" s="576">
        <f>IFERROR(IF((POZICIE_INTERNE!$B$40-12*('TCO TO BE- SW'!$D156-1))&gt;12,((F$4+'TCO TO BE - HW'!F$4)/($E$4+'TCO TO BE - HW'!$E$4)*SUM(POZICIE_INTERNE!$I$40:$I$51))/POZICIE_INTERNE!$B$40*12,IF((POZICIE_INTERNE!$B$40-12*('TCO TO BE- SW'!$D156-1))&lt;0,0,(POZICIE_INTERNE!$B$40-12*('TCO TO BE- SW'!$D156-1))*((F$4+'TCO TO BE - HW'!F$4)/($E$4+'TCO TO BE - HW'!$E$4)*SUM(POZICIE_INTERNE!$I$40:$I$51))/POZICIE_INTERNE!$B$40)),0)+IFERROR(IF((EXTERNE_POZICIE!$B$41-12*('TCO TO BE- SW'!$D156-1))&gt;12,((F$4+'TCO TO BE - HW'!F$4)/($E$4+'TCO TO BE - HW'!$E$4)*SUM(EXTERNE_POZICIE!$M$41:$M$52)*1.23)/EXTERNE_POZICIE!$B$41*12,IF((EXTERNE_POZICIE!$B$41-12*('TCO TO BE- SW'!$D156-1))&lt;0,0,(EXTERNE_POZICIE!$B$41-12*('TCO TO BE- SW'!$D156-1))*((F$4+'TCO TO BE - HW'!F$4)/($E$4+'TCO TO BE - HW'!$E$4)*SUM(EXTERNE_POZICIE!$M$41:$M$52)*1.23)/EXTERNE_POZICIE!$B$41)),0)+IFERROR(SUM(#REF!)*'TCO TO BE- SW'!F$4/'TCO TO BE- SW'!$E$4,0)</f>
        <v>0</v>
      </c>
      <c r="G156" s="576">
        <f>IFERROR(IF((POZICIE_INTERNE!$B$40-12*('TCO TO BE- SW'!$D156-1))&gt;12,((G$4+'TCO TO BE - HW'!G$4)/($E$4+'TCO TO BE - HW'!$E$4)*SUM(POZICIE_INTERNE!$I$40:$I$51))/POZICIE_INTERNE!$B$40*12,IF((POZICIE_INTERNE!$B$40-12*('TCO TO BE- SW'!$D156-1))&lt;0,0,(POZICIE_INTERNE!$B$40-12*('TCO TO BE- SW'!$D156-1))*((G$4+'TCO TO BE - HW'!G$4)/($E$4+'TCO TO BE - HW'!$E$4)*SUM(POZICIE_INTERNE!$I$40:$I$51))/POZICIE_INTERNE!$B$40)),0)+IFERROR(IF((EXTERNE_POZICIE!$B$41-12*('TCO TO BE- SW'!$D156-1))&gt;12,((G$4+'TCO TO BE - HW'!G$4)/($E$4+'TCO TO BE - HW'!$E$4)*SUM(EXTERNE_POZICIE!$M$41:$M$52)*1.23)/EXTERNE_POZICIE!$B$41*12,IF((EXTERNE_POZICIE!$B$41-12*('TCO TO BE- SW'!$D156-1))&lt;0,0,(EXTERNE_POZICIE!$B$41-12*('TCO TO BE- SW'!$D156-1))*((G$4+'TCO TO BE - HW'!G$4)/($E$4+'TCO TO BE - HW'!$E$4)*SUM(EXTERNE_POZICIE!$M$41:$M$52)*1.23)/EXTERNE_POZICIE!$B$41)),0)+IFERROR(SUM(#REF!)*'TCO TO BE- SW'!G$4/'TCO TO BE- SW'!$E$4,0)</f>
        <v>0</v>
      </c>
      <c r="H156" s="576">
        <f>IFERROR(IF((POZICIE_INTERNE!$B$40-12*('TCO TO BE- SW'!$D156-1))&gt;12,((H$4+'TCO TO BE - HW'!H$4)/($E$4+'TCO TO BE - HW'!$E$4)*SUM(POZICIE_INTERNE!$I$40:$I$51))/POZICIE_INTERNE!$B$40*12,IF((POZICIE_INTERNE!$B$40-12*('TCO TO BE- SW'!$D156-1))&lt;0,0,(POZICIE_INTERNE!$B$40-12*('TCO TO BE- SW'!$D156-1))*((H$4+'TCO TO BE - HW'!H$4)/($E$4+'TCO TO BE - HW'!$E$4)*SUM(POZICIE_INTERNE!$I$40:$I$51))/POZICIE_INTERNE!$B$40)),0)+IFERROR(IF((EXTERNE_POZICIE!$B$41-12*('TCO TO BE- SW'!$D156-1))&gt;12,((H$4+'TCO TO BE - HW'!H$4)/($E$4+'TCO TO BE - HW'!$E$4)*SUM(EXTERNE_POZICIE!$M$41:$M$52)*1.23)/EXTERNE_POZICIE!$B$41*12,IF((EXTERNE_POZICIE!$B$41-12*('TCO TO BE- SW'!$D156-1))&lt;0,0,(EXTERNE_POZICIE!$B$41-12*('TCO TO BE- SW'!$D156-1))*((H$4+'TCO TO BE - HW'!H$4)/($E$4+'TCO TO BE - HW'!$E$4)*SUM(EXTERNE_POZICIE!$M$41:$M$52)*1.23)/EXTERNE_POZICIE!$B$41)),0)+IFERROR(SUM(#REF!)*'TCO TO BE- SW'!H$4/'TCO TO BE- SW'!$E$4,0)</f>
        <v>0</v>
      </c>
      <c r="I156" s="576">
        <f>IFERROR(IF((POZICIE_INTERNE!$B$40-12*('TCO TO BE- SW'!$D156-1))&gt;12,((I$4+'TCO TO BE - HW'!I$4)/($E$4+'TCO TO BE - HW'!$E$4)*SUM(POZICIE_INTERNE!$I$40:$I$51))/POZICIE_INTERNE!$B$40*12,IF((POZICIE_INTERNE!$B$40-12*('TCO TO BE- SW'!$D156-1))&lt;0,0,(POZICIE_INTERNE!$B$40-12*('TCO TO BE- SW'!$D156-1))*((I$4+'TCO TO BE - HW'!I$4)/($E$4+'TCO TO BE - HW'!$E$4)*SUM(POZICIE_INTERNE!$I$40:$I$51))/POZICIE_INTERNE!$B$40)),0)+IFERROR(IF((EXTERNE_POZICIE!$B$41-12*('TCO TO BE- SW'!$D156-1))&gt;12,((I$4+'TCO TO BE - HW'!I$4)/($E$4+'TCO TO BE - HW'!$E$4)*SUM(EXTERNE_POZICIE!$M$41:$M$52)*1.23)/EXTERNE_POZICIE!$B$41*12,IF((EXTERNE_POZICIE!$B$41-12*('TCO TO BE- SW'!$D156-1))&lt;0,0,(EXTERNE_POZICIE!$B$41-12*('TCO TO BE- SW'!$D156-1))*((I$4+'TCO TO BE - HW'!I$4)/($E$4+'TCO TO BE - HW'!$E$4)*SUM(EXTERNE_POZICIE!$M$41:$M$52)*1.23)/EXTERNE_POZICIE!$B$41)),0)+IFERROR(SUM(#REF!)*'TCO TO BE- SW'!I$4/'TCO TO BE- SW'!$E$4,0)</f>
        <v>0</v>
      </c>
      <c r="J156" s="576">
        <f>IFERROR(IF((POZICIE_INTERNE!$B$40-12*('TCO TO BE- SW'!$D156-1))&gt;12,((J$4+'TCO TO BE - HW'!J$4)/($E$4+'TCO TO BE - HW'!$E$4)*SUM(POZICIE_INTERNE!$I$40:$I$51))/POZICIE_INTERNE!$B$40*12,IF((POZICIE_INTERNE!$B$40-12*('TCO TO BE- SW'!$D156-1))&lt;0,0,(POZICIE_INTERNE!$B$40-12*('TCO TO BE- SW'!$D156-1))*((J$4+'TCO TO BE - HW'!J$4)/($E$4+'TCO TO BE - HW'!$E$4)*SUM(POZICIE_INTERNE!$I$40:$I$51))/POZICIE_INTERNE!$B$40)),0)+IFERROR(IF((EXTERNE_POZICIE!$B$41-12*('TCO TO BE- SW'!$D156-1))&gt;12,((J$4+'TCO TO BE - HW'!J$4)/($E$4+'TCO TO BE - HW'!$E$4)*SUM(EXTERNE_POZICIE!$M$41:$M$52)*1.23)/EXTERNE_POZICIE!$B$41*12,IF((EXTERNE_POZICIE!$B$41-12*('TCO TO BE- SW'!$D156-1))&lt;0,0,(EXTERNE_POZICIE!$B$41-12*('TCO TO BE- SW'!$D156-1))*((J$4+'TCO TO BE - HW'!J$4)/($E$4+'TCO TO BE - HW'!$E$4)*SUM(EXTERNE_POZICIE!$M$41:$M$52)*1.23)/EXTERNE_POZICIE!$B$41)),0)+IFERROR(SUM(#REF!)*'TCO TO BE- SW'!J$4/'TCO TO BE- SW'!$E$4,0)</f>
        <v>0</v>
      </c>
      <c r="K156" s="576">
        <f>IFERROR(IF((POZICIE_INTERNE!$B$40-12*('TCO TO BE- SW'!$D156-1))&gt;12,((K$4+'TCO TO BE - HW'!K$4)/($E$4+'TCO TO BE - HW'!$E$4)*SUM(POZICIE_INTERNE!$I$40:$I$51))/POZICIE_INTERNE!$B$40*12,IF((POZICIE_INTERNE!$B$40-12*('TCO TO BE- SW'!$D156-1))&lt;0,0,(POZICIE_INTERNE!$B$40-12*('TCO TO BE- SW'!$D156-1))*((K$4+'TCO TO BE - HW'!K$4)/($E$4+'TCO TO BE - HW'!$E$4)*SUM(POZICIE_INTERNE!$I$40:$I$51))/POZICIE_INTERNE!$B$40)),0)+IFERROR(IF((EXTERNE_POZICIE!$B$41-12*('TCO TO BE- SW'!$D156-1))&gt;12,((K$4+'TCO TO BE - HW'!K$4)/($E$4+'TCO TO BE - HW'!$E$4)*SUM(EXTERNE_POZICIE!$M$41:$M$52)*1.23)/EXTERNE_POZICIE!$B$41*12,IF((EXTERNE_POZICIE!$B$41-12*('TCO TO BE- SW'!$D156-1))&lt;0,0,(EXTERNE_POZICIE!$B$41-12*('TCO TO BE- SW'!$D156-1))*((K$4+'TCO TO BE - HW'!K$4)/($E$4+'TCO TO BE - HW'!$E$4)*SUM(EXTERNE_POZICIE!$M$41:$M$52)*1.23)/EXTERNE_POZICIE!$B$41)),0)+IFERROR(SUM(#REF!)*'TCO TO BE- SW'!K$4/'TCO TO BE- SW'!$E$4,0)</f>
        <v>0</v>
      </c>
      <c r="L156" s="576">
        <f>IFERROR(IF((POZICIE_INTERNE!$B$40-12*('TCO TO BE- SW'!$D156-1))&gt;12,((L$4+'TCO TO BE - HW'!L$4)/($E$4+'TCO TO BE - HW'!$E$4)*SUM(POZICIE_INTERNE!$I$40:$I$51))/POZICIE_INTERNE!$B$40*12,IF((POZICIE_INTERNE!$B$40-12*('TCO TO BE- SW'!$D156-1))&lt;0,0,(POZICIE_INTERNE!$B$40-12*('TCO TO BE- SW'!$D156-1))*((L$4+'TCO TO BE - HW'!L$4)/($E$4+'TCO TO BE - HW'!$E$4)*SUM(POZICIE_INTERNE!$I$40:$I$51))/POZICIE_INTERNE!$B$40)),0)+IFERROR(IF((EXTERNE_POZICIE!$B$41-12*('TCO TO BE- SW'!$D156-1))&gt;12,((L$4+'TCO TO BE - HW'!L$4)/($E$4+'TCO TO BE - HW'!$E$4)*SUM(EXTERNE_POZICIE!$M$41:$M$52)*1.23)/EXTERNE_POZICIE!$B$41*12,IF((EXTERNE_POZICIE!$B$41-12*('TCO TO BE- SW'!$D156-1))&lt;0,0,(EXTERNE_POZICIE!$B$41-12*('TCO TO BE- SW'!$D156-1))*((L$4+'TCO TO BE - HW'!L$4)/($E$4+'TCO TO BE - HW'!$E$4)*SUM(EXTERNE_POZICIE!$M$41:$M$52)*1.23)/EXTERNE_POZICIE!$B$41)),0)+IFERROR(SUM(#REF!)*'TCO TO BE- SW'!L$4/'TCO TO BE- SW'!$E$4,0)</f>
        <v>0</v>
      </c>
      <c r="M156" s="576">
        <f>IFERROR(IF((POZICIE_INTERNE!$B$40-12*('TCO TO BE- SW'!$D156-1))&gt;12,((M$4+'TCO TO BE - HW'!M$4)/($E$4+'TCO TO BE - HW'!$E$4)*SUM(POZICIE_INTERNE!$I$40:$I$51))/POZICIE_INTERNE!$B$40*12,IF((POZICIE_INTERNE!$B$40-12*('TCO TO BE- SW'!$D156-1))&lt;0,0,(POZICIE_INTERNE!$B$40-12*('TCO TO BE- SW'!$D156-1))*((M$4+'TCO TO BE - HW'!M$4)/($E$4+'TCO TO BE - HW'!$E$4)*SUM(POZICIE_INTERNE!$I$40:$I$51))/POZICIE_INTERNE!$B$40)),0)+IFERROR(IF((EXTERNE_POZICIE!$B$41-12*('TCO TO BE- SW'!$D156-1))&gt;12,((M$4+'TCO TO BE - HW'!M$4)/($E$4+'TCO TO BE - HW'!$E$4)*SUM(EXTERNE_POZICIE!$M$41:$M$52)*1.23)/EXTERNE_POZICIE!$B$41*12,IF((EXTERNE_POZICIE!$B$41-12*('TCO TO BE- SW'!$D156-1))&lt;0,0,(EXTERNE_POZICIE!$B$41-12*('TCO TO BE- SW'!$D156-1))*((M$4+'TCO TO BE - HW'!M$4)/($E$4+'TCO TO BE - HW'!$E$4)*SUM(EXTERNE_POZICIE!$M$41:$M$52)*1.23)/EXTERNE_POZICIE!$B$41)),0)+IFERROR(SUM(#REF!)*'TCO TO BE- SW'!M$4/'TCO TO BE- SW'!$E$4,0)</f>
        <v>0</v>
      </c>
      <c r="N156" s="576">
        <f>IFERROR(IF((POZICIE_INTERNE!$B$40-12*('TCO TO BE- SW'!$D156-1))&gt;12,((N$4+'TCO TO BE - HW'!N$4)/($E$4+'TCO TO BE - HW'!$E$4)*SUM(POZICIE_INTERNE!$I$40:$I$51))/POZICIE_INTERNE!$B$40*12,IF((POZICIE_INTERNE!$B$40-12*('TCO TO BE- SW'!$D156-1))&lt;0,0,(POZICIE_INTERNE!$B$40-12*('TCO TO BE- SW'!$D156-1))*((N$4+'TCO TO BE - HW'!N$4)/($E$4+'TCO TO BE - HW'!$E$4)*SUM(POZICIE_INTERNE!$I$40:$I$51))/POZICIE_INTERNE!$B$40)),0)+IFERROR(IF((EXTERNE_POZICIE!$B$41-12*('TCO TO BE- SW'!$D156-1))&gt;12,((N$4+'TCO TO BE - HW'!N$4)/($E$4+'TCO TO BE - HW'!$E$4)*SUM(EXTERNE_POZICIE!$M$41:$M$52)*1.23)/EXTERNE_POZICIE!$B$41*12,IF((EXTERNE_POZICIE!$B$41-12*('TCO TO BE- SW'!$D156-1))&lt;0,0,(EXTERNE_POZICIE!$B$41-12*('TCO TO BE- SW'!$D156-1))*((N$4+'TCO TO BE - HW'!N$4)/($E$4+'TCO TO BE - HW'!$E$4)*SUM(EXTERNE_POZICIE!$M$41:$M$52)*1.23)/EXTERNE_POZICIE!$B$41)),0)+IFERROR(SUM(#REF!)*'TCO TO BE- SW'!N$4/'TCO TO BE- SW'!$E$4,0)</f>
        <v>0</v>
      </c>
      <c r="O156" s="576">
        <f>IFERROR(IF((POZICIE_INTERNE!$B$40-12*('TCO TO BE- SW'!$D156-1))&gt;12,((O$4+'TCO TO BE - HW'!O$4)/($E$4+'TCO TO BE - HW'!$E$4)*SUM(POZICIE_INTERNE!$I$40:$I$51))/POZICIE_INTERNE!$B$40*12,IF((POZICIE_INTERNE!$B$40-12*('TCO TO BE- SW'!$D156-1))&lt;0,0,(POZICIE_INTERNE!$B$40-12*('TCO TO BE- SW'!$D156-1))*((O$4+'TCO TO BE - HW'!O$4)/($E$4+'TCO TO BE - HW'!$E$4)*SUM(POZICIE_INTERNE!$I$40:$I$51))/POZICIE_INTERNE!$B$40)),0)+IFERROR(IF((EXTERNE_POZICIE!$B$41-12*('TCO TO BE- SW'!$D156-1))&gt;12,((O$4+'TCO TO BE - HW'!O$4)/($E$4+'TCO TO BE - HW'!$E$4)*SUM(EXTERNE_POZICIE!$M$41:$M$52)*1.23)/EXTERNE_POZICIE!$B$41*12,IF((EXTERNE_POZICIE!$B$41-12*('TCO TO BE- SW'!$D156-1))&lt;0,0,(EXTERNE_POZICIE!$B$41-12*('TCO TO BE- SW'!$D156-1))*((O$4+'TCO TO BE - HW'!O$4)/($E$4+'TCO TO BE - HW'!$E$4)*SUM(EXTERNE_POZICIE!$M$41:$M$52)*1.23)/EXTERNE_POZICIE!$B$41)),0)+IFERROR(SUM(#REF!)*'TCO TO BE- SW'!O$4/'TCO TO BE- SW'!$E$4,0)</f>
        <v>0</v>
      </c>
      <c r="P156" s="576">
        <f>IFERROR(IF((POZICIE_INTERNE!$B$40-12*('TCO TO BE- SW'!$D156-1))&gt;12,((P$4+'TCO TO BE - HW'!P$4)/($E$4+'TCO TO BE - HW'!$E$4)*SUM(POZICIE_INTERNE!$I$40:$I$51))/POZICIE_INTERNE!$B$40*12,IF((POZICIE_INTERNE!$B$40-12*('TCO TO BE- SW'!$D156-1))&lt;0,0,(POZICIE_INTERNE!$B$40-12*('TCO TO BE- SW'!$D156-1))*((P$4+'TCO TO BE - HW'!P$4)/($E$4+'TCO TO BE - HW'!$E$4)*SUM(POZICIE_INTERNE!$I$40:$I$51))/POZICIE_INTERNE!$B$40)),0)+IFERROR(IF((EXTERNE_POZICIE!$B$41-12*('TCO TO BE- SW'!$D156-1))&gt;12,((P$4+'TCO TO BE - HW'!P$4)/($E$4+'TCO TO BE - HW'!$E$4)*SUM(EXTERNE_POZICIE!$M$41:$M$52)*1.23)/EXTERNE_POZICIE!$B$41*12,IF((EXTERNE_POZICIE!$B$41-12*('TCO TO BE- SW'!$D156-1))&lt;0,0,(EXTERNE_POZICIE!$B$41-12*('TCO TO BE- SW'!$D156-1))*((P$4+'TCO TO BE - HW'!P$4)/($E$4+'TCO TO BE - HW'!$E$4)*SUM(EXTERNE_POZICIE!$M$41:$M$52)*1.23)/EXTERNE_POZICIE!$B$41)),0)+IFERROR(SUM(#REF!)*'TCO TO BE- SW'!P$4/'TCO TO BE- SW'!$E$4,0)</f>
        <v>0</v>
      </c>
      <c r="Q156" s="576">
        <f>IFERROR(IF((POZICIE_INTERNE!$B$40-12*('TCO TO BE- SW'!$D156-1))&gt;12,((Q$4+'TCO TO BE - HW'!Q$4)/($E$4+'TCO TO BE - HW'!$E$4)*SUM(POZICIE_INTERNE!$I$40:$I$51))/POZICIE_INTERNE!$B$40*12,IF((POZICIE_INTERNE!$B$40-12*('TCO TO BE- SW'!$D156-1))&lt;0,0,(POZICIE_INTERNE!$B$40-12*('TCO TO BE- SW'!$D156-1))*((Q$4+'TCO TO BE - HW'!Q$4)/($E$4+'TCO TO BE - HW'!$E$4)*SUM(POZICIE_INTERNE!$I$40:$I$51))/POZICIE_INTERNE!$B$40)),0)+IFERROR(IF((EXTERNE_POZICIE!$B$41-12*('TCO TO BE- SW'!$D156-1))&gt;12,((Q$4+'TCO TO BE - HW'!Q$4)/($E$4+'TCO TO BE - HW'!$E$4)*SUM(EXTERNE_POZICIE!$M$41:$M$52)*1.23)/EXTERNE_POZICIE!$B$41*12,IF((EXTERNE_POZICIE!$B$41-12*('TCO TO BE- SW'!$D156-1))&lt;0,0,(EXTERNE_POZICIE!$B$41-12*('TCO TO BE- SW'!$D156-1))*((Q$4+'TCO TO BE - HW'!Q$4)/($E$4+'TCO TO BE - HW'!$E$4)*SUM(EXTERNE_POZICIE!$M$41:$M$52)*1.23)/EXTERNE_POZICIE!$B$41)),0)+IFERROR(SUM(#REF!)*'TCO TO BE- SW'!Q$4/'TCO TO BE- SW'!$E$4,0)</f>
        <v>0</v>
      </c>
      <c r="R156" s="576">
        <f>IFERROR(IF((POZICIE_INTERNE!$B$40-12*('TCO TO BE- SW'!$D156-1))&gt;12,((R$4+'TCO TO BE - HW'!R$4)/($E$4+'TCO TO BE - HW'!$E$4)*SUM(POZICIE_INTERNE!$I$40:$I$51))/POZICIE_INTERNE!$B$40*12,IF((POZICIE_INTERNE!$B$40-12*('TCO TO BE- SW'!$D156-1))&lt;0,0,(POZICIE_INTERNE!$B$40-12*('TCO TO BE- SW'!$D156-1))*((R$4+'TCO TO BE - HW'!R$4)/($E$4+'TCO TO BE - HW'!$E$4)*SUM(POZICIE_INTERNE!$I$40:$I$51))/POZICIE_INTERNE!$B$40)),0)+IFERROR(IF((EXTERNE_POZICIE!$B$41-12*('TCO TO BE- SW'!$D156-1))&gt;12,((R$4+'TCO TO BE - HW'!R$4)/($E$4+'TCO TO BE - HW'!$E$4)*SUM(EXTERNE_POZICIE!$M$41:$M$52)*1.23)/EXTERNE_POZICIE!$B$41*12,IF((EXTERNE_POZICIE!$B$41-12*('TCO TO BE- SW'!$D156-1))&lt;0,0,(EXTERNE_POZICIE!$B$41-12*('TCO TO BE- SW'!$D156-1))*((R$4+'TCO TO BE - HW'!R$4)/($E$4+'TCO TO BE - HW'!$E$4)*SUM(EXTERNE_POZICIE!$M$41:$M$52)*1.23)/EXTERNE_POZICIE!$B$41)),0)+IFERROR(SUM(#REF!)*'TCO TO BE- SW'!R$4/'TCO TO BE- SW'!$E$4,0)</f>
        <v>0</v>
      </c>
      <c r="S156" s="576">
        <f>IFERROR(IF((POZICIE_INTERNE!$B$40-12*('TCO TO BE- SW'!$D156-1))&gt;12,((S$4+'TCO TO BE - HW'!S$4)/($E$4+'TCO TO BE - HW'!$E$4)*SUM(POZICIE_INTERNE!$I$40:$I$51))/POZICIE_INTERNE!$B$40*12,IF((POZICIE_INTERNE!$B$40-12*('TCO TO BE- SW'!$D156-1))&lt;0,0,(POZICIE_INTERNE!$B$40-12*('TCO TO BE- SW'!$D156-1))*((S$4+'TCO TO BE - HW'!S$4)/($E$4+'TCO TO BE - HW'!$E$4)*SUM(POZICIE_INTERNE!$I$40:$I$51))/POZICIE_INTERNE!$B$40)),0)+IFERROR(IF((EXTERNE_POZICIE!$B$41-12*('TCO TO BE- SW'!$D156-1))&gt;12,((S$4+'TCO TO BE - HW'!S$4)/($E$4+'TCO TO BE - HW'!$E$4)*SUM(EXTERNE_POZICIE!$M$41:$M$52)*1.23)/EXTERNE_POZICIE!$B$41*12,IF((EXTERNE_POZICIE!$B$41-12*('TCO TO BE- SW'!$D156-1))&lt;0,0,(EXTERNE_POZICIE!$B$41-12*('TCO TO BE- SW'!$D156-1))*((S$4+'TCO TO BE - HW'!S$4)/($E$4+'TCO TO BE - HW'!$E$4)*SUM(EXTERNE_POZICIE!$M$41:$M$52)*1.23)/EXTERNE_POZICIE!$B$41)),0)+IFERROR(SUM(#REF!)*'TCO TO BE- SW'!S$4/'TCO TO BE- SW'!$E$4,0)</f>
        <v>0</v>
      </c>
      <c r="T156" s="576">
        <f>IFERROR(IF((POZICIE_INTERNE!$B$40-12*('TCO TO BE- SW'!$D156-1))&gt;12,((T$4+'TCO TO BE - HW'!T$4)/($E$4+'TCO TO BE - HW'!$E$4)*SUM(POZICIE_INTERNE!$I$40:$I$51))/POZICIE_INTERNE!$B$40*12,IF((POZICIE_INTERNE!$B$40-12*('TCO TO BE- SW'!$D156-1))&lt;0,0,(POZICIE_INTERNE!$B$40-12*('TCO TO BE- SW'!$D156-1))*((T$4+'TCO TO BE - HW'!T$4)/($E$4+'TCO TO BE - HW'!$E$4)*SUM(POZICIE_INTERNE!$I$40:$I$51))/POZICIE_INTERNE!$B$40)),0)+IFERROR(IF((EXTERNE_POZICIE!$B$41-12*('TCO TO BE- SW'!$D156-1))&gt;12,((T$4+'TCO TO BE - HW'!T$4)/($E$4+'TCO TO BE - HW'!$E$4)*SUM(EXTERNE_POZICIE!$M$41:$M$52)*1.23)/EXTERNE_POZICIE!$B$41*12,IF((EXTERNE_POZICIE!$B$41-12*('TCO TO BE- SW'!$D156-1))&lt;0,0,(EXTERNE_POZICIE!$B$41-12*('TCO TO BE- SW'!$D156-1))*((T$4+'TCO TO BE - HW'!T$4)/($E$4+'TCO TO BE - HW'!$E$4)*SUM(EXTERNE_POZICIE!$M$41:$M$52)*1.23)/EXTERNE_POZICIE!$B$41)),0)+IFERROR(SUM(#REF!)*'TCO TO BE- SW'!T$4/'TCO TO BE- SW'!$E$4,0)</f>
        <v>0</v>
      </c>
      <c r="U156" s="576">
        <f>IFERROR(IF((POZICIE_INTERNE!$B$40-12*('TCO TO BE- SW'!$D156-1))&gt;12,((U$4+'TCO TO BE - HW'!U$4)/($E$4+'TCO TO BE - HW'!$E$4)*SUM(POZICIE_INTERNE!$I$40:$I$51))/POZICIE_INTERNE!$B$40*12,IF((POZICIE_INTERNE!$B$40-12*('TCO TO BE- SW'!$D156-1))&lt;0,0,(POZICIE_INTERNE!$B$40-12*('TCO TO BE- SW'!$D156-1))*((U$4+'TCO TO BE - HW'!U$4)/($E$4+'TCO TO BE - HW'!$E$4)*SUM(POZICIE_INTERNE!$I$40:$I$51))/POZICIE_INTERNE!$B$40)),0)+IFERROR(IF((EXTERNE_POZICIE!$B$41-12*('TCO TO BE- SW'!$D156-1))&gt;12,((U$4+'TCO TO BE - HW'!U$4)/($E$4+'TCO TO BE - HW'!$E$4)*SUM(EXTERNE_POZICIE!$M$41:$M$52)*1.23)/EXTERNE_POZICIE!$B$41*12,IF((EXTERNE_POZICIE!$B$41-12*('TCO TO BE- SW'!$D156-1))&lt;0,0,(EXTERNE_POZICIE!$B$41-12*('TCO TO BE- SW'!$D156-1))*((U$4+'TCO TO BE - HW'!U$4)/($E$4+'TCO TO BE - HW'!$E$4)*SUM(EXTERNE_POZICIE!$M$41:$M$52)*1.23)/EXTERNE_POZICIE!$B$41)),0)+IFERROR(SUM(#REF!)*'TCO TO BE- SW'!U$4/'TCO TO BE- SW'!$E$4,0)</f>
        <v>0</v>
      </c>
      <c r="V156" s="576">
        <f>IFERROR(IF((POZICIE_INTERNE!$B$40-12*('TCO TO BE- SW'!$D156-1))&gt;12,((V$4+'TCO TO BE - HW'!V$4)/($E$4+'TCO TO BE - HW'!$E$4)*SUM(POZICIE_INTERNE!$I$40:$I$51))/POZICIE_INTERNE!$B$40*12,IF((POZICIE_INTERNE!$B$40-12*('TCO TO BE- SW'!$D156-1))&lt;0,0,(POZICIE_INTERNE!$B$40-12*('TCO TO BE- SW'!$D156-1))*((V$4+'TCO TO BE - HW'!V$4)/($E$4+'TCO TO BE - HW'!$E$4)*SUM(POZICIE_INTERNE!$I$40:$I$51))/POZICIE_INTERNE!$B$40)),0)+IFERROR(IF((EXTERNE_POZICIE!$B$41-12*('TCO TO BE- SW'!$D156-1))&gt;12,((V$4+'TCO TO BE - HW'!V$4)/($E$4+'TCO TO BE - HW'!$E$4)*SUM(EXTERNE_POZICIE!$M$41:$M$52)*1.23)/EXTERNE_POZICIE!$B$41*12,IF((EXTERNE_POZICIE!$B$41-12*('TCO TO BE- SW'!$D156-1))&lt;0,0,(EXTERNE_POZICIE!$B$41-12*('TCO TO BE- SW'!$D156-1))*((V$4+'TCO TO BE - HW'!V$4)/($E$4+'TCO TO BE - HW'!$E$4)*SUM(EXTERNE_POZICIE!$M$41:$M$52)*1.23)/EXTERNE_POZICIE!$B$41)),0)+IFERROR(SUM(#REF!)*'TCO TO BE- SW'!V$4/'TCO TO BE- SW'!$E$4,0)</f>
        <v>0</v>
      </c>
      <c r="W156" s="576">
        <f>IFERROR(IF((POZICIE_INTERNE!$B$40-12*('TCO TO BE- SW'!$D156-1))&gt;12,((W$4+'TCO TO BE - HW'!W$4)/($E$4+'TCO TO BE - HW'!$E$4)*SUM(POZICIE_INTERNE!$I$40:$I$51))/POZICIE_INTERNE!$B$40*12,IF((POZICIE_INTERNE!$B$40-12*('TCO TO BE- SW'!$D156-1))&lt;0,0,(POZICIE_INTERNE!$B$40-12*('TCO TO BE- SW'!$D156-1))*((W$4+'TCO TO BE - HW'!W$4)/($E$4+'TCO TO BE - HW'!$E$4)*SUM(POZICIE_INTERNE!$I$40:$I$51))/POZICIE_INTERNE!$B$40)),0)+IFERROR(IF((EXTERNE_POZICIE!$B$41-12*('TCO TO BE- SW'!$D156-1))&gt;12,((W$4+'TCO TO BE - HW'!W$4)/($E$4+'TCO TO BE - HW'!$E$4)*SUM(EXTERNE_POZICIE!$M$41:$M$52)*1.23)/EXTERNE_POZICIE!$B$41*12,IF((EXTERNE_POZICIE!$B$41-12*('TCO TO BE- SW'!$D156-1))&lt;0,0,(EXTERNE_POZICIE!$B$41-12*('TCO TO BE- SW'!$D156-1))*((W$4+'TCO TO BE - HW'!W$4)/($E$4+'TCO TO BE - HW'!$E$4)*SUM(EXTERNE_POZICIE!$M$41:$M$52)*1.23)/EXTERNE_POZICIE!$B$41)),0)+IFERROR(SUM(#REF!)*'TCO TO BE- SW'!W$4/'TCO TO BE- SW'!$E$4,0)</f>
        <v>0</v>
      </c>
      <c r="X156" s="576">
        <f>IFERROR(IF((POZICIE_INTERNE!$B$40-12*('TCO TO BE- SW'!$D156-1))&gt;12,((X$4+'TCO TO BE - HW'!X$4)/($E$4+'TCO TO BE - HW'!$E$4)*SUM(POZICIE_INTERNE!$I$40:$I$51))/POZICIE_INTERNE!$B$40*12,IF((POZICIE_INTERNE!$B$40-12*('TCO TO BE- SW'!$D156-1))&lt;0,0,(POZICIE_INTERNE!$B$40-12*('TCO TO BE- SW'!$D156-1))*((X$4+'TCO TO BE - HW'!X$4)/($E$4+'TCO TO BE - HW'!$E$4)*SUM(POZICIE_INTERNE!$I$40:$I$51))/POZICIE_INTERNE!$B$40)),0)+IFERROR(IF((EXTERNE_POZICIE!$B$41-12*('TCO TO BE- SW'!$D156-1))&gt;12,((X$4+'TCO TO BE - HW'!X$4)/($E$4+'TCO TO BE - HW'!$E$4)*SUM(EXTERNE_POZICIE!$M$41:$M$52)*1.23)/EXTERNE_POZICIE!$B$41*12,IF((EXTERNE_POZICIE!$B$41-12*('TCO TO BE- SW'!$D156-1))&lt;0,0,(EXTERNE_POZICIE!$B$41-12*('TCO TO BE- SW'!$D156-1))*((X$4+'TCO TO BE - HW'!X$4)/($E$4+'TCO TO BE - HW'!$E$4)*SUM(EXTERNE_POZICIE!$M$41:$M$52)*1.23)/EXTERNE_POZICIE!$B$41)),0)+IFERROR(SUM(#REF!)*'TCO TO BE- SW'!X$4/'TCO TO BE- SW'!$E$4,0)</f>
        <v>0</v>
      </c>
      <c r="Y156" s="576">
        <f>IFERROR(IF((POZICIE_INTERNE!$B$40-12*('TCO TO BE- SW'!$D156-1))&gt;12,((Y$4+'TCO TO BE - HW'!Y$4)/($E$4+'TCO TO BE - HW'!$E$4)*SUM(POZICIE_INTERNE!$I$40:$I$51))/POZICIE_INTERNE!$B$40*12,IF((POZICIE_INTERNE!$B$40-12*('TCO TO BE- SW'!$D156-1))&lt;0,0,(POZICIE_INTERNE!$B$40-12*('TCO TO BE- SW'!$D156-1))*((Y$4+'TCO TO BE - HW'!Y$4)/($E$4+'TCO TO BE - HW'!$E$4)*SUM(POZICIE_INTERNE!$I$40:$I$51))/POZICIE_INTERNE!$B$40)),0)+IFERROR(IF((EXTERNE_POZICIE!$B$41-12*('TCO TO BE- SW'!$D156-1))&gt;12,((Y$4+'TCO TO BE - HW'!Y$4)/($E$4+'TCO TO BE - HW'!$E$4)*SUM(EXTERNE_POZICIE!$M$41:$M$52)*1.23)/EXTERNE_POZICIE!$B$41*12,IF((EXTERNE_POZICIE!$B$41-12*('TCO TO BE- SW'!$D156-1))&lt;0,0,(EXTERNE_POZICIE!$B$41-12*('TCO TO BE- SW'!$D156-1))*((Y$4+'TCO TO BE - HW'!Y$4)/($E$4+'TCO TO BE - HW'!$E$4)*SUM(EXTERNE_POZICIE!$M$41:$M$52)*1.23)/EXTERNE_POZICIE!$B$41)),0)+IFERROR(SUM(#REF!)*'TCO TO BE- SW'!Y$4/'TCO TO BE- SW'!$E$4,0)</f>
        <v>0</v>
      </c>
      <c r="Z156" s="576">
        <f>IFERROR(IF((POZICIE_INTERNE!$B$40-12*('TCO TO BE- SW'!$D156-1))&gt;12,((Z$4+'TCO TO BE - HW'!Z$4)/($E$4+'TCO TO BE - HW'!$E$4)*SUM(POZICIE_INTERNE!$I$40:$I$51))/POZICIE_INTERNE!$B$40*12,IF((POZICIE_INTERNE!$B$40-12*('TCO TO BE- SW'!$D156-1))&lt;0,0,(POZICIE_INTERNE!$B$40-12*('TCO TO BE- SW'!$D156-1))*((Z$4+'TCO TO BE - HW'!Z$4)/($E$4+'TCO TO BE - HW'!$E$4)*SUM(POZICIE_INTERNE!$I$40:$I$51))/POZICIE_INTERNE!$B$40)),0)+IFERROR(IF((EXTERNE_POZICIE!$B$41-12*('TCO TO BE- SW'!$D156-1))&gt;12,((Z$4+'TCO TO BE - HW'!Z$4)/($E$4+'TCO TO BE - HW'!$E$4)*SUM(EXTERNE_POZICIE!$M$41:$M$52)*1.23)/EXTERNE_POZICIE!$B$41*12,IF((EXTERNE_POZICIE!$B$41-12*('TCO TO BE- SW'!$D156-1))&lt;0,0,(EXTERNE_POZICIE!$B$41-12*('TCO TO BE- SW'!$D156-1))*((Z$4+'TCO TO BE - HW'!Z$4)/($E$4+'TCO TO BE - HW'!$E$4)*SUM(EXTERNE_POZICIE!$M$41:$M$52)*1.23)/EXTERNE_POZICIE!$B$41)),0)+IFERROR(SUM(#REF!)*'TCO TO BE- SW'!Z$4/'TCO TO BE- SW'!$E$4,0)</f>
        <v>0</v>
      </c>
    </row>
    <row r="157" spans="1:26">
      <c r="A157" s="841"/>
      <c r="B157" s="842"/>
      <c r="C157" s="842"/>
      <c r="D157" s="64">
        <v>7</v>
      </c>
      <c r="E157" s="68">
        <f t="shared" si="16"/>
        <v>0</v>
      </c>
      <c r="F157" s="576">
        <f>IFERROR(IF((POZICIE_INTERNE!$B$40-12*('TCO TO BE- SW'!$D157-1))&gt;12,((F$4+'TCO TO BE - HW'!F$4)/($E$4+'TCO TO BE - HW'!$E$4)*SUM(POZICIE_INTERNE!$I$40:$I$51))/POZICIE_INTERNE!$B$40*12,IF((POZICIE_INTERNE!$B$40-12*('TCO TO BE- SW'!$D157-1))&lt;0,0,(POZICIE_INTERNE!$B$40-12*('TCO TO BE- SW'!$D157-1))*((F$4+'TCO TO BE - HW'!F$4)/($E$4+'TCO TO BE - HW'!$E$4)*SUM(POZICIE_INTERNE!$I$40:$I$51))/POZICIE_INTERNE!$B$40)),0)+IFERROR(IF((EXTERNE_POZICIE!$B$41-12*('TCO TO BE- SW'!$D157-1))&gt;12,((F$4+'TCO TO BE - HW'!F$4)/($E$4+'TCO TO BE - HW'!$E$4)*SUM(EXTERNE_POZICIE!$M$41:$M$52)*1.23)/EXTERNE_POZICIE!$B$41*12,IF((EXTERNE_POZICIE!$B$41-12*('TCO TO BE- SW'!$D157-1))&lt;0,0,(EXTERNE_POZICIE!$B$41-12*('TCO TO BE- SW'!$D157-1))*((F$4+'TCO TO BE - HW'!F$4)/($E$4+'TCO TO BE - HW'!$E$4)*SUM(EXTERNE_POZICIE!$M$41:$M$52)*1.23)/EXTERNE_POZICIE!$B$41)),0)+IFERROR(SUM(#REF!)*'TCO TO BE- SW'!F$4/'TCO TO BE- SW'!$E$4,0)</f>
        <v>0</v>
      </c>
      <c r="G157" s="576">
        <f>IFERROR(IF((POZICIE_INTERNE!$B$40-12*('TCO TO BE- SW'!$D157-1))&gt;12,((G$4+'TCO TO BE - HW'!G$4)/($E$4+'TCO TO BE - HW'!$E$4)*SUM(POZICIE_INTERNE!$I$40:$I$51))/POZICIE_INTERNE!$B$40*12,IF((POZICIE_INTERNE!$B$40-12*('TCO TO BE- SW'!$D157-1))&lt;0,0,(POZICIE_INTERNE!$B$40-12*('TCO TO BE- SW'!$D157-1))*((G$4+'TCO TO BE - HW'!G$4)/($E$4+'TCO TO BE - HW'!$E$4)*SUM(POZICIE_INTERNE!$I$40:$I$51))/POZICIE_INTERNE!$B$40)),0)+IFERROR(IF((EXTERNE_POZICIE!$B$41-12*('TCO TO BE- SW'!$D157-1))&gt;12,((G$4+'TCO TO BE - HW'!G$4)/($E$4+'TCO TO BE - HW'!$E$4)*SUM(EXTERNE_POZICIE!$M$41:$M$52)*1.23)/EXTERNE_POZICIE!$B$41*12,IF((EXTERNE_POZICIE!$B$41-12*('TCO TO BE- SW'!$D157-1))&lt;0,0,(EXTERNE_POZICIE!$B$41-12*('TCO TO BE- SW'!$D157-1))*((G$4+'TCO TO BE - HW'!G$4)/($E$4+'TCO TO BE - HW'!$E$4)*SUM(EXTERNE_POZICIE!$M$41:$M$52)*1.23)/EXTERNE_POZICIE!$B$41)),0)+IFERROR(SUM(#REF!)*'TCO TO BE- SW'!G$4/'TCO TO BE- SW'!$E$4,0)</f>
        <v>0</v>
      </c>
      <c r="H157" s="576">
        <f>IFERROR(IF((POZICIE_INTERNE!$B$40-12*('TCO TO BE- SW'!$D157-1))&gt;12,((H$4+'TCO TO BE - HW'!H$4)/($E$4+'TCO TO BE - HW'!$E$4)*SUM(POZICIE_INTERNE!$I$40:$I$51))/POZICIE_INTERNE!$B$40*12,IF((POZICIE_INTERNE!$B$40-12*('TCO TO BE- SW'!$D157-1))&lt;0,0,(POZICIE_INTERNE!$B$40-12*('TCO TO BE- SW'!$D157-1))*((H$4+'TCO TO BE - HW'!H$4)/($E$4+'TCO TO BE - HW'!$E$4)*SUM(POZICIE_INTERNE!$I$40:$I$51))/POZICIE_INTERNE!$B$40)),0)+IFERROR(IF((EXTERNE_POZICIE!$B$41-12*('TCO TO BE- SW'!$D157-1))&gt;12,((H$4+'TCO TO BE - HW'!H$4)/($E$4+'TCO TO BE - HW'!$E$4)*SUM(EXTERNE_POZICIE!$M$41:$M$52)*1.23)/EXTERNE_POZICIE!$B$41*12,IF((EXTERNE_POZICIE!$B$41-12*('TCO TO BE- SW'!$D157-1))&lt;0,0,(EXTERNE_POZICIE!$B$41-12*('TCO TO BE- SW'!$D157-1))*((H$4+'TCO TO BE - HW'!H$4)/($E$4+'TCO TO BE - HW'!$E$4)*SUM(EXTERNE_POZICIE!$M$41:$M$52)*1.23)/EXTERNE_POZICIE!$B$41)),0)+IFERROR(SUM(#REF!)*'TCO TO BE- SW'!H$4/'TCO TO BE- SW'!$E$4,0)</f>
        <v>0</v>
      </c>
      <c r="I157" s="576">
        <f>IFERROR(IF((POZICIE_INTERNE!$B$40-12*('TCO TO BE- SW'!$D157-1))&gt;12,((I$4+'TCO TO BE - HW'!I$4)/($E$4+'TCO TO BE - HW'!$E$4)*SUM(POZICIE_INTERNE!$I$40:$I$51))/POZICIE_INTERNE!$B$40*12,IF((POZICIE_INTERNE!$B$40-12*('TCO TO BE- SW'!$D157-1))&lt;0,0,(POZICIE_INTERNE!$B$40-12*('TCO TO BE- SW'!$D157-1))*((I$4+'TCO TO BE - HW'!I$4)/($E$4+'TCO TO BE - HW'!$E$4)*SUM(POZICIE_INTERNE!$I$40:$I$51))/POZICIE_INTERNE!$B$40)),0)+IFERROR(IF((EXTERNE_POZICIE!$B$41-12*('TCO TO BE- SW'!$D157-1))&gt;12,((I$4+'TCO TO BE - HW'!I$4)/($E$4+'TCO TO BE - HW'!$E$4)*SUM(EXTERNE_POZICIE!$M$41:$M$52)*1.23)/EXTERNE_POZICIE!$B$41*12,IF((EXTERNE_POZICIE!$B$41-12*('TCO TO BE- SW'!$D157-1))&lt;0,0,(EXTERNE_POZICIE!$B$41-12*('TCO TO BE- SW'!$D157-1))*((I$4+'TCO TO BE - HW'!I$4)/($E$4+'TCO TO BE - HW'!$E$4)*SUM(EXTERNE_POZICIE!$M$41:$M$52)*1.23)/EXTERNE_POZICIE!$B$41)),0)+IFERROR(SUM(#REF!)*'TCO TO BE- SW'!I$4/'TCO TO BE- SW'!$E$4,0)</f>
        <v>0</v>
      </c>
      <c r="J157" s="576">
        <f>IFERROR(IF((POZICIE_INTERNE!$B$40-12*('TCO TO BE- SW'!$D157-1))&gt;12,((J$4+'TCO TO BE - HW'!J$4)/($E$4+'TCO TO BE - HW'!$E$4)*SUM(POZICIE_INTERNE!$I$40:$I$51))/POZICIE_INTERNE!$B$40*12,IF((POZICIE_INTERNE!$B$40-12*('TCO TO BE- SW'!$D157-1))&lt;0,0,(POZICIE_INTERNE!$B$40-12*('TCO TO BE- SW'!$D157-1))*((J$4+'TCO TO BE - HW'!J$4)/($E$4+'TCO TO BE - HW'!$E$4)*SUM(POZICIE_INTERNE!$I$40:$I$51))/POZICIE_INTERNE!$B$40)),0)+IFERROR(IF((EXTERNE_POZICIE!$B$41-12*('TCO TO BE- SW'!$D157-1))&gt;12,((J$4+'TCO TO BE - HW'!J$4)/($E$4+'TCO TO BE - HW'!$E$4)*SUM(EXTERNE_POZICIE!$M$41:$M$52)*1.23)/EXTERNE_POZICIE!$B$41*12,IF((EXTERNE_POZICIE!$B$41-12*('TCO TO BE- SW'!$D157-1))&lt;0,0,(EXTERNE_POZICIE!$B$41-12*('TCO TO BE- SW'!$D157-1))*((J$4+'TCO TO BE - HW'!J$4)/($E$4+'TCO TO BE - HW'!$E$4)*SUM(EXTERNE_POZICIE!$M$41:$M$52)*1.23)/EXTERNE_POZICIE!$B$41)),0)+IFERROR(SUM(#REF!)*'TCO TO BE- SW'!J$4/'TCO TO BE- SW'!$E$4,0)</f>
        <v>0</v>
      </c>
      <c r="K157" s="576">
        <f>IFERROR(IF((POZICIE_INTERNE!$B$40-12*('TCO TO BE- SW'!$D157-1))&gt;12,((K$4+'TCO TO BE - HW'!K$4)/($E$4+'TCO TO BE - HW'!$E$4)*SUM(POZICIE_INTERNE!$I$40:$I$51))/POZICIE_INTERNE!$B$40*12,IF((POZICIE_INTERNE!$B$40-12*('TCO TO BE- SW'!$D157-1))&lt;0,0,(POZICIE_INTERNE!$B$40-12*('TCO TO BE- SW'!$D157-1))*((K$4+'TCO TO BE - HW'!K$4)/($E$4+'TCO TO BE - HW'!$E$4)*SUM(POZICIE_INTERNE!$I$40:$I$51))/POZICIE_INTERNE!$B$40)),0)+IFERROR(IF((EXTERNE_POZICIE!$B$41-12*('TCO TO BE- SW'!$D157-1))&gt;12,((K$4+'TCO TO BE - HW'!K$4)/($E$4+'TCO TO BE - HW'!$E$4)*SUM(EXTERNE_POZICIE!$M$41:$M$52)*1.23)/EXTERNE_POZICIE!$B$41*12,IF((EXTERNE_POZICIE!$B$41-12*('TCO TO BE- SW'!$D157-1))&lt;0,0,(EXTERNE_POZICIE!$B$41-12*('TCO TO BE- SW'!$D157-1))*((K$4+'TCO TO BE - HW'!K$4)/($E$4+'TCO TO BE - HW'!$E$4)*SUM(EXTERNE_POZICIE!$M$41:$M$52)*1.23)/EXTERNE_POZICIE!$B$41)),0)+IFERROR(SUM(#REF!)*'TCO TO BE- SW'!K$4/'TCO TO BE- SW'!$E$4,0)</f>
        <v>0</v>
      </c>
      <c r="L157" s="576">
        <f>IFERROR(IF((POZICIE_INTERNE!$B$40-12*('TCO TO BE- SW'!$D157-1))&gt;12,((L$4+'TCO TO BE - HW'!L$4)/($E$4+'TCO TO BE - HW'!$E$4)*SUM(POZICIE_INTERNE!$I$40:$I$51))/POZICIE_INTERNE!$B$40*12,IF((POZICIE_INTERNE!$B$40-12*('TCO TO BE- SW'!$D157-1))&lt;0,0,(POZICIE_INTERNE!$B$40-12*('TCO TO BE- SW'!$D157-1))*((L$4+'TCO TO BE - HW'!L$4)/($E$4+'TCO TO BE - HW'!$E$4)*SUM(POZICIE_INTERNE!$I$40:$I$51))/POZICIE_INTERNE!$B$40)),0)+IFERROR(IF((EXTERNE_POZICIE!$B$41-12*('TCO TO BE- SW'!$D157-1))&gt;12,((L$4+'TCO TO BE - HW'!L$4)/($E$4+'TCO TO BE - HW'!$E$4)*SUM(EXTERNE_POZICIE!$M$41:$M$52)*1.23)/EXTERNE_POZICIE!$B$41*12,IF((EXTERNE_POZICIE!$B$41-12*('TCO TO BE- SW'!$D157-1))&lt;0,0,(EXTERNE_POZICIE!$B$41-12*('TCO TO BE- SW'!$D157-1))*((L$4+'TCO TO BE - HW'!L$4)/($E$4+'TCO TO BE - HW'!$E$4)*SUM(EXTERNE_POZICIE!$M$41:$M$52)*1.23)/EXTERNE_POZICIE!$B$41)),0)+IFERROR(SUM(#REF!)*'TCO TO BE- SW'!L$4/'TCO TO BE- SW'!$E$4,0)</f>
        <v>0</v>
      </c>
      <c r="M157" s="576">
        <f>IFERROR(IF((POZICIE_INTERNE!$B$40-12*('TCO TO BE- SW'!$D157-1))&gt;12,((M$4+'TCO TO BE - HW'!M$4)/($E$4+'TCO TO BE - HW'!$E$4)*SUM(POZICIE_INTERNE!$I$40:$I$51))/POZICIE_INTERNE!$B$40*12,IF((POZICIE_INTERNE!$B$40-12*('TCO TO BE- SW'!$D157-1))&lt;0,0,(POZICIE_INTERNE!$B$40-12*('TCO TO BE- SW'!$D157-1))*((M$4+'TCO TO BE - HW'!M$4)/($E$4+'TCO TO BE - HW'!$E$4)*SUM(POZICIE_INTERNE!$I$40:$I$51))/POZICIE_INTERNE!$B$40)),0)+IFERROR(IF((EXTERNE_POZICIE!$B$41-12*('TCO TO BE- SW'!$D157-1))&gt;12,((M$4+'TCO TO BE - HW'!M$4)/($E$4+'TCO TO BE - HW'!$E$4)*SUM(EXTERNE_POZICIE!$M$41:$M$52)*1.23)/EXTERNE_POZICIE!$B$41*12,IF((EXTERNE_POZICIE!$B$41-12*('TCO TO BE- SW'!$D157-1))&lt;0,0,(EXTERNE_POZICIE!$B$41-12*('TCO TO BE- SW'!$D157-1))*((M$4+'TCO TO BE - HW'!M$4)/($E$4+'TCO TO BE - HW'!$E$4)*SUM(EXTERNE_POZICIE!$M$41:$M$52)*1.23)/EXTERNE_POZICIE!$B$41)),0)+IFERROR(SUM(#REF!)*'TCO TO BE- SW'!M$4/'TCO TO BE- SW'!$E$4,0)</f>
        <v>0</v>
      </c>
      <c r="N157" s="576">
        <f>IFERROR(IF((POZICIE_INTERNE!$B$40-12*('TCO TO BE- SW'!$D157-1))&gt;12,((N$4+'TCO TO BE - HW'!N$4)/($E$4+'TCO TO BE - HW'!$E$4)*SUM(POZICIE_INTERNE!$I$40:$I$51))/POZICIE_INTERNE!$B$40*12,IF((POZICIE_INTERNE!$B$40-12*('TCO TO BE- SW'!$D157-1))&lt;0,0,(POZICIE_INTERNE!$B$40-12*('TCO TO BE- SW'!$D157-1))*((N$4+'TCO TO BE - HW'!N$4)/($E$4+'TCO TO BE - HW'!$E$4)*SUM(POZICIE_INTERNE!$I$40:$I$51))/POZICIE_INTERNE!$B$40)),0)+IFERROR(IF((EXTERNE_POZICIE!$B$41-12*('TCO TO BE- SW'!$D157-1))&gt;12,((N$4+'TCO TO BE - HW'!N$4)/($E$4+'TCO TO BE - HW'!$E$4)*SUM(EXTERNE_POZICIE!$M$41:$M$52)*1.23)/EXTERNE_POZICIE!$B$41*12,IF((EXTERNE_POZICIE!$B$41-12*('TCO TO BE- SW'!$D157-1))&lt;0,0,(EXTERNE_POZICIE!$B$41-12*('TCO TO BE- SW'!$D157-1))*((N$4+'TCO TO BE - HW'!N$4)/($E$4+'TCO TO BE - HW'!$E$4)*SUM(EXTERNE_POZICIE!$M$41:$M$52)*1.23)/EXTERNE_POZICIE!$B$41)),0)+IFERROR(SUM(#REF!)*'TCO TO BE- SW'!N$4/'TCO TO BE- SW'!$E$4,0)</f>
        <v>0</v>
      </c>
      <c r="O157" s="576">
        <f>IFERROR(IF((POZICIE_INTERNE!$B$40-12*('TCO TO BE- SW'!$D157-1))&gt;12,((O$4+'TCO TO BE - HW'!O$4)/($E$4+'TCO TO BE - HW'!$E$4)*SUM(POZICIE_INTERNE!$I$40:$I$51))/POZICIE_INTERNE!$B$40*12,IF((POZICIE_INTERNE!$B$40-12*('TCO TO BE- SW'!$D157-1))&lt;0,0,(POZICIE_INTERNE!$B$40-12*('TCO TO BE- SW'!$D157-1))*((O$4+'TCO TO BE - HW'!O$4)/($E$4+'TCO TO BE - HW'!$E$4)*SUM(POZICIE_INTERNE!$I$40:$I$51))/POZICIE_INTERNE!$B$40)),0)+IFERROR(IF((EXTERNE_POZICIE!$B$41-12*('TCO TO BE- SW'!$D157-1))&gt;12,((O$4+'TCO TO BE - HW'!O$4)/($E$4+'TCO TO BE - HW'!$E$4)*SUM(EXTERNE_POZICIE!$M$41:$M$52)*1.23)/EXTERNE_POZICIE!$B$41*12,IF((EXTERNE_POZICIE!$B$41-12*('TCO TO BE- SW'!$D157-1))&lt;0,0,(EXTERNE_POZICIE!$B$41-12*('TCO TO BE- SW'!$D157-1))*((O$4+'TCO TO BE - HW'!O$4)/($E$4+'TCO TO BE - HW'!$E$4)*SUM(EXTERNE_POZICIE!$M$41:$M$52)*1.23)/EXTERNE_POZICIE!$B$41)),0)+IFERROR(SUM(#REF!)*'TCO TO BE- SW'!O$4/'TCO TO BE- SW'!$E$4,0)</f>
        <v>0</v>
      </c>
      <c r="P157" s="576">
        <f>IFERROR(IF((POZICIE_INTERNE!$B$40-12*('TCO TO BE- SW'!$D157-1))&gt;12,((P$4+'TCO TO BE - HW'!P$4)/($E$4+'TCO TO BE - HW'!$E$4)*SUM(POZICIE_INTERNE!$I$40:$I$51))/POZICIE_INTERNE!$B$40*12,IF((POZICIE_INTERNE!$B$40-12*('TCO TO BE- SW'!$D157-1))&lt;0,0,(POZICIE_INTERNE!$B$40-12*('TCO TO BE- SW'!$D157-1))*((P$4+'TCO TO BE - HW'!P$4)/($E$4+'TCO TO BE - HW'!$E$4)*SUM(POZICIE_INTERNE!$I$40:$I$51))/POZICIE_INTERNE!$B$40)),0)+IFERROR(IF((EXTERNE_POZICIE!$B$41-12*('TCO TO BE- SW'!$D157-1))&gt;12,((P$4+'TCO TO BE - HW'!P$4)/($E$4+'TCO TO BE - HW'!$E$4)*SUM(EXTERNE_POZICIE!$M$41:$M$52)*1.23)/EXTERNE_POZICIE!$B$41*12,IF((EXTERNE_POZICIE!$B$41-12*('TCO TO BE- SW'!$D157-1))&lt;0,0,(EXTERNE_POZICIE!$B$41-12*('TCO TO BE- SW'!$D157-1))*((P$4+'TCO TO BE - HW'!P$4)/($E$4+'TCO TO BE - HW'!$E$4)*SUM(EXTERNE_POZICIE!$M$41:$M$52)*1.23)/EXTERNE_POZICIE!$B$41)),0)+IFERROR(SUM(#REF!)*'TCO TO BE- SW'!P$4/'TCO TO BE- SW'!$E$4,0)</f>
        <v>0</v>
      </c>
      <c r="Q157" s="576">
        <f>IFERROR(IF((POZICIE_INTERNE!$B$40-12*('TCO TO BE- SW'!$D157-1))&gt;12,((Q$4+'TCO TO BE - HW'!Q$4)/($E$4+'TCO TO BE - HW'!$E$4)*SUM(POZICIE_INTERNE!$I$40:$I$51))/POZICIE_INTERNE!$B$40*12,IF((POZICIE_INTERNE!$B$40-12*('TCO TO BE- SW'!$D157-1))&lt;0,0,(POZICIE_INTERNE!$B$40-12*('TCO TO BE- SW'!$D157-1))*((Q$4+'TCO TO BE - HW'!Q$4)/($E$4+'TCO TO BE - HW'!$E$4)*SUM(POZICIE_INTERNE!$I$40:$I$51))/POZICIE_INTERNE!$B$40)),0)+IFERROR(IF((EXTERNE_POZICIE!$B$41-12*('TCO TO BE- SW'!$D157-1))&gt;12,((Q$4+'TCO TO BE - HW'!Q$4)/($E$4+'TCO TO BE - HW'!$E$4)*SUM(EXTERNE_POZICIE!$M$41:$M$52)*1.23)/EXTERNE_POZICIE!$B$41*12,IF((EXTERNE_POZICIE!$B$41-12*('TCO TO BE- SW'!$D157-1))&lt;0,0,(EXTERNE_POZICIE!$B$41-12*('TCO TO BE- SW'!$D157-1))*((Q$4+'TCO TO BE - HW'!Q$4)/($E$4+'TCO TO BE - HW'!$E$4)*SUM(EXTERNE_POZICIE!$M$41:$M$52)*1.23)/EXTERNE_POZICIE!$B$41)),0)+IFERROR(SUM(#REF!)*'TCO TO BE- SW'!Q$4/'TCO TO BE- SW'!$E$4,0)</f>
        <v>0</v>
      </c>
      <c r="R157" s="576">
        <f>IFERROR(IF((POZICIE_INTERNE!$B$40-12*('TCO TO BE- SW'!$D157-1))&gt;12,((R$4+'TCO TO BE - HW'!R$4)/($E$4+'TCO TO BE - HW'!$E$4)*SUM(POZICIE_INTERNE!$I$40:$I$51))/POZICIE_INTERNE!$B$40*12,IF((POZICIE_INTERNE!$B$40-12*('TCO TO BE- SW'!$D157-1))&lt;0,0,(POZICIE_INTERNE!$B$40-12*('TCO TO BE- SW'!$D157-1))*((R$4+'TCO TO BE - HW'!R$4)/($E$4+'TCO TO BE - HW'!$E$4)*SUM(POZICIE_INTERNE!$I$40:$I$51))/POZICIE_INTERNE!$B$40)),0)+IFERROR(IF((EXTERNE_POZICIE!$B$41-12*('TCO TO BE- SW'!$D157-1))&gt;12,((R$4+'TCO TO BE - HW'!R$4)/($E$4+'TCO TO BE - HW'!$E$4)*SUM(EXTERNE_POZICIE!$M$41:$M$52)*1.23)/EXTERNE_POZICIE!$B$41*12,IF((EXTERNE_POZICIE!$B$41-12*('TCO TO BE- SW'!$D157-1))&lt;0,0,(EXTERNE_POZICIE!$B$41-12*('TCO TO BE- SW'!$D157-1))*((R$4+'TCO TO BE - HW'!R$4)/($E$4+'TCO TO BE - HW'!$E$4)*SUM(EXTERNE_POZICIE!$M$41:$M$52)*1.23)/EXTERNE_POZICIE!$B$41)),0)+IFERROR(SUM(#REF!)*'TCO TO BE- SW'!R$4/'TCO TO BE- SW'!$E$4,0)</f>
        <v>0</v>
      </c>
      <c r="S157" s="576">
        <f>IFERROR(IF((POZICIE_INTERNE!$B$40-12*('TCO TO BE- SW'!$D157-1))&gt;12,((S$4+'TCO TO BE - HW'!S$4)/($E$4+'TCO TO BE - HW'!$E$4)*SUM(POZICIE_INTERNE!$I$40:$I$51))/POZICIE_INTERNE!$B$40*12,IF((POZICIE_INTERNE!$B$40-12*('TCO TO BE- SW'!$D157-1))&lt;0,0,(POZICIE_INTERNE!$B$40-12*('TCO TO BE- SW'!$D157-1))*((S$4+'TCO TO BE - HW'!S$4)/($E$4+'TCO TO BE - HW'!$E$4)*SUM(POZICIE_INTERNE!$I$40:$I$51))/POZICIE_INTERNE!$B$40)),0)+IFERROR(IF((EXTERNE_POZICIE!$B$41-12*('TCO TO BE- SW'!$D157-1))&gt;12,((S$4+'TCO TO BE - HW'!S$4)/($E$4+'TCO TO BE - HW'!$E$4)*SUM(EXTERNE_POZICIE!$M$41:$M$52)*1.23)/EXTERNE_POZICIE!$B$41*12,IF((EXTERNE_POZICIE!$B$41-12*('TCO TO BE- SW'!$D157-1))&lt;0,0,(EXTERNE_POZICIE!$B$41-12*('TCO TO BE- SW'!$D157-1))*((S$4+'TCO TO BE - HW'!S$4)/($E$4+'TCO TO BE - HW'!$E$4)*SUM(EXTERNE_POZICIE!$M$41:$M$52)*1.23)/EXTERNE_POZICIE!$B$41)),0)+IFERROR(SUM(#REF!)*'TCO TO BE- SW'!S$4/'TCO TO BE- SW'!$E$4,0)</f>
        <v>0</v>
      </c>
      <c r="T157" s="576">
        <f>IFERROR(IF((POZICIE_INTERNE!$B$40-12*('TCO TO BE- SW'!$D157-1))&gt;12,((T$4+'TCO TO BE - HW'!T$4)/($E$4+'TCO TO BE - HW'!$E$4)*SUM(POZICIE_INTERNE!$I$40:$I$51))/POZICIE_INTERNE!$B$40*12,IF((POZICIE_INTERNE!$B$40-12*('TCO TO BE- SW'!$D157-1))&lt;0,0,(POZICIE_INTERNE!$B$40-12*('TCO TO BE- SW'!$D157-1))*((T$4+'TCO TO BE - HW'!T$4)/($E$4+'TCO TO BE - HW'!$E$4)*SUM(POZICIE_INTERNE!$I$40:$I$51))/POZICIE_INTERNE!$B$40)),0)+IFERROR(IF((EXTERNE_POZICIE!$B$41-12*('TCO TO BE- SW'!$D157-1))&gt;12,((T$4+'TCO TO BE - HW'!T$4)/($E$4+'TCO TO BE - HW'!$E$4)*SUM(EXTERNE_POZICIE!$M$41:$M$52)*1.23)/EXTERNE_POZICIE!$B$41*12,IF((EXTERNE_POZICIE!$B$41-12*('TCO TO BE- SW'!$D157-1))&lt;0,0,(EXTERNE_POZICIE!$B$41-12*('TCO TO BE- SW'!$D157-1))*((T$4+'TCO TO BE - HW'!T$4)/($E$4+'TCO TO BE - HW'!$E$4)*SUM(EXTERNE_POZICIE!$M$41:$M$52)*1.23)/EXTERNE_POZICIE!$B$41)),0)+IFERROR(SUM(#REF!)*'TCO TO BE- SW'!T$4/'TCO TO BE- SW'!$E$4,0)</f>
        <v>0</v>
      </c>
      <c r="U157" s="576">
        <f>IFERROR(IF((POZICIE_INTERNE!$B$40-12*('TCO TO BE- SW'!$D157-1))&gt;12,((U$4+'TCO TO BE - HW'!U$4)/($E$4+'TCO TO BE - HW'!$E$4)*SUM(POZICIE_INTERNE!$I$40:$I$51))/POZICIE_INTERNE!$B$40*12,IF((POZICIE_INTERNE!$B$40-12*('TCO TO BE- SW'!$D157-1))&lt;0,0,(POZICIE_INTERNE!$B$40-12*('TCO TO BE- SW'!$D157-1))*((U$4+'TCO TO BE - HW'!U$4)/($E$4+'TCO TO BE - HW'!$E$4)*SUM(POZICIE_INTERNE!$I$40:$I$51))/POZICIE_INTERNE!$B$40)),0)+IFERROR(IF((EXTERNE_POZICIE!$B$41-12*('TCO TO BE- SW'!$D157-1))&gt;12,((U$4+'TCO TO BE - HW'!U$4)/($E$4+'TCO TO BE - HW'!$E$4)*SUM(EXTERNE_POZICIE!$M$41:$M$52)*1.23)/EXTERNE_POZICIE!$B$41*12,IF((EXTERNE_POZICIE!$B$41-12*('TCO TO BE- SW'!$D157-1))&lt;0,0,(EXTERNE_POZICIE!$B$41-12*('TCO TO BE- SW'!$D157-1))*((U$4+'TCO TO BE - HW'!U$4)/($E$4+'TCO TO BE - HW'!$E$4)*SUM(EXTERNE_POZICIE!$M$41:$M$52)*1.23)/EXTERNE_POZICIE!$B$41)),0)+IFERROR(SUM(#REF!)*'TCO TO BE- SW'!U$4/'TCO TO BE- SW'!$E$4,0)</f>
        <v>0</v>
      </c>
      <c r="V157" s="576">
        <f>IFERROR(IF((POZICIE_INTERNE!$B$40-12*('TCO TO BE- SW'!$D157-1))&gt;12,((V$4+'TCO TO BE - HW'!V$4)/($E$4+'TCO TO BE - HW'!$E$4)*SUM(POZICIE_INTERNE!$I$40:$I$51))/POZICIE_INTERNE!$B$40*12,IF((POZICIE_INTERNE!$B$40-12*('TCO TO BE- SW'!$D157-1))&lt;0,0,(POZICIE_INTERNE!$B$40-12*('TCO TO BE- SW'!$D157-1))*((V$4+'TCO TO BE - HW'!V$4)/($E$4+'TCO TO BE - HW'!$E$4)*SUM(POZICIE_INTERNE!$I$40:$I$51))/POZICIE_INTERNE!$B$40)),0)+IFERROR(IF((EXTERNE_POZICIE!$B$41-12*('TCO TO BE- SW'!$D157-1))&gt;12,((V$4+'TCO TO BE - HW'!V$4)/($E$4+'TCO TO BE - HW'!$E$4)*SUM(EXTERNE_POZICIE!$M$41:$M$52)*1.23)/EXTERNE_POZICIE!$B$41*12,IF((EXTERNE_POZICIE!$B$41-12*('TCO TO BE- SW'!$D157-1))&lt;0,0,(EXTERNE_POZICIE!$B$41-12*('TCO TO BE- SW'!$D157-1))*((V$4+'TCO TO BE - HW'!V$4)/($E$4+'TCO TO BE - HW'!$E$4)*SUM(EXTERNE_POZICIE!$M$41:$M$52)*1.23)/EXTERNE_POZICIE!$B$41)),0)+IFERROR(SUM(#REF!)*'TCO TO BE- SW'!V$4/'TCO TO BE- SW'!$E$4,0)</f>
        <v>0</v>
      </c>
      <c r="W157" s="576">
        <f>IFERROR(IF((POZICIE_INTERNE!$B$40-12*('TCO TO BE- SW'!$D157-1))&gt;12,((W$4+'TCO TO BE - HW'!W$4)/($E$4+'TCO TO BE - HW'!$E$4)*SUM(POZICIE_INTERNE!$I$40:$I$51))/POZICIE_INTERNE!$B$40*12,IF((POZICIE_INTERNE!$B$40-12*('TCO TO BE- SW'!$D157-1))&lt;0,0,(POZICIE_INTERNE!$B$40-12*('TCO TO BE- SW'!$D157-1))*((W$4+'TCO TO BE - HW'!W$4)/($E$4+'TCO TO BE - HW'!$E$4)*SUM(POZICIE_INTERNE!$I$40:$I$51))/POZICIE_INTERNE!$B$40)),0)+IFERROR(IF((EXTERNE_POZICIE!$B$41-12*('TCO TO BE- SW'!$D157-1))&gt;12,((W$4+'TCO TO BE - HW'!W$4)/($E$4+'TCO TO BE - HW'!$E$4)*SUM(EXTERNE_POZICIE!$M$41:$M$52)*1.23)/EXTERNE_POZICIE!$B$41*12,IF((EXTERNE_POZICIE!$B$41-12*('TCO TO BE- SW'!$D157-1))&lt;0,0,(EXTERNE_POZICIE!$B$41-12*('TCO TO BE- SW'!$D157-1))*((W$4+'TCO TO BE - HW'!W$4)/($E$4+'TCO TO BE - HW'!$E$4)*SUM(EXTERNE_POZICIE!$M$41:$M$52)*1.23)/EXTERNE_POZICIE!$B$41)),0)+IFERROR(SUM(#REF!)*'TCO TO BE- SW'!W$4/'TCO TO BE- SW'!$E$4,0)</f>
        <v>0</v>
      </c>
      <c r="X157" s="576">
        <f>IFERROR(IF((POZICIE_INTERNE!$B$40-12*('TCO TO BE- SW'!$D157-1))&gt;12,((X$4+'TCO TO BE - HW'!X$4)/($E$4+'TCO TO BE - HW'!$E$4)*SUM(POZICIE_INTERNE!$I$40:$I$51))/POZICIE_INTERNE!$B$40*12,IF((POZICIE_INTERNE!$B$40-12*('TCO TO BE- SW'!$D157-1))&lt;0,0,(POZICIE_INTERNE!$B$40-12*('TCO TO BE- SW'!$D157-1))*((X$4+'TCO TO BE - HW'!X$4)/($E$4+'TCO TO BE - HW'!$E$4)*SUM(POZICIE_INTERNE!$I$40:$I$51))/POZICIE_INTERNE!$B$40)),0)+IFERROR(IF((EXTERNE_POZICIE!$B$41-12*('TCO TO BE- SW'!$D157-1))&gt;12,((X$4+'TCO TO BE - HW'!X$4)/($E$4+'TCO TO BE - HW'!$E$4)*SUM(EXTERNE_POZICIE!$M$41:$M$52)*1.23)/EXTERNE_POZICIE!$B$41*12,IF((EXTERNE_POZICIE!$B$41-12*('TCO TO BE- SW'!$D157-1))&lt;0,0,(EXTERNE_POZICIE!$B$41-12*('TCO TO BE- SW'!$D157-1))*((X$4+'TCO TO BE - HW'!X$4)/($E$4+'TCO TO BE - HW'!$E$4)*SUM(EXTERNE_POZICIE!$M$41:$M$52)*1.23)/EXTERNE_POZICIE!$B$41)),0)+IFERROR(SUM(#REF!)*'TCO TO BE- SW'!X$4/'TCO TO BE- SW'!$E$4,0)</f>
        <v>0</v>
      </c>
      <c r="Y157" s="576">
        <f>IFERROR(IF((POZICIE_INTERNE!$B$40-12*('TCO TO BE- SW'!$D157-1))&gt;12,((Y$4+'TCO TO BE - HW'!Y$4)/($E$4+'TCO TO BE - HW'!$E$4)*SUM(POZICIE_INTERNE!$I$40:$I$51))/POZICIE_INTERNE!$B$40*12,IF((POZICIE_INTERNE!$B$40-12*('TCO TO BE- SW'!$D157-1))&lt;0,0,(POZICIE_INTERNE!$B$40-12*('TCO TO BE- SW'!$D157-1))*((Y$4+'TCO TO BE - HW'!Y$4)/($E$4+'TCO TO BE - HW'!$E$4)*SUM(POZICIE_INTERNE!$I$40:$I$51))/POZICIE_INTERNE!$B$40)),0)+IFERROR(IF((EXTERNE_POZICIE!$B$41-12*('TCO TO BE- SW'!$D157-1))&gt;12,((Y$4+'TCO TO BE - HW'!Y$4)/($E$4+'TCO TO BE - HW'!$E$4)*SUM(EXTERNE_POZICIE!$M$41:$M$52)*1.23)/EXTERNE_POZICIE!$B$41*12,IF((EXTERNE_POZICIE!$B$41-12*('TCO TO BE- SW'!$D157-1))&lt;0,0,(EXTERNE_POZICIE!$B$41-12*('TCO TO BE- SW'!$D157-1))*((Y$4+'TCO TO BE - HW'!Y$4)/($E$4+'TCO TO BE - HW'!$E$4)*SUM(EXTERNE_POZICIE!$M$41:$M$52)*1.23)/EXTERNE_POZICIE!$B$41)),0)+IFERROR(SUM(#REF!)*'TCO TO BE- SW'!Y$4/'TCO TO BE- SW'!$E$4,0)</f>
        <v>0</v>
      </c>
      <c r="Z157" s="576">
        <f>IFERROR(IF((POZICIE_INTERNE!$B$40-12*('TCO TO BE- SW'!$D157-1))&gt;12,((Z$4+'TCO TO BE - HW'!Z$4)/($E$4+'TCO TO BE - HW'!$E$4)*SUM(POZICIE_INTERNE!$I$40:$I$51))/POZICIE_INTERNE!$B$40*12,IF((POZICIE_INTERNE!$B$40-12*('TCO TO BE- SW'!$D157-1))&lt;0,0,(POZICIE_INTERNE!$B$40-12*('TCO TO BE- SW'!$D157-1))*((Z$4+'TCO TO BE - HW'!Z$4)/($E$4+'TCO TO BE - HW'!$E$4)*SUM(POZICIE_INTERNE!$I$40:$I$51))/POZICIE_INTERNE!$B$40)),0)+IFERROR(IF((EXTERNE_POZICIE!$B$41-12*('TCO TO BE- SW'!$D157-1))&gt;12,((Z$4+'TCO TO BE - HW'!Z$4)/($E$4+'TCO TO BE - HW'!$E$4)*SUM(EXTERNE_POZICIE!$M$41:$M$52)*1.23)/EXTERNE_POZICIE!$B$41*12,IF((EXTERNE_POZICIE!$B$41-12*('TCO TO BE- SW'!$D157-1))&lt;0,0,(EXTERNE_POZICIE!$B$41-12*('TCO TO BE- SW'!$D157-1))*((Z$4+'TCO TO BE - HW'!Z$4)/($E$4+'TCO TO BE - HW'!$E$4)*SUM(EXTERNE_POZICIE!$M$41:$M$52)*1.23)/EXTERNE_POZICIE!$B$41)),0)+IFERROR(SUM(#REF!)*'TCO TO BE- SW'!Z$4/'TCO TO BE- SW'!$E$4,0)</f>
        <v>0</v>
      </c>
    </row>
    <row r="158" spans="1:26">
      <c r="A158" s="841"/>
      <c r="B158" s="842"/>
      <c r="C158" s="842"/>
      <c r="D158" s="64">
        <v>8</v>
      </c>
      <c r="E158" s="68">
        <f t="shared" si="16"/>
        <v>0</v>
      </c>
      <c r="F158" s="576">
        <f>IFERROR(IF((POZICIE_INTERNE!$B$40-12*('TCO TO BE- SW'!$D158-1))&gt;12,((F$4+'TCO TO BE - HW'!F$4)/($E$4+'TCO TO BE - HW'!$E$4)*SUM(POZICIE_INTERNE!$I$40:$I$51))/POZICIE_INTERNE!$B$40*12,IF((POZICIE_INTERNE!$B$40-12*('TCO TO BE- SW'!$D158-1))&lt;0,0,(POZICIE_INTERNE!$B$40-12*('TCO TO BE- SW'!$D158-1))*((F$4+'TCO TO BE - HW'!F$4)/($E$4+'TCO TO BE - HW'!$E$4)*SUM(POZICIE_INTERNE!$I$40:$I$51))/POZICIE_INTERNE!$B$40)),0)+IFERROR(IF((EXTERNE_POZICIE!$B$41-12*('TCO TO BE- SW'!$D158-1))&gt;12,((F$4+'TCO TO BE - HW'!F$4)/($E$4+'TCO TO BE - HW'!$E$4)*SUM(EXTERNE_POZICIE!$M$41:$M$52)*1.23)/EXTERNE_POZICIE!$B$41*12,IF((EXTERNE_POZICIE!$B$41-12*('TCO TO BE- SW'!$D158-1))&lt;0,0,(EXTERNE_POZICIE!$B$41-12*('TCO TO BE- SW'!$D158-1))*((F$4+'TCO TO BE - HW'!F$4)/($E$4+'TCO TO BE - HW'!$E$4)*SUM(EXTERNE_POZICIE!$M$41:$M$52)*1.23)/EXTERNE_POZICIE!$B$41)),0)+IFERROR(SUM(#REF!)*'TCO TO BE- SW'!F$4/'TCO TO BE- SW'!$E$4,0)</f>
        <v>0</v>
      </c>
      <c r="G158" s="576">
        <f>IFERROR(IF((POZICIE_INTERNE!$B$40-12*('TCO TO BE- SW'!$D158-1))&gt;12,((G$4+'TCO TO BE - HW'!G$4)/($E$4+'TCO TO BE - HW'!$E$4)*SUM(POZICIE_INTERNE!$I$40:$I$51))/POZICIE_INTERNE!$B$40*12,IF((POZICIE_INTERNE!$B$40-12*('TCO TO BE- SW'!$D158-1))&lt;0,0,(POZICIE_INTERNE!$B$40-12*('TCO TO BE- SW'!$D158-1))*((G$4+'TCO TO BE - HW'!G$4)/($E$4+'TCO TO BE - HW'!$E$4)*SUM(POZICIE_INTERNE!$I$40:$I$51))/POZICIE_INTERNE!$B$40)),0)+IFERROR(IF((EXTERNE_POZICIE!$B$41-12*('TCO TO BE- SW'!$D158-1))&gt;12,((G$4+'TCO TO BE - HW'!G$4)/($E$4+'TCO TO BE - HW'!$E$4)*SUM(EXTERNE_POZICIE!$M$41:$M$52)*1.23)/EXTERNE_POZICIE!$B$41*12,IF((EXTERNE_POZICIE!$B$41-12*('TCO TO BE- SW'!$D158-1))&lt;0,0,(EXTERNE_POZICIE!$B$41-12*('TCO TO BE- SW'!$D158-1))*((G$4+'TCO TO BE - HW'!G$4)/($E$4+'TCO TO BE - HW'!$E$4)*SUM(EXTERNE_POZICIE!$M$41:$M$52)*1.23)/EXTERNE_POZICIE!$B$41)),0)+IFERROR(SUM(#REF!)*'TCO TO BE- SW'!G$4/'TCO TO BE- SW'!$E$4,0)</f>
        <v>0</v>
      </c>
      <c r="H158" s="576">
        <f>IFERROR(IF((POZICIE_INTERNE!$B$40-12*('TCO TO BE- SW'!$D158-1))&gt;12,((H$4+'TCO TO BE - HW'!H$4)/($E$4+'TCO TO BE - HW'!$E$4)*SUM(POZICIE_INTERNE!$I$40:$I$51))/POZICIE_INTERNE!$B$40*12,IF((POZICIE_INTERNE!$B$40-12*('TCO TO BE- SW'!$D158-1))&lt;0,0,(POZICIE_INTERNE!$B$40-12*('TCO TO BE- SW'!$D158-1))*((H$4+'TCO TO BE - HW'!H$4)/($E$4+'TCO TO BE - HW'!$E$4)*SUM(POZICIE_INTERNE!$I$40:$I$51))/POZICIE_INTERNE!$B$40)),0)+IFERROR(IF((EXTERNE_POZICIE!$B$41-12*('TCO TO BE- SW'!$D158-1))&gt;12,((H$4+'TCO TO BE - HW'!H$4)/($E$4+'TCO TO BE - HW'!$E$4)*SUM(EXTERNE_POZICIE!$M$41:$M$52)*1.23)/EXTERNE_POZICIE!$B$41*12,IF((EXTERNE_POZICIE!$B$41-12*('TCO TO BE- SW'!$D158-1))&lt;0,0,(EXTERNE_POZICIE!$B$41-12*('TCO TO BE- SW'!$D158-1))*((H$4+'TCO TO BE - HW'!H$4)/($E$4+'TCO TO BE - HW'!$E$4)*SUM(EXTERNE_POZICIE!$M$41:$M$52)*1.23)/EXTERNE_POZICIE!$B$41)),0)+IFERROR(SUM(#REF!)*'TCO TO BE- SW'!H$4/'TCO TO BE- SW'!$E$4,0)</f>
        <v>0</v>
      </c>
      <c r="I158" s="576">
        <f>IFERROR(IF((POZICIE_INTERNE!$B$40-12*('TCO TO BE- SW'!$D158-1))&gt;12,((I$4+'TCO TO BE - HW'!I$4)/($E$4+'TCO TO BE - HW'!$E$4)*SUM(POZICIE_INTERNE!$I$40:$I$51))/POZICIE_INTERNE!$B$40*12,IF((POZICIE_INTERNE!$B$40-12*('TCO TO BE- SW'!$D158-1))&lt;0,0,(POZICIE_INTERNE!$B$40-12*('TCO TO BE- SW'!$D158-1))*((I$4+'TCO TO BE - HW'!I$4)/($E$4+'TCO TO BE - HW'!$E$4)*SUM(POZICIE_INTERNE!$I$40:$I$51))/POZICIE_INTERNE!$B$40)),0)+IFERROR(IF((EXTERNE_POZICIE!$B$41-12*('TCO TO BE- SW'!$D158-1))&gt;12,((I$4+'TCO TO BE - HW'!I$4)/($E$4+'TCO TO BE - HW'!$E$4)*SUM(EXTERNE_POZICIE!$M$41:$M$52)*1.23)/EXTERNE_POZICIE!$B$41*12,IF((EXTERNE_POZICIE!$B$41-12*('TCO TO BE- SW'!$D158-1))&lt;0,0,(EXTERNE_POZICIE!$B$41-12*('TCO TO BE- SW'!$D158-1))*((I$4+'TCO TO BE - HW'!I$4)/($E$4+'TCO TO BE - HW'!$E$4)*SUM(EXTERNE_POZICIE!$M$41:$M$52)*1.23)/EXTERNE_POZICIE!$B$41)),0)+IFERROR(SUM(#REF!)*'TCO TO BE- SW'!I$4/'TCO TO BE- SW'!$E$4,0)</f>
        <v>0</v>
      </c>
      <c r="J158" s="576">
        <f>IFERROR(IF((POZICIE_INTERNE!$B$40-12*('TCO TO BE- SW'!$D158-1))&gt;12,((J$4+'TCO TO BE - HW'!J$4)/($E$4+'TCO TO BE - HW'!$E$4)*SUM(POZICIE_INTERNE!$I$40:$I$51))/POZICIE_INTERNE!$B$40*12,IF((POZICIE_INTERNE!$B$40-12*('TCO TO BE- SW'!$D158-1))&lt;0,0,(POZICIE_INTERNE!$B$40-12*('TCO TO BE- SW'!$D158-1))*((J$4+'TCO TO BE - HW'!J$4)/($E$4+'TCO TO BE - HW'!$E$4)*SUM(POZICIE_INTERNE!$I$40:$I$51))/POZICIE_INTERNE!$B$40)),0)+IFERROR(IF((EXTERNE_POZICIE!$B$41-12*('TCO TO BE- SW'!$D158-1))&gt;12,((J$4+'TCO TO BE - HW'!J$4)/($E$4+'TCO TO BE - HW'!$E$4)*SUM(EXTERNE_POZICIE!$M$41:$M$52)*1.23)/EXTERNE_POZICIE!$B$41*12,IF((EXTERNE_POZICIE!$B$41-12*('TCO TO BE- SW'!$D158-1))&lt;0,0,(EXTERNE_POZICIE!$B$41-12*('TCO TO BE- SW'!$D158-1))*((J$4+'TCO TO BE - HW'!J$4)/($E$4+'TCO TO BE - HW'!$E$4)*SUM(EXTERNE_POZICIE!$M$41:$M$52)*1.23)/EXTERNE_POZICIE!$B$41)),0)+IFERROR(SUM(#REF!)*'TCO TO BE- SW'!J$4/'TCO TO BE- SW'!$E$4,0)</f>
        <v>0</v>
      </c>
      <c r="K158" s="576">
        <f>IFERROR(IF((POZICIE_INTERNE!$B$40-12*('TCO TO BE- SW'!$D158-1))&gt;12,((K$4+'TCO TO BE - HW'!K$4)/($E$4+'TCO TO BE - HW'!$E$4)*SUM(POZICIE_INTERNE!$I$40:$I$51))/POZICIE_INTERNE!$B$40*12,IF((POZICIE_INTERNE!$B$40-12*('TCO TO BE- SW'!$D158-1))&lt;0,0,(POZICIE_INTERNE!$B$40-12*('TCO TO BE- SW'!$D158-1))*((K$4+'TCO TO BE - HW'!K$4)/($E$4+'TCO TO BE - HW'!$E$4)*SUM(POZICIE_INTERNE!$I$40:$I$51))/POZICIE_INTERNE!$B$40)),0)+IFERROR(IF((EXTERNE_POZICIE!$B$41-12*('TCO TO BE- SW'!$D158-1))&gt;12,((K$4+'TCO TO BE - HW'!K$4)/($E$4+'TCO TO BE - HW'!$E$4)*SUM(EXTERNE_POZICIE!$M$41:$M$52)*1.23)/EXTERNE_POZICIE!$B$41*12,IF((EXTERNE_POZICIE!$B$41-12*('TCO TO BE- SW'!$D158-1))&lt;0,0,(EXTERNE_POZICIE!$B$41-12*('TCO TO BE- SW'!$D158-1))*((K$4+'TCO TO BE - HW'!K$4)/($E$4+'TCO TO BE - HW'!$E$4)*SUM(EXTERNE_POZICIE!$M$41:$M$52)*1.23)/EXTERNE_POZICIE!$B$41)),0)+IFERROR(SUM(#REF!)*'TCO TO BE- SW'!K$4/'TCO TO BE- SW'!$E$4,0)</f>
        <v>0</v>
      </c>
      <c r="L158" s="576">
        <f>IFERROR(IF((POZICIE_INTERNE!$B$40-12*('TCO TO BE- SW'!$D158-1))&gt;12,((L$4+'TCO TO BE - HW'!L$4)/($E$4+'TCO TO BE - HW'!$E$4)*SUM(POZICIE_INTERNE!$I$40:$I$51))/POZICIE_INTERNE!$B$40*12,IF((POZICIE_INTERNE!$B$40-12*('TCO TO BE- SW'!$D158-1))&lt;0,0,(POZICIE_INTERNE!$B$40-12*('TCO TO BE- SW'!$D158-1))*((L$4+'TCO TO BE - HW'!L$4)/($E$4+'TCO TO BE - HW'!$E$4)*SUM(POZICIE_INTERNE!$I$40:$I$51))/POZICIE_INTERNE!$B$40)),0)+IFERROR(IF((EXTERNE_POZICIE!$B$41-12*('TCO TO BE- SW'!$D158-1))&gt;12,((L$4+'TCO TO BE - HW'!L$4)/($E$4+'TCO TO BE - HW'!$E$4)*SUM(EXTERNE_POZICIE!$M$41:$M$52)*1.23)/EXTERNE_POZICIE!$B$41*12,IF((EXTERNE_POZICIE!$B$41-12*('TCO TO BE- SW'!$D158-1))&lt;0,0,(EXTERNE_POZICIE!$B$41-12*('TCO TO BE- SW'!$D158-1))*((L$4+'TCO TO BE - HW'!L$4)/($E$4+'TCO TO BE - HW'!$E$4)*SUM(EXTERNE_POZICIE!$M$41:$M$52)*1.23)/EXTERNE_POZICIE!$B$41)),0)+IFERROR(SUM(#REF!)*'TCO TO BE- SW'!L$4/'TCO TO BE- SW'!$E$4,0)</f>
        <v>0</v>
      </c>
      <c r="M158" s="576">
        <f>IFERROR(IF((POZICIE_INTERNE!$B$40-12*('TCO TO BE- SW'!$D158-1))&gt;12,((M$4+'TCO TO BE - HW'!M$4)/($E$4+'TCO TO BE - HW'!$E$4)*SUM(POZICIE_INTERNE!$I$40:$I$51))/POZICIE_INTERNE!$B$40*12,IF((POZICIE_INTERNE!$B$40-12*('TCO TO BE- SW'!$D158-1))&lt;0,0,(POZICIE_INTERNE!$B$40-12*('TCO TO BE- SW'!$D158-1))*((M$4+'TCO TO BE - HW'!M$4)/($E$4+'TCO TO BE - HW'!$E$4)*SUM(POZICIE_INTERNE!$I$40:$I$51))/POZICIE_INTERNE!$B$40)),0)+IFERROR(IF((EXTERNE_POZICIE!$B$41-12*('TCO TO BE- SW'!$D158-1))&gt;12,((M$4+'TCO TO BE - HW'!M$4)/($E$4+'TCO TO BE - HW'!$E$4)*SUM(EXTERNE_POZICIE!$M$41:$M$52)*1.23)/EXTERNE_POZICIE!$B$41*12,IF((EXTERNE_POZICIE!$B$41-12*('TCO TO BE- SW'!$D158-1))&lt;0,0,(EXTERNE_POZICIE!$B$41-12*('TCO TO BE- SW'!$D158-1))*((M$4+'TCO TO BE - HW'!M$4)/($E$4+'TCO TO BE - HW'!$E$4)*SUM(EXTERNE_POZICIE!$M$41:$M$52)*1.23)/EXTERNE_POZICIE!$B$41)),0)+IFERROR(SUM(#REF!)*'TCO TO BE- SW'!M$4/'TCO TO BE- SW'!$E$4,0)</f>
        <v>0</v>
      </c>
      <c r="N158" s="576">
        <f>IFERROR(IF((POZICIE_INTERNE!$B$40-12*('TCO TO BE- SW'!$D158-1))&gt;12,((N$4+'TCO TO BE - HW'!N$4)/($E$4+'TCO TO BE - HW'!$E$4)*SUM(POZICIE_INTERNE!$I$40:$I$51))/POZICIE_INTERNE!$B$40*12,IF((POZICIE_INTERNE!$B$40-12*('TCO TO BE- SW'!$D158-1))&lt;0,0,(POZICIE_INTERNE!$B$40-12*('TCO TO BE- SW'!$D158-1))*((N$4+'TCO TO BE - HW'!N$4)/($E$4+'TCO TO BE - HW'!$E$4)*SUM(POZICIE_INTERNE!$I$40:$I$51))/POZICIE_INTERNE!$B$40)),0)+IFERROR(IF((EXTERNE_POZICIE!$B$41-12*('TCO TO BE- SW'!$D158-1))&gt;12,((N$4+'TCO TO BE - HW'!N$4)/($E$4+'TCO TO BE - HW'!$E$4)*SUM(EXTERNE_POZICIE!$M$41:$M$52)*1.23)/EXTERNE_POZICIE!$B$41*12,IF((EXTERNE_POZICIE!$B$41-12*('TCO TO BE- SW'!$D158-1))&lt;0,0,(EXTERNE_POZICIE!$B$41-12*('TCO TO BE- SW'!$D158-1))*((N$4+'TCO TO BE - HW'!N$4)/($E$4+'TCO TO BE - HW'!$E$4)*SUM(EXTERNE_POZICIE!$M$41:$M$52)*1.23)/EXTERNE_POZICIE!$B$41)),0)+IFERROR(SUM(#REF!)*'TCO TO BE- SW'!N$4/'TCO TO BE- SW'!$E$4,0)</f>
        <v>0</v>
      </c>
      <c r="O158" s="576">
        <f>IFERROR(IF((POZICIE_INTERNE!$B$40-12*('TCO TO BE- SW'!$D158-1))&gt;12,((O$4+'TCO TO BE - HW'!O$4)/($E$4+'TCO TO BE - HW'!$E$4)*SUM(POZICIE_INTERNE!$I$40:$I$51))/POZICIE_INTERNE!$B$40*12,IF((POZICIE_INTERNE!$B$40-12*('TCO TO BE- SW'!$D158-1))&lt;0,0,(POZICIE_INTERNE!$B$40-12*('TCO TO BE- SW'!$D158-1))*((O$4+'TCO TO BE - HW'!O$4)/($E$4+'TCO TO BE - HW'!$E$4)*SUM(POZICIE_INTERNE!$I$40:$I$51))/POZICIE_INTERNE!$B$40)),0)+IFERROR(IF((EXTERNE_POZICIE!$B$41-12*('TCO TO BE- SW'!$D158-1))&gt;12,((O$4+'TCO TO BE - HW'!O$4)/($E$4+'TCO TO BE - HW'!$E$4)*SUM(EXTERNE_POZICIE!$M$41:$M$52)*1.23)/EXTERNE_POZICIE!$B$41*12,IF((EXTERNE_POZICIE!$B$41-12*('TCO TO BE- SW'!$D158-1))&lt;0,0,(EXTERNE_POZICIE!$B$41-12*('TCO TO BE- SW'!$D158-1))*((O$4+'TCO TO BE - HW'!O$4)/($E$4+'TCO TO BE - HW'!$E$4)*SUM(EXTERNE_POZICIE!$M$41:$M$52)*1.23)/EXTERNE_POZICIE!$B$41)),0)+IFERROR(SUM(#REF!)*'TCO TO BE- SW'!O$4/'TCO TO BE- SW'!$E$4,0)</f>
        <v>0</v>
      </c>
      <c r="P158" s="576">
        <f>IFERROR(IF((POZICIE_INTERNE!$B$40-12*('TCO TO BE- SW'!$D158-1))&gt;12,((P$4+'TCO TO BE - HW'!P$4)/($E$4+'TCO TO BE - HW'!$E$4)*SUM(POZICIE_INTERNE!$I$40:$I$51))/POZICIE_INTERNE!$B$40*12,IF((POZICIE_INTERNE!$B$40-12*('TCO TO BE- SW'!$D158-1))&lt;0,0,(POZICIE_INTERNE!$B$40-12*('TCO TO BE- SW'!$D158-1))*((P$4+'TCO TO BE - HW'!P$4)/($E$4+'TCO TO BE - HW'!$E$4)*SUM(POZICIE_INTERNE!$I$40:$I$51))/POZICIE_INTERNE!$B$40)),0)+IFERROR(IF((EXTERNE_POZICIE!$B$41-12*('TCO TO BE- SW'!$D158-1))&gt;12,((P$4+'TCO TO BE - HW'!P$4)/($E$4+'TCO TO BE - HW'!$E$4)*SUM(EXTERNE_POZICIE!$M$41:$M$52)*1.23)/EXTERNE_POZICIE!$B$41*12,IF((EXTERNE_POZICIE!$B$41-12*('TCO TO BE- SW'!$D158-1))&lt;0,0,(EXTERNE_POZICIE!$B$41-12*('TCO TO BE- SW'!$D158-1))*((P$4+'TCO TO BE - HW'!P$4)/($E$4+'TCO TO BE - HW'!$E$4)*SUM(EXTERNE_POZICIE!$M$41:$M$52)*1.23)/EXTERNE_POZICIE!$B$41)),0)+IFERROR(SUM(#REF!)*'TCO TO BE- SW'!P$4/'TCO TO BE- SW'!$E$4,0)</f>
        <v>0</v>
      </c>
      <c r="Q158" s="576">
        <f>IFERROR(IF((POZICIE_INTERNE!$B$40-12*('TCO TO BE- SW'!$D158-1))&gt;12,((Q$4+'TCO TO BE - HW'!Q$4)/($E$4+'TCO TO BE - HW'!$E$4)*SUM(POZICIE_INTERNE!$I$40:$I$51))/POZICIE_INTERNE!$B$40*12,IF((POZICIE_INTERNE!$B$40-12*('TCO TO BE- SW'!$D158-1))&lt;0,0,(POZICIE_INTERNE!$B$40-12*('TCO TO BE- SW'!$D158-1))*((Q$4+'TCO TO BE - HW'!Q$4)/($E$4+'TCO TO BE - HW'!$E$4)*SUM(POZICIE_INTERNE!$I$40:$I$51))/POZICIE_INTERNE!$B$40)),0)+IFERROR(IF((EXTERNE_POZICIE!$B$41-12*('TCO TO BE- SW'!$D158-1))&gt;12,((Q$4+'TCO TO BE - HW'!Q$4)/($E$4+'TCO TO BE - HW'!$E$4)*SUM(EXTERNE_POZICIE!$M$41:$M$52)*1.23)/EXTERNE_POZICIE!$B$41*12,IF((EXTERNE_POZICIE!$B$41-12*('TCO TO BE- SW'!$D158-1))&lt;0,0,(EXTERNE_POZICIE!$B$41-12*('TCO TO BE- SW'!$D158-1))*((Q$4+'TCO TO BE - HW'!Q$4)/($E$4+'TCO TO BE - HW'!$E$4)*SUM(EXTERNE_POZICIE!$M$41:$M$52)*1.23)/EXTERNE_POZICIE!$B$41)),0)+IFERROR(SUM(#REF!)*'TCO TO BE- SW'!Q$4/'TCO TO BE- SW'!$E$4,0)</f>
        <v>0</v>
      </c>
      <c r="R158" s="576">
        <f>IFERROR(IF((POZICIE_INTERNE!$B$40-12*('TCO TO BE- SW'!$D158-1))&gt;12,((R$4+'TCO TO BE - HW'!R$4)/($E$4+'TCO TO BE - HW'!$E$4)*SUM(POZICIE_INTERNE!$I$40:$I$51))/POZICIE_INTERNE!$B$40*12,IF((POZICIE_INTERNE!$B$40-12*('TCO TO BE- SW'!$D158-1))&lt;0,0,(POZICIE_INTERNE!$B$40-12*('TCO TO BE- SW'!$D158-1))*((R$4+'TCO TO BE - HW'!R$4)/($E$4+'TCO TO BE - HW'!$E$4)*SUM(POZICIE_INTERNE!$I$40:$I$51))/POZICIE_INTERNE!$B$40)),0)+IFERROR(IF((EXTERNE_POZICIE!$B$41-12*('TCO TO BE- SW'!$D158-1))&gt;12,((R$4+'TCO TO BE - HW'!R$4)/($E$4+'TCO TO BE - HW'!$E$4)*SUM(EXTERNE_POZICIE!$M$41:$M$52)*1.23)/EXTERNE_POZICIE!$B$41*12,IF((EXTERNE_POZICIE!$B$41-12*('TCO TO BE- SW'!$D158-1))&lt;0,0,(EXTERNE_POZICIE!$B$41-12*('TCO TO BE- SW'!$D158-1))*((R$4+'TCO TO BE - HW'!R$4)/($E$4+'TCO TO BE - HW'!$E$4)*SUM(EXTERNE_POZICIE!$M$41:$M$52)*1.23)/EXTERNE_POZICIE!$B$41)),0)+IFERROR(SUM(#REF!)*'TCO TO BE- SW'!R$4/'TCO TO BE- SW'!$E$4,0)</f>
        <v>0</v>
      </c>
      <c r="S158" s="576">
        <f>IFERROR(IF((POZICIE_INTERNE!$B$40-12*('TCO TO BE- SW'!$D158-1))&gt;12,((S$4+'TCO TO BE - HW'!S$4)/($E$4+'TCO TO BE - HW'!$E$4)*SUM(POZICIE_INTERNE!$I$40:$I$51))/POZICIE_INTERNE!$B$40*12,IF((POZICIE_INTERNE!$B$40-12*('TCO TO BE- SW'!$D158-1))&lt;0,0,(POZICIE_INTERNE!$B$40-12*('TCO TO BE- SW'!$D158-1))*((S$4+'TCO TO BE - HW'!S$4)/($E$4+'TCO TO BE - HW'!$E$4)*SUM(POZICIE_INTERNE!$I$40:$I$51))/POZICIE_INTERNE!$B$40)),0)+IFERROR(IF((EXTERNE_POZICIE!$B$41-12*('TCO TO BE- SW'!$D158-1))&gt;12,((S$4+'TCO TO BE - HW'!S$4)/($E$4+'TCO TO BE - HW'!$E$4)*SUM(EXTERNE_POZICIE!$M$41:$M$52)*1.23)/EXTERNE_POZICIE!$B$41*12,IF((EXTERNE_POZICIE!$B$41-12*('TCO TO BE- SW'!$D158-1))&lt;0,0,(EXTERNE_POZICIE!$B$41-12*('TCO TO BE- SW'!$D158-1))*((S$4+'TCO TO BE - HW'!S$4)/($E$4+'TCO TO BE - HW'!$E$4)*SUM(EXTERNE_POZICIE!$M$41:$M$52)*1.23)/EXTERNE_POZICIE!$B$41)),0)+IFERROR(SUM(#REF!)*'TCO TO BE- SW'!S$4/'TCO TO BE- SW'!$E$4,0)</f>
        <v>0</v>
      </c>
      <c r="T158" s="576">
        <f>IFERROR(IF((POZICIE_INTERNE!$B$40-12*('TCO TO BE- SW'!$D158-1))&gt;12,((T$4+'TCO TO BE - HW'!T$4)/($E$4+'TCO TO BE - HW'!$E$4)*SUM(POZICIE_INTERNE!$I$40:$I$51))/POZICIE_INTERNE!$B$40*12,IF((POZICIE_INTERNE!$B$40-12*('TCO TO BE- SW'!$D158-1))&lt;0,0,(POZICIE_INTERNE!$B$40-12*('TCO TO BE- SW'!$D158-1))*((T$4+'TCO TO BE - HW'!T$4)/($E$4+'TCO TO BE - HW'!$E$4)*SUM(POZICIE_INTERNE!$I$40:$I$51))/POZICIE_INTERNE!$B$40)),0)+IFERROR(IF((EXTERNE_POZICIE!$B$41-12*('TCO TO BE- SW'!$D158-1))&gt;12,((T$4+'TCO TO BE - HW'!T$4)/($E$4+'TCO TO BE - HW'!$E$4)*SUM(EXTERNE_POZICIE!$M$41:$M$52)*1.23)/EXTERNE_POZICIE!$B$41*12,IF((EXTERNE_POZICIE!$B$41-12*('TCO TO BE- SW'!$D158-1))&lt;0,0,(EXTERNE_POZICIE!$B$41-12*('TCO TO BE- SW'!$D158-1))*((T$4+'TCO TO BE - HW'!T$4)/($E$4+'TCO TO BE - HW'!$E$4)*SUM(EXTERNE_POZICIE!$M$41:$M$52)*1.23)/EXTERNE_POZICIE!$B$41)),0)+IFERROR(SUM(#REF!)*'TCO TO BE- SW'!T$4/'TCO TO BE- SW'!$E$4,0)</f>
        <v>0</v>
      </c>
      <c r="U158" s="576">
        <f>IFERROR(IF((POZICIE_INTERNE!$B$40-12*('TCO TO BE- SW'!$D158-1))&gt;12,((U$4+'TCO TO BE - HW'!U$4)/($E$4+'TCO TO BE - HW'!$E$4)*SUM(POZICIE_INTERNE!$I$40:$I$51))/POZICIE_INTERNE!$B$40*12,IF((POZICIE_INTERNE!$B$40-12*('TCO TO BE- SW'!$D158-1))&lt;0,0,(POZICIE_INTERNE!$B$40-12*('TCO TO BE- SW'!$D158-1))*((U$4+'TCO TO BE - HW'!U$4)/($E$4+'TCO TO BE - HW'!$E$4)*SUM(POZICIE_INTERNE!$I$40:$I$51))/POZICIE_INTERNE!$B$40)),0)+IFERROR(IF((EXTERNE_POZICIE!$B$41-12*('TCO TO BE- SW'!$D158-1))&gt;12,((U$4+'TCO TO BE - HW'!U$4)/($E$4+'TCO TO BE - HW'!$E$4)*SUM(EXTERNE_POZICIE!$M$41:$M$52)*1.23)/EXTERNE_POZICIE!$B$41*12,IF((EXTERNE_POZICIE!$B$41-12*('TCO TO BE- SW'!$D158-1))&lt;0,0,(EXTERNE_POZICIE!$B$41-12*('TCO TO BE- SW'!$D158-1))*((U$4+'TCO TO BE - HW'!U$4)/($E$4+'TCO TO BE - HW'!$E$4)*SUM(EXTERNE_POZICIE!$M$41:$M$52)*1.23)/EXTERNE_POZICIE!$B$41)),0)+IFERROR(SUM(#REF!)*'TCO TO BE- SW'!U$4/'TCO TO BE- SW'!$E$4,0)</f>
        <v>0</v>
      </c>
      <c r="V158" s="576">
        <f>IFERROR(IF((POZICIE_INTERNE!$B$40-12*('TCO TO BE- SW'!$D158-1))&gt;12,((V$4+'TCO TO BE - HW'!V$4)/($E$4+'TCO TO BE - HW'!$E$4)*SUM(POZICIE_INTERNE!$I$40:$I$51))/POZICIE_INTERNE!$B$40*12,IF((POZICIE_INTERNE!$B$40-12*('TCO TO BE- SW'!$D158-1))&lt;0,0,(POZICIE_INTERNE!$B$40-12*('TCO TO BE- SW'!$D158-1))*((V$4+'TCO TO BE - HW'!V$4)/($E$4+'TCO TO BE - HW'!$E$4)*SUM(POZICIE_INTERNE!$I$40:$I$51))/POZICIE_INTERNE!$B$40)),0)+IFERROR(IF((EXTERNE_POZICIE!$B$41-12*('TCO TO BE- SW'!$D158-1))&gt;12,((V$4+'TCO TO BE - HW'!V$4)/($E$4+'TCO TO BE - HW'!$E$4)*SUM(EXTERNE_POZICIE!$M$41:$M$52)*1.23)/EXTERNE_POZICIE!$B$41*12,IF((EXTERNE_POZICIE!$B$41-12*('TCO TO BE- SW'!$D158-1))&lt;0,0,(EXTERNE_POZICIE!$B$41-12*('TCO TO BE- SW'!$D158-1))*((V$4+'TCO TO BE - HW'!V$4)/($E$4+'TCO TO BE - HW'!$E$4)*SUM(EXTERNE_POZICIE!$M$41:$M$52)*1.23)/EXTERNE_POZICIE!$B$41)),0)+IFERROR(SUM(#REF!)*'TCO TO BE- SW'!V$4/'TCO TO BE- SW'!$E$4,0)</f>
        <v>0</v>
      </c>
      <c r="W158" s="576">
        <f>IFERROR(IF((POZICIE_INTERNE!$B$40-12*('TCO TO BE- SW'!$D158-1))&gt;12,((W$4+'TCO TO BE - HW'!W$4)/($E$4+'TCO TO BE - HW'!$E$4)*SUM(POZICIE_INTERNE!$I$40:$I$51))/POZICIE_INTERNE!$B$40*12,IF((POZICIE_INTERNE!$B$40-12*('TCO TO BE- SW'!$D158-1))&lt;0,0,(POZICIE_INTERNE!$B$40-12*('TCO TO BE- SW'!$D158-1))*((W$4+'TCO TO BE - HW'!W$4)/($E$4+'TCO TO BE - HW'!$E$4)*SUM(POZICIE_INTERNE!$I$40:$I$51))/POZICIE_INTERNE!$B$40)),0)+IFERROR(IF((EXTERNE_POZICIE!$B$41-12*('TCO TO BE- SW'!$D158-1))&gt;12,((W$4+'TCO TO BE - HW'!W$4)/($E$4+'TCO TO BE - HW'!$E$4)*SUM(EXTERNE_POZICIE!$M$41:$M$52)*1.23)/EXTERNE_POZICIE!$B$41*12,IF((EXTERNE_POZICIE!$B$41-12*('TCO TO BE- SW'!$D158-1))&lt;0,0,(EXTERNE_POZICIE!$B$41-12*('TCO TO BE- SW'!$D158-1))*((W$4+'TCO TO BE - HW'!W$4)/($E$4+'TCO TO BE - HW'!$E$4)*SUM(EXTERNE_POZICIE!$M$41:$M$52)*1.23)/EXTERNE_POZICIE!$B$41)),0)+IFERROR(SUM(#REF!)*'TCO TO BE- SW'!W$4/'TCO TO BE- SW'!$E$4,0)</f>
        <v>0</v>
      </c>
      <c r="X158" s="576">
        <f>IFERROR(IF((POZICIE_INTERNE!$B$40-12*('TCO TO BE- SW'!$D158-1))&gt;12,((X$4+'TCO TO BE - HW'!X$4)/($E$4+'TCO TO BE - HW'!$E$4)*SUM(POZICIE_INTERNE!$I$40:$I$51))/POZICIE_INTERNE!$B$40*12,IF((POZICIE_INTERNE!$B$40-12*('TCO TO BE- SW'!$D158-1))&lt;0,0,(POZICIE_INTERNE!$B$40-12*('TCO TO BE- SW'!$D158-1))*((X$4+'TCO TO BE - HW'!X$4)/($E$4+'TCO TO BE - HW'!$E$4)*SUM(POZICIE_INTERNE!$I$40:$I$51))/POZICIE_INTERNE!$B$40)),0)+IFERROR(IF((EXTERNE_POZICIE!$B$41-12*('TCO TO BE- SW'!$D158-1))&gt;12,((X$4+'TCO TO BE - HW'!X$4)/($E$4+'TCO TO BE - HW'!$E$4)*SUM(EXTERNE_POZICIE!$M$41:$M$52)*1.23)/EXTERNE_POZICIE!$B$41*12,IF((EXTERNE_POZICIE!$B$41-12*('TCO TO BE- SW'!$D158-1))&lt;0,0,(EXTERNE_POZICIE!$B$41-12*('TCO TO BE- SW'!$D158-1))*((X$4+'TCO TO BE - HW'!X$4)/($E$4+'TCO TO BE - HW'!$E$4)*SUM(EXTERNE_POZICIE!$M$41:$M$52)*1.23)/EXTERNE_POZICIE!$B$41)),0)+IFERROR(SUM(#REF!)*'TCO TO BE- SW'!X$4/'TCO TO BE- SW'!$E$4,0)</f>
        <v>0</v>
      </c>
      <c r="Y158" s="576">
        <f>IFERROR(IF((POZICIE_INTERNE!$B$40-12*('TCO TO BE- SW'!$D158-1))&gt;12,((Y$4+'TCO TO BE - HW'!Y$4)/($E$4+'TCO TO BE - HW'!$E$4)*SUM(POZICIE_INTERNE!$I$40:$I$51))/POZICIE_INTERNE!$B$40*12,IF((POZICIE_INTERNE!$B$40-12*('TCO TO BE- SW'!$D158-1))&lt;0,0,(POZICIE_INTERNE!$B$40-12*('TCO TO BE- SW'!$D158-1))*((Y$4+'TCO TO BE - HW'!Y$4)/($E$4+'TCO TO BE - HW'!$E$4)*SUM(POZICIE_INTERNE!$I$40:$I$51))/POZICIE_INTERNE!$B$40)),0)+IFERROR(IF((EXTERNE_POZICIE!$B$41-12*('TCO TO BE- SW'!$D158-1))&gt;12,((Y$4+'TCO TO BE - HW'!Y$4)/($E$4+'TCO TO BE - HW'!$E$4)*SUM(EXTERNE_POZICIE!$M$41:$M$52)*1.23)/EXTERNE_POZICIE!$B$41*12,IF((EXTERNE_POZICIE!$B$41-12*('TCO TO BE- SW'!$D158-1))&lt;0,0,(EXTERNE_POZICIE!$B$41-12*('TCO TO BE- SW'!$D158-1))*((Y$4+'TCO TO BE - HW'!Y$4)/($E$4+'TCO TO BE - HW'!$E$4)*SUM(EXTERNE_POZICIE!$M$41:$M$52)*1.23)/EXTERNE_POZICIE!$B$41)),0)+IFERROR(SUM(#REF!)*'TCO TO BE- SW'!Y$4/'TCO TO BE- SW'!$E$4,0)</f>
        <v>0</v>
      </c>
      <c r="Z158" s="576">
        <f>IFERROR(IF((POZICIE_INTERNE!$B$40-12*('TCO TO BE- SW'!$D158-1))&gt;12,((Z$4+'TCO TO BE - HW'!Z$4)/($E$4+'TCO TO BE - HW'!$E$4)*SUM(POZICIE_INTERNE!$I$40:$I$51))/POZICIE_INTERNE!$B$40*12,IF((POZICIE_INTERNE!$B$40-12*('TCO TO BE- SW'!$D158-1))&lt;0,0,(POZICIE_INTERNE!$B$40-12*('TCO TO BE- SW'!$D158-1))*((Z$4+'TCO TO BE - HW'!Z$4)/($E$4+'TCO TO BE - HW'!$E$4)*SUM(POZICIE_INTERNE!$I$40:$I$51))/POZICIE_INTERNE!$B$40)),0)+IFERROR(IF((EXTERNE_POZICIE!$B$41-12*('TCO TO BE- SW'!$D158-1))&gt;12,((Z$4+'TCO TO BE - HW'!Z$4)/($E$4+'TCO TO BE - HW'!$E$4)*SUM(EXTERNE_POZICIE!$M$41:$M$52)*1.23)/EXTERNE_POZICIE!$B$41*12,IF((EXTERNE_POZICIE!$B$41-12*('TCO TO BE- SW'!$D158-1))&lt;0,0,(EXTERNE_POZICIE!$B$41-12*('TCO TO BE- SW'!$D158-1))*((Z$4+'TCO TO BE - HW'!Z$4)/($E$4+'TCO TO BE - HW'!$E$4)*SUM(EXTERNE_POZICIE!$M$41:$M$52)*1.23)/EXTERNE_POZICIE!$B$41)),0)+IFERROR(SUM(#REF!)*'TCO TO BE- SW'!Z$4/'TCO TO BE- SW'!$E$4,0)</f>
        <v>0</v>
      </c>
    </row>
    <row r="159" spans="1:26">
      <c r="A159" s="841"/>
      <c r="B159" s="842"/>
      <c r="C159" s="842"/>
      <c r="D159" s="64">
        <v>9</v>
      </c>
      <c r="E159" s="68">
        <f t="shared" si="16"/>
        <v>0</v>
      </c>
      <c r="F159" s="576">
        <f>IFERROR(IF((POZICIE_INTERNE!$B$40-12*('TCO TO BE- SW'!$D159-1))&gt;12,((F$4+'TCO TO BE - HW'!F$4)/($E$4+'TCO TO BE - HW'!$E$4)*SUM(POZICIE_INTERNE!$I$40:$I$51))/POZICIE_INTERNE!$B$40*12,IF((POZICIE_INTERNE!$B$40-12*('TCO TO BE- SW'!$D159-1))&lt;0,0,(POZICIE_INTERNE!$B$40-12*('TCO TO BE- SW'!$D159-1))*((F$4+'TCO TO BE - HW'!F$4)/($E$4+'TCO TO BE - HW'!$E$4)*SUM(POZICIE_INTERNE!$I$40:$I$51))/POZICIE_INTERNE!$B$40)),0)+IFERROR(IF((EXTERNE_POZICIE!$B$41-12*('TCO TO BE- SW'!$D159-1))&gt;12,((F$4+'TCO TO BE - HW'!F$4)/($E$4+'TCO TO BE - HW'!$E$4)*SUM(EXTERNE_POZICIE!$M$41:$M$52)*1.23)/EXTERNE_POZICIE!$B$41*12,IF((EXTERNE_POZICIE!$B$41-12*('TCO TO BE- SW'!$D159-1))&lt;0,0,(EXTERNE_POZICIE!$B$41-12*('TCO TO BE- SW'!$D159-1))*((F$4+'TCO TO BE - HW'!F$4)/($E$4+'TCO TO BE - HW'!$E$4)*SUM(EXTERNE_POZICIE!$M$41:$M$52)*1.23)/EXTERNE_POZICIE!$B$41)),0)+IFERROR(SUM(#REF!)*'TCO TO BE- SW'!F$4/'TCO TO BE- SW'!$E$4,0)</f>
        <v>0</v>
      </c>
      <c r="G159" s="576">
        <f>IFERROR(IF((POZICIE_INTERNE!$B$40-12*('TCO TO BE- SW'!$D159-1))&gt;12,((G$4+'TCO TO BE - HW'!G$4)/($E$4+'TCO TO BE - HW'!$E$4)*SUM(POZICIE_INTERNE!$I$40:$I$51))/POZICIE_INTERNE!$B$40*12,IF((POZICIE_INTERNE!$B$40-12*('TCO TO BE- SW'!$D159-1))&lt;0,0,(POZICIE_INTERNE!$B$40-12*('TCO TO BE- SW'!$D159-1))*((G$4+'TCO TO BE - HW'!G$4)/($E$4+'TCO TO BE - HW'!$E$4)*SUM(POZICIE_INTERNE!$I$40:$I$51))/POZICIE_INTERNE!$B$40)),0)+IFERROR(IF((EXTERNE_POZICIE!$B$41-12*('TCO TO BE- SW'!$D159-1))&gt;12,((G$4+'TCO TO BE - HW'!G$4)/($E$4+'TCO TO BE - HW'!$E$4)*SUM(EXTERNE_POZICIE!$M$41:$M$52)*1.23)/EXTERNE_POZICIE!$B$41*12,IF((EXTERNE_POZICIE!$B$41-12*('TCO TO BE- SW'!$D159-1))&lt;0,0,(EXTERNE_POZICIE!$B$41-12*('TCO TO BE- SW'!$D159-1))*((G$4+'TCO TO BE - HW'!G$4)/($E$4+'TCO TO BE - HW'!$E$4)*SUM(EXTERNE_POZICIE!$M$41:$M$52)*1.23)/EXTERNE_POZICIE!$B$41)),0)+IFERROR(SUM(#REF!)*'TCO TO BE- SW'!G$4/'TCO TO BE- SW'!$E$4,0)</f>
        <v>0</v>
      </c>
      <c r="H159" s="576">
        <f>IFERROR(IF((POZICIE_INTERNE!$B$40-12*('TCO TO BE- SW'!$D159-1))&gt;12,((H$4+'TCO TO BE - HW'!H$4)/($E$4+'TCO TO BE - HW'!$E$4)*SUM(POZICIE_INTERNE!$I$40:$I$51))/POZICIE_INTERNE!$B$40*12,IF((POZICIE_INTERNE!$B$40-12*('TCO TO BE- SW'!$D159-1))&lt;0,0,(POZICIE_INTERNE!$B$40-12*('TCO TO BE- SW'!$D159-1))*((H$4+'TCO TO BE - HW'!H$4)/($E$4+'TCO TO BE - HW'!$E$4)*SUM(POZICIE_INTERNE!$I$40:$I$51))/POZICIE_INTERNE!$B$40)),0)+IFERROR(IF((EXTERNE_POZICIE!$B$41-12*('TCO TO BE- SW'!$D159-1))&gt;12,((H$4+'TCO TO BE - HW'!H$4)/($E$4+'TCO TO BE - HW'!$E$4)*SUM(EXTERNE_POZICIE!$M$41:$M$52)*1.23)/EXTERNE_POZICIE!$B$41*12,IF((EXTERNE_POZICIE!$B$41-12*('TCO TO BE- SW'!$D159-1))&lt;0,0,(EXTERNE_POZICIE!$B$41-12*('TCO TO BE- SW'!$D159-1))*((H$4+'TCO TO BE - HW'!H$4)/($E$4+'TCO TO BE - HW'!$E$4)*SUM(EXTERNE_POZICIE!$M$41:$M$52)*1.23)/EXTERNE_POZICIE!$B$41)),0)+IFERROR(SUM(#REF!)*'TCO TO BE- SW'!H$4/'TCO TO BE- SW'!$E$4,0)</f>
        <v>0</v>
      </c>
      <c r="I159" s="576">
        <f>IFERROR(IF((POZICIE_INTERNE!$B$40-12*('TCO TO BE- SW'!$D159-1))&gt;12,((I$4+'TCO TO BE - HW'!I$4)/($E$4+'TCO TO BE - HW'!$E$4)*SUM(POZICIE_INTERNE!$I$40:$I$51))/POZICIE_INTERNE!$B$40*12,IF((POZICIE_INTERNE!$B$40-12*('TCO TO BE- SW'!$D159-1))&lt;0,0,(POZICIE_INTERNE!$B$40-12*('TCO TO BE- SW'!$D159-1))*((I$4+'TCO TO BE - HW'!I$4)/($E$4+'TCO TO BE - HW'!$E$4)*SUM(POZICIE_INTERNE!$I$40:$I$51))/POZICIE_INTERNE!$B$40)),0)+IFERROR(IF((EXTERNE_POZICIE!$B$41-12*('TCO TO BE- SW'!$D159-1))&gt;12,((I$4+'TCO TO BE - HW'!I$4)/($E$4+'TCO TO BE - HW'!$E$4)*SUM(EXTERNE_POZICIE!$M$41:$M$52)*1.23)/EXTERNE_POZICIE!$B$41*12,IF((EXTERNE_POZICIE!$B$41-12*('TCO TO BE- SW'!$D159-1))&lt;0,0,(EXTERNE_POZICIE!$B$41-12*('TCO TO BE- SW'!$D159-1))*((I$4+'TCO TO BE - HW'!I$4)/($E$4+'TCO TO BE - HW'!$E$4)*SUM(EXTERNE_POZICIE!$M$41:$M$52)*1.23)/EXTERNE_POZICIE!$B$41)),0)+IFERROR(SUM(#REF!)*'TCO TO BE- SW'!I$4/'TCO TO BE- SW'!$E$4,0)</f>
        <v>0</v>
      </c>
      <c r="J159" s="576">
        <f>IFERROR(IF((POZICIE_INTERNE!$B$40-12*('TCO TO BE- SW'!$D159-1))&gt;12,((J$4+'TCO TO BE - HW'!J$4)/($E$4+'TCO TO BE - HW'!$E$4)*SUM(POZICIE_INTERNE!$I$40:$I$51))/POZICIE_INTERNE!$B$40*12,IF((POZICIE_INTERNE!$B$40-12*('TCO TO BE- SW'!$D159-1))&lt;0,0,(POZICIE_INTERNE!$B$40-12*('TCO TO BE- SW'!$D159-1))*((J$4+'TCO TO BE - HW'!J$4)/($E$4+'TCO TO BE - HW'!$E$4)*SUM(POZICIE_INTERNE!$I$40:$I$51))/POZICIE_INTERNE!$B$40)),0)+IFERROR(IF((EXTERNE_POZICIE!$B$41-12*('TCO TO BE- SW'!$D159-1))&gt;12,((J$4+'TCO TO BE - HW'!J$4)/($E$4+'TCO TO BE - HW'!$E$4)*SUM(EXTERNE_POZICIE!$M$41:$M$52)*1.23)/EXTERNE_POZICIE!$B$41*12,IF((EXTERNE_POZICIE!$B$41-12*('TCO TO BE- SW'!$D159-1))&lt;0,0,(EXTERNE_POZICIE!$B$41-12*('TCO TO BE- SW'!$D159-1))*((J$4+'TCO TO BE - HW'!J$4)/($E$4+'TCO TO BE - HW'!$E$4)*SUM(EXTERNE_POZICIE!$M$41:$M$52)*1.23)/EXTERNE_POZICIE!$B$41)),0)+IFERROR(SUM(#REF!)*'TCO TO BE- SW'!J$4/'TCO TO BE- SW'!$E$4,0)</f>
        <v>0</v>
      </c>
      <c r="K159" s="576">
        <f>IFERROR(IF((POZICIE_INTERNE!$B$40-12*('TCO TO BE- SW'!$D159-1))&gt;12,((K$4+'TCO TO BE - HW'!K$4)/($E$4+'TCO TO BE - HW'!$E$4)*SUM(POZICIE_INTERNE!$I$40:$I$51))/POZICIE_INTERNE!$B$40*12,IF((POZICIE_INTERNE!$B$40-12*('TCO TO BE- SW'!$D159-1))&lt;0,0,(POZICIE_INTERNE!$B$40-12*('TCO TO BE- SW'!$D159-1))*((K$4+'TCO TO BE - HW'!K$4)/($E$4+'TCO TO BE - HW'!$E$4)*SUM(POZICIE_INTERNE!$I$40:$I$51))/POZICIE_INTERNE!$B$40)),0)+IFERROR(IF((EXTERNE_POZICIE!$B$41-12*('TCO TO BE- SW'!$D159-1))&gt;12,((K$4+'TCO TO BE - HW'!K$4)/($E$4+'TCO TO BE - HW'!$E$4)*SUM(EXTERNE_POZICIE!$M$41:$M$52)*1.23)/EXTERNE_POZICIE!$B$41*12,IF((EXTERNE_POZICIE!$B$41-12*('TCO TO BE- SW'!$D159-1))&lt;0,0,(EXTERNE_POZICIE!$B$41-12*('TCO TO BE- SW'!$D159-1))*((K$4+'TCO TO BE - HW'!K$4)/($E$4+'TCO TO BE - HW'!$E$4)*SUM(EXTERNE_POZICIE!$M$41:$M$52)*1.23)/EXTERNE_POZICIE!$B$41)),0)+IFERROR(SUM(#REF!)*'TCO TO BE- SW'!K$4/'TCO TO BE- SW'!$E$4,0)</f>
        <v>0</v>
      </c>
      <c r="L159" s="576">
        <f>IFERROR(IF((POZICIE_INTERNE!$B$40-12*('TCO TO BE- SW'!$D159-1))&gt;12,((L$4+'TCO TO BE - HW'!L$4)/($E$4+'TCO TO BE - HW'!$E$4)*SUM(POZICIE_INTERNE!$I$40:$I$51))/POZICIE_INTERNE!$B$40*12,IF((POZICIE_INTERNE!$B$40-12*('TCO TO BE- SW'!$D159-1))&lt;0,0,(POZICIE_INTERNE!$B$40-12*('TCO TO BE- SW'!$D159-1))*((L$4+'TCO TO BE - HW'!L$4)/($E$4+'TCO TO BE - HW'!$E$4)*SUM(POZICIE_INTERNE!$I$40:$I$51))/POZICIE_INTERNE!$B$40)),0)+IFERROR(IF((EXTERNE_POZICIE!$B$41-12*('TCO TO BE- SW'!$D159-1))&gt;12,((L$4+'TCO TO BE - HW'!L$4)/($E$4+'TCO TO BE - HW'!$E$4)*SUM(EXTERNE_POZICIE!$M$41:$M$52)*1.23)/EXTERNE_POZICIE!$B$41*12,IF((EXTERNE_POZICIE!$B$41-12*('TCO TO BE- SW'!$D159-1))&lt;0,0,(EXTERNE_POZICIE!$B$41-12*('TCO TO BE- SW'!$D159-1))*((L$4+'TCO TO BE - HW'!L$4)/($E$4+'TCO TO BE - HW'!$E$4)*SUM(EXTERNE_POZICIE!$M$41:$M$52)*1.23)/EXTERNE_POZICIE!$B$41)),0)+IFERROR(SUM(#REF!)*'TCO TO BE- SW'!L$4/'TCO TO BE- SW'!$E$4,0)</f>
        <v>0</v>
      </c>
      <c r="M159" s="576">
        <f>IFERROR(IF((POZICIE_INTERNE!$B$40-12*('TCO TO BE- SW'!$D159-1))&gt;12,((M$4+'TCO TO BE - HW'!M$4)/($E$4+'TCO TO BE - HW'!$E$4)*SUM(POZICIE_INTERNE!$I$40:$I$51))/POZICIE_INTERNE!$B$40*12,IF((POZICIE_INTERNE!$B$40-12*('TCO TO BE- SW'!$D159-1))&lt;0,0,(POZICIE_INTERNE!$B$40-12*('TCO TO BE- SW'!$D159-1))*((M$4+'TCO TO BE - HW'!M$4)/($E$4+'TCO TO BE - HW'!$E$4)*SUM(POZICIE_INTERNE!$I$40:$I$51))/POZICIE_INTERNE!$B$40)),0)+IFERROR(IF((EXTERNE_POZICIE!$B$41-12*('TCO TO BE- SW'!$D159-1))&gt;12,((M$4+'TCO TO BE - HW'!M$4)/($E$4+'TCO TO BE - HW'!$E$4)*SUM(EXTERNE_POZICIE!$M$41:$M$52)*1.23)/EXTERNE_POZICIE!$B$41*12,IF((EXTERNE_POZICIE!$B$41-12*('TCO TO BE- SW'!$D159-1))&lt;0,0,(EXTERNE_POZICIE!$B$41-12*('TCO TO BE- SW'!$D159-1))*((M$4+'TCO TO BE - HW'!M$4)/($E$4+'TCO TO BE - HW'!$E$4)*SUM(EXTERNE_POZICIE!$M$41:$M$52)*1.23)/EXTERNE_POZICIE!$B$41)),0)+IFERROR(SUM(#REF!)*'TCO TO BE- SW'!M$4/'TCO TO BE- SW'!$E$4,0)</f>
        <v>0</v>
      </c>
      <c r="N159" s="576">
        <f>IFERROR(IF((POZICIE_INTERNE!$B$40-12*('TCO TO BE- SW'!$D159-1))&gt;12,((N$4+'TCO TO BE - HW'!N$4)/($E$4+'TCO TO BE - HW'!$E$4)*SUM(POZICIE_INTERNE!$I$40:$I$51))/POZICIE_INTERNE!$B$40*12,IF((POZICIE_INTERNE!$B$40-12*('TCO TO BE- SW'!$D159-1))&lt;0,0,(POZICIE_INTERNE!$B$40-12*('TCO TO BE- SW'!$D159-1))*((N$4+'TCO TO BE - HW'!N$4)/($E$4+'TCO TO BE - HW'!$E$4)*SUM(POZICIE_INTERNE!$I$40:$I$51))/POZICIE_INTERNE!$B$40)),0)+IFERROR(IF((EXTERNE_POZICIE!$B$41-12*('TCO TO BE- SW'!$D159-1))&gt;12,((N$4+'TCO TO BE - HW'!N$4)/($E$4+'TCO TO BE - HW'!$E$4)*SUM(EXTERNE_POZICIE!$M$41:$M$52)*1.23)/EXTERNE_POZICIE!$B$41*12,IF((EXTERNE_POZICIE!$B$41-12*('TCO TO BE- SW'!$D159-1))&lt;0,0,(EXTERNE_POZICIE!$B$41-12*('TCO TO BE- SW'!$D159-1))*((N$4+'TCO TO BE - HW'!N$4)/($E$4+'TCO TO BE - HW'!$E$4)*SUM(EXTERNE_POZICIE!$M$41:$M$52)*1.23)/EXTERNE_POZICIE!$B$41)),0)+IFERROR(SUM(#REF!)*'TCO TO BE- SW'!N$4/'TCO TO BE- SW'!$E$4,0)</f>
        <v>0</v>
      </c>
      <c r="O159" s="576">
        <f>IFERROR(IF((POZICIE_INTERNE!$B$40-12*('TCO TO BE- SW'!$D159-1))&gt;12,((O$4+'TCO TO BE - HW'!O$4)/($E$4+'TCO TO BE - HW'!$E$4)*SUM(POZICIE_INTERNE!$I$40:$I$51))/POZICIE_INTERNE!$B$40*12,IF((POZICIE_INTERNE!$B$40-12*('TCO TO BE- SW'!$D159-1))&lt;0,0,(POZICIE_INTERNE!$B$40-12*('TCO TO BE- SW'!$D159-1))*((O$4+'TCO TO BE - HW'!O$4)/($E$4+'TCO TO BE - HW'!$E$4)*SUM(POZICIE_INTERNE!$I$40:$I$51))/POZICIE_INTERNE!$B$40)),0)+IFERROR(IF((EXTERNE_POZICIE!$B$41-12*('TCO TO BE- SW'!$D159-1))&gt;12,((O$4+'TCO TO BE - HW'!O$4)/($E$4+'TCO TO BE - HW'!$E$4)*SUM(EXTERNE_POZICIE!$M$41:$M$52)*1.23)/EXTERNE_POZICIE!$B$41*12,IF((EXTERNE_POZICIE!$B$41-12*('TCO TO BE- SW'!$D159-1))&lt;0,0,(EXTERNE_POZICIE!$B$41-12*('TCO TO BE- SW'!$D159-1))*((O$4+'TCO TO BE - HW'!O$4)/($E$4+'TCO TO BE - HW'!$E$4)*SUM(EXTERNE_POZICIE!$M$41:$M$52)*1.23)/EXTERNE_POZICIE!$B$41)),0)+IFERROR(SUM(#REF!)*'TCO TO BE- SW'!O$4/'TCO TO BE- SW'!$E$4,0)</f>
        <v>0</v>
      </c>
      <c r="P159" s="576">
        <f>IFERROR(IF((POZICIE_INTERNE!$B$40-12*('TCO TO BE- SW'!$D159-1))&gt;12,((P$4+'TCO TO BE - HW'!P$4)/($E$4+'TCO TO BE - HW'!$E$4)*SUM(POZICIE_INTERNE!$I$40:$I$51))/POZICIE_INTERNE!$B$40*12,IF((POZICIE_INTERNE!$B$40-12*('TCO TO BE- SW'!$D159-1))&lt;0,0,(POZICIE_INTERNE!$B$40-12*('TCO TO BE- SW'!$D159-1))*((P$4+'TCO TO BE - HW'!P$4)/($E$4+'TCO TO BE - HW'!$E$4)*SUM(POZICIE_INTERNE!$I$40:$I$51))/POZICIE_INTERNE!$B$40)),0)+IFERROR(IF((EXTERNE_POZICIE!$B$41-12*('TCO TO BE- SW'!$D159-1))&gt;12,((P$4+'TCO TO BE - HW'!P$4)/($E$4+'TCO TO BE - HW'!$E$4)*SUM(EXTERNE_POZICIE!$M$41:$M$52)*1.23)/EXTERNE_POZICIE!$B$41*12,IF((EXTERNE_POZICIE!$B$41-12*('TCO TO BE- SW'!$D159-1))&lt;0,0,(EXTERNE_POZICIE!$B$41-12*('TCO TO BE- SW'!$D159-1))*((P$4+'TCO TO BE - HW'!P$4)/($E$4+'TCO TO BE - HW'!$E$4)*SUM(EXTERNE_POZICIE!$M$41:$M$52)*1.23)/EXTERNE_POZICIE!$B$41)),0)+IFERROR(SUM(#REF!)*'TCO TO BE- SW'!P$4/'TCO TO BE- SW'!$E$4,0)</f>
        <v>0</v>
      </c>
      <c r="Q159" s="576">
        <f>IFERROR(IF((POZICIE_INTERNE!$B$40-12*('TCO TO BE- SW'!$D159-1))&gt;12,((Q$4+'TCO TO BE - HW'!Q$4)/($E$4+'TCO TO BE - HW'!$E$4)*SUM(POZICIE_INTERNE!$I$40:$I$51))/POZICIE_INTERNE!$B$40*12,IF((POZICIE_INTERNE!$B$40-12*('TCO TO BE- SW'!$D159-1))&lt;0,0,(POZICIE_INTERNE!$B$40-12*('TCO TO BE- SW'!$D159-1))*((Q$4+'TCO TO BE - HW'!Q$4)/($E$4+'TCO TO BE - HW'!$E$4)*SUM(POZICIE_INTERNE!$I$40:$I$51))/POZICIE_INTERNE!$B$40)),0)+IFERROR(IF((EXTERNE_POZICIE!$B$41-12*('TCO TO BE- SW'!$D159-1))&gt;12,((Q$4+'TCO TO BE - HW'!Q$4)/($E$4+'TCO TO BE - HW'!$E$4)*SUM(EXTERNE_POZICIE!$M$41:$M$52)*1.23)/EXTERNE_POZICIE!$B$41*12,IF((EXTERNE_POZICIE!$B$41-12*('TCO TO BE- SW'!$D159-1))&lt;0,0,(EXTERNE_POZICIE!$B$41-12*('TCO TO BE- SW'!$D159-1))*((Q$4+'TCO TO BE - HW'!Q$4)/($E$4+'TCO TO BE - HW'!$E$4)*SUM(EXTERNE_POZICIE!$M$41:$M$52)*1.23)/EXTERNE_POZICIE!$B$41)),0)+IFERROR(SUM(#REF!)*'TCO TO BE- SW'!Q$4/'TCO TO BE- SW'!$E$4,0)</f>
        <v>0</v>
      </c>
      <c r="R159" s="576">
        <f>IFERROR(IF((POZICIE_INTERNE!$B$40-12*('TCO TO BE- SW'!$D159-1))&gt;12,((R$4+'TCO TO BE - HW'!R$4)/($E$4+'TCO TO BE - HW'!$E$4)*SUM(POZICIE_INTERNE!$I$40:$I$51))/POZICIE_INTERNE!$B$40*12,IF((POZICIE_INTERNE!$B$40-12*('TCO TO BE- SW'!$D159-1))&lt;0,0,(POZICIE_INTERNE!$B$40-12*('TCO TO BE- SW'!$D159-1))*((R$4+'TCO TO BE - HW'!R$4)/($E$4+'TCO TO BE - HW'!$E$4)*SUM(POZICIE_INTERNE!$I$40:$I$51))/POZICIE_INTERNE!$B$40)),0)+IFERROR(IF((EXTERNE_POZICIE!$B$41-12*('TCO TO BE- SW'!$D159-1))&gt;12,((R$4+'TCO TO BE - HW'!R$4)/($E$4+'TCO TO BE - HW'!$E$4)*SUM(EXTERNE_POZICIE!$M$41:$M$52)*1.23)/EXTERNE_POZICIE!$B$41*12,IF((EXTERNE_POZICIE!$B$41-12*('TCO TO BE- SW'!$D159-1))&lt;0,0,(EXTERNE_POZICIE!$B$41-12*('TCO TO BE- SW'!$D159-1))*((R$4+'TCO TO BE - HW'!R$4)/($E$4+'TCO TO BE - HW'!$E$4)*SUM(EXTERNE_POZICIE!$M$41:$M$52)*1.23)/EXTERNE_POZICIE!$B$41)),0)+IFERROR(SUM(#REF!)*'TCO TO BE- SW'!R$4/'TCO TO BE- SW'!$E$4,0)</f>
        <v>0</v>
      </c>
      <c r="S159" s="576">
        <f>IFERROR(IF((POZICIE_INTERNE!$B$40-12*('TCO TO BE- SW'!$D159-1))&gt;12,((S$4+'TCO TO BE - HW'!S$4)/($E$4+'TCO TO BE - HW'!$E$4)*SUM(POZICIE_INTERNE!$I$40:$I$51))/POZICIE_INTERNE!$B$40*12,IF((POZICIE_INTERNE!$B$40-12*('TCO TO BE- SW'!$D159-1))&lt;0,0,(POZICIE_INTERNE!$B$40-12*('TCO TO BE- SW'!$D159-1))*((S$4+'TCO TO BE - HW'!S$4)/($E$4+'TCO TO BE - HW'!$E$4)*SUM(POZICIE_INTERNE!$I$40:$I$51))/POZICIE_INTERNE!$B$40)),0)+IFERROR(IF((EXTERNE_POZICIE!$B$41-12*('TCO TO BE- SW'!$D159-1))&gt;12,((S$4+'TCO TO BE - HW'!S$4)/($E$4+'TCO TO BE - HW'!$E$4)*SUM(EXTERNE_POZICIE!$M$41:$M$52)*1.23)/EXTERNE_POZICIE!$B$41*12,IF((EXTERNE_POZICIE!$B$41-12*('TCO TO BE- SW'!$D159-1))&lt;0,0,(EXTERNE_POZICIE!$B$41-12*('TCO TO BE- SW'!$D159-1))*((S$4+'TCO TO BE - HW'!S$4)/($E$4+'TCO TO BE - HW'!$E$4)*SUM(EXTERNE_POZICIE!$M$41:$M$52)*1.23)/EXTERNE_POZICIE!$B$41)),0)+IFERROR(SUM(#REF!)*'TCO TO BE- SW'!S$4/'TCO TO BE- SW'!$E$4,0)</f>
        <v>0</v>
      </c>
      <c r="T159" s="576">
        <f>IFERROR(IF((POZICIE_INTERNE!$B$40-12*('TCO TO BE- SW'!$D159-1))&gt;12,((T$4+'TCO TO BE - HW'!T$4)/($E$4+'TCO TO BE - HW'!$E$4)*SUM(POZICIE_INTERNE!$I$40:$I$51))/POZICIE_INTERNE!$B$40*12,IF((POZICIE_INTERNE!$B$40-12*('TCO TO BE- SW'!$D159-1))&lt;0,0,(POZICIE_INTERNE!$B$40-12*('TCO TO BE- SW'!$D159-1))*((T$4+'TCO TO BE - HW'!T$4)/($E$4+'TCO TO BE - HW'!$E$4)*SUM(POZICIE_INTERNE!$I$40:$I$51))/POZICIE_INTERNE!$B$40)),0)+IFERROR(IF((EXTERNE_POZICIE!$B$41-12*('TCO TO BE- SW'!$D159-1))&gt;12,((T$4+'TCO TO BE - HW'!T$4)/($E$4+'TCO TO BE - HW'!$E$4)*SUM(EXTERNE_POZICIE!$M$41:$M$52)*1.23)/EXTERNE_POZICIE!$B$41*12,IF((EXTERNE_POZICIE!$B$41-12*('TCO TO BE- SW'!$D159-1))&lt;0,0,(EXTERNE_POZICIE!$B$41-12*('TCO TO BE- SW'!$D159-1))*((T$4+'TCO TO BE - HW'!T$4)/($E$4+'TCO TO BE - HW'!$E$4)*SUM(EXTERNE_POZICIE!$M$41:$M$52)*1.23)/EXTERNE_POZICIE!$B$41)),0)+IFERROR(SUM(#REF!)*'TCO TO BE- SW'!T$4/'TCO TO BE- SW'!$E$4,0)</f>
        <v>0</v>
      </c>
      <c r="U159" s="576">
        <f>IFERROR(IF((POZICIE_INTERNE!$B$40-12*('TCO TO BE- SW'!$D159-1))&gt;12,((U$4+'TCO TO BE - HW'!U$4)/($E$4+'TCO TO BE - HW'!$E$4)*SUM(POZICIE_INTERNE!$I$40:$I$51))/POZICIE_INTERNE!$B$40*12,IF((POZICIE_INTERNE!$B$40-12*('TCO TO BE- SW'!$D159-1))&lt;0,0,(POZICIE_INTERNE!$B$40-12*('TCO TO BE- SW'!$D159-1))*((U$4+'TCO TO BE - HW'!U$4)/($E$4+'TCO TO BE - HW'!$E$4)*SUM(POZICIE_INTERNE!$I$40:$I$51))/POZICIE_INTERNE!$B$40)),0)+IFERROR(IF((EXTERNE_POZICIE!$B$41-12*('TCO TO BE- SW'!$D159-1))&gt;12,((U$4+'TCO TO BE - HW'!U$4)/($E$4+'TCO TO BE - HW'!$E$4)*SUM(EXTERNE_POZICIE!$M$41:$M$52)*1.23)/EXTERNE_POZICIE!$B$41*12,IF((EXTERNE_POZICIE!$B$41-12*('TCO TO BE- SW'!$D159-1))&lt;0,0,(EXTERNE_POZICIE!$B$41-12*('TCO TO BE- SW'!$D159-1))*((U$4+'TCO TO BE - HW'!U$4)/($E$4+'TCO TO BE - HW'!$E$4)*SUM(EXTERNE_POZICIE!$M$41:$M$52)*1.23)/EXTERNE_POZICIE!$B$41)),0)+IFERROR(SUM(#REF!)*'TCO TO BE- SW'!U$4/'TCO TO BE- SW'!$E$4,0)</f>
        <v>0</v>
      </c>
      <c r="V159" s="576">
        <f>IFERROR(IF((POZICIE_INTERNE!$B$40-12*('TCO TO BE- SW'!$D159-1))&gt;12,((V$4+'TCO TO BE - HW'!V$4)/($E$4+'TCO TO BE - HW'!$E$4)*SUM(POZICIE_INTERNE!$I$40:$I$51))/POZICIE_INTERNE!$B$40*12,IF((POZICIE_INTERNE!$B$40-12*('TCO TO BE- SW'!$D159-1))&lt;0,0,(POZICIE_INTERNE!$B$40-12*('TCO TO BE- SW'!$D159-1))*((V$4+'TCO TO BE - HW'!V$4)/($E$4+'TCO TO BE - HW'!$E$4)*SUM(POZICIE_INTERNE!$I$40:$I$51))/POZICIE_INTERNE!$B$40)),0)+IFERROR(IF((EXTERNE_POZICIE!$B$41-12*('TCO TO BE- SW'!$D159-1))&gt;12,((V$4+'TCO TO BE - HW'!V$4)/($E$4+'TCO TO BE - HW'!$E$4)*SUM(EXTERNE_POZICIE!$M$41:$M$52)*1.23)/EXTERNE_POZICIE!$B$41*12,IF((EXTERNE_POZICIE!$B$41-12*('TCO TO BE- SW'!$D159-1))&lt;0,0,(EXTERNE_POZICIE!$B$41-12*('TCO TO BE- SW'!$D159-1))*((V$4+'TCO TO BE - HW'!V$4)/($E$4+'TCO TO BE - HW'!$E$4)*SUM(EXTERNE_POZICIE!$M$41:$M$52)*1.23)/EXTERNE_POZICIE!$B$41)),0)+IFERROR(SUM(#REF!)*'TCO TO BE- SW'!V$4/'TCO TO BE- SW'!$E$4,0)</f>
        <v>0</v>
      </c>
      <c r="W159" s="576">
        <f>IFERROR(IF((POZICIE_INTERNE!$B$40-12*('TCO TO BE- SW'!$D159-1))&gt;12,((W$4+'TCO TO BE - HW'!W$4)/($E$4+'TCO TO BE - HW'!$E$4)*SUM(POZICIE_INTERNE!$I$40:$I$51))/POZICIE_INTERNE!$B$40*12,IF((POZICIE_INTERNE!$B$40-12*('TCO TO BE- SW'!$D159-1))&lt;0,0,(POZICIE_INTERNE!$B$40-12*('TCO TO BE- SW'!$D159-1))*((W$4+'TCO TO BE - HW'!W$4)/($E$4+'TCO TO BE - HW'!$E$4)*SUM(POZICIE_INTERNE!$I$40:$I$51))/POZICIE_INTERNE!$B$40)),0)+IFERROR(IF((EXTERNE_POZICIE!$B$41-12*('TCO TO BE- SW'!$D159-1))&gt;12,((W$4+'TCO TO BE - HW'!W$4)/($E$4+'TCO TO BE - HW'!$E$4)*SUM(EXTERNE_POZICIE!$M$41:$M$52)*1.23)/EXTERNE_POZICIE!$B$41*12,IF((EXTERNE_POZICIE!$B$41-12*('TCO TO BE- SW'!$D159-1))&lt;0,0,(EXTERNE_POZICIE!$B$41-12*('TCO TO BE- SW'!$D159-1))*((W$4+'TCO TO BE - HW'!W$4)/($E$4+'TCO TO BE - HW'!$E$4)*SUM(EXTERNE_POZICIE!$M$41:$M$52)*1.23)/EXTERNE_POZICIE!$B$41)),0)+IFERROR(SUM(#REF!)*'TCO TO BE- SW'!W$4/'TCO TO BE- SW'!$E$4,0)</f>
        <v>0</v>
      </c>
      <c r="X159" s="576">
        <f>IFERROR(IF((POZICIE_INTERNE!$B$40-12*('TCO TO BE- SW'!$D159-1))&gt;12,((X$4+'TCO TO BE - HW'!X$4)/($E$4+'TCO TO BE - HW'!$E$4)*SUM(POZICIE_INTERNE!$I$40:$I$51))/POZICIE_INTERNE!$B$40*12,IF((POZICIE_INTERNE!$B$40-12*('TCO TO BE- SW'!$D159-1))&lt;0,0,(POZICIE_INTERNE!$B$40-12*('TCO TO BE- SW'!$D159-1))*((X$4+'TCO TO BE - HW'!X$4)/($E$4+'TCO TO BE - HW'!$E$4)*SUM(POZICIE_INTERNE!$I$40:$I$51))/POZICIE_INTERNE!$B$40)),0)+IFERROR(IF((EXTERNE_POZICIE!$B$41-12*('TCO TO BE- SW'!$D159-1))&gt;12,((X$4+'TCO TO BE - HW'!X$4)/($E$4+'TCO TO BE - HW'!$E$4)*SUM(EXTERNE_POZICIE!$M$41:$M$52)*1.23)/EXTERNE_POZICIE!$B$41*12,IF((EXTERNE_POZICIE!$B$41-12*('TCO TO BE- SW'!$D159-1))&lt;0,0,(EXTERNE_POZICIE!$B$41-12*('TCO TO BE- SW'!$D159-1))*((X$4+'TCO TO BE - HW'!X$4)/($E$4+'TCO TO BE - HW'!$E$4)*SUM(EXTERNE_POZICIE!$M$41:$M$52)*1.23)/EXTERNE_POZICIE!$B$41)),0)+IFERROR(SUM(#REF!)*'TCO TO BE- SW'!X$4/'TCO TO BE- SW'!$E$4,0)</f>
        <v>0</v>
      </c>
      <c r="Y159" s="576">
        <f>IFERROR(IF((POZICIE_INTERNE!$B$40-12*('TCO TO BE- SW'!$D159-1))&gt;12,((Y$4+'TCO TO BE - HW'!Y$4)/($E$4+'TCO TO BE - HW'!$E$4)*SUM(POZICIE_INTERNE!$I$40:$I$51))/POZICIE_INTERNE!$B$40*12,IF((POZICIE_INTERNE!$B$40-12*('TCO TO BE- SW'!$D159-1))&lt;0,0,(POZICIE_INTERNE!$B$40-12*('TCO TO BE- SW'!$D159-1))*((Y$4+'TCO TO BE - HW'!Y$4)/($E$4+'TCO TO BE - HW'!$E$4)*SUM(POZICIE_INTERNE!$I$40:$I$51))/POZICIE_INTERNE!$B$40)),0)+IFERROR(IF((EXTERNE_POZICIE!$B$41-12*('TCO TO BE- SW'!$D159-1))&gt;12,((Y$4+'TCO TO BE - HW'!Y$4)/($E$4+'TCO TO BE - HW'!$E$4)*SUM(EXTERNE_POZICIE!$M$41:$M$52)*1.23)/EXTERNE_POZICIE!$B$41*12,IF((EXTERNE_POZICIE!$B$41-12*('TCO TO BE- SW'!$D159-1))&lt;0,0,(EXTERNE_POZICIE!$B$41-12*('TCO TO BE- SW'!$D159-1))*((Y$4+'TCO TO BE - HW'!Y$4)/($E$4+'TCO TO BE - HW'!$E$4)*SUM(EXTERNE_POZICIE!$M$41:$M$52)*1.23)/EXTERNE_POZICIE!$B$41)),0)+IFERROR(SUM(#REF!)*'TCO TO BE- SW'!Y$4/'TCO TO BE- SW'!$E$4,0)</f>
        <v>0</v>
      </c>
      <c r="Z159" s="576">
        <f>IFERROR(IF((POZICIE_INTERNE!$B$40-12*('TCO TO BE- SW'!$D159-1))&gt;12,((Z$4+'TCO TO BE - HW'!Z$4)/($E$4+'TCO TO BE - HW'!$E$4)*SUM(POZICIE_INTERNE!$I$40:$I$51))/POZICIE_INTERNE!$B$40*12,IF((POZICIE_INTERNE!$B$40-12*('TCO TO BE- SW'!$D159-1))&lt;0,0,(POZICIE_INTERNE!$B$40-12*('TCO TO BE- SW'!$D159-1))*((Z$4+'TCO TO BE - HW'!Z$4)/($E$4+'TCO TO BE - HW'!$E$4)*SUM(POZICIE_INTERNE!$I$40:$I$51))/POZICIE_INTERNE!$B$40)),0)+IFERROR(IF((EXTERNE_POZICIE!$B$41-12*('TCO TO BE- SW'!$D159-1))&gt;12,((Z$4+'TCO TO BE - HW'!Z$4)/($E$4+'TCO TO BE - HW'!$E$4)*SUM(EXTERNE_POZICIE!$M$41:$M$52)*1.23)/EXTERNE_POZICIE!$B$41*12,IF((EXTERNE_POZICIE!$B$41-12*('TCO TO BE- SW'!$D159-1))&lt;0,0,(EXTERNE_POZICIE!$B$41-12*('TCO TO BE- SW'!$D159-1))*((Z$4+'TCO TO BE - HW'!Z$4)/($E$4+'TCO TO BE - HW'!$E$4)*SUM(EXTERNE_POZICIE!$M$41:$M$52)*1.23)/EXTERNE_POZICIE!$B$41)),0)+IFERROR(SUM(#REF!)*'TCO TO BE- SW'!Z$4/'TCO TO BE- SW'!$E$4,0)</f>
        <v>0</v>
      </c>
    </row>
    <row r="160" spans="1:26" ht="15" thickBot="1">
      <c r="A160" s="841"/>
      <c r="B160" s="842"/>
      <c r="C160" s="842"/>
      <c r="D160" s="65">
        <v>10</v>
      </c>
      <c r="E160" s="69">
        <f t="shared" si="16"/>
        <v>0</v>
      </c>
      <c r="F160" s="576">
        <f>IFERROR(IF((POZICIE_INTERNE!$B$40-12*('TCO TO BE- SW'!$D160-1))&gt;12,((F$4+'TCO TO BE - HW'!F$4)/($E$4+'TCO TO BE - HW'!$E$4)*SUM(POZICIE_INTERNE!$I$40:$I$51))/POZICIE_INTERNE!$B$40*12,IF((POZICIE_INTERNE!$B$40-12*('TCO TO BE- SW'!$D160-1))&lt;0,0,(POZICIE_INTERNE!$B$40-12*('TCO TO BE- SW'!$D160-1))*((F$4+'TCO TO BE - HW'!F$4)/($E$4+'TCO TO BE - HW'!$E$4)*SUM(POZICIE_INTERNE!$I$40:$I$51))/POZICIE_INTERNE!$B$40)),0)+IFERROR(IF((EXTERNE_POZICIE!$B$41-12*('TCO TO BE- SW'!$D160-1))&gt;12,((F$4+'TCO TO BE - HW'!F$4)/($E$4+'TCO TO BE - HW'!$E$4)*SUM(EXTERNE_POZICIE!$M$41:$M$52)*1.23)/EXTERNE_POZICIE!$B$41*12,IF((EXTERNE_POZICIE!$B$41-12*('TCO TO BE- SW'!$D160-1))&lt;0,0,(EXTERNE_POZICIE!$B$41-12*('TCO TO BE- SW'!$D160-1))*((F$4+'TCO TO BE - HW'!F$4)/($E$4+'TCO TO BE - HW'!$E$4)*SUM(EXTERNE_POZICIE!$M$41:$M$52)*1.23)/EXTERNE_POZICIE!$B$41)),0)+IFERROR(SUM(#REF!)*'TCO TO BE- SW'!F$4/'TCO TO BE- SW'!$E$4,0)</f>
        <v>0</v>
      </c>
      <c r="G160" s="576">
        <f>IFERROR(IF((POZICIE_INTERNE!$B$40-12*('TCO TO BE- SW'!$D160-1))&gt;12,((G$4+'TCO TO BE - HW'!G$4)/($E$4+'TCO TO BE - HW'!$E$4)*SUM(POZICIE_INTERNE!$I$40:$I$51))/POZICIE_INTERNE!$B$40*12,IF((POZICIE_INTERNE!$B$40-12*('TCO TO BE- SW'!$D160-1))&lt;0,0,(POZICIE_INTERNE!$B$40-12*('TCO TO BE- SW'!$D160-1))*((G$4+'TCO TO BE - HW'!G$4)/($E$4+'TCO TO BE - HW'!$E$4)*SUM(POZICIE_INTERNE!$I$40:$I$51))/POZICIE_INTERNE!$B$40)),0)+IFERROR(IF((EXTERNE_POZICIE!$B$41-12*('TCO TO BE- SW'!$D160-1))&gt;12,((G$4+'TCO TO BE - HW'!G$4)/($E$4+'TCO TO BE - HW'!$E$4)*SUM(EXTERNE_POZICIE!$M$41:$M$52)*1.23)/EXTERNE_POZICIE!$B$41*12,IF((EXTERNE_POZICIE!$B$41-12*('TCO TO BE- SW'!$D160-1))&lt;0,0,(EXTERNE_POZICIE!$B$41-12*('TCO TO BE- SW'!$D160-1))*((G$4+'TCO TO BE - HW'!G$4)/($E$4+'TCO TO BE - HW'!$E$4)*SUM(EXTERNE_POZICIE!$M$41:$M$52)*1.23)/EXTERNE_POZICIE!$B$41)),0)+IFERROR(SUM(#REF!)*'TCO TO BE- SW'!G$4/'TCO TO BE- SW'!$E$4,0)</f>
        <v>0</v>
      </c>
      <c r="H160" s="576">
        <f>IFERROR(IF((POZICIE_INTERNE!$B$40-12*('TCO TO BE- SW'!$D160-1))&gt;12,((H$4+'TCO TO BE - HW'!H$4)/($E$4+'TCO TO BE - HW'!$E$4)*SUM(POZICIE_INTERNE!$I$40:$I$51))/POZICIE_INTERNE!$B$40*12,IF((POZICIE_INTERNE!$B$40-12*('TCO TO BE- SW'!$D160-1))&lt;0,0,(POZICIE_INTERNE!$B$40-12*('TCO TO BE- SW'!$D160-1))*((H$4+'TCO TO BE - HW'!H$4)/($E$4+'TCO TO BE - HW'!$E$4)*SUM(POZICIE_INTERNE!$I$40:$I$51))/POZICIE_INTERNE!$B$40)),0)+IFERROR(IF((EXTERNE_POZICIE!$B$41-12*('TCO TO BE- SW'!$D160-1))&gt;12,((H$4+'TCO TO BE - HW'!H$4)/($E$4+'TCO TO BE - HW'!$E$4)*SUM(EXTERNE_POZICIE!$M$41:$M$52)*1.23)/EXTERNE_POZICIE!$B$41*12,IF((EXTERNE_POZICIE!$B$41-12*('TCO TO BE- SW'!$D160-1))&lt;0,0,(EXTERNE_POZICIE!$B$41-12*('TCO TO BE- SW'!$D160-1))*((H$4+'TCO TO BE - HW'!H$4)/($E$4+'TCO TO BE - HW'!$E$4)*SUM(EXTERNE_POZICIE!$M$41:$M$52)*1.23)/EXTERNE_POZICIE!$B$41)),0)+IFERROR(SUM(#REF!)*'TCO TO BE- SW'!H$4/'TCO TO BE- SW'!$E$4,0)</f>
        <v>0</v>
      </c>
      <c r="I160" s="576">
        <f>IFERROR(IF((POZICIE_INTERNE!$B$40-12*('TCO TO BE- SW'!$D160-1))&gt;12,((I$4+'TCO TO BE - HW'!I$4)/($E$4+'TCO TO BE - HW'!$E$4)*SUM(POZICIE_INTERNE!$I$40:$I$51))/POZICIE_INTERNE!$B$40*12,IF((POZICIE_INTERNE!$B$40-12*('TCO TO BE- SW'!$D160-1))&lt;0,0,(POZICIE_INTERNE!$B$40-12*('TCO TO BE- SW'!$D160-1))*((I$4+'TCO TO BE - HW'!I$4)/($E$4+'TCO TO BE - HW'!$E$4)*SUM(POZICIE_INTERNE!$I$40:$I$51))/POZICIE_INTERNE!$B$40)),0)+IFERROR(IF((EXTERNE_POZICIE!$B$41-12*('TCO TO BE- SW'!$D160-1))&gt;12,((I$4+'TCO TO BE - HW'!I$4)/($E$4+'TCO TO BE - HW'!$E$4)*SUM(EXTERNE_POZICIE!$M$41:$M$52)*1.23)/EXTERNE_POZICIE!$B$41*12,IF((EXTERNE_POZICIE!$B$41-12*('TCO TO BE- SW'!$D160-1))&lt;0,0,(EXTERNE_POZICIE!$B$41-12*('TCO TO BE- SW'!$D160-1))*((I$4+'TCO TO BE - HW'!I$4)/($E$4+'TCO TO BE - HW'!$E$4)*SUM(EXTERNE_POZICIE!$M$41:$M$52)*1.23)/EXTERNE_POZICIE!$B$41)),0)+IFERROR(SUM(#REF!)*'TCO TO BE- SW'!I$4/'TCO TO BE- SW'!$E$4,0)</f>
        <v>0</v>
      </c>
      <c r="J160" s="576">
        <f>IFERROR(IF((POZICIE_INTERNE!$B$40-12*('TCO TO BE- SW'!$D160-1))&gt;12,((J$4+'TCO TO BE - HW'!J$4)/($E$4+'TCO TO BE - HW'!$E$4)*SUM(POZICIE_INTERNE!$I$40:$I$51))/POZICIE_INTERNE!$B$40*12,IF((POZICIE_INTERNE!$B$40-12*('TCO TO BE- SW'!$D160-1))&lt;0,0,(POZICIE_INTERNE!$B$40-12*('TCO TO BE- SW'!$D160-1))*((J$4+'TCO TO BE - HW'!J$4)/($E$4+'TCO TO BE - HW'!$E$4)*SUM(POZICIE_INTERNE!$I$40:$I$51))/POZICIE_INTERNE!$B$40)),0)+IFERROR(IF((EXTERNE_POZICIE!$B$41-12*('TCO TO BE- SW'!$D160-1))&gt;12,((J$4+'TCO TO BE - HW'!J$4)/($E$4+'TCO TO BE - HW'!$E$4)*SUM(EXTERNE_POZICIE!$M$41:$M$52)*1.23)/EXTERNE_POZICIE!$B$41*12,IF((EXTERNE_POZICIE!$B$41-12*('TCO TO BE- SW'!$D160-1))&lt;0,0,(EXTERNE_POZICIE!$B$41-12*('TCO TO BE- SW'!$D160-1))*((J$4+'TCO TO BE - HW'!J$4)/($E$4+'TCO TO BE - HW'!$E$4)*SUM(EXTERNE_POZICIE!$M$41:$M$52)*1.23)/EXTERNE_POZICIE!$B$41)),0)+IFERROR(SUM(#REF!)*'TCO TO BE- SW'!J$4/'TCO TO BE- SW'!$E$4,0)</f>
        <v>0</v>
      </c>
      <c r="K160" s="576">
        <f>IFERROR(IF((POZICIE_INTERNE!$B$40-12*('TCO TO BE- SW'!$D160-1))&gt;12,((K$4+'TCO TO BE - HW'!K$4)/($E$4+'TCO TO BE - HW'!$E$4)*SUM(POZICIE_INTERNE!$I$40:$I$51))/POZICIE_INTERNE!$B$40*12,IF((POZICIE_INTERNE!$B$40-12*('TCO TO BE- SW'!$D160-1))&lt;0,0,(POZICIE_INTERNE!$B$40-12*('TCO TO BE- SW'!$D160-1))*((K$4+'TCO TO BE - HW'!K$4)/($E$4+'TCO TO BE - HW'!$E$4)*SUM(POZICIE_INTERNE!$I$40:$I$51))/POZICIE_INTERNE!$B$40)),0)+IFERROR(IF((EXTERNE_POZICIE!$B$41-12*('TCO TO BE- SW'!$D160-1))&gt;12,((K$4+'TCO TO BE - HW'!K$4)/($E$4+'TCO TO BE - HW'!$E$4)*SUM(EXTERNE_POZICIE!$M$41:$M$52)*1.23)/EXTERNE_POZICIE!$B$41*12,IF((EXTERNE_POZICIE!$B$41-12*('TCO TO BE- SW'!$D160-1))&lt;0,0,(EXTERNE_POZICIE!$B$41-12*('TCO TO BE- SW'!$D160-1))*((K$4+'TCO TO BE - HW'!K$4)/($E$4+'TCO TO BE - HW'!$E$4)*SUM(EXTERNE_POZICIE!$M$41:$M$52)*1.23)/EXTERNE_POZICIE!$B$41)),0)+IFERROR(SUM(#REF!)*'TCO TO BE- SW'!K$4/'TCO TO BE- SW'!$E$4,0)</f>
        <v>0</v>
      </c>
      <c r="L160" s="576">
        <f>IFERROR(IF((POZICIE_INTERNE!$B$40-12*('TCO TO BE- SW'!$D160-1))&gt;12,((L$4+'TCO TO BE - HW'!L$4)/($E$4+'TCO TO BE - HW'!$E$4)*SUM(POZICIE_INTERNE!$I$40:$I$51))/POZICIE_INTERNE!$B$40*12,IF((POZICIE_INTERNE!$B$40-12*('TCO TO BE- SW'!$D160-1))&lt;0,0,(POZICIE_INTERNE!$B$40-12*('TCO TO BE- SW'!$D160-1))*((L$4+'TCO TO BE - HW'!L$4)/($E$4+'TCO TO BE - HW'!$E$4)*SUM(POZICIE_INTERNE!$I$40:$I$51))/POZICIE_INTERNE!$B$40)),0)+IFERROR(IF((EXTERNE_POZICIE!$B$41-12*('TCO TO BE- SW'!$D160-1))&gt;12,((L$4+'TCO TO BE - HW'!L$4)/($E$4+'TCO TO BE - HW'!$E$4)*SUM(EXTERNE_POZICIE!$M$41:$M$52)*1.23)/EXTERNE_POZICIE!$B$41*12,IF((EXTERNE_POZICIE!$B$41-12*('TCO TO BE- SW'!$D160-1))&lt;0,0,(EXTERNE_POZICIE!$B$41-12*('TCO TO BE- SW'!$D160-1))*((L$4+'TCO TO BE - HW'!L$4)/($E$4+'TCO TO BE - HW'!$E$4)*SUM(EXTERNE_POZICIE!$M$41:$M$52)*1.23)/EXTERNE_POZICIE!$B$41)),0)+IFERROR(SUM(#REF!)*'TCO TO BE- SW'!L$4/'TCO TO BE- SW'!$E$4,0)</f>
        <v>0</v>
      </c>
      <c r="M160" s="576">
        <f>IFERROR(IF((POZICIE_INTERNE!$B$40-12*('TCO TO BE- SW'!$D160-1))&gt;12,((M$4+'TCO TO BE - HW'!M$4)/($E$4+'TCO TO BE - HW'!$E$4)*SUM(POZICIE_INTERNE!$I$40:$I$51))/POZICIE_INTERNE!$B$40*12,IF((POZICIE_INTERNE!$B$40-12*('TCO TO BE- SW'!$D160-1))&lt;0,0,(POZICIE_INTERNE!$B$40-12*('TCO TO BE- SW'!$D160-1))*((M$4+'TCO TO BE - HW'!M$4)/($E$4+'TCO TO BE - HW'!$E$4)*SUM(POZICIE_INTERNE!$I$40:$I$51))/POZICIE_INTERNE!$B$40)),0)+IFERROR(IF((EXTERNE_POZICIE!$B$41-12*('TCO TO BE- SW'!$D160-1))&gt;12,((M$4+'TCO TO BE - HW'!M$4)/($E$4+'TCO TO BE - HW'!$E$4)*SUM(EXTERNE_POZICIE!$M$41:$M$52)*1.23)/EXTERNE_POZICIE!$B$41*12,IF((EXTERNE_POZICIE!$B$41-12*('TCO TO BE- SW'!$D160-1))&lt;0,0,(EXTERNE_POZICIE!$B$41-12*('TCO TO BE- SW'!$D160-1))*((M$4+'TCO TO BE - HW'!M$4)/($E$4+'TCO TO BE - HW'!$E$4)*SUM(EXTERNE_POZICIE!$M$41:$M$52)*1.23)/EXTERNE_POZICIE!$B$41)),0)+IFERROR(SUM(#REF!)*'TCO TO BE- SW'!M$4/'TCO TO BE- SW'!$E$4,0)</f>
        <v>0</v>
      </c>
      <c r="N160" s="576">
        <f>IFERROR(IF((POZICIE_INTERNE!$B$40-12*('TCO TO BE- SW'!$D160-1))&gt;12,((N$4+'TCO TO BE - HW'!N$4)/($E$4+'TCO TO BE - HW'!$E$4)*SUM(POZICIE_INTERNE!$I$40:$I$51))/POZICIE_INTERNE!$B$40*12,IF((POZICIE_INTERNE!$B$40-12*('TCO TO BE- SW'!$D160-1))&lt;0,0,(POZICIE_INTERNE!$B$40-12*('TCO TO BE- SW'!$D160-1))*((N$4+'TCO TO BE - HW'!N$4)/($E$4+'TCO TO BE - HW'!$E$4)*SUM(POZICIE_INTERNE!$I$40:$I$51))/POZICIE_INTERNE!$B$40)),0)+IFERROR(IF((EXTERNE_POZICIE!$B$41-12*('TCO TO BE- SW'!$D160-1))&gt;12,((N$4+'TCO TO BE - HW'!N$4)/($E$4+'TCO TO BE - HW'!$E$4)*SUM(EXTERNE_POZICIE!$M$41:$M$52)*1.23)/EXTERNE_POZICIE!$B$41*12,IF((EXTERNE_POZICIE!$B$41-12*('TCO TO BE- SW'!$D160-1))&lt;0,0,(EXTERNE_POZICIE!$B$41-12*('TCO TO BE- SW'!$D160-1))*((N$4+'TCO TO BE - HW'!N$4)/($E$4+'TCO TO BE - HW'!$E$4)*SUM(EXTERNE_POZICIE!$M$41:$M$52)*1.23)/EXTERNE_POZICIE!$B$41)),0)+IFERROR(SUM(#REF!)*'TCO TO BE- SW'!N$4/'TCO TO BE- SW'!$E$4,0)</f>
        <v>0</v>
      </c>
      <c r="O160" s="576">
        <f>IFERROR(IF((POZICIE_INTERNE!$B$40-12*('TCO TO BE- SW'!$D160-1))&gt;12,((O$4+'TCO TO BE - HW'!O$4)/($E$4+'TCO TO BE - HW'!$E$4)*SUM(POZICIE_INTERNE!$I$40:$I$51))/POZICIE_INTERNE!$B$40*12,IF((POZICIE_INTERNE!$B$40-12*('TCO TO BE- SW'!$D160-1))&lt;0,0,(POZICIE_INTERNE!$B$40-12*('TCO TO BE- SW'!$D160-1))*((O$4+'TCO TO BE - HW'!O$4)/($E$4+'TCO TO BE - HW'!$E$4)*SUM(POZICIE_INTERNE!$I$40:$I$51))/POZICIE_INTERNE!$B$40)),0)+IFERROR(IF((EXTERNE_POZICIE!$B$41-12*('TCO TO BE- SW'!$D160-1))&gt;12,((O$4+'TCO TO BE - HW'!O$4)/($E$4+'TCO TO BE - HW'!$E$4)*SUM(EXTERNE_POZICIE!$M$41:$M$52)*1.23)/EXTERNE_POZICIE!$B$41*12,IF((EXTERNE_POZICIE!$B$41-12*('TCO TO BE- SW'!$D160-1))&lt;0,0,(EXTERNE_POZICIE!$B$41-12*('TCO TO BE- SW'!$D160-1))*((O$4+'TCO TO BE - HW'!O$4)/($E$4+'TCO TO BE - HW'!$E$4)*SUM(EXTERNE_POZICIE!$M$41:$M$52)*1.23)/EXTERNE_POZICIE!$B$41)),0)+IFERROR(SUM(#REF!)*'TCO TO BE- SW'!O$4/'TCO TO BE- SW'!$E$4,0)</f>
        <v>0</v>
      </c>
      <c r="P160" s="576">
        <f>IFERROR(IF((POZICIE_INTERNE!$B$40-12*('TCO TO BE- SW'!$D160-1))&gt;12,((P$4+'TCO TO BE - HW'!P$4)/($E$4+'TCO TO BE - HW'!$E$4)*SUM(POZICIE_INTERNE!$I$40:$I$51))/POZICIE_INTERNE!$B$40*12,IF((POZICIE_INTERNE!$B$40-12*('TCO TO BE- SW'!$D160-1))&lt;0,0,(POZICIE_INTERNE!$B$40-12*('TCO TO BE- SW'!$D160-1))*((P$4+'TCO TO BE - HW'!P$4)/($E$4+'TCO TO BE - HW'!$E$4)*SUM(POZICIE_INTERNE!$I$40:$I$51))/POZICIE_INTERNE!$B$40)),0)+IFERROR(IF((EXTERNE_POZICIE!$B$41-12*('TCO TO BE- SW'!$D160-1))&gt;12,((P$4+'TCO TO BE - HW'!P$4)/($E$4+'TCO TO BE - HW'!$E$4)*SUM(EXTERNE_POZICIE!$M$41:$M$52)*1.23)/EXTERNE_POZICIE!$B$41*12,IF((EXTERNE_POZICIE!$B$41-12*('TCO TO BE- SW'!$D160-1))&lt;0,0,(EXTERNE_POZICIE!$B$41-12*('TCO TO BE- SW'!$D160-1))*((P$4+'TCO TO BE - HW'!P$4)/($E$4+'TCO TO BE - HW'!$E$4)*SUM(EXTERNE_POZICIE!$M$41:$M$52)*1.23)/EXTERNE_POZICIE!$B$41)),0)+IFERROR(SUM(#REF!)*'TCO TO BE- SW'!P$4/'TCO TO BE- SW'!$E$4,0)</f>
        <v>0</v>
      </c>
      <c r="Q160" s="576">
        <f>IFERROR(IF((POZICIE_INTERNE!$B$40-12*('TCO TO BE- SW'!$D160-1))&gt;12,((Q$4+'TCO TO BE - HW'!Q$4)/($E$4+'TCO TO BE - HW'!$E$4)*SUM(POZICIE_INTERNE!$I$40:$I$51))/POZICIE_INTERNE!$B$40*12,IF((POZICIE_INTERNE!$B$40-12*('TCO TO BE- SW'!$D160-1))&lt;0,0,(POZICIE_INTERNE!$B$40-12*('TCO TO BE- SW'!$D160-1))*((Q$4+'TCO TO BE - HW'!Q$4)/($E$4+'TCO TO BE - HW'!$E$4)*SUM(POZICIE_INTERNE!$I$40:$I$51))/POZICIE_INTERNE!$B$40)),0)+IFERROR(IF((EXTERNE_POZICIE!$B$41-12*('TCO TO BE- SW'!$D160-1))&gt;12,((Q$4+'TCO TO BE - HW'!Q$4)/($E$4+'TCO TO BE - HW'!$E$4)*SUM(EXTERNE_POZICIE!$M$41:$M$52)*1.23)/EXTERNE_POZICIE!$B$41*12,IF((EXTERNE_POZICIE!$B$41-12*('TCO TO BE- SW'!$D160-1))&lt;0,0,(EXTERNE_POZICIE!$B$41-12*('TCO TO BE- SW'!$D160-1))*((Q$4+'TCO TO BE - HW'!Q$4)/($E$4+'TCO TO BE - HW'!$E$4)*SUM(EXTERNE_POZICIE!$M$41:$M$52)*1.23)/EXTERNE_POZICIE!$B$41)),0)+IFERROR(SUM(#REF!)*'TCO TO BE- SW'!Q$4/'TCO TO BE- SW'!$E$4,0)</f>
        <v>0</v>
      </c>
      <c r="R160" s="576">
        <f>IFERROR(IF((POZICIE_INTERNE!$B$40-12*('TCO TO BE- SW'!$D160-1))&gt;12,((R$4+'TCO TO BE - HW'!R$4)/($E$4+'TCO TO BE - HW'!$E$4)*SUM(POZICIE_INTERNE!$I$40:$I$51))/POZICIE_INTERNE!$B$40*12,IF((POZICIE_INTERNE!$B$40-12*('TCO TO BE- SW'!$D160-1))&lt;0,0,(POZICIE_INTERNE!$B$40-12*('TCO TO BE- SW'!$D160-1))*((R$4+'TCO TO BE - HW'!R$4)/($E$4+'TCO TO BE - HW'!$E$4)*SUM(POZICIE_INTERNE!$I$40:$I$51))/POZICIE_INTERNE!$B$40)),0)+IFERROR(IF((EXTERNE_POZICIE!$B$41-12*('TCO TO BE- SW'!$D160-1))&gt;12,((R$4+'TCO TO BE - HW'!R$4)/($E$4+'TCO TO BE - HW'!$E$4)*SUM(EXTERNE_POZICIE!$M$41:$M$52)*1.23)/EXTERNE_POZICIE!$B$41*12,IF((EXTERNE_POZICIE!$B$41-12*('TCO TO BE- SW'!$D160-1))&lt;0,0,(EXTERNE_POZICIE!$B$41-12*('TCO TO BE- SW'!$D160-1))*((R$4+'TCO TO BE - HW'!R$4)/($E$4+'TCO TO BE - HW'!$E$4)*SUM(EXTERNE_POZICIE!$M$41:$M$52)*1.23)/EXTERNE_POZICIE!$B$41)),0)+IFERROR(SUM(#REF!)*'TCO TO BE- SW'!R$4/'TCO TO BE- SW'!$E$4,0)</f>
        <v>0</v>
      </c>
      <c r="S160" s="576">
        <f>IFERROR(IF((POZICIE_INTERNE!$B$40-12*('TCO TO BE- SW'!$D160-1))&gt;12,((S$4+'TCO TO BE - HW'!S$4)/($E$4+'TCO TO BE - HW'!$E$4)*SUM(POZICIE_INTERNE!$I$40:$I$51))/POZICIE_INTERNE!$B$40*12,IF((POZICIE_INTERNE!$B$40-12*('TCO TO BE- SW'!$D160-1))&lt;0,0,(POZICIE_INTERNE!$B$40-12*('TCO TO BE- SW'!$D160-1))*((S$4+'TCO TO BE - HW'!S$4)/($E$4+'TCO TO BE - HW'!$E$4)*SUM(POZICIE_INTERNE!$I$40:$I$51))/POZICIE_INTERNE!$B$40)),0)+IFERROR(IF((EXTERNE_POZICIE!$B$41-12*('TCO TO BE- SW'!$D160-1))&gt;12,((S$4+'TCO TO BE - HW'!S$4)/($E$4+'TCO TO BE - HW'!$E$4)*SUM(EXTERNE_POZICIE!$M$41:$M$52)*1.23)/EXTERNE_POZICIE!$B$41*12,IF((EXTERNE_POZICIE!$B$41-12*('TCO TO BE- SW'!$D160-1))&lt;0,0,(EXTERNE_POZICIE!$B$41-12*('TCO TO BE- SW'!$D160-1))*((S$4+'TCO TO BE - HW'!S$4)/($E$4+'TCO TO BE - HW'!$E$4)*SUM(EXTERNE_POZICIE!$M$41:$M$52)*1.23)/EXTERNE_POZICIE!$B$41)),0)+IFERROR(SUM(#REF!)*'TCO TO BE- SW'!S$4/'TCO TO BE- SW'!$E$4,0)</f>
        <v>0</v>
      </c>
      <c r="T160" s="576">
        <f>IFERROR(IF((POZICIE_INTERNE!$B$40-12*('TCO TO BE- SW'!$D160-1))&gt;12,((T$4+'TCO TO BE - HW'!T$4)/($E$4+'TCO TO BE - HW'!$E$4)*SUM(POZICIE_INTERNE!$I$40:$I$51))/POZICIE_INTERNE!$B$40*12,IF((POZICIE_INTERNE!$B$40-12*('TCO TO BE- SW'!$D160-1))&lt;0,0,(POZICIE_INTERNE!$B$40-12*('TCO TO BE- SW'!$D160-1))*((T$4+'TCO TO BE - HW'!T$4)/($E$4+'TCO TO BE - HW'!$E$4)*SUM(POZICIE_INTERNE!$I$40:$I$51))/POZICIE_INTERNE!$B$40)),0)+IFERROR(IF((EXTERNE_POZICIE!$B$41-12*('TCO TO BE- SW'!$D160-1))&gt;12,((T$4+'TCO TO BE - HW'!T$4)/($E$4+'TCO TO BE - HW'!$E$4)*SUM(EXTERNE_POZICIE!$M$41:$M$52)*1.23)/EXTERNE_POZICIE!$B$41*12,IF((EXTERNE_POZICIE!$B$41-12*('TCO TO BE- SW'!$D160-1))&lt;0,0,(EXTERNE_POZICIE!$B$41-12*('TCO TO BE- SW'!$D160-1))*((T$4+'TCO TO BE - HW'!T$4)/($E$4+'TCO TO BE - HW'!$E$4)*SUM(EXTERNE_POZICIE!$M$41:$M$52)*1.23)/EXTERNE_POZICIE!$B$41)),0)+IFERROR(SUM(#REF!)*'TCO TO BE- SW'!T$4/'TCO TO BE- SW'!$E$4,0)</f>
        <v>0</v>
      </c>
      <c r="U160" s="576">
        <f>IFERROR(IF((POZICIE_INTERNE!$B$40-12*('TCO TO BE- SW'!$D160-1))&gt;12,((U$4+'TCO TO BE - HW'!U$4)/($E$4+'TCO TO BE - HW'!$E$4)*SUM(POZICIE_INTERNE!$I$40:$I$51))/POZICIE_INTERNE!$B$40*12,IF((POZICIE_INTERNE!$B$40-12*('TCO TO BE- SW'!$D160-1))&lt;0,0,(POZICIE_INTERNE!$B$40-12*('TCO TO BE- SW'!$D160-1))*((U$4+'TCO TO BE - HW'!U$4)/($E$4+'TCO TO BE - HW'!$E$4)*SUM(POZICIE_INTERNE!$I$40:$I$51))/POZICIE_INTERNE!$B$40)),0)+IFERROR(IF((EXTERNE_POZICIE!$B$41-12*('TCO TO BE- SW'!$D160-1))&gt;12,((U$4+'TCO TO BE - HW'!U$4)/($E$4+'TCO TO BE - HW'!$E$4)*SUM(EXTERNE_POZICIE!$M$41:$M$52)*1.23)/EXTERNE_POZICIE!$B$41*12,IF((EXTERNE_POZICIE!$B$41-12*('TCO TO BE- SW'!$D160-1))&lt;0,0,(EXTERNE_POZICIE!$B$41-12*('TCO TO BE- SW'!$D160-1))*((U$4+'TCO TO BE - HW'!U$4)/($E$4+'TCO TO BE - HW'!$E$4)*SUM(EXTERNE_POZICIE!$M$41:$M$52)*1.23)/EXTERNE_POZICIE!$B$41)),0)+IFERROR(SUM(#REF!)*'TCO TO BE- SW'!U$4/'TCO TO BE- SW'!$E$4,0)</f>
        <v>0</v>
      </c>
      <c r="V160" s="576">
        <f>IFERROR(IF((POZICIE_INTERNE!$B$40-12*('TCO TO BE- SW'!$D160-1))&gt;12,((V$4+'TCO TO BE - HW'!V$4)/($E$4+'TCO TO BE - HW'!$E$4)*SUM(POZICIE_INTERNE!$I$40:$I$51))/POZICIE_INTERNE!$B$40*12,IF((POZICIE_INTERNE!$B$40-12*('TCO TO BE- SW'!$D160-1))&lt;0,0,(POZICIE_INTERNE!$B$40-12*('TCO TO BE- SW'!$D160-1))*((V$4+'TCO TO BE - HW'!V$4)/($E$4+'TCO TO BE - HW'!$E$4)*SUM(POZICIE_INTERNE!$I$40:$I$51))/POZICIE_INTERNE!$B$40)),0)+IFERROR(IF((EXTERNE_POZICIE!$B$41-12*('TCO TO BE- SW'!$D160-1))&gt;12,((V$4+'TCO TO BE - HW'!V$4)/($E$4+'TCO TO BE - HW'!$E$4)*SUM(EXTERNE_POZICIE!$M$41:$M$52)*1.23)/EXTERNE_POZICIE!$B$41*12,IF((EXTERNE_POZICIE!$B$41-12*('TCO TO BE- SW'!$D160-1))&lt;0,0,(EXTERNE_POZICIE!$B$41-12*('TCO TO BE- SW'!$D160-1))*((V$4+'TCO TO BE - HW'!V$4)/($E$4+'TCO TO BE - HW'!$E$4)*SUM(EXTERNE_POZICIE!$M$41:$M$52)*1.23)/EXTERNE_POZICIE!$B$41)),0)+IFERROR(SUM(#REF!)*'TCO TO BE- SW'!V$4/'TCO TO BE- SW'!$E$4,0)</f>
        <v>0</v>
      </c>
      <c r="W160" s="576">
        <f>IFERROR(IF((POZICIE_INTERNE!$B$40-12*('TCO TO BE- SW'!$D160-1))&gt;12,((W$4+'TCO TO BE - HW'!W$4)/($E$4+'TCO TO BE - HW'!$E$4)*SUM(POZICIE_INTERNE!$I$40:$I$51))/POZICIE_INTERNE!$B$40*12,IF((POZICIE_INTERNE!$B$40-12*('TCO TO BE- SW'!$D160-1))&lt;0,0,(POZICIE_INTERNE!$B$40-12*('TCO TO BE- SW'!$D160-1))*((W$4+'TCO TO BE - HW'!W$4)/($E$4+'TCO TO BE - HW'!$E$4)*SUM(POZICIE_INTERNE!$I$40:$I$51))/POZICIE_INTERNE!$B$40)),0)+IFERROR(IF((EXTERNE_POZICIE!$B$41-12*('TCO TO BE- SW'!$D160-1))&gt;12,((W$4+'TCO TO BE - HW'!W$4)/($E$4+'TCO TO BE - HW'!$E$4)*SUM(EXTERNE_POZICIE!$M$41:$M$52)*1.23)/EXTERNE_POZICIE!$B$41*12,IF((EXTERNE_POZICIE!$B$41-12*('TCO TO BE- SW'!$D160-1))&lt;0,0,(EXTERNE_POZICIE!$B$41-12*('TCO TO BE- SW'!$D160-1))*((W$4+'TCO TO BE - HW'!W$4)/($E$4+'TCO TO BE - HW'!$E$4)*SUM(EXTERNE_POZICIE!$M$41:$M$52)*1.23)/EXTERNE_POZICIE!$B$41)),0)+IFERROR(SUM(#REF!)*'TCO TO BE- SW'!W$4/'TCO TO BE- SW'!$E$4,0)</f>
        <v>0</v>
      </c>
      <c r="X160" s="576">
        <f>IFERROR(IF((POZICIE_INTERNE!$B$40-12*('TCO TO BE- SW'!$D160-1))&gt;12,((X$4+'TCO TO BE - HW'!X$4)/($E$4+'TCO TO BE - HW'!$E$4)*SUM(POZICIE_INTERNE!$I$40:$I$51))/POZICIE_INTERNE!$B$40*12,IF((POZICIE_INTERNE!$B$40-12*('TCO TO BE- SW'!$D160-1))&lt;0,0,(POZICIE_INTERNE!$B$40-12*('TCO TO BE- SW'!$D160-1))*((X$4+'TCO TO BE - HW'!X$4)/($E$4+'TCO TO BE - HW'!$E$4)*SUM(POZICIE_INTERNE!$I$40:$I$51))/POZICIE_INTERNE!$B$40)),0)+IFERROR(IF((EXTERNE_POZICIE!$B$41-12*('TCO TO BE- SW'!$D160-1))&gt;12,((X$4+'TCO TO BE - HW'!X$4)/($E$4+'TCO TO BE - HW'!$E$4)*SUM(EXTERNE_POZICIE!$M$41:$M$52)*1.23)/EXTERNE_POZICIE!$B$41*12,IF((EXTERNE_POZICIE!$B$41-12*('TCO TO BE- SW'!$D160-1))&lt;0,0,(EXTERNE_POZICIE!$B$41-12*('TCO TO BE- SW'!$D160-1))*((X$4+'TCO TO BE - HW'!X$4)/($E$4+'TCO TO BE - HW'!$E$4)*SUM(EXTERNE_POZICIE!$M$41:$M$52)*1.23)/EXTERNE_POZICIE!$B$41)),0)+IFERROR(SUM(#REF!)*'TCO TO BE- SW'!X$4/'TCO TO BE- SW'!$E$4,0)</f>
        <v>0</v>
      </c>
      <c r="Y160" s="576">
        <f>IFERROR(IF((POZICIE_INTERNE!$B$40-12*('TCO TO BE- SW'!$D160-1))&gt;12,((Y$4+'TCO TO BE - HW'!Y$4)/($E$4+'TCO TO BE - HW'!$E$4)*SUM(POZICIE_INTERNE!$I$40:$I$51))/POZICIE_INTERNE!$B$40*12,IF((POZICIE_INTERNE!$B$40-12*('TCO TO BE- SW'!$D160-1))&lt;0,0,(POZICIE_INTERNE!$B$40-12*('TCO TO BE- SW'!$D160-1))*((Y$4+'TCO TO BE - HW'!Y$4)/($E$4+'TCO TO BE - HW'!$E$4)*SUM(POZICIE_INTERNE!$I$40:$I$51))/POZICIE_INTERNE!$B$40)),0)+IFERROR(IF((EXTERNE_POZICIE!$B$41-12*('TCO TO BE- SW'!$D160-1))&gt;12,((Y$4+'TCO TO BE - HW'!Y$4)/($E$4+'TCO TO BE - HW'!$E$4)*SUM(EXTERNE_POZICIE!$M$41:$M$52)*1.23)/EXTERNE_POZICIE!$B$41*12,IF((EXTERNE_POZICIE!$B$41-12*('TCO TO BE- SW'!$D160-1))&lt;0,0,(EXTERNE_POZICIE!$B$41-12*('TCO TO BE- SW'!$D160-1))*((Y$4+'TCO TO BE - HW'!Y$4)/($E$4+'TCO TO BE - HW'!$E$4)*SUM(EXTERNE_POZICIE!$M$41:$M$52)*1.23)/EXTERNE_POZICIE!$B$41)),0)+IFERROR(SUM(#REF!)*'TCO TO BE- SW'!Y$4/'TCO TO BE- SW'!$E$4,0)</f>
        <v>0</v>
      </c>
      <c r="Z160" s="576">
        <f>IFERROR(IF((POZICIE_INTERNE!$B$40-12*('TCO TO BE- SW'!$D160-1))&gt;12,((Z$4+'TCO TO BE - HW'!Z$4)/($E$4+'TCO TO BE - HW'!$E$4)*SUM(POZICIE_INTERNE!$I$40:$I$51))/POZICIE_INTERNE!$B$40*12,IF((POZICIE_INTERNE!$B$40-12*('TCO TO BE- SW'!$D160-1))&lt;0,0,(POZICIE_INTERNE!$B$40-12*('TCO TO BE- SW'!$D160-1))*((Z$4+'TCO TO BE - HW'!Z$4)/($E$4+'TCO TO BE - HW'!$E$4)*SUM(POZICIE_INTERNE!$I$40:$I$51))/POZICIE_INTERNE!$B$40)),0)+IFERROR(IF((EXTERNE_POZICIE!$B$41-12*('TCO TO BE- SW'!$D160-1))&gt;12,((Z$4+'TCO TO BE - HW'!Z$4)/($E$4+'TCO TO BE - HW'!$E$4)*SUM(EXTERNE_POZICIE!$M$41:$M$52)*1.23)/EXTERNE_POZICIE!$B$41*12,IF((EXTERNE_POZICIE!$B$41-12*('TCO TO BE- SW'!$D160-1))&lt;0,0,(EXTERNE_POZICIE!$B$41-12*('TCO TO BE- SW'!$D160-1))*((Z$4+'TCO TO BE - HW'!Z$4)/($E$4+'TCO TO BE - HW'!$E$4)*SUM(EXTERNE_POZICIE!$M$41:$M$52)*1.23)/EXTERNE_POZICIE!$B$41)),0)+IFERROR(SUM(#REF!)*'TCO TO BE- SW'!Z$4/'TCO TO BE- SW'!$E$4,0)</f>
        <v>0</v>
      </c>
    </row>
    <row r="161" spans="1:26">
      <c r="A161" s="841" t="s">
        <v>2135</v>
      </c>
      <c r="B161" s="842"/>
      <c r="C161" s="842" t="s">
        <v>2136</v>
      </c>
      <c r="D161" s="63">
        <v>1</v>
      </c>
      <c r="E161" s="68">
        <f t="shared" si="16"/>
        <v>928217.81829999993</v>
      </c>
      <c r="F161" s="575">
        <f>IFERROR(IF((POZICIE_INTERNE!$B$52-12*('TCO TO BE- SW'!$D151-1))&gt;12,((F$4+'TCO TO BE - HW'!F$4)/($E$4+'TCO TO BE - HW'!$E$4)*SUM(POZICIE_INTERNE!$I$52:$I$63))/POZICIE_INTERNE!$B$52*12,IF((POZICIE_INTERNE!$B$52-12*('TCO TO BE- SW'!$D151-1))&lt;0,0,(POZICIE_INTERNE!$B$52-12*('TCO TO BE- SW'!$D151-1))*((F$4+'TCO TO BE - HW'!F$4)/($E$4+'TCO TO BE - HW'!$E$4)*SUM(POZICIE_INTERNE!$I$52:$I$63))/POZICIE_INTERNE!$B$52)),0)+IFERROR(IF((EXTERNE_POZICIE!$B$53-12*('TCO TO BE- SW'!$D151-1))&gt;12,((F$4+'TCO TO BE - HW'!F$4)/($E$4+'TCO TO BE - HW'!$E$4)*SUM(EXTERNE_POZICIE!$M$53:$M$64)*1.23)/EXTERNE_POZICIE!$B$41*12,IF((EXTERNE_POZICIE!$B$53-12*('TCO TO BE- SW'!$D151-1))&lt;0,0,(EXTERNE_POZICIE!$B$53-12*('TCO TO BE- SW'!$D151-1))*((F$4+'TCO TO BE - HW'!F$4)/($E$4+'TCO TO BE - HW'!$E$4)*SUM(EXTERNE_POZICIE!$M$53:$M$64)*1.23)/EXTERNE_POZICIE!$B$53)),0)+IFERROR(SUM(#REF!)*'TCO TO BE- SW'!F$4/'TCO TO BE- SW'!$E$4,0)</f>
        <v>5199.4256633421774</v>
      </c>
      <c r="G161" s="575">
        <f>IFERROR(IF((POZICIE_INTERNE!$B$52-12*('TCO TO BE- SW'!$D151-1))&gt;12,((G$4+'TCO TO BE - HW'!G$4)/($E$4+'TCO TO BE - HW'!$E$4)*SUM(POZICIE_INTERNE!$I$52:$I$63))/POZICIE_INTERNE!$B$52*12,IF((POZICIE_INTERNE!$B$52-12*('TCO TO BE- SW'!$D151-1))&lt;0,0,(POZICIE_INTERNE!$B$52-12*('TCO TO BE- SW'!$D151-1))*((G$4+'TCO TO BE - HW'!G$4)/($E$4+'TCO TO BE - HW'!$E$4)*SUM(POZICIE_INTERNE!$I$52:$I$63))/POZICIE_INTERNE!$B$52)),0)+IFERROR(IF((EXTERNE_POZICIE!$B$53-12*('TCO TO BE- SW'!$D151-1))&gt;12,((G$4+'TCO TO BE - HW'!G$4)/($E$4+'TCO TO BE - HW'!$E$4)*SUM(EXTERNE_POZICIE!$M$53:$M$64)*1.23)/EXTERNE_POZICIE!$B$41*12,IF((EXTERNE_POZICIE!$B$53-12*('TCO TO BE- SW'!$D151-1))&lt;0,0,(EXTERNE_POZICIE!$B$53-12*('TCO TO BE- SW'!$D151-1))*((G$4+'TCO TO BE - HW'!G$4)/($E$4+'TCO TO BE - HW'!$E$4)*SUM(EXTERNE_POZICIE!$M$53:$M$64)*1.23)/EXTERNE_POZICIE!$B$53)),0)+IFERROR(SUM(#REF!)*'TCO TO BE- SW'!G$4/'TCO TO BE- SW'!$E$4,0)</f>
        <v>0</v>
      </c>
      <c r="H161" s="575">
        <f>IFERROR(IF((POZICIE_INTERNE!$B$52-12*('TCO TO BE- SW'!$D151-1))&gt;12,((H$4+'TCO TO BE - HW'!H$4)/($E$4+'TCO TO BE - HW'!$E$4)*SUM(POZICIE_INTERNE!$I$52:$I$63))/POZICIE_INTERNE!$B$52*12,IF((POZICIE_INTERNE!$B$52-12*('TCO TO BE- SW'!$D151-1))&lt;0,0,(POZICIE_INTERNE!$B$52-12*('TCO TO BE- SW'!$D151-1))*((H$4+'TCO TO BE - HW'!H$4)/($E$4+'TCO TO BE - HW'!$E$4)*SUM(POZICIE_INTERNE!$I$52:$I$63))/POZICIE_INTERNE!$B$52)),0)+IFERROR(IF((EXTERNE_POZICIE!$B$53-12*('TCO TO BE- SW'!$D151-1))&gt;12,((H$4+'TCO TO BE - HW'!H$4)/($E$4+'TCO TO BE - HW'!$E$4)*SUM(EXTERNE_POZICIE!$M$53:$M$64)*1.23)/EXTERNE_POZICIE!$B$41*12,IF((EXTERNE_POZICIE!$B$53-12*('TCO TO BE- SW'!$D151-1))&lt;0,0,(EXTERNE_POZICIE!$B$53-12*('TCO TO BE- SW'!$D151-1))*((H$4+'TCO TO BE - HW'!H$4)/($E$4+'TCO TO BE - HW'!$E$4)*SUM(EXTERNE_POZICIE!$M$53:$M$64)*1.23)/EXTERNE_POZICIE!$B$53)),0)+IFERROR(SUM(#REF!)*'TCO TO BE- SW'!H$4/'TCO TO BE- SW'!$E$4,0)</f>
        <v>10673.16155352735</v>
      </c>
      <c r="I161" s="575">
        <f>IFERROR(IF((POZICIE_INTERNE!$B$52-12*('TCO TO BE- SW'!$D151-1))&gt;12,((I$4+'TCO TO BE - HW'!I$4)/($E$4+'TCO TO BE - HW'!$E$4)*SUM(POZICIE_INTERNE!$I$52:$I$63))/POZICIE_INTERNE!$B$52*12,IF((POZICIE_INTERNE!$B$52-12*('TCO TO BE- SW'!$D151-1))&lt;0,0,(POZICIE_INTERNE!$B$52-12*('TCO TO BE- SW'!$D151-1))*((I$4+'TCO TO BE - HW'!I$4)/($E$4+'TCO TO BE - HW'!$E$4)*SUM(POZICIE_INTERNE!$I$52:$I$63))/POZICIE_INTERNE!$B$52)),0)+IFERROR(IF((EXTERNE_POZICIE!$B$53-12*('TCO TO BE- SW'!$D151-1))&gt;12,((I$4+'TCO TO BE - HW'!I$4)/($E$4+'TCO TO BE - HW'!$E$4)*SUM(EXTERNE_POZICIE!$M$53:$M$64)*1.23)/EXTERNE_POZICIE!$B$41*12,IF((EXTERNE_POZICIE!$B$53-12*('TCO TO BE- SW'!$D151-1))&lt;0,0,(EXTERNE_POZICIE!$B$53-12*('TCO TO BE- SW'!$D151-1))*((I$4+'TCO TO BE - HW'!I$4)/($E$4+'TCO TO BE - HW'!$E$4)*SUM(EXTERNE_POZICIE!$M$53:$M$64)*1.23)/EXTERNE_POZICIE!$B$53)),0)+IFERROR(SUM(#REF!)*'TCO TO BE- SW'!I$4/'TCO TO BE- SW'!$E$4,0)</f>
        <v>27929.768551286521</v>
      </c>
      <c r="J161" s="575">
        <f>IFERROR(IF((POZICIE_INTERNE!$B$52-12*('TCO TO BE- SW'!$D151-1))&gt;12,((J$4+'TCO TO BE - HW'!J$4)/($E$4+'TCO TO BE - HW'!$E$4)*SUM(POZICIE_INTERNE!$I$52:$I$63))/POZICIE_INTERNE!$B$52*12,IF((POZICIE_INTERNE!$B$52-12*('TCO TO BE- SW'!$D151-1))&lt;0,0,(POZICIE_INTERNE!$B$52-12*('TCO TO BE- SW'!$D151-1))*((J$4+'TCO TO BE - HW'!J$4)/($E$4+'TCO TO BE - HW'!$E$4)*SUM(POZICIE_INTERNE!$I$52:$I$63))/POZICIE_INTERNE!$B$52)),0)+IFERROR(IF((EXTERNE_POZICIE!$B$53-12*('TCO TO BE- SW'!$D151-1))&gt;12,((J$4+'TCO TO BE - HW'!J$4)/($E$4+'TCO TO BE - HW'!$E$4)*SUM(EXTERNE_POZICIE!$M$53:$M$64)*1.23)/EXTERNE_POZICIE!$B$41*12,IF((EXTERNE_POZICIE!$B$53-12*('TCO TO BE- SW'!$D151-1))&lt;0,0,(EXTERNE_POZICIE!$B$53-12*('TCO TO BE- SW'!$D151-1))*((J$4+'TCO TO BE - HW'!J$4)/($E$4+'TCO TO BE - HW'!$E$4)*SUM(EXTERNE_POZICIE!$M$53:$M$64)*1.23)/EXTERNE_POZICIE!$B$53)),0)+IFERROR(SUM(#REF!)*'TCO TO BE- SW'!J$4/'TCO TO BE- SW'!$E$4,0)</f>
        <v>14924.970069593732</v>
      </c>
      <c r="K161" s="575">
        <f>IFERROR(IF((POZICIE_INTERNE!$B$52-12*('TCO TO BE- SW'!$D151-1))&gt;12,((K$4+'TCO TO BE - HW'!K$4)/($E$4+'TCO TO BE - HW'!$E$4)*SUM(POZICIE_INTERNE!$I$52:$I$63))/POZICIE_INTERNE!$B$52*12,IF((POZICIE_INTERNE!$B$52-12*('TCO TO BE- SW'!$D151-1))&lt;0,0,(POZICIE_INTERNE!$B$52-12*('TCO TO BE- SW'!$D151-1))*((K$4+'TCO TO BE - HW'!K$4)/($E$4+'TCO TO BE - HW'!$E$4)*SUM(POZICIE_INTERNE!$I$52:$I$63))/POZICIE_INTERNE!$B$52)),0)+IFERROR(IF((EXTERNE_POZICIE!$B$53-12*('TCO TO BE- SW'!$D151-1))&gt;12,((K$4+'TCO TO BE - HW'!K$4)/($E$4+'TCO TO BE - HW'!$E$4)*SUM(EXTERNE_POZICIE!$M$53:$M$64)*1.23)/EXTERNE_POZICIE!$B$41*12,IF((EXTERNE_POZICIE!$B$53-12*('TCO TO BE- SW'!$D151-1))&lt;0,0,(EXTERNE_POZICIE!$B$53-12*('TCO TO BE- SW'!$D151-1))*((K$4+'TCO TO BE - HW'!K$4)/($E$4+'TCO TO BE - HW'!$E$4)*SUM(EXTERNE_POZICIE!$M$53:$M$64)*1.23)/EXTERNE_POZICIE!$B$53)),0)+IFERROR(SUM(#REF!)*'TCO TO BE- SW'!K$4/'TCO TO BE- SW'!$E$4,0)</f>
        <v>9027.3001924693926</v>
      </c>
      <c r="L161" s="575">
        <f>IFERROR(IF((POZICIE_INTERNE!$B$52-12*('TCO TO BE- SW'!$D151-1))&gt;12,((L$4+'TCO TO BE - HW'!L$4)/($E$4+'TCO TO BE - HW'!$E$4)*SUM(POZICIE_INTERNE!$I$52:$I$63))/POZICIE_INTERNE!$B$52*12,IF((POZICIE_INTERNE!$B$52-12*('TCO TO BE- SW'!$D151-1))&lt;0,0,(POZICIE_INTERNE!$B$52-12*('TCO TO BE- SW'!$D151-1))*((L$4+'TCO TO BE - HW'!L$4)/($E$4+'TCO TO BE - HW'!$E$4)*SUM(POZICIE_INTERNE!$I$52:$I$63))/POZICIE_INTERNE!$B$52)),0)+IFERROR(IF((EXTERNE_POZICIE!$B$53-12*('TCO TO BE- SW'!$D151-1))&gt;12,((L$4+'TCO TO BE - HW'!L$4)/($E$4+'TCO TO BE - HW'!$E$4)*SUM(EXTERNE_POZICIE!$M$53:$M$64)*1.23)/EXTERNE_POZICIE!$B$41*12,IF((EXTERNE_POZICIE!$B$53-12*('TCO TO BE- SW'!$D151-1))&lt;0,0,(EXTERNE_POZICIE!$B$53-12*('TCO TO BE- SW'!$D151-1))*((L$4+'TCO TO BE - HW'!L$4)/($E$4+'TCO TO BE - HW'!$E$4)*SUM(EXTERNE_POZICIE!$M$53:$M$64)*1.23)/EXTERNE_POZICIE!$B$53)),0)+IFERROR(SUM(#REF!)*'TCO TO BE- SW'!L$4/'TCO TO BE- SW'!$E$4,0)</f>
        <v>13279.108708535779</v>
      </c>
      <c r="M161" s="575">
        <f>IFERROR(IF((POZICIE_INTERNE!$B$52-12*('TCO TO BE- SW'!$D151-1))&gt;12,((M$4+'TCO TO BE - HW'!M$4)/($E$4+'TCO TO BE - HW'!$E$4)*SUM(POZICIE_INTERNE!$I$52:$I$63))/POZICIE_INTERNE!$B$52*12,IF((POZICIE_INTERNE!$B$52-12*('TCO TO BE- SW'!$D151-1))&lt;0,0,(POZICIE_INTERNE!$B$52-12*('TCO TO BE- SW'!$D151-1))*((M$4+'TCO TO BE - HW'!M$4)/($E$4+'TCO TO BE - HW'!$E$4)*SUM(POZICIE_INTERNE!$I$52:$I$63))/POZICIE_INTERNE!$B$52)),0)+IFERROR(IF((EXTERNE_POZICIE!$B$53-12*('TCO TO BE- SW'!$D151-1))&gt;12,((M$4+'TCO TO BE - HW'!M$4)/($E$4+'TCO TO BE - HW'!$E$4)*SUM(EXTERNE_POZICIE!$M$53:$M$64)*1.23)/EXTERNE_POZICIE!$B$41*12,IF((EXTERNE_POZICIE!$B$53-12*('TCO TO BE- SW'!$D151-1))&lt;0,0,(EXTERNE_POZICIE!$B$53-12*('TCO TO BE- SW'!$D151-1))*((M$4+'TCO TO BE - HW'!M$4)/($E$4+'TCO TO BE - HW'!$E$4)*SUM(EXTERNE_POZICIE!$M$53:$M$64)*1.23)/EXTERNE_POZICIE!$B$53)),0)+IFERROR(SUM(#REF!)*'TCO TO BE- SW'!M$4/'TCO TO BE- SW'!$E$4,0)</f>
        <v>213051.7657302825</v>
      </c>
      <c r="N161" s="575">
        <f>IFERROR(IF((POZICIE_INTERNE!$B$52-12*('TCO TO BE- SW'!$D151-1))&gt;12,((N$4+'TCO TO BE - HW'!N$4)/($E$4+'TCO TO BE - HW'!$E$4)*SUM(POZICIE_INTERNE!$I$52:$I$63))/POZICIE_INTERNE!$B$52*12,IF((POZICIE_INTERNE!$B$52-12*('TCO TO BE- SW'!$D151-1))&lt;0,0,(POZICIE_INTERNE!$B$52-12*('TCO TO BE- SW'!$D151-1))*((N$4+'TCO TO BE - HW'!N$4)/($E$4+'TCO TO BE - HW'!$E$4)*SUM(POZICIE_INTERNE!$I$52:$I$63))/POZICIE_INTERNE!$B$52)),0)+IFERROR(IF((EXTERNE_POZICIE!$B$53-12*('TCO TO BE- SW'!$D151-1))&gt;12,((N$4+'TCO TO BE - HW'!N$4)/($E$4+'TCO TO BE - HW'!$E$4)*SUM(EXTERNE_POZICIE!$M$53:$M$64)*1.23)/EXTERNE_POZICIE!$B$41*12,IF((EXTERNE_POZICIE!$B$53-12*('TCO TO BE- SW'!$D151-1))&lt;0,0,(EXTERNE_POZICIE!$B$53-12*('TCO TO BE- SW'!$D151-1))*((N$4+'TCO TO BE - HW'!N$4)/($E$4+'TCO TO BE - HW'!$E$4)*SUM(EXTERNE_POZICIE!$M$53:$M$64)*1.23)/EXTERNE_POZICIE!$B$53)),0)+IFERROR(SUM(#REF!)*'TCO TO BE- SW'!N$4/'TCO TO BE- SW'!$E$4,0)</f>
        <v>25336.290042952769</v>
      </c>
      <c r="O161" s="575">
        <f>IFERROR(IF((POZICIE_INTERNE!$B$52-12*('TCO TO BE- SW'!$D151-1))&gt;12,((O$4+'TCO TO BE - HW'!O$4)/($E$4+'TCO TO BE - HW'!$E$4)*SUM(POZICIE_INTERNE!$I$52:$I$63))/POZICIE_INTERNE!$B$52*12,IF((POZICIE_INTERNE!$B$52-12*('TCO TO BE- SW'!$D151-1))&lt;0,0,(POZICIE_INTERNE!$B$52-12*('TCO TO BE- SW'!$D151-1))*((O$4+'TCO TO BE - HW'!O$4)/($E$4+'TCO TO BE - HW'!$E$4)*SUM(POZICIE_INTERNE!$I$52:$I$63))/POZICIE_INTERNE!$B$52)),0)+IFERROR(IF((EXTERNE_POZICIE!$B$53-12*('TCO TO BE- SW'!$D151-1))&gt;12,((O$4+'TCO TO BE - HW'!O$4)/($E$4+'TCO TO BE - HW'!$E$4)*SUM(EXTERNE_POZICIE!$M$53:$M$64)*1.23)/EXTERNE_POZICIE!$B$41*12,IF((EXTERNE_POZICIE!$B$53-12*('TCO TO BE- SW'!$D151-1))&lt;0,0,(EXTERNE_POZICIE!$B$53-12*('TCO TO BE- SW'!$D151-1))*((O$4+'TCO TO BE - HW'!O$4)/($E$4+'TCO TO BE - HW'!$E$4)*SUM(EXTERNE_POZICIE!$M$53:$M$64)*1.23)/EXTERNE_POZICIE!$B$53)),0)+IFERROR(SUM(#REF!)*'TCO TO BE- SW'!O$4/'TCO TO BE- SW'!$E$4,0)</f>
        <v>122130.39417850511</v>
      </c>
      <c r="P161" s="575">
        <f>IFERROR(IF((POZICIE_INTERNE!$B$52-12*('TCO TO BE- SW'!$D151-1))&gt;12,((P$4+'TCO TO BE - HW'!P$4)/($E$4+'TCO TO BE - HW'!$E$4)*SUM(POZICIE_INTERNE!$I$52:$I$63))/POZICIE_INTERNE!$B$52*12,IF((POZICIE_INTERNE!$B$52-12*('TCO TO BE- SW'!$D151-1))&lt;0,0,(POZICIE_INTERNE!$B$52-12*('TCO TO BE- SW'!$D151-1))*((P$4+'TCO TO BE - HW'!P$4)/($E$4+'TCO TO BE - HW'!$E$4)*SUM(POZICIE_INTERNE!$I$52:$I$63))/POZICIE_INTERNE!$B$52)),0)+IFERROR(IF((EXTERNE_POZICIE!$B$53-12*('TCO TO BE- SW'!$D151-1))&gt;12,((P$4+'TCO TO BE - HW'!P$4)/($E$4+'TCO TO BE - HW'!$E$4)*SUM(EXTERNE_POZICIE!$M$53:$M$64)*1.23)/EXTERNE_POZICIE!$B$41*12,IF((EXTERNE_POZICIE!$B$53-12*('TCO TO BE- SW'!$D151-1))&lt;0,0,(EXTERNE_POZICIE!$B$53-12*('TCO TO BE- SW'!$D151-1))*((P$4+'TCO TO BE - HW'!P$4)/($E$4+'TCO TO BE - HW'!$E$4)*SUM(EXTERNE_POZICIE!$M$53:$M$64)*1.23)/EXTERNE_POZICIE!$B$53)),0)+IFERROR(SUM(#REF!)*'TCO TO BE- SW'!P$4/'TCO TO BE- SW'!$E$4,0)</f>
        <v>15685.557516749308</v>
      </c>
      <c r="Q161" s="575">
        <f>IFERROR(IF((POZICIE_INTERNE!$B$52-12*('TCO TO BE- SW'!$D151-1))&gt;12,((Q$4+'TCO TO BE - HW'!Q$4)/($E$4+'TCO TO BE - HW'!$E$4)*SUM(POZICIE_INTERNE!$I$52:$I$63))/POZICIE_INTERNE!$B$52*12,IF((POZICIE_INTERNE!$B$52-12*('TCO TO BE- SW'!$D151-1))&lt;0,0,(POZICIE_INTERNE!$B$52-12*('TCO TO BE- SW'!$D151-1))*((Q$4+'TCO TO BE - HW'!Q$4)/($E$4+'TCO TO BE - HW'!$E$4)*SUM(POZICIE_INTERNE!$I$52:$I$63))/POZICIE_INTERNE!$B$52)),0)+IFERROR(IF((EXTERNE_POZICIE!$B$53-12*('TCO TO BE- SW'!$D151-1))&gt;12,((Q$4+'TCO TO BE - HW'!Q$4)/($E$4+'TCO TO BE - HW'!$E$4)*SUM(EXTERNE_POZICIE!$M$53:$M$64)*1.23)/EXTERNE_POZICIE!$B$41*12,IF((EXTERNE_POZICIE!$B$53-12*('TCO TO BE- SW'!$D151-1))&lt;0,0,(EXTERNE_POZICIE!$B$53-12*('TCO TO BE- SW'!$D151-1))*((Q$4+'TCO TO BE - HW'!Q$4)/($E$4+'TCO TO BE - HW'!$E$4)*SUM(EXTERNE_POZICIE!$M$53:$M$64)*1.23)/EXTERNE_POZICIE!$B$53)),0)+IFERROR(SUM(#REF!)*'TCO TO BE- SW'!Q$4/'TCO TO BE- SW'!$E$4,0)</f>
        <v>88041.114169925946</v>
      </c>
      <c r="R161" s="575">
        <f>IFERROR(IF((POZICIE_INTERNE!$B$52-12*('TCO TO BE- SW'!$D151-1))&gt;12,((R$4+'TCO TO BE - HW'!R$4)/($E$4+'TCO TO BE - HW'!$E$4)*SUM(POZICIE_INTERNE!$I$52:$I$63))/POZICIE_INTERNE!$B$52*12,IF((POZICIE_INTERNE!$B$52-12*('TCO TO BE- SW'!$D151-1))&lt;0,0,(POZICIE_INTERNE!$B$52-12*('TCO TO BE- SW'!$D151-1))*((R$4+'TCO TO BE - HW'!R$4)/($E$4+'TCO TO BE - HW'!$E$4)*SUM(POZICIE_INTERNE!$I$52:$I$63))/POZICIE_INTERNE!$B$52)),0)+IFERROR(IF((EXTERNE_POZICIE!$B$53-12*('TCO TO BE- SW'!$D151-1))&gt;12,((R$4+'TCO TO BE - HW'!R$4)/($E$4+'TCO TO BE - HW'!$E$4)*SUM(EXTERNE_POZICIE!$M$53:$M$64)*1.23)/EXTERNE_POZICIE!$B$41*12,IF((EXTERNE_POZICIE!$B$53-12*('TCO TO BE- SW'!$D151-1))&lt;0,0,(EXTERNE_POZICIE!$B$53-12*('TCO TO BE- SW'!$D151-1))*((R$4+'TCO TO BE - HW'!R$4)/($E$4+'TCO TO BE - HW'!$E$4)*SUM(EXTERNE_POZICIE!$M$53:$M$64)*1.23)/EXTERNE_POZICIE!$B$53)),0)+IFERROR(SUM(#REF!)*'TCO TO BE- SW'!R$4/'TCO TO BE- SW'!$E$4,0)</f>
        <v>30884.83781318603</v>
      </c>
      <c r="S161" s="575">
        <f>IFERROR(IF((POZICIE_INTERNE!$B$52-12*('TCO TO BE- SW'!$D151-1))&gt;12,((S$4+'TCO TO BE - HW'!S$4)/($E$4+'TCO TO BE - HW'!$E$4)*SUM(POZICIE_INTERNE!$I$52:$I$63))/POZICIE_INTERNE!$B$52*12,IF((POZICIE_INTERNE!$B$52-12*('TCO TO BE- SW'!$D151-1))&lt;0,0,(POZICIE_INTERNE!$B$52-12*('TCO TO BE- SW'!$D151-1))*((S$4+'TCO TO BE - HW'!S$4)/($E$4+'TCO TO BE - HW'!$E$4)*SUM(POZICIE_INTERNE!$I$52:$I$63))/POZICIE_INTERNE!$B$52)),0)+IFERROR(IF((EXTERNE_POZICIE!$B$53-12*('TCO TO BE- SW'!$D151-1))&gt;12,((S$4+'TCO TO BE - HW'!S$4)/($E$4+'TCO TO BE - HW'!$E$4)*SUM(EXTERNE_POZICIE!$M$53:$M$64)*1.23)/EXTERNE_POZICIE!$B$41*12,IF((EXTERNE_POZICIE!$B$53-12*('TCO TO BE- SW'!$D151-1))&lt;0,0,(EXTERNE_POZICIE!$B$53-12*('TCO TO BE- SW'!$D151-1))*((S$4+'TCO TO BE - HW'!S$4)/($E$4+'TCO TO BE - HW'!$E$4)*SUM(EXTERNE_POZICIE!$M$53:$M$64)*1.23)/EXTERNE_POZICIE!$B$53)),0)+IFERROR(SUM(#REF!)*'TCO TO BE- SW'!S$4/'TCO TO BE- SW'!$E$4,0)</f>
        <v>352054.1241096434</v>
      </c>
      <c r="T161" s="575">
        <f>IFERROR(IF((POZICIE_INTERNE!$B$52-12*('TCO TO BE- SW'!$D151-1))&gt;12,((T$4+'TCO TO BE - HW'!T$4)/($E$4+'TCO TO BE - HW'!$E$4)*SUM(POZICIE_INTERNE!$I$52:$I$63))/POZICIE_INTERNE!$B$52*12,IF((POZICIE_INTERNE!$B$52-12*('TCO TO BE- SW'!$D151-1))&lt;0,0,(POZICIE_INTERNE!$B$52-12*('TCO TO BE- SW'!$D151-1))*((T$4+'TCO TO BE - HW'!T$4)/($E$4+'TCO TO BE - HW'!$E$4)*SUM(POZICIE_INTERNE!$I$52:$I$63))/POZICIE_INTERNE!$B$52)),0)+IFERROR(IF((EXTERNE_POZICIE!$B$53-12*('TCO TO BE- SW'!$D151-1))&gt;12,((T$4+'TCO TO BE - HW'!T$4)/($E$4+'TCO TO BE - HW'!$E$4)*SUM(EXTERNE_POZICIE!$M$53:$M$64)*1.23)/EXTERNE_POZICIE!$B$41*12,IF((EXTERNE_POZICIE!$B$53-12*('TCO TO BE- SW'!$D151-1))&lt;0,0,(EXTERNE_POZICIE!$B$53-12*('TCO TO BE- SW'!$D151-1))*((T$4+'TCO TO BE - HW'!T$4)/($E$4+'TCO TO BE - HW'!$E$4)*SUM(EXTERNE_POZICIE!$M$53:$M$64)*1.23)/EXTERNE_POZICIE!$B$53)),0)+IFERROR(SUM(#REF!)*'TCO TO BE- SW'!T$4/'TCO TO BE- SW'!$E$4,0)</f>
        <v>0</v>
      </c>
      <c r="U161" s="575">
        <f>IFERROR(IF((POZICIE_INTERNE!$B$52-12*('TCO TO BE- SW'!$D151-1))&gt;12,((U$4+'TCO TO BE - HW'!U$4)/($E$4+'TCO TO BE - HW'!$E$4)*SUM(POZICIE_INTERNE!$I$52:$I$63))/POZICIE_INTERNE!$B$52*12,IF((POZICIE_INTERNE!$B$52-12*('TCO TO BE- SW'!$D151-1))&lt;0,0,(POZICIE_INTERNE!$B$52-12*('TCO TO BE- SW'!$D151-1))*((U$4+'TCO TO BE - HW'!U$4)/($E$4+'TCO TO BE - HW'!$E$4)*SUM(POZICIE_INTERNE!$I$52:$I$63))/POZICIE_INTERNE!$B$52)),0)+IFERROR(IF((EXTERNE_POZICIE!$B$53-12*('TCO TO BE- SW'!$D151-1))&gt;12,((U$4+'TCO TO BE - HW'!U$4)/($E$4+'TCO TO BE - HW'!$E$4)*SUM(EXTERNE_POZICIE!$M$53:$M$64)*1.23)/EXTERNE_POZICIE!$B$41*12,IF((EXTERNE_POZICIE!$B$53-12*('TCO TO BE- SW'!$D151-1))&lt;0,0,(EXTERNE_POZICIE!$B$53-12*('TCO TO BE- SW'!$D151-1))*((U$4+'TCO TO BE - HW'!U$4)/($E$4+'TCO TO BE - HW'!$E$4)*SUM(EXTERNE_POZICIE!$M$53:$M$64)*1.23)/EXTERNE_POZICIE!$B$53)),0)+IFERROR(SUM(#REF!)*'TCO TO BE- SW'!U$4/'TCO TO BE- SW'!$E$4,0)</f>
        <v>0</v>
      </c>
      <c r="V161" s="575">
        <f>IFERROR(IF((POZICIE_INTERNE!$B$52-12*('TCO TO BE- SW'!$D151-1))&gt;12,((V$4+'TCO TO BE - HW'!V$4)/($E$4+'TCO TO BE - HW'!$E$4)*SUM(POZICIE_INTERNE!$I$52:$I$63))/POZICIE_INTERNE!$B$52*12,IF((POZICIE_INTERNE!$B$52-12*('TCO TO BE- SW'!$D151-1))&lt;0,0,(POZICIE_INTERNE!$B$52-12*('TCO TO BE- SW'!$D151-1))*((V$4+'TCO TO BE - HW'!V$4)/($E$4+'TCO TO BE - HW'!$E$4)*SUM(POZICIE_INTERNE!$I$52:$I$63))/POZICIE_INTERNE!$B$52)),0)+IFERROR(IF((EXTERNE_POZICIE!$B$53-12*('TCO TO BE- SW'!$D151-1))&gt;12,((V$4+'TCO TO BE - HW'!V$4)/($E$4+'TCO TO BE - HW'!$E$4)*SUM(EXTERNE_POZICIE!$M$53:$M$64)*1.23)/EXTERNE_POZICIE!$B$41*12,IF((EXTERNE_POZICIE!$B$53-12*('TCO TO BE- SW'!$D151-1))&lt;0,0,(EXTERNE_POZICIE!$B$53-12*('TCO TO BE- SW'!$D151-1))*((V$4+'TCO TO BE - HW'!V$4)/($E$4+'TCO TO BE - HW'!$E$4)*SUM(EXTERNE_POZICIE!$M$53:$M$64)*1.23)/EXTERNE_POZICIE!$B$53)),0)+IFERROR(SUM(#REF!)*'TCO TO BE- SW'!V$4/'TCO TO BE- SW'!$E$4,0)</f>
        <v>0</v>
      </c>
      <c r="W161" s="575">
        <f>IFERROR(IF((POZICIE_INTERNE!$B$52-12*('TCO TO BE- SW'!$D151-1))&gt;12,((W$4+'TCO TO BE - HW'!W$4)/($E$4+'TCO TO BE - HW'!$E$4)*SUM(POZICIE_INTERNE!$I$52:$I$63))/POZICIE_INTERNE!$B$52*12,IF((POZICIE_INTERNE!$B$52-12*('TCO TO BE- SW'!$D151-1))&lt;0,0,(POZICIE_INTERNE!$B$52-12*('TCO TO BE- SW'!$D151-1))*((W$4+'TCO TO BE - HW'!W$4)/($E$4+'TCO TO BE - HW'!$E$4)*SUM(POZICIE_INTERNE!$I$52:$I$63))/POZICIE_INTERNE!$B$52)),0)+IFERROR(IF((EXTERNE_POZICIE!$B$53-12*('TCO TO BE- SW'!$D151-1))&gt;12,((W$4+'TCO TO BE - HW'!W$4)/($E$4+'TCO TO BE - HW'!$E$4)*SUM(EXTERNE_POZICIE!$M$53:$M$64)*1.23)/EXTERNE_POZICIE!$B$41*12,IF((EXTERNE_POZICIE!$B$53-12*('TCO TO BE- SW'!$D151-1))&lt;0,0,(EXTERNE_POZICIE!$B$53-12*('TCO TO BE- SW'!$D151-1))*((W$4+'TCO TO BE - HW'!W$4)/($E$4+'TCO TO BE - HW'!$E$4)*SUM(EXTERNE_POZICIE!$M$53:$M$64)*1.23)/EXTERNE_POZICIE!$B$53)),0)+IFERROR(SUM(#REF!)*'TCO TO BE- SW'!W$4/'TCO TO BE- SW'!$E$4,0)</f>
        <v>0</v>
      </c>
      <c r="X161" s="575">
        <f>IFERROR(IF((POZICIE_INTERNE!$B$52-12*('TCO TO BE- SW'!$D151-1))&gt;12,((X$4+'TCO TO BE - HW'!X$4)/($E$4+'TCO TO BE - HW'!$E$4)*SUM(POZICIE_INTERNE!$I$52:$I$63))/POZICIE_INTERNE!$B$52*12,IF((POZICIE_INTERNE!$B$52-12*('TCO TO BE- SW'!$D151-1))&lt;0,0,(POZICIE_INTERNE!$B$52-12*('TCO TO BE- SW'!$D151-1))*((X$4+'TCO TO BE - HW'!X$4)/($E$4+'TCO TO BE - HW'!$E$4)*SUM(POZICIE_INTERNE!$I$52:$I$63))/POZICIE_INTERNE!$B$52)),0)+IFERROR(IF((EXTERNE_POZICIE!$B$53-12*('TCO TO BE- SW'!$D151-1))&gt;12,((X$4+'TCO TO BE - HW'!X$4)/($E$4+'TCO TO BE - HW'!$E$4)*SUM(EXTERNE_POZICIE!$M$53:$M$64)*1.23)/EXTERNE_POZICIE!$B$41*12,IF((EXTERNE_POZICIE!$B$53-12*('TCO TO BE- SW'!$D151-1))&lt;0,0,(EXTERNE_POZICIE!$B$53-12*('TCO TO BE- SW'!$D151-1))*((X$4+'TCO TO BE - HW'!X$4)/($E$4+'TCO TO BE - HW'!$E$4)*SUM(EXTERNE_POZICIE!$M$53:$M$64)*1.23)/EXTERNE_POZICIE!$B$53)),0)+IFERROR(SUM(#REF!)*'TCO TO BE- SW'!X$4/'TCO TO BE- SW'!$E$4,0)</f>
        <v>0</v>
      </c>
      <c r="Y161" s="575">
        <f>IFERROR(IF((POZICIE_INTERNE!$B$52-12*('TCO TO BE- SW'!$D151-1))&gt;12,((Y$4+'TCO TO BE - HW'!Y$4)/($E$4+'TCO TO BE - HW'!$E$4)*SUM(POZICIE_INTERNE!$I$52:$I$63))/POZICIE_INTERNE!$B$52*12,IF((POZICIE_INTERNE!$B$52-12*('TCO TO BE- SW'!$D151-1))&lt;0,0,(POZICIE_INTERNE!$B$52-12*('TCO TO BE- SW'!$D151-1))*((Y$4+'TCO TO BE - HW'!Y$4)/($E$4+'TCO TO BE - HW'!$E$4)*SUM(POZICIE_INTERNE!$I$52:$I$63))/POZICIE_INTERNE!$B$52)),0)+IFERROR(IF((EXTERNE_POZICIE!$B$53-12*('TCO TO BE- SW'!$D151-1))&gt;12,((Y$4+'TCO TO BE - HW'!Y$4)/($E$4+'TCO TO BE - HW'!$E$4)*SUM(EXTERNE_POZICIE!$M$53:$M$64)*1.23)/EXTERNE_POZICIE!$B$41*12,IF((EXTERNE_POZICIE!$B$53-12*('TCO TO BE- SW'!$D151-1))&lt;0,0,(EXTERNE_POZICIE!$B$53-12*('TCO TO BE- SW'!$D151-1))*((Y$4+'TCO TO BE - HW'!Y$4)/($E$4+'TCO TO BE - HW'!$E$4)*SUM(EXTERNE_POZICIE!$M$53:$M$64)*1.23)/EXTERNE_POZICIE!$B$53)),0)+IFERROR(SUM(#REF!)*'TCO TO BE- SW'!Y$4/'TCO TO BE- SW'!$E$4,0)</f>
        <v>0</v>
      </c>
      <c r="Z161" s="575">
        <f>IFERROR(IF((POZICIE_INTERNE!$B$52-12*('TCO TO BE- SW'!$D151-1))&gt;12,((Z$4+'TCO TO BE - HW'!Z$4)/($E$4+'TCO TO BE - HW'!$E$4)*SUM(POZICIE_INTERNE!$I$52:$I$63))/POZICIE_INTERNE!$B$52*12,IF((POZICIE_INTERNE!$B$52-12*('TCO TO BE- SW'!$D151-1))&lt;0,0,(POZICIE_INTERNE!$B$52-12*('TCO TO BE- SW'!$D151-1))*((Z$4+'TCO TO BE - HW'!Z$4)/($E$4+'TCO TO BE - HW'!$E$4)*SUM(POZICIE_INTERNE!$I$52:$I$63))/POZICIE_INTERNE!$B$52)),0)+IFERROR(IF((EXTERNE_POZICIE!$B$53-12*('TCO TO BE- SW'!$D151-1))&gt;12,((Z$4+'TCO TO BE - HW'!Z$4)/($E$4+'TCO TO BE - HW'!$E$4)*SUM(EXTERNE_POZICIE!$M$53:$M$64)*1.23)/EXTERNE_POZICIE!$B$41*12,IF((EXTERNE_POZICIE!$B$53-12*('TCO TO BE- SW'!$D151-1))&lt;0,0,(EXTERNE_POZICIE!$B$53-12*('TCO TO BE- SW'!$D151-1))*((Z$4+'TCO TO BE - HW'!Z$4)/($E$4+'TCO TO BE - HW'!$E$4)*SUM(EXTERNE_POZICIE!$M$53:$M$64)*1.23)/EXTERNE_POZICIE!$B$53)),0)+IFERROR(SUM(#REF!)*'TCO TO BE- SW'!Z$4/'TCO TO BE- SW'!$E$4,0)</f>
        <v>0</v>
      </c>
    </row>
    <row r="162" spans="1:26">
      <c r="A162" s="841"/>
      <c r="B162" s="842"/>
      <c r="C162" s="842"/>
      <c r="D162" s="64">
        <v>2</v>
      </c>
      <c r="E162" s="68">
        <f t="shared" si="16"/>
        <v>928217.81829999993</v>
      </c>
      <c r="F162" s="576">
        <f>IFERROR(IF((POZICIE_INTERNE!$B$52-12*('TCO TO BE- SW'!$D152-1))&gt;12,((F$4+'TCO TO BE - HW'!F$4)/($E$4+'TCO TO BE - HW'!$E$4)*SUM(POZICIE_INTERNE!$I$52:$I$63))/POZICIE_INTERNE!$B$52*12,IF((POZICIE_INTERNE!$B$52-12*('TCO TO BE- SW'!$D152-1))&lt;0,0,(POZICIE_INTERNE!$B$52-12*('TCO TO BE- SW'!$D152-1))*((F$4+'TCO TO BE - HW'!F$4)/($E$4+'TCO TO BE - HW'!$E$4)*SUM(POZICIE_INTERNE!$I$52:$I$63))/POZICIE_INTERNE!$B$52)),0)+IFERROR(IF((EXTERNE_POZICIE!$B$53-12*('TCO TO BE- SW'!$D152-1))&gt;12,((F$4+'TCO TO BE - HW'!F$4)/($E$4+'TCO TO BE - HW'!$E$4)*SUM(EXTERNE_POZICIE!$M$53:$M$64)*1.23)/EXTERNE_POZICIE!$B$41*12,IF((EXTERNE_POZICIE!$B$53-12*('TCO TO BE- SW'!$D152-1))&lt;0,0,(EXTERNE_POZICIE!$B$53-12*('TCO TO BE- SW'!$D152-1))*((F$4+'TCO TO BE - HW'!F$4)/($E$4+'TCO TO BE - HW'!$E$4)*SUM(EXTERNE_POZICIE!$M$53:$M$64)*1.23)/EXTERNE_POZICIE!$B$53)),0)+IFERROR(SUM(#REF!)*'TCO TO BE- SW'!F$4/'TCO TO BE- SW'!$E$4,0)</f>
        <v>5199.4256633421774</v>
      </c>
      <c r="G162" s="576">
        <f>IFERROR(IF((POZICIE_INTERNE!$B$52-12*('TCO TO BE- SW'!$D152-1))&gt;12,((G$4+'TCO TO BE - HW'!G$4)/($E$4+'TCO TO BE - HW'!$E$4)*SUM(POZICIE_INTERNE!$I$52:$I$63))/POZICIE_INTERNE!$B$52*12,IF((POZICIE_INTERNE!$B$52-12*('TCO TO BE- SW'!$D152-1))&lt;0,0,(POZICIE_INTERNE!$B$52-12*('TCO TO BE- SW'!$D152-1))*((G$4+'TCO TO BE - HW'!G$4)/($E$4+'TCO TO BE - HW'!$E$4)*SUM(POZICIE_INTERNE!$I$52:$I$63))/POZICIE_INTERNE!$B$52)),0)+IFERROR(IF((EXTERNE_POZICIE!$B$53-12*('TCO TO BE- SW'!$D152-1))&gt;12,((G$4+'TCO TO BE - HW'!G$4)/($E$4+'TCO TO BE - HW'!$E$4)*SUM(EXTERNE_POZICIE!$M$53:$M$64)*1.2)/EXTERNE_POZICIE!$B$41*12,IF((EXTERNE_POZICIE!$B$53-12*('TCO TO BE- SW'!$D152-1))&lt;0,0,(EXTERNE_POZICIE!$B$53-12*('TCO TO BE- SW'!$D152-1))*((G$4+'TCO TO BE - HW'!G$4)/($E$4+'TCO TO BE - HW'!$E$4)*SUM(EXTERNE_POZICIE!$M$53:$M$64)*1.2)/EXTERNE_POZICIE!$B$53)),0)</f>
        <v>0</v>
      </c>
      <c r="H162" s="576">
        <f>IFERROR(IF((POZICIE_INTERNE!$B$52-12*('TCO TO BE- SW'!$D152-1))&gt;12,((H$4+'TCO TO BE - HW'!H$4)/($E$4+'TCO TO BE - HW'!$E$4)*SUM(POZICIE_INTERNE!$I$52:$I$63))/POZICIE_INTERNE!$B$52*12,IF((POZICIE_INTERNE!$B$52-12*('TCO TO BE- SW'!$D152-1))&lt;0,0,(POZICIE_INTERNE!$B$52-12*('TCO TO BE- SW'!$D152-1))*((H$4+'TCO TO BE - HW'!H$4)/($E$4+'TCO TO BE - HW'!$E$4)*SUM(POZICIE_INTERNE!$I$52:$I$63))/POZICIE_INTERNE!$B$52)),0)+IFERROR(IF((EXTERNE_POZICIE!$B$53-12*('TCO TO BE- SW'!$D152-1))&gt;12,((H$4+'TCO TO BE - HW'!H$4)/($E$4+'TCO TO BE - HW'!$E$4)*SUM(EXTERNE_POZICIE!$M$53:$M$64)*1.2)/EXTERNE_POZICIE!$B$41*12,IF((EXTERNE_POZICIE!$B$53-12*('TCO TO BE- SW'!$D152-1))&lt;0,0,(EXTERNE_POZICIE!$B$53-12*('TCO TO BE- SW'!$D152-1))*((H$4+'TCO TO BE - HW'!H$4)/($E$4+'TCO TO BE - HW'!$E$4)*SUM(EXTERNE_POZICIE!$M$53:$M$64)*1.2)/EXTERNE_POZICIE!$B$53)),0)</f>
        <v>10673.16155352735</v>
      </c>
      <c r="I162" s="576">
        <f>IFERROR(IF((POZICIE_INTERNE!$B$52-12*('TCO TO BE- SW'!$D152-1))&gt;12,((I$4+'TCO TO BE - HW'!I$4)/($E$4+'TCO TO BE - HW'!$E$4)*SUM(POZICIE_INTERNE!$I$52:$I$63))/POZICIE_INTERNE!$B$52*12,IF((POZICIE_INTERNE!$B$52-12*('TCO TO BE- SW'!$D152-1))&lt;0,0,(POZICIE_INTERNE!$B$52-12*('TCO TO BE- SW'!$D152-1))*((I$4+'TCO TO BE - HW'!I$4)/($E$4+'TCO TO BE - HW'!$E$4)*SUM(POZICIE_INTERNE!$I$52:$I$63))/POZICIE_INTERNE!$B$52)),0)+IFERROR(IF((EXTERNE_POZICIE!$B$53-12*('TCO TO BE- SW'!$D152-1))&gt;12,((I$4+'TCO TO BE - HW'!I$4)/($E$4+'TCO TO BE - HW'!$E$4)*SUM(EXTERNE_POZICIE!$M$53:$M$64)*1.2)/EXTERNE_POZICIE!$B$41*12,IF((EXTERNE_POZICIE!$B$53-12*('TCO TO BE- SW'!$D152-1))&lt;0,0,(EXTERNE_POZICIE!$B$53-12*('TCO TO BE- SW'!$D152-1))*((I$4+'TCO TO BE - HW'!I$4)/($E$4+'TCO TO BE - HW'!$E$4)*SUM(EXTERNE_POZICIE!$M$53:$M$64)*1.2)/EXTERNE_POZICIE!$B$53)),0)</f>
        <v>27929.768551286521</v>
      </c>
      <c r="J162" s="576">
        <f>IFERROR(IF((POZICIE_INTERNE!$B$52-12*('TCO TO BE- SW'!$D152-1))&gt;12,((J$4+'TCO TO BE - HW'!J$4)/($E$4+'TCO TO BE - HW'!$E$4)*SUM(POZICIE_INTERNE!$I$52:$I$63))/POZICIE_INTERNE!$B$52*12,IF((POZICIE_INTERNE!$B$52-12*('TCO TO BE- SW'!$D152-1))&lt;0,0,(POZICIE_INTERNE!$B$52-12*('TCO TO BE- SW'!$D152-1))*((J$4+'TCO TO BE - HW'!J$4)/($E$4+'TCO TO BE - HW'!$E$4)*SUM(POZICIE_INTERNE!$I$52:$I$63))/POZICIE_INTERNE!$B$52)),0)+IFERROR(IF((EXTERNE_POZICIE!$B$53-12*('TCO TO BE- SW'!$D152-1))&gt;12,((J$4+'TCO TO BE - HW'!J$4)/($E$4+'TCO TO BE - HW'!$E$4)*SUM(EXTERNE_POZICIE!$M$53:$M$64)*1.2)/EXTERNE_POZICIE!$B$41*12,IF((EXTERNE_POZICIE!$B$53-12*('TCO TO BE- SW'!$D152-1))&lt;0,0,(EXTERNE_POZICIE!$B$53-12*('TCO TO BE- SW'!$D152-1))*((J$4+'TCO TO BE - HW'!J$4)/($E$4+'TCO TO BE - HW'!$E$4)*SUM(EXTERNE_POZICIE!$M$53:$M$64)*1.2)/EXTERNE_POZICIE!$B$53)),0)</f>
        <v>14924.970069593732</v>
      </c>
      <c r="K162" s="576">
        <f>IFERROR(IF((POZICIE_INTERNE!$B$52-12*('TCO TO BE- SW'!$D152-1))&gt;12,((K$4+'TCO TO BE - HW'!K$4)/($E$4+'TCO TO BE - HW'!$E$4)*SUM(POZICIE_INTERNE!$I$52:$I$63))/POZICIE_INTERNE!$B$52*12,IF((POZICIE_INTERNE!$B$52-12*('TCO TO BE- SW'!$D152-1))&lt;0,0,(POZICIE_INTERNE!$B$52-12*('TCO TO BE- SW'!$D152-1))*((K$4+'TCO TO BE - HW'!K$4)/($E$4+'TCO TO BE - HW'!$E$4)*SUM(POZICIE_INTERNE!$I$52:$I$63))/POZICIE_INTERNE!$B$52)),0)+IFERROR(IF((EXTERNE_POZICIE!$B$53-12*('TCO TO BE- SW'!$D152-1))&gt;12,((K$4+'TCO TO BE - HW'!K$4)/($E$4+'TCO TO BE - HW'!$E$4)*SUM(EXTERNE_POZICIE!$M$53:$M$64)*1.2)/EXTERNE_POZICIE!$B$41*12,IF((EXTERNE_POZICIE!$B$53-12*('TCO TO BE- SW'!$D152-1))&lt;0,0,(EXTERNE_POZICIE!$B$53-12*('TCO TO BE- SW'!$D152-1))*((K$4+'TCO TO BE - HW'!K$4)/($E$4+'TCO TO BE - HW'!$E$4)*SUM(EXTERNE_POZICIE!$M$53:$M$64)*1.2)/EXTERNE_POZICIE!$B$53)),0)</f>
        <v>9027.3001924693926</v>
      </c>
      <c r="L162" s="576">
        <f>IFERROR(IF((POZICIE_INTERNE!$B$52-12*('TCO TO BE- SW'!$D152-1))&gt;12,((L$4+'TCO TO BE - HW'!L$4)/($E$4+'TCO TO BE - HW'!$E$4)*SUM(POZICIE_INTERNE!$I$52:$I$63))/POZICIE_INTERNE!$B$52*12,IF((POZICIE_INTERNE!$B$52-12*('TCO TO BE- SW'!$D152-1))&lt;0,0,(POZICIE_INTERNE!$B$52-12*('TCO TO BE- SW'!$D152-1))*((L$4+'TCO TO BE - HW'!L$4)/($E$4+'TCO TO BE - HW'!$E$4)*SUM(POZICIE_INTERNE!$I$52:$I$63))/POZICIE_INTERNE!$B$52)),0)+IFERROR(IF((EXTERNE_POZICIE!$B$53-12*('TCO TO BE- SW'!$D152-1))&gt;12,((L$4+'TCO TO BE - HW'!L$4)/($E$4+'TCO TO BE - HW'!$E$4)*SUM(EXTERNE_POZICIE!$M$53:$M$64)*1.2)/EXTERNE_POZICIE!$B$41*12,IF((EXTERNE_POZICIE!$B$53-12*('TCO TO BE- SW'!$D152-1))&lt;0,0,(EXTERNE_POZICIE!$B$53-12*('TCO TO BE- SW'!$D152-1))*((L$4+'TCO TO BE - HW'!L$4)/($E$4+'TCO TO BE - HW'!$E$4)*SUM(EXTERNE_POZICIE!$M$53:$M$64)*1.2)/EXTERNE_POZICIE!$B$53)),0)</f>
        <v>13279.108708535779</v>
      </c>
      <c r="M162" s="576">
        <f>IFERROR(IF((POZICIE_INTERNE!$B$52-12*('TCO TO BE- SW'!$D152-1))&gt;12,((M$4+'TCO TO BE - HW'!M$4)/($E$4+'TCO TO BE - HW'!$E$4)*SUM(POZICIE_INTERNE!$I$52:$I$63))/POZICIE_INTERNE!$B$52*12,IF((POZICIE_INTERNE!$B$52-12*('TCO TO BE- SW'!$D152-1))&lt;0,0,(POZICIE_INTERNE!$B$52-12*('TCO TO BE- SW'!$D152-1))*((M$4+'TCO TO BE - HW'!M$4)/($E$4+'TCO TO BE - HW'!$E$4)*SUM(POZICIE_INTERNE!$I$52:$I$63))/POZICIE_INTERNE!$B$52)),0)+IFERROR(IF((EXTERNE_POZICIE!$B$53-12*('TCO TO BE- SW'!$D152-1))&gt;12,((M$4+'TCO TO BE - HW'!M$4)/($E$4+'TCO TO BE - HW'!$E$4)*SUM(EXTERNE_POZICIE!$M$53:$M$64)*1.2)/EXTERNE_POZICIE!$B$41*12,IF((EXTERNE_POZICIE!$B$53-12*('TCO TO BE- SW'!$D152-1))&lt;0,0,(EXTERNE_POZICIE!$B$53-12*('TCO TO BE- SW'!$D152-1))*((M$4+'TCO TO BE - HW'!M$4)/($E$4+'TCO TO BE - HW'!$E$4)*SUM(EXTERNE_POZICIE!$M$53:$M$64)*1.2)/EXTERNE_POZICIE!$B$53)),0)</f>
        <v>213051.7657302825</v>
      </c>
      <c r="N162" s="576">
        <f>IFERROR(IF((POZICIE_INTERNE!$B$52-12*('TCO TO BE- SW'!$D152-1))&gt;12,((N$4+'TCO TO BE - HW'!N$4)/($E$4+'TCO TO BE - HW'!$E$4)*SUM(POZICIE_INTERNE!$I$52:$I$63))/POZICIE_INTERNE!$B$52*12,IF((POZICIE_INTERNE!$B$52-12*('TCO TO BE- SW'!$D152-1))&lt;0,0,(POZICIE_INTERNE!$B$52-12*('TCO TO BE- SW'!$D152-1))*((N$4+'TCO TO BE - HW'!N$4)/($E$4+'TCO TO BE - HW'!$E$4)*SUM(POZICIE_INTERNE!$I$52:$I$63))/POZICIE_INTERNE!$B$52)),0)+IFERROR(IF((EXTERNE_POZICIE!$B$53-12*('TCO TO BE- SW'!$D152-1))&gt;12,((N$4+'TCO TO BE - HW'!N$4)/($E$4+'TCO TO BE - HW'!$E$4)*SUM(EXTERNE_POZICIE!$M$53:$M$64)*1.2)/EXTERNE_POZICIE!$B$41*12,IF((EXTERNE_POZICIE!$B$53-12*('TCO TO BE- SW'!$D152-1))&lt;0,0,(EXTERNE_POZICIE!$B$53-12*('TCO TO BE- SW'!$D152-1))*((N$4+'TCO TO BE - HW'!N$4)/($E$4+'TCO TO BE - HW'!$E$4)*SUM(EXTERNE_POZICIE!$M$53:$M$64)*1.2)/EXTERNE_POZICIE!$B$53)),0)</f>
        <v>25336.290042952769</v>
      </c>
      <c r="O162" s="576">
        <f>IFERROR(IF((POZICIE_INTERNE!$B$52-12*('TCO TO BE- SW'!$D152-1))&gt;12,((O$4+'TCO TO BE - HW'!O$4)/($E$4+'TCO TO BE - HW'!$E$4)*SUM(POZICIE_INTERNE!$I$52:$I$63))/POZICIE_INTERNE!$B$52*12,IF((POZICIE_INTERNE!$B$52-12*('TCO TO BE- SW'!$D152-1))&lt;0,0,(POZICIE_INTERNE!$B$52-12*('TCO TO BE- SW'!$D152-1))*((O$4+'TCO TO BE - HW'!O$4)/($E$4+'TCO TO BE - HW'!$E$4)*SUM(POZICIE_INTERNE!$I$52:$I$63))/POZICIE_INTERNE!$B$52)),0)+IFERROR(IF((EXTERNE_POZICIE!$B$53-12*('TCO TO BE- SW'!$D152-1))&gt;12,((O$4+'TCO TO BE - HW'!O$4)/($E$4+'TCO TO BE - HW'!$E$4)*SUM(EXTERNE_POZICIE!$M$53:$M$64)*1.2)/EXTERNE_POZICIE!$B$41*12,IF((EXTERNE_POZICIE!$B$53-12*('TCO TO BE- SW'!$D152-1))&lt;0,0,(EXTERNE_POZICIE!$B$53-12*('TCO TO BE- SW'!$D152-1))*((O$4+'TCO TO BE - HW'!O$4)/($E$4+'TCO TO BE - HW'!$E$4)*SUM(EXTERNE_POZICIE!$M$53:$M$64)*1.2)/EXTERNE_POZICIE!$B$53)),0)</f>
        <v>122130.39417850511</v>
      </c>
      <c r="P162" s="576">
        <f>IFERROR(IF((POZICIE_INTERNE!$B$52-12*('TCO TO BE- SW'!$D152-1))&gt;12,((P$4+'TCO TO BE - HW'!P$4)/($E$4+'TCO TO BE - HW'!$E$4)*SUM(POZICIE_INTERNE!$I$52:$I$63))/POZICIE_INTERNE!$B$52*12,IF((POZICIE_INTERNE!$B$52-12*('TCO TO BE- SW'!$D152-1))&lt;0,0,(POZICIE_INTERNE!$B$52-12*('TCO TO BE- SW'!$D152-1))*((P$4+'TCO TO BE - HW'!P$4)/($E$4+'TCO TO BE - HW'!$E$4)*SUM(POZICIE_INTERNE!$I$52:$I$63))/POZICIE_INTERNE!$B$52)),0)+IFERROR(IF((EXTERNE_POZICIE!$B$53-12*('TCO TO BE- SW'!$D152-1))&gt;12,((P$4+'TCO TO BE - HW'!P$4)/($E$4+'TCO TO BE - HW'!$E$4)*SUM(EXTERNE_POZICIE!$M$53:$M$64)*1.2)/EXTERNE_POZICIE!$B$41*12,IF((EXTERNE_POZICIE!$B$53-12*('TCO TO BE- SW'!$D152-1))&lt;0,0,(EXTERNE_POZICIE!$B$53-12*('TCO TO BE- SW'!$D152-1))*((P$4+'TCO TO BE - HW'!P$4)/($E$4+'TCO TO BE - HW'!$E$4)*SUM(EXTERNE_POZICIE!$M$53:$M$64)*1.2)/EXTERNE_POZICIE!$B$53)),0)</f>
        <v>15685.557516749308</v>
      </c>
      <c r="Q162" s="576">
        <f>IFERROR(IF((POZICIE_INTERNE!$B$52-12*('TCO TO BE- SW'!$D152-1))&gt;12,((Q$4+'TCO TO BE - HW'!Q$4)/($E$4+'TCO TO BE - HW'!$E$4)*SUM(POZICIE_INTERNE!$I$52:$I$63))/POZICIE_INTERNE!$B$52*12,IF((POZICIE_INTERNE!$B$52-12*('TCO TO BE- SW'!$D152-1))&lt;0,0,(POZICIE_INTERNE!$B$52-12*('TCO TO BE- SW'!$D152-1))*((Q$4+'TCO TO BE - HW'!Q$4)/($E$4+'TCO TO BE - HW'!$E$4)*SUM(POZICIE_INTERNE!$I$52:$I$63))/POZICIE_INTERNE!$B$52)),0)+IFERROR(IF((EXTERNE_POZICIE!$B$53-12*('TCO TO BE- SW'!$D152-1))&gt;12,((Q$4+'TCO TO BE - HW'!Q$4)/($E$4+'TCO TO BE - HW'!$E$4)*SUM(EXTERNE_POZICIE!$M$53:$M$64)*1.2)/EXTERNE_POZICIE!$B$41*12,IF((EXTERNE_POZICIE!$B$53-12*('TCO TO BE- SW'!$D152-1))&lt;0,0,(EXTERNE_POZICIE!$B$53-12*('TCO TO BE- SW'!$D152-1))*((Q$4+'TCO TO BE - HW'!Q$4)/($E$4+'TCO TO BE - HW'!$E$4)*SUM(EXTERNE_POZICIE!$M$53:$M$64)*1.2)/EXTERNE_POZICIE!$B$53)),0)</f>
        <v>88041.114169925946</v>
      </c>
      <c r="R162" s="576">
        <f>IFERROR(IF((POZICIE_INTERNE!$B$52-12*('TCO TO BE- SW'!$D152-1))&gt;12,((R$4+'TCO TO BE - HW'!R$4)/($E$4+'TCO TO BE - HW'!$E$4)*SUM(POZICIE_INTERNE!$I$52:$I$63))/POZICIE_INTERNE!$B$52*12,IF((POZICIE_INTERNE!$B$52-12*('TCO TO BE- SW'!$D152-1))&lt;0,0,(POZICIE_INTERNE!$B$52-12*('TCO TO BE- SW'!$D152-1))*((R$4+'TCO TO BE - HW'!R$4)/($E$4+'TCO TO BE - HW'!$E$4)*SUM(POZICIE_INTERNE!$I$52:$I$63))/POZICIE_INTERNE!$B$52)),0)+IFERROR(IF((EXTERNE_POZICIE!$B$53-12*('TCO TO BE- SW'!$D152-1))&gt;12,((R$4+'TCO TO BE - HW'!R$4)/($E$4+'TCO TO BE - HW'!$E$4)*SUM(EXTERNE_POZICIE!$M$53:$M$64)*1.2)/EXTERNE_POZICIE!$B$41*12,IF((EXTERNE_POZICIE!$B$53-12*('TCO TO BE- SW'!$D152-1))&lt;0,0,(EXTERNE_POZICIE!$B$53-12*('TCO TO BE- SW'!$D152-1))*((R$4+'TCO TO BE - HW'!R$4)/($E$4+'TCO TO BE - HW'!$E$4)*SUM(EXTERNE_POZICIE!$M$53:$M$64)*1.2)/EXTERNE_POZICIE!$B$53)),0)</f>
        <v>30884.83781318603</v>
      </c>
      <c r="S162" s="576">
        <f>IFERROR(IF((POZICIE_INTERNE!$B$52-12*('TCO TO BE- SW'!$D152-1))&gt;12,((S$4+'TCO TO BE - HW'!S$4)/($E$4+'TCO TO BE - HW'!$E$4)*SUM(POZICIE_INTERNE!$I$52:$I$63))/POZICIE_INTERNE!$B$52*12,IF((POZICIE_INTERNE!$B$52-12*('TCO TO BE- SW'!$D152-1))&lt;0,0,(POZICIE_INTERNE!$B$52-12*('TCO TO BE- SW'!$D152-1))*((S$4+'TCO TO BE - HW'!S$4)/($E$4+'TCO TO BE - HW'!$E$4)*SUM(POZICIE_INTERNE!$I$52:$I$63))/POZICIE_INTERNE!$B$52)),0)+IFERROR(IF((EXTERNE_POZICIE!$B$53-12*('TCO TO BE- SW'!$D152-1))&gt;12,((S$4+'TCO TO BE - HW'!S$4)/($E$4+'TCO TO BE - HW'!$E$4)*SUM(EXTERNE_POZICIE!$M$53:$M$64)*1.2)/EXTERNE_POZICIE!$B$41*12,IF((EXTERNE_POZICIE!$B$53-12*('TCO TO BE- SW'!$D152-1))&lt;0,0,(EXTERNE_POZICIE!$B$53-12*('TCO TO BE- SW'!$D152-1))*((S$4+'TCO TO BE - HW'!S$4)/($E$4+'TCO TO BE - HW'!$E$4)*SUM(EXTERNE_POZICIE!$M$53:$M$64)*1.2)/EXTERNE_POZICIE!$B$53)),0)</f>
        <v>352054.1241096434</v>
      </c>
      <c r="T162" s="576">
        <f>IFERROR(IF((POZICIE_INTERNE!$B$52-12*('TCO TO BE- SW'!$D152-1))&gt;12,((T$4+'TCO TO BE - HW'!T$4)/($E$4+'TCO TO BE - HW'!$E$4)*SUM(POZICIE_INTERNE!$I$52:$I$63))/POZICIE_INTERNE!$B$52*12,IF((POZICIE_INTERNE!$B$52-12*('TCO TO BE- SW'!$D152-1))&lt;0,0,(POZICIE_INTERNE!$B$52-12*('TCO TO BE- SW'!$D152-1))*((T$4+'TCO TO BE - HW'!T$4)/($E$4+'TCO TO BE - HW'!$E$4)*SUM(POZICIE_INTERNE!$I$52:$I$63))/POZICIE_INTERNE!$B$52)),0)+IFERROR(IF((EXTERNE_POZICIE!$B$53-12*('TCO TO BE- SW'!$D152-1))&gt;12,((T$4+'TCO TO BE - HW'!T$4)/($E$4+'TCO TO BE - HW'!$E$4)*SUM(EXTERNE_POZICIE!$M$53:$M$64)*1.2)/EXTERNE_POZICIE!$B$41*12,IF((EXTERNE_POZICIE!$B$53-12*('TCO TO BE- SW'!$D152-1))&lt;0,0,(EXTERNE_POZICIE!$B$53-12*('TCO TO BE- SW'!$D152-1))*((T$4+'TCO TO BE - HW'!T$4)/($E$4+'TCO TO BE - HW'!$E$4)*SUM(EXTERNE_POZICIE!$M$53:$M$64)*1.2)/EXTERNE_POZICIE!$B$53)),0)</f>
        <v>0</v>
      </c>
      <c r="U162" s="576">
        <f>IFERROR(IF((POZICIE_INTERNE!$B$52-12*('TCO TO BE- SW'!$D152-1))&gt;12,((U$4+'TCO TO BE - HW'!U$4)/($E$4+'TCO TO BE - HW'!$E$4)*SUM(POZICIE_INTERNE!$I$52:$I$63))/POZICIE_INTERNE!$B$52*12,IF((POZICIE_INTERNE!$B$52-12*('TCO TO BE- SW'!$D152-1))&lt;0,0,(POZICIE_INTERNE!$B$52-12*('TCO TO BE- SW'!$D152-1))*((U$4+'TCO TO BE - HW'!U$4)/($E$4+'TCO TO BE - HW'!$E$4)*SUM(POZICIE_INTERNE!$I$52:$I$63))/POZICIE_INTERNE!$B$52)),0)+IFERROR(IF((EXTERNE_POZICIE!$B$53-12*('TCO TO BE- SW'!$D152-1))&gt;12,((U$4+'TCO TO BE - HW'!U$4)/($E$4+'TCO TO BE - HW'!$E$4)*SUM(EXTERNE_POZICIE!$M$53:$M$64)*1.2)/EXTERNE_POZICIE!$B$41*12,IF((EXTERNE_POZICIE!$B$53-12*('TCO TO BE- SW'!$D152-1))&lt;0,0,(EXTERNE_POZICIE!$B$53-12*('TCO TO BE- SW'!$D152-1))*((U$4+'TCO TO BE - HW'!U$4)/($E$4+'TCO TO BE - HW'!$E$4)*SUM(EXTERNE_POZICIE!$M$53:$M$64)*1.2)/EXTERNE_POZICIE!$B$53)),0)</f>
        <v>0</v>
      </c>
      <c r="V162" s="576">
        <f>IFERROR(IF((POZICIE_INTERNE!$B$52-12*('TCO TO BE- SW'!$D152-1))&gt;12,((V$4+'TCO TO BE - HW'!V$4)/($E$4+'TCO TO BE - HW'!$E$4)*SUM(POZICIE_INTERNE!$I$52:$I$63))/POZICIE_INTERNE!$B$52*12,IF((POZICIE_INTERNE!$B$52-12*('TCO TO BE- SW'!$D152-1))&lt;0,0,(POZICIE_INTERNE!$B$52-12*('TCO TO BE- SW'!$D152-1))*((V$4+'TCO TO BE - HW'!V$4)/($E$4+'TCO TO BE - HW'!$E$4)*SUM(POZICIE_INTERNE!$I$52:$I$63))/POZICIE_INTERNE!$B$52)),0)+IFERROR(IF((EXTERNE_POZICIE!$B$53-12*('TCO TO BE- SW'!$D152-1))&gt;12,((V$4+'TCO TO BE - HW'!V$4)/($E$4+'TCO TO BE - HW'!$E$4)*SUM(EXTERNE_POZICIE!$M$53:$M$64)*1.2)/EXTERNE_POZICIE!$B$41*12,IF((EXTERNE_POZICIE!$B$53-12*('TCO TO BE- SW'!$D152-1))&lt;0,0,(EXTERNE_POZICIE!$B$53-12*('TCO TO BE- SW'!$D152-1))*((V$4+'TCO TO BE - HW'!V$4)/($E$4+'TCO TO BE - HW'!$E$4)*SUM(EXTERNE_POZICIE!$M$53:$M$64)*1.2)/EXTERNE_POZICIE!$B$53)),0)</f>
        <v>0</v>
      </c>
      <c r="W162" s="576">
        <f>IFERROR(IF((POZICIE_INTERNE!$B$52-12*('TCO TO BE- SW'!$D152-1))&gt;12,((W$4+'TCO TO BE - HW'!W$4)/($E$4+'TCO TO BE - HW'!$E$4)*SUM(POZICIE_INTERNE!$I$52:$I$63))/POZICIE_INTERNE!$B$52*12,IF((POZICIE_INTERNE!$B$52-12*('TCO TO BE- SW'!$D152-1))&lt;0,0,(POZICIE_INTERNE!$B$52-12*('TCO TO BE- SW'!$D152-1))*((W$4+'TCO TO BE - HW'!W$4)/($E$4+'TCO TO BE - HW'!$E$4)*SUM(POZICIE_INTERNE!$I$52:$I$63))/POZICIE_INTERNE!$B$52)),0)+IFERROR(IF((EXTERNE_POZICIE!$B$53-12*('TCO TO BE- SW'!$D152-1))&gt;12,((W$4+'TCO TO BE - HW'!W$4)/($E$4+'TCO TO BE - HW'!$E$4)*SUM(EXTERNE_POZICIE!$M$53:$M$64)*1.2)/EXTERNE_POZICIE!$B$41*12,IF((EXTERNE_POZICIE!$B$53-12*('TCO TO BE- SW'!$D152-1))&lt;0,0,(EXTERNE_POZICIE!$B$53-12*('TCO TO BE- SW'!$D152-1))*((W$4+'TCO TO BE - HW'!W$4)/($E$4+'TCO TO BE - HW'!$E$4)*SUM(EXTERNE_POZICIE!$M$53:$M$64)*1.2)/EXTERNE_POZICIE!$B$53)),0)</f>
        <v>0</v>
      </c>
      <c r="X162" s="576">
        <f>IFERROR(IF((POZICIE_INTERNE!$B$52-12*('TCO TO BE- SW'!$D152-1))&gt;12,((X$4+'TCO TO BE - HW'!X$4)/($E$4+'TCO TO BE - HW'!$E$4)*SUM(POZICIE_INTERNE!$I$52:$I$63))/POZICIE_INTERNE!$B$52*12,IF((POZICIE_INTERNE!$B$52-12*('TCO TO BE- SW'!$D152-1))&lt;0,0,(POZICIE_INTERNE!$B$52-12*('TCO TO BE- SW'!$D152-1))*((X$4+'TCO TO BE - HW'!X$4)/($E$4+'TCO TO BE - HW'!$E$4)*SUM(POZICIE_INTERNE!$I$52:$I$63))/POZICIE_INTERNE!$B$52)),0)+IFERROR(IF((EXTERNE_POZICIE!$B$53-12*('TCO TO BE- SW'!$D152-1))&gt;12,((X$4+'TCO TO BE - HW'!X$4)/($E$4+'TCO TO BE - HW'!$E$4)*SUM(EXTERNE_POZICIE!$M$53:$M$64)*1.2)/EXTERNE_POZICIE!$B$41*12,IF((EXTERNE_POZICIE!$B$53-12*('TCO TO BE- SW'!$D152-1))&lt;0,0,(EXTERNE_POZICIE!$B$53-12*('TCO TO BE- SW'!$D152-1))*((X$4+'TCO TO BE - HW'!X$4)/($E$4+'TCO TO BE - HW'!$E$4)*SUM(EXTERNE_POZICIE!$M$53:$M$64)*1.2)/EXTERNE_POZICIE!$B$53)),0)</f>
        <v>0</v>
      </c>
      <c r="Y162" s="576">
        <f>IFERROR(IF((POZICIE_INTERNE!$B$52-12*('TCO TO BE- SW'!$D152-1))&gt;12,((Y$4+'TCO TO BE - HW'!Y$4)/($E$4+'TCO TO BE - HW'!$E$4)*SUM(POZICIE_INTERNE!$I$52:$I$63))/POZICIE_INTERNE!$B$52*12,IF((POZICIE_INTERNE!$B$52-12*('TCO TO BE- SW'!$D152-1))&lt;0,0,(POZICIE_INTERNE!$B$52-12*('TCO TO BE- SW'!$D152-1))*((Y$4+'TCO TO BE - HW'!Y$4)/($E$4+'TCO TO BE - HW'!$E$4)*SUM(POZICIE_INTERNE!$I$52:$I$63))/POZICIE_INTERNE!$B$52)),0)+IFERROR(IF((EXTERNE_POZICIE!$B$53-12*('TCO TO BE- SW'!$D152-1))&gt;12,((Y$4+'TCO TO BE - HW'!Y$4)/($E$4+'TCO TO BE - HW'!$E$4)*SUM(EXTERNE_POZICIE!$M$53:$M$64)*1.2)/EXTERNE_POZICIE!$B$41*12,IF((EXTERNE_POZICIE!$B$53-12*('TCO TO BE- SW'!$D152-1))&lt;0,0,(EXTERNE_POZICIE!$B$53-12*('TCO TO BE- SW'!$D152-1))*((Y$4+'TCO TO BE - HW'!Y$4)/($E$4+'TCO TO BE - HW'!$E$4)*SUM(EXTERNE_POZICIE!$M$53:$M$64)*1.2)/EXTERNE_POZICIE!$B$53)),0)</f>
        <v>0</v>
      </c>
      <c r="Z162" s="576">
        <f>IFERROR(IF((POZICIE_INTERNE!$B$52-12*('TCO TO BE- SW'!$D152-1))&gt;12,((Z$4+'TCO TO BE - HW'!Z$4)/($E$4+'TCO TO BE - HW'!$E$4)*SUM(POZICIE_INTERNE!$I$52:$I$63))/POZICIE_INTERNE!$B$52*12,IF((POZICIE_INTERNE!$B$52-12*('TCO TO BE- SW'!$D152-1))&lt;0,0,(POZICIE_INTERNE!$B$52-12*('TCO TO BE- SW'!$D152-1))*((Z$4+'TCO TO BE - HW'!Z$4)/($E$4+'TCO TO BE - HW'!$E$4)*SUM(POZICIE_INTERNE!$I$52:$I$63))/POZICIE_INTERNE!$B$52)),0)+IFERROR(IF((EXTERNE_POZICIE!$B$53-12*('TCO TO BE- SW'!$D152-1))&gt;12,((Z$4+'TCO TO BE - HW'!Z$4)/($E$4+'TCO TO BE - HW'!$E$4)*SUM(EXTERNE_POZICIE!$M$53:$M$64)*1.2)/EXTERNE_POZICIE!$B$41*12,IF((EXTERNE_POZICIE!$B$53-12*('TCO TO BE- SW'!$D152-1))&lt;0,0,(EXTERNE_POZICIE!$B$53-12*('TCO TO BE- SW'!$D152-1))*((Z$4+'TCO TO BE - HW'!Z$4)/($E$4+'TCO TO BE - HW'!$E$4)*SUM(EXTERNE_POZICIE!$M$53:$M$64)*1.2)/EXTERNE_POZICIE!$B$53)),0)</f>
        <v>0</v>
      </c>
    </row>
    <row r="163" spans="1:26">
      <c r="A163" s="841"/>
      <c r="B163" s="842"/>
      <c r="C163" s="842"/>
      <c r="D163" s="64">
        <v>3</v>
      </c>
      <c r="E163" s="68">
        <f t="shared" si="16"/>
        <v>928217.81829999993</v>
      </c>
      <c r="F163" s="576">
        <f>IFERROR(IF((POZICIE_INTERNE!$B$52-12*('TCO TO BE- SW'!$D153-1))&gt;12,((F$4+'TCO TO BE - HW'!F$4)/($E$4+'TCO TO BE - HW'!$E$4)*SUM(POZICIE_INTERNE!$I$52:$I$63))/POZICIE_INTERNE!$B$52*12,IF((POZICIE_INTERNE!$B$52-12*('TCO TO BE- SW'!$D153-1))&lt;0,0,(POZICIE_INTERNE!$B$52-12*('TCO TO BE- SW'!$D153-1))*((F$4+'TCO TO BE - HW'!F$4)/($E$4+'TCO TO BE - HW'!$E$4)*SUM(POZICIE_INTERNE!$I$52:$I$63))/POZICIE_INTERNE!$B$52)),0)+IFERROR(IF((EXTERNE_POZICIE!$B$53-12*('TCO TO BE- SW'!$D153-1))&gt;12,((F$4+'TCO TO BE - HW'!F$4)/($E$4+'TCO TO BE - HW'!$E$4)*SUM(EXTERNE_POZICIE!$M$53:$M$64)*1.23)/EXTERNE_POZICIE!$B$41*12,IF((EXTERNE_POZICIE!$B$53-12*('TCO TO BE- SW'!$D153-1))&lt;0,0,(EXTERNE_POZICIE!$B$53-12*('TCO TO BE- SW'!$D153-1))*((F$4+'TCO TO BE - HW'!F$4)/($E$4+'TCO TO BE - HW'!$E$4)*SUM(EXTERNE_POZICIE!$M$53:$M$64)*1.23)/EXTERNE_POZICIE!$B$53)),0)+IFERROR(SUM(#REF!)*'TCO TO BE- SW'!F$4/'TCO TO BE- SW'!$E$4,0)</f>
        <v>5199.4256633421774</v>
      </c>
      <c r="G163" s="576">
        <f>IFERROR(IF((POZICIE_INTERNE!$B$52-12*('TCO TO BE- SW'!$D153-1))&gt;12,((G$4+'TCO TO BE - HW'!G$4)/($E$4+'TCO TO BE - HW'!$E$4)*SUM(POZICIE_INTERNE!$I$52:$I$63))/POZICIE_INTERNE!$B$52*12,IF((POZICIE_INTERNE!$B$52-12*('TCO TO BE- SW'!$D153-1))&lt;0,0,(POZICIE_INTERNE!$B$52-12*('TCO TO BE- SW'!$D153-1))*((G$4+'TCO TO BE - HW'!G$4)/($E$4+'TCO TO BE - HW'!$E$4)*SUM(POZICIE_INTERNE!$I$52:$I$63))/POZICIE_INTERNE!$B$52)),0)+IFERROR(IF((EXTERNE_POZICIE!$B$53-12*('TCO TO BE- SW'!$D153-1))&gt;12,((G$4+'TCO TO BE - HW'!G$4)/($E$4+'TCO TO BE - HW'!$E$4)*SUM(EXTERNE_POZICIE!$M$53:$M$64)*1.23)/EXTERNE_POZICIE!$B$41*12,IF((EXTERNE_POZICIE!$B$53-12*('TCO TO BE- SW'!$D153-1))&lt;0,0,(EXTERNE_POZICIE!$B$53-12*('TCO TO BE- SW'!$D153-1))*((G$4+'TCO TO BE - HW'!G$4)/($E$4+'TCO TO BE - HW'!$E$4)*SUM(EXTERNE_POZICIE!$M$53:$M$64)*1.23)/EXTERNE_POZICIE!$B$53)),0)+IFERROR(SUM(#REF!)*'TCO TO BE- SW'!G$4/'TCO TO BE- SW'!$E$4,0)</f>
        <v>0</v>
      </c>
      <c r="H163" s="576">
        <f>IFERROR(IF((POZICIE_INTERNE!$B$52-12*('TCO TO BE- SW'!$D153-1))&gt;12,((H$4+'TCO TO BE - HW'!H$4)/($E$4+'TCO TO BE - HW'!$E$4)*SUM(POZICIE_INTERNE!$I$52:$I$63))/POZICIE_INTERNE!$B$52*12,IF((POZICIE_INTERNE!$B$52-12*('TCO TO BE- SW'!$D153-1))&lt;0,0,(POZICIE_INTERNE!$B$52-12*('TCO TO BE- SW'!$D153-1))*((H$4+'TCO TO BE - HW'!H$4)/($E$4+'TCO TO BE - HW'!$E$4)*SUM(POZICIE_INTERNE!$I$52:$I$63))/POZICIE_INTERNE!$B$52)),0)+IFERROR(IF((EXTERNE_POZICIE!$B$53-12*('TCO TO BE- SW'!$D153-1))&gt;12,((H$4+'TCO TO BE - HW'!H$4)/($E$4+'TCO TO BE - HW'!$E$4)*SUM(EXTERNE_POZICIE!$M$53:$M$64)*1.23)/EXTERNE_POZICIE!$B$41*12,IF((EXTERNE_POZICIE!$B$53-12*('TCO TO BE- SW'!$D153-1))&lt;0,0,(EXTERNE_POZICIE!$B$53-12*('TCO TO BE- SW'!$D153-1))*((H$4+'TCO TO BE - HW'!H$4)/($E$4+'TCO TO BE - HW'!$E$4)*SUM(EXTERNE_POZICIE!$M$53:$M$64)*1.23)/EXTERNE_POZICIE!$B$53)),0)+IFERROR(SUM(#REF!)*'TCO TO BE- SW'!H$4/'TCO TO BE- SW'!$E$4,0)</f>
        <v>10673.16155352735</v>
      </c>
      <c r="I163" s="576">
        <f>IFERROR(IF((POZICIE_INTERNE!$B$52-12*('TCO TO BE- SW'!$D153-1))&gt;12,((I$4+'TCO TO BE - HW'!I$4)/($E$4+'TCO TO BE - HW'!$E$4)*SUM(POZICIE_INTERNE!$I$52:$I$63))/POZICIE_INTERNE!$B$52*12,IF((POZICIE_INTERNE!$B$52-12*('TCO TO BE- SW'!$D153-1))&lt;0,0,(POZICIE_INTERNE!$B$52-12*('TCO TO BE- SW'!$D153-1))*((I$4+'TCO TO BE - HW'!I$4)/($E$4+'TCO TO BE - HW'!$E$4)*SUM(POZICIE_INTERNE!$I$52:$I$63))/POZICIE_INTERNE!$B$52)),0)+IFERROR(IF((EXTERNE_POZICIE!$B$53-12*('TCO TO BE- SW'!$D153-1))&gt;12,((I$4+'TCO TO BE - HW'!I$4)/($E$4+'TCO TO BE - HW'!$E$4)*SUM(EXTERNE_POZICIE!$M$53:$M$64)*1.23)/EXTERNE_POZICIE!$B$41*12,IF((EXTERNE_POZICIE!$B$53-12*('TCO TO BE- SW'!$D153-1))&lt;0,0,(EXTERNE_POZICIE!$B$53-12*('TCO TO BE- SW'!$D153-1))*((I$4+'TCO TO BE - HW'!I$4)/($E$4+'TCO TO BE - HW'!$E$4)*SUM(EXTERNE_POZICIE!$M$53:$M$64)*1.23)/EXTERNE_POZICIE!$B$53)),0)+IFERROR(SUM(#REF!)*'TCO TO BE- SW'!I$4/'TCO TO BE- SW'!$E$4,0)</f>
        <v>27929.768551286525</v>
      </c>
      <c r="J163" s="576">
        <f>IFERROR(IF((POZICIE_INTERNE!$B$52-12*('TCO TO BE- SW'!$D153-1))&gt;12,((J$4+'TCO TO BE - HW'!J$4)/($E$4+'TCO TO BE - HW'!$E$4)*SUM(POZICIE_INTERNE!$I$52:$I$63))/POZICIE_INTERNE!$B$52*12,IF((POZICIE_INTERNE!$B$52-12*('TCO TO BE- SW'!$D153-1))&lt;0,0,(POZICIE_INTERNE!$B$52-12*('TCO TO BE- SW'!$D153-1))*((J$4+'TCO TO BE - HW'!J$4)/($E$4+'TCO TO BE - HW'!$E$4)*SUM(POZICIE_INTERNE!$I$52:$I$63))/POZICIE_INTERNE!$B$52)),0)+IFERROR(IF((EXTERNE_POZICIE!$B$53-12*('TCO TO BE- SW'!$D153-1))&gt;12,((J$4+'TCO TO BE - HW'!J$4)/($E$4+'TCO TO BE - HW'!$E$4)*SUM(EXTERNE_POZICIE!$M$53:$M$64)*1.23)/EXTERNE_POZICIE!$B$41*12,IF((EXTERNE_POZICIE!$B$53-12*('TCO TO BE- SW'!$D153-1))&lt;0,0,(EXTERNE_POZICIE!$B$53-12*('TCO TO BE- SW'!$D153-1))*((J$4+'TCO TO BE - HW'!J$4)/($E$4+'TCO TO BE - HW'!$E$4)*SUM(EXTERNE_POZICIE!$M$53:$M$64)*1.23)/EXTERNE_POZICIE!$B$53)),0)+IFERROR(SUM(#REF!)*'TCO TO BE- SW'!J$4/'TCO TO BE- SW'!$E$4,0)</f>
        <v>14924.970069593734</v>
      </c>
      <c r="K163" s="576">
        <f>IFERROR(IF((POZICIE_INTERNE!$B$52-12*('TCO TO BE- SW'!$D153-1))&gt;12,((K$4+'TCO TO BE - HW'!K$4)/($E$4+'TCO TO BE - HW'!$E$4)*SUM(POZICIE_INTERNE!$I$52:$I$63))/POZICIE_INTERNE!$B$52*12,IF((POZICIE_INTERNE!$B$52-12*('TCO TO BE- SW'!$D153-1))&lt;0,0,(POZICIE_INTERNE!$B$52-12*('TCO TO BE- SW'!$D153-1))*((K$4+'TCO TO BE - HW'!K$4)/($E$4+'TCO TO BE - HW'!$E$4)*SUM(POZICIE_INTERNE!$I$52:$I$63))/POZICIE_INTERNE!$B$52)),0)+IFERROR(IF((EXTERNE_POZICIE!$B$53-12*('TCO TO BE- SW'!$D153-1))&gt;12,((K$4+'TCO TO BE - HW'!K$4)/($E$4+'TCO TO BE - HW'!$E$4)*SUM(EXTERNE_POZICIE!$M$53:$M$64)*1.23)/EXTERNE_POZICIE!$B$41*12,IF((EXTERNE_POZICIE!$B$53-12*('TCO TO BE- SW'!$D153-1))&lt;0,0,(EXTERNE_POZICIE!$B$53-12*('TCO TO BE- SW'!$D153-1))*((K$4+'TCO TO BE - HW'!K$4)/($E$4+'TCO TO BE - HW'!$E$4)*SUM(EXTERNE_POZICIE!$M$53:$M$64)*1.23)/EXTERNE_POZICIE!$B$53)),0)+IFERROR(SUM(#REF!)*'TCO TO BE- SW'!K$4/'TCO TO BE- SW'!$E$4,0)</f>
        <v>9027.3001924693926</v>
      </c>
      <c r="L163" s="576">
        <f>IFERROR(IF((POZICIE_INTERNE!$B$52-12*('TCO TO BE- SW'!$D153-1))&gt;12,((L$4+'TCO TO BE - HW'!L$4)/($E$4+'TCO TO BE - HW'!$E$4)*SUM(POZICIE_INTERNE!$I$52:$I$63))/POZICIE_INTERNE!$B$52*12,IF((POZICIE_INTERNE!$B$52-12*('TCO TO BE- SW'!$D153-1))&lt;0,0,(POZICIE_INTERNE!$B$52-12*('TCO TO BE- SW'!$D153-1))*((L$4+'TCO TO BE - HW'!L$4)/($E$4+'TCO TO BE - HW'!$E$4)*SUM(POZICIE_INTERNE!$I$52:$I$63))/POZICIE_INTERNE!$B$52)),0)+IFERROR(IF((EXTERNE_POZICIE!$B$53-12*('TCO TO BE- SW'!$D153-1))&gt;12,((L$4+'TCO TO BE - HW'!L$4)/($E$4+'TCO TO BE - HW'!$E$4)*SUM(EXTERNE_POZICIE!$M$53:$M$64)*1.23)/EXTERNE_POZICIE!$B$41*12,IF((EXTERNE_POZICIE!$B$53-12*('TCO TO BE- SW'!$D153-1))&lt;0,0,(EXTERNE_POZICIE!$B$53-12*('TCO TO BE- SW'!$D153-1))*((L$4+'TCO TO BE - HW'!L$4)/($E$4+'TCO TO BE - HW'!$E$4)*SUM(EXTERNE_POZICIE!$M$53:$M$64)*1.23)/EXTERNE_POZICIE!$B$53)),0)+IFERROR(SUM(#REF!)*'TCO TO BE- SW'!L$4/'TCO TO BE- SW'!$E$4,0)</f>
        <v>13279.108708535779</v>
      </c>
      <c r="M163" s="576">
        <f>IFERROR(IF((POZICIE_INTERNE!$B$52-12*('TCO TO BE- SW'!$D153-1))&gt;12,((M$4+'TCO TO BE - HW'!M$4)/($E$4+'TCO TO BE - HW'!$E$4)*SUM(POZICIE_INTERNE!$I$52:$I$63))/POZICIE_INTERNE!$B$52*12,IF((POZICIE_INTERNE!$B$52-12*('TCO TO BE- SW'!$D153-1))&lt;0,0,(POZICIE_INTERNE!$B$52-12*('TCO TO BE- SW'!$D153-1))*((M$4+'TCO TO BE - HW'!M$4)/($E$4+'TCO TO BE - HW'!$E$4)*SUM(POZICIE_INTERNE!$I$52:$I$63))/POZICIE_INTERNE!$B$52)),0)+IFERROR(IF((EXTERNE_POZICIE!$B$53-12*('TCO TO BE- SW'!$D153-1))&gt;12,((M$4+'TCO TO BE - HW'!M$4)/($E$4+'TCO TO BE - HW'!$E$4)*SUM(EXTERNE_POZICIE!$M$53:$M$64)*1.23)/EXTERNE_POZICIE!$B$41*12,IF((EXTERNE_POZICIE!$B$53-12*('TCO TO BE- SW'!$D153-1))&lt;0,0,(EXTERNE_POZICIE!$B$53-12*('TCO TO BE- SW'!$D153-1))*((M$4+'TCO TO BE - HW'!M$4)/($E$4+'TCO TO BE - HW'!$E$4)*SUM(EXTERNE_POZICIE!$M$53:$M$64)*1.23)/EXTERNE_POZICIE!$B$53)),0)+IFERROR(SUM(#REF!)*'TCO TO BE- SW'!M$4/'TCO TO BE- SW'!$E$4,0)</f>
        <v>213051.7657302825</v>
      </c>
      <c r="N163" s="576">
        <f>IFERROR(IF((POZICIE_INTERNE!$B$52-12*('TCO TO BE- SW'!$D153-1))&gt;12,((N$4+'TCO TO BE - HW'!N$4)/($E$4+'TCO TO BE - HW'!$E$4)*SUM(POZICIE_INTERNE!$I$52:$I$63))/POZICIE_INTERNE!$B$52*12,IF((POZICIE_INTERNE!$B$52-12*('TCO TO BE- SW'!$D153-1))&lt;0,0,(POZICIE_INTERNE!$B$52-12*('TCO TO BE- SW'!$D153-1))*((N$4+'TCO TO BE - HW'!N$4)/($E$4+'TCO TO BE - HW'!$E$4)*SUM(POZICIE_INTERNE!$I$52:$I$63))/POZICIE_INTERNE!$B$52)),0)+IFERROR(IF((EXTERNE_POZICIE!$B$53-12*('TCO TO BE- SW'!$D153-1))&gt;12,((N$4+'TCO TO BE - HW'!N$4)/($E$4+'TCO TO BE - HW'!$E$4)*SUM(EXTERNE_POZICIE!$M$53:$M$64)*1.23)/EXTERNE_POZICIE!$B$41*12,IF((EXTERNE_POZICIE!$B$53-12*('TCO TO BE- SW'!$D153-1))&lt;0,0,(EXTERNE_POZICIE!$B$53-12*('TCO TO BE- SW'!$D153-1))*((N$4+'TCO TO BE - HW'!N$4)/($E$4+'TCO TO BE - HW'!$E$4)*SUM(EXTERNE_POZICIE!$M$53:$M$64)*1.23)/EXTERNE_POZICIE!$B$53)),0)+IFERROR(SUM(#REF!)*'TCO TO BE- SW'!N$4/'TCO TO BE- SW'!$E$4,0)</f>
        <v>25336.290042952769</v>
      </c>
      <c r="O163" s="576">
        <f>IFERROR(IF((POZICIE_INTERNE!$B$52-12*('TCO TO BE- SW'!$D153-1))&gt;12,((O$4+'TCO TO BE - HW'!O$4)/($E$4+'TCO TO BE - HW'!$E$4)*SUM(POZICIE_INTERNE!$I$52:$I$63))/POZICIE_INTERNE!$B$52*12,IF((POZICIE_INTERNE!$B$52-12*('TCO TO BE- SW'!$D153-1))&lt;0,0,(POZICIE_INTERNE!$B$52-12*('TCO TO BE- SW'!$D153-1))*((O$4+'TCO TO BE - HW'!O$4)/($E$4+'TCO TO BE - HW'!$E$4)*SUM(POZICIE_INTERNE!$I$52:$I$63))/POZICIE_INTERNE!$B$52)),0)+IFERROR(IF((EXTERNE_POZICIE!$B$53-12*('TCO TO BE- SW'!$D153-1))&gt;12,((O$4+'TCO TO BE - HW'!O$4)/($E$4+'TCO TO BE - HW'!$E$4)*SUM(EXTERNE_POZICIE!$M$53:$M$64)*1.23)/EXTERNE_POZICIE!$B$41*12,IF((EXTERNE_POZICIE!$B$53-12*('TCO TO BE- SW'!$D153-1))&lt;0,0,(EXTERNE_POZICIE!$B$53-12*('TCO TO BE- SW'!$D153-1))*((O$4+'TCO TO BE - HW'!O$4)/($E$4+'TCO TO BE - HW'!$E$4)*SUM(EXTERNE_POZICIE!$M$53:$M$64)*1.23)/EXTERNE_POZICIE!$B$53)),0)+IFERROR(SUM(#REF!)*'TCO TO BE- SW'!O$4/'TCO TO BE- SW'!$E$4,0)</f>
        <v>122130.39417850511</v>
      </c>
      <c r="P163" s="576">
        <f>IFERROR(IF((POZICIE_INTERNE!$B$52-12*('TCO TO BE- SW'!$D153-1))&gt;12,((P$4+'TCO TO BE - HW'!P$4)/($E$4+'TCO TO BE - HW'!$E$4)*SUM(POZICIE_INTERNE!$I$52:$I$63))/POZICIE_INTERNE!$B$52*12,IF((POZICIE_INTERNE!$B$52-12*('TCO TO BE- SW'!$D153-1))&lt;0,0,(POZICIE_INTERNE!$B$52-12*('TCO TO BE- SW'!$D153-1))*((P$4+'TCO TO BE - HW'!P$4)/($E$4+'TCO TO BE - HW'!$E$4)*SUM(POZICIE_INTERNE!$I$52:$I$63))/POZICIE_INTERNE!$B$52)),0)+IFERROR(IF((EXTERNE_POZICIE!$B$53-12*('TCO TO BE- SW'!$D153-1))&gt;12,((P$4+'TCO TO BE - HW'!P$4)/($E$4+'TCO TO BE - HW'!$E$4)*SUM(EXTERNE_POZICIE!$M$53:$M$64)*1.23)/EXTERNE_POZICIE!$B$41*12,IF((EXTERNE_POZICIE!$B$53-12*('TCO TO BE- SW'!$D153-1))&lt;0,0,(EXTERNE_POZICIE!$B$53-12*('TCO TO BE- SW'!$D153-1))*((P$4+'TCO TO BE - HW'!P$4)/($E$4+'TCO TO BE - HW'!$E$4)*SUM(EXTERNE_POZICIE!$M$53:$M$64)*1.23)/EXTERNE_POZICIE!$B$53)),0)+IFERROR(SUM(#REF!)*'TCO TO BE- SW'!P$4/'TCO TO BE- SW'!$E$4,0)</f>
        <v>15685.557516749308</v>
      </c>
      <c r="Q163" s="576">
        <f>IFERROR(IF((POZICIE_INTERNE!$B$52-12*('TCO TO BE- SW'!$D153-1))&gt;12,((Q$4+'TCO TO BE - HW'!Q$4)/($E$4+'TCO TO BE - HW'!$E$4)*SUM(POZICIE_INTERNE!$I$52:$I$63))/POZICIE_INTERNE!$B$52*12,IF((POZICIE_INTERNE!$B$52-12*('TCO TO BE- SW'!$D153-1))&lt;0,0,(POZICIE_INTERNE!$B$52-12*('TCO TO BE- SW'!$D153-1))*((Q$4+'TCO TO BE - HW'!Q$4)/($E$4+'TCO TO BE - HW'!$E$4)*SUM(POZICIE_INTERNE!$I$52:$I$63))/POZICIE_INTERNE!$B$52)),0)+IFERROR(IF((EXTERNE_POZICIE!$B$53-12*('TCO TO BE- SW'!$D153-1))&gt;12,((Q$4+'TCO TO BE - HW'!Q$4)/($E$4+'TCO TO BE - HW'!$E$4)*SUM(EXTERNE_POZICIE!$M$53:$M$64)*1.23)/EXTERNE_POZICIE!$B$41*12,IF((EXTERNE_POZICIE!$B$53-12*('TCO TO BE- SW'!$D153-1))&lt;0,0,(EXTERNE_POZICIE!$B$53-12*('TCO TO BE- SW'!$D153-1))*((Q$4+'TCO TO BE - HW'!Q$4)/($E$4+'TCO TO BE - HW'!$E$4)*SUM(EXTERNE_POZICIE!$M$53:$M$64)*1.23)/EXTERNE_POZICIE!$B$53)),0)+IFERROR(SUM(#REF!)*'TCO TO BE- SW'!Q$4/'TCO TO BE- SW'!$E$4,0)</f>
        <v>88041.114169925961</v>
      </c>
      <c r="R163" s="576">
        <f>IFERROR(IF((POZICIE_INTERNE!$B$52-12*('TCO TO BE- SW'!$D153-1))&gt;12,((R$4+'TCO TO BE - HW'!R$4)/($E$4+'TCO TO BE - HW'!$E$4)*SUM(POZICIE_INTERNE!$I$52:$I$63))/POZICIE_INTERNE!$B$52*12,IF((POZICIE_INTERNE!$B$52-12*('TCO TO BE- SW'!$D153-1))&lt;0,0,(POZICIE_INTERNE!$B$52-12*('TCO TO BE- SW'!$D153-1))*((R$4+'TCO TO BE - HW'!R$4)/($E$4+'TCO TO BE - HW'!$E$4)*SUM(POZICIE_INTERNE!$I$52:$I$63))/POZICIE_INTERNE!$B$52)),0)+IFERROR(IF((EXTERNE_POZICIE!$B$53-12*('TCO TO BE- SW'!$D153-1))&gt;12,((R$4+'TCO TO BE - HW'!R$4)/($E$4+'TCO TO BE - HW'!$E$4)*SUM(EXTERNE_POZICIE!$M$53:$M$64)*1.23)/EXTERNE_POZICIE!$B$41*12,IF((EXTERNE_POZICIE!$B$53-12*('TCO TO BE- SW'!$D153-1))&lt;0,0,(EXTERNE_POZICIE!$B$53-12*('TCO TO BE- SW'!$D153-1))*((R$4+'TCO TO BE - HW'!R$4)/($E$4+'TCO TO BE - HW'!$E$4)*SUM(EXTERNE_POZICIE!$M$53:$M$64)*1.23)/EXTERNE_POZICIE!$B$53)),0)+IFERROR(SUM(#REF!)*'TCO TO BE- SW'!R$4/'TCO TO BE- SW'!$E$4,0)</f>
        <v>30884.837813186034</v>
      </c>
      <c r="S163" s="576">
        <f>IFERROR(IF((POZICIE_INTERNE!$B$52-12*('TCO TO BE- SW'!$D153-1))&gt;12,((S$4+'TCO TO BE - HW'!S$4)/($E$4+'TCO TO BE - HW'!$E$4)*SUM(POZICIE_INTERNE!$I$52:$I$63))/POZICIE_INTERNE!$B$52*12,IF((POZICIE_INTERNE!$B$52-12*('TCO TO BE- SW'!$D153-1))&lt;0,0,(POZICIE_INTERNE!$B$52-12*('TCO TO BE- SW'!$D153-1))*((S$4+'TCO TO BE - HW'!S$4)/($E$4+'TCO TO BE - HW'!$E$4)*SUM(POZICIE_INTERNE!$I$52:$I$63))/POZICIE_INTERNE!$B$52)),0)+IFERROR(IF((EXTERNE_POZICIE!$B$53-12*('TCO TO BE- SW'!$D153-1))&gt;12,((S$4+'TCO TO BE - HW'!S$4)/($E$4+'TCO TO BE - HW'!$E$4)*SUM(EXTERNE_POZICIE!$M$53:$M$64)*1.23)/EXTERNE_POZICIE!$B$41*12,IF((EXTERNE_POZICIE!$B$53-12*('TCO TO BE- SW'!$D153-1))&lt;0,0,(EXTERNE_POZICIE!$B$53-12*('TCO TO BE- SW'!$D153-1))*((S$4+'TCO TO BE - HW'!S$4)/($E$4+'TCO TO BE - HW'!$E$4)*SUM(EXTERNE_POZICIE!$M$53:$M$64)*1.23)/EXTERNE_POZICIE!$B$53)),0)+IFERROR(SUM(#REF!)*'TCO TO BE- SW'!S$4/'TCO TO BE- SW'!$E$4,0)</f>
        <v>352054.1241096434</v>
      </c>
      <c r="T163" s="576">
        <f>IFERROR(IF((POZICIE_INTERNE!$B$52-12*('TCO TO BE- SW'!$D153-1))&gt;12,((T$4+'TCO TO BE - HW'!T$4)/($E$4+'TCO TO BE - HW'!$E$4)*SUM(POZICIE_INTERNE!$I$52:$I$63))/POZICIE_INTERNE!$B$52*12,IF((POZICIE_INTERNE!$B$52-12*('TCO TO BE- SW'!$D153-1))&lt;0,0,(POZICIE_INTERNE!$B$52-12*('TCO TO BE- SW'!$D153-1))*((T$4+'TCO TO BE - HW'!T$4)/($E$4+'TCO TO BE - HW'!$E$4)*SUM(POZICIE_INTERNE!$I$52:$I$63))/POZICIE_INTERNE!$B$52)),0)+IFERROR(IF((EXTERNE_POZICIE!$B$53-12*('TCO TO BE- SW'!$D153-1))&gt;12,((T$4+'TCO TO BE - HW'!T$4)/($E$4+'TCO TO BE - HW'!$E$4)*SUM(EXTERNE_POZICIE!$M$53:$M$64)*1.23)/EXTERNE_POZICIE!$B$41*12,IF((EXTERNE_POZICIE!$B$53-12*('TCO TO BE- SW'!$D153-1))&lt;0,0,(EXTERNE_POZICIE!$B$53-12*('TCO TO BE- SW'!$D153-1))*((T$4+'TCO TO BE - HW'!T$4)/($E$4+'TCO TO BE - HW'!$E$4)*SUM(EXTERNE_POZICIE!$M$53:$M$64)*1.23)/EXTERNE_POZICIE!$B$53)),0)+IFERROR(SUM(#REF!)*'TCO TO BE- SW'!T$4/'TCO TO BE- SW'!$E$4,0)</f>
        <v>0</v>
      </c>
      <c r="U163" s="576">
        <f>IFERROR(IF((POZICIE_INTERNE!$B$52-12*('TCO TO BE- SW'!$D153-1))&gt;12,((U$4+'TCO TO BE - HW'!U$4)/($E$4+'TCO TO BE - HW'!$E$4)*SUM(POZICIE_INTERNE!$I$52:$I$63))/POZICIE_INTERNE!$B$52*12,IF((POZICIE_INTERNE!$B$52-12*('TCO TO BE- SW'!$D153-1))&lt;0,0,(POZICIE_INTERNE!$B$52-12*('TCO TO BE- SW'!$D153-1))*((U$4+'TCO TO BE - HW'!U$4)/($E$4+'TCO TO BE - HW'!$E$4)*SUM(POZICIE_INTERNE!$I$52:$I$63))/POZICIE_INTERNE!$B$52)),0)+IFERROR(IF((EXTERNE_POZICIE!$B$53-12*('TCO TO BE- SW'!$D153-1))&gt;12,((U$4+'TCO TO BE - HW'!U$4)/($E$4+'TCO TO BE - HW'!$E$4)*SUM(EXTERNE_POZICIE!$M$53:$M$64)*1.23)/EXTERNE_POZICIE!$B$41*12,IF((EXTERNE_POZICIE!$B$53-12*('TCO TO BE- SW'!$D153-1))&lt;0,0,(EXTERNE_POZICIE!$B$53-12*('TCO TO BE- SW'!$D153-1))*((U$4+'TCO TO BE - HW'!U$4)/($E$4+'TCO TO BE - HW'!$E$4)*SUM(EXTERNE_POZICIE!$M$53:$M$64)*1.23)/EXTERNE_POZICIE!$B$53)),0)+IFERROR(SUM(#REF!)*'TCO TO BE- SW'!U$4/'TCO TO BE- SW'!$E$4,0)</f>
        <v>0</v>
      </c>
      <c r="V163" s="576">
        <f>IFERROR(IF((POZICIE_INTERNE!$B$52-12*('TCO TO BE- SW'!$D153-1))&gt;12,((V$4+'TCO TO BE - HW'!V$4)/($E$4+'TCO TO BE - HW'!$E$4)*SUM(POZICIE_INTERNE!$I$52:$I$63))/POZICIE_INTERNE!$B$52*12,IF((POZICIE_INTERNE!$B$52-12*('TCO TO BE- SW'!$D153-1))&lt;0,0,(POZICIE_INTERNE!$B$52-12*('TCO TO BE- SW'!$D153-1))*((V$4+'TCO TO BE - HW'!V$4)/($E$4+'TCO TO BE - HW'!$E$4)*SUM(POZICIE_INTERNE!$I$52:$I$63))/POZICIE_INTERNE!$B$52)),0)+IFERROR(IF((EXTERNE_POZICIE!$B$53-12*('TCO TO BE- SW'!$D153-1))&gt;12,((V$4+'TCO TO BE - HW'!V$4)/($E$4+'TCO TO BE - HW'!$E$4)*SUM(EXTERNE_POZICIE!$M$53:$M$64)*1.23)/EXTERNE_POZICIE!$B$41*12,IF((EXTERNE_POZICIE!$B$53-12*('TCO TO BE- SW'!$D153-1))&lt;0,0,(EXTERNE_POZICIE!$B$53-12*('TCO TO BE- SW'!$D153-1))*((V$4+'TCO TO BE - HW'!V$4)/($E$4+'TCO TO BE - HW'!$E$4)*SUM(EXTERNE_POZICIE!$M$53:$M$64)*1.23)/EXTERNE_POZICIE!$B$53)),0)+IFERROR(SUM(#REF!)*'TCO TO BE- SW'!V$4/'TCO TO BE- SW'!$E$4,0)</f>
        <v>0</v>
      </c>
      <c r="W163" s="576">
        <f>IFERROR(IF((POZICIE_INTERNE!$B$52-12*('TCO TO BE- SW'!$D153-1))&gt;12,((W$4+'TCO TO BE - HW'!W$4)/($E$4+'TCO TO BE - HW'!$E$4)*SUM(POZICIE_INTERNE!$I$52:$I$63))/POZICIE_INTERNE!$B$52*12,IF((POZICIE_INTERNE!$B$52-12*('TCO TO BE- SW'!$D153-1))&lt;0,0,(POZICIE_INTERNE!$B$52-12*('TCO TO BE- SW'!$D153-1))*((W$4+'TCO TO BE - HW'!W$4)/($E$4+'TCO TO BE - HW'!$E$4)*SUM(POZICIE_INTERNE!$I$52:$I$63))/POZICIE_INTERNE!$B$52)),0)+IFERROR(IF((EXTERNE_POZICIE!$B$53-12*('TCO TO BE- SW'!$D153-1))&gt;12,((W$4+'TCO TO BE - HW'!W$4)/($E$4+'TCO TO BE - HW'!$E$4)*SUM(EXTERNE_POZICIE!$M$53:$M$64)*1.23)/EXTERNE_POZICIE!$B$41*12,IF((EXTERNE_POZICIE!$B$53-12*('TCO TO BE- SW'!$D153-1))&lt;0,0,(EXTERNE_POZICIE!$B$53-12*('TCO TO BE- SW'!$D153-1))*((W$4+'TCO TO BE - HW'!W$4)/($E$4+'TCO TO BE - HW'!$E$4)*SUM(EXTERNE_POZICIE!$M$53:$M$64)*1.23)/EXTERNE_POZICIE!$B$53)),0)+IFERROR(SUM(#REF!)*'TCO TO BE- SW'!W$4/'TCO TO BE- SW'!$E$4,0)</f>
        <v>0</v>
      </c>
      <c r="X163" s="576">
        <f>IFERROR(IF((POZICIE_INTERNE!$B$52-12*('TCO TO BE- SW'!$D153-1))&gt;12,((X$4+'TCO TO BE - HW'!X$4)/($E$4+'TCO TO BE - HW'!$E$4)*SUM(POZICIE_INTERNE!$I$52:$I$63))/POZICIE_INTERNE!$B$52*12,IF((POZICIE_INTERNE!$B$52-12*('TCO TO BE- SW'!$D153-1))&lt;0,0,(POZICIE_INTERNE!$B$52-12*('TCO TO BE- SW'!$D153-1))*((X$4+'TCO TO BE - HW'!X$4)/($E$4+'TCO TO BE - HW'!$E$4)*SUM(POZICIE_INTERNE!$I$52:$I$63))/POZICIE_INTERNE!$B$52)),0)+IFERROR(IF((EXTERNE_POZICIE!$B$53-12*('TCO TO BE- SW'!$D153-1))&gt;12,((X$4+'TCO TO BE - HW'!X$4)/($E$4+'TCO TO BE - HW'!$E$4)*SUM(EXTERNE_POZICIE!$M$53:$M$64)*1.23)/EXTERNE_POZICIE!$B$41*12,IF((EXTERNE_POZICIE!$B$53-12*('TCO TO BE- SW'!$D153-1))&lt;0,0,(EXTERNE_POZICIE!$B$53-12*('TCO TO BE- SW'!$D153-1))*((X$4+'TCO TO BE - HW'!X$4)/($E$4+'TCO TO BE - HW'!$E$4)*SUM(EXTERNE_POZICIE!$M$53:$M$64)*1.23)/EXTERNE_POZICIE!$B$53)),0)+IFERROR(SUM(#REF!)*'TCO TO BE- SW'!X$4/'TCO TO BE- SW'!$E$4,0)</f>
        <v>0</v>
      </c>
      <c r="Y163" s="576">
        <f>IFERROR(IF((POZICIE_INTERNE!$B$52-12*('TCO TO BE- SW'!$D153-1))&gt;12,((Y$4+'TCO TO BE - HW'!Y$4)/($E$4+'TCO TO BE - HW'!$E$4)*SUM(POZICIE_INTERNE!$I$52:$I$63))/POZICIE_INTERNE!$B$52*12,IF((POZICIE_INTERNE!$B$52-12*('TCO TO BE- SW'!$D153-1))&lt;0,0,(POZICIE_INTERNE!$B$52-12*('TCO TO BE- SW'!$D153-1))*((Y$4+'TCO TO BE - HW'!Y$4)/($E$4+'TCO TO BE - HW'!$E$4)*SUM(POZICIE_INTERNE!$I$52:$I$63))/POZICIE_INTERNE!$B$52)),0)+IFERROR(IF((EXTERNE_POZICIE!$B$53-12*('TCO TO BE- SW'!$D153-1))&gt;12,((Y$4+'TCO TO BE - HW'!Y$4)/($E$4+'TCO TO BE - HW'!$E$4)*SUM(EXTERNE_POZICIE!$M$53:$M$64)*1.23)/EXTERNE_POZICIE!$B$41*12,IF((EXTERNE_POZICIE!$B$53-12*('TCO TO BE- SW'!$D153-1))&lt;0,0,(EXTERNE_POZICIE!$B$53-12*('TCO TO BE- SW'!$D153-1))*((Y$4+'TCO TO BE - HW'!Y$4)/($E$4+'TCO TO BE - HW'!$E$4)*SUM(EXTERNE_POZICIE!$M$53:$M$64)*1.23)/EXTERNE_POZICIE!$B$53)),0)+IFERROR(SUM(#REF!)*'TCO TO BE- SW'!Y$4/'TCO TO BE- SW'!$E$4,0)</f>
        <v>0</v>
      </c>
      <c r="Z163" s="576">
        <f>IFERROR(IF((POZICIE_INTERNE!$B$52-12*('TCO TO BE- SW'!$D153-1))&gt;12,((Z$4+'TCO TO BE - HW'!Z$4)/($E$4+'TCO TO BE - HW'!$E$4)*SUM(POZICIE_INTERNE!$I$52:$I$63))/POZICIE_INTERNE!$B$52*12,IF((POZICIE_INTERNE!$B$52-12*('TCO TO BE- SW'!$D153-1))&lt;0,0,(POZICIE_INTERNE!$B$52-12*('TCO TO BE- SW'!$D153-1))*((Z$4+'TCO TO BE - HW'!Z$4)/($E$4+'TCO TO BE - HW'!$E$4)*SUM(POZICIE_INTERNE!$I$52:$I$63))/POZICIE_INTERNE!$B$52)),0)+IFERROR(IF((EXTERNE_POZICIE!$B$53-12*('TCO TO BE- SW'!$D153-1))&gt;12,((Z$4+'TCO TO BE - HW'!Z$4)/($E$4+'TCO TO BE - HW'!$E$4)*SUM(EXTERNE_POZICIE!$M$53:$M$64)*1.23)/EXTERNE_POZICIE!$B$41*12,IF((EXTERNE_POZICIE!$B$53-12*('TCO TO BE- SW'!$D153-1))&lt;0,0,(EXTERNE_POZICIE!$B$53-12*('TCO TO BE- SW'!$D153-1))*((Z$4+'TCO TO BE - HW'!Z$4)/($E$4+'TCO TO BE - HW'!$E$4)*SUM(EXTERNE_POZICIE!$M$53:$M$64)*1.23)/EXTERNE_POZICIE!$B$53)),0)+IFERROR(SUM(#REF!)*'TCO TO BE- SW'!Z$4/'TCO TO BE- SW'!$E$4,0)</f>
        <v>0</v>
      </c>
    </row>
    <row r="164" spans="1:26">
      <c r="A164" s="841"/>
      <c r="B164" s="842"/>
      <c r="C164" s="842"/>
      <c r="D164" s="64">
        <v>4</v>
      </c>
      <c r="E164" s="68">
        <f t="shared" si="16"/>
        <v>0</v>
      </c>
      <c r="F164" s="576">
        <f>IFERROR(IF((POZICIE_INTERNE!$B$52-12*('TCO TO BE- SW'!$D154-1))&gt;12,((F$4+'TCO TO BE - HW'!F$4)/($E$4+'TCO TO BE - HW'!$E$4)*SUM(POZICIE_INTERNE!$I$52:$I$63))/POZICIE_INTERNE!$B$52*12,IF((POZICIE_INTERNE!$B$52-12*('TCO TO BE- SW'!$D154-1))&lt;0,0,(POZICIE_INTERNE!$B$52-12*('TCO TO BE- SW'!$D154-1))*((F$4+'TCO TO BE - HW'!F$4)/($E$4+'TCO TO BE - HW'!$E$4)*SUM(POZICIE_INTERNE!$I$52:$I$63))/POZICIE_INTERNE!$B$52)),0)+IFERROR(IF((EXTERNE_POZICIE!$B$53-12*('TCO TO BE- SW'!$D154-1))&gt;12,((F$4+'TCO TO BE - HW'!F$4)/($E$4+'TCO TO BE - HW'!$E$4)*SUM(EXTERNE_POZICIE!$M$53:$M$64)*1.23)/EXTERNE_POZICIE!$B$41*12,IF((EXTERNE_POZICIE!$B$53-12*('TCO TO BE- SW'!$D154-1))&lt;0,0,(EXTERNE_POZICIE!$B$53-12*('TCO TO BE- SW'!$D154-1))*((F$4+'TCO TO BE - HW'!F$4)/($E$4+'TCO TO BE - HW'!$E$4)*SUM(EXTERNE_POZICIE!$M$53:$M$64)*1.23)/EXTERNE_POZICIE!$B$53)),0)+IFERROR(SUM(#REF!)*'TCO TO BE- SW'!F$4/'TCO TO BE- SW'!$E$4,0)</f>
        <v>0</v>
      </c>
      <c r="G164" s="576">
        <f>IFERROR(IF((POZICIE_INTERNE!$B$52-12*('TCO TO BE- SW'!$D154-1))&gt;12,((G$4+'TCO TO BE - HW'!G$4)/($E$4+'TCO TO BE - HW'!$E$4)*SUM(POZICIE_INTERNE!$I$52:$I$63))/POZICIE_INTERNE!$B$52*12,IF((POZICIE_INTERNE!$B$52-12*('TCO TO BE- SW'!$D154-1))&lt;0,0,(POZICIE_INTERNE!$B$52-12*('TCO TO BE- SW'!$D154-1))*((G$4+'TCO TO BE - HW'!G$4)/($E$4+'TCO TO BE - HW'!$E$4)*SUM(POZICIE_INTERNE!$I$52:$I$63))/POZICIE_INTERNE!$B$52)),0)+IFERROR(IF((EXTERNE_POZICIE!$B$53-12*('TCO TO BE- SW'!$D154-1))&gt;12,((G$4+'TCO TO BE - HW'!G$4)/($E$4+'TCO TO BE - HW'!$E$4)*SUM(EXTERNE_POZICIE!$M$53:$M$64)*1.23)/EXTERNE_POZICIE!$B$41*12,IF((EXTERNE_POZICIE!$B$53-12*('TCO TO BE- SW'!$D154-1))&lt;0,0,(EXTERNE_POZICIE!$B$53-12*('TCO TO BE- SW'!$D154-1))*((G$4+'TCO TO BE - HW'!G$4)/($E$4+'TCO TO BE - HW'!$E$4)*SUM(EXTERNE_POZICIE!$M$53:$M$64)*1.23)/EXTERNE_POZICIE!$B$53)),0)+IFERROR(SUM(#REF!)*'TCO TO BE- SW'!G$4/'TCO TO BE- SW'!$E$4,0)</f>
        <v>0</v>
      </c>
      <c r="H164" s="576">
        <f>IFERROR(IF((POZICIE_INTERNE!$B$52-12*('TCO TO BE- SW'!$D154-1))&gt;12,((H$4+'TCO TO BE - HW'!H$4)/($E$4+'TCO TO BE - HW'!$E$4)*SUM(POZICIE_INTERNE!$I$52:$I$63))/POZICIE_INTERNE!$B$52*12,IF((POZICIE_INTERNE!$B$52-12*('TCO TO BE- SW'!$D154-1))&lt;0,0,(POZICIE_INTERNE!$B$52-12*('TCO TO BE- SW'!$D154-1))*((H$4+'TCO TO BE - HW'!H$4)/($E$4+'TCO TO BE - HW'!$E$4)*SUM(POZICIE_INTERNE!$I$52:$I$63))/POZICIE_INTERNE!$B$52)),0)+IFERROR(IF((EXTERNE_POZICIE!$B$53-12*('TCO TO BE- SW'!$D154-1))&gt;12,((H$4+'TCO TO BE - HW'!H$4)/($E$4+'TCO TO BE - HW'!$E$4)*SUM(EXTERNE_POZICIE!$M$53:$M$64)*1.23)/EXTERNE_POZICIE!$B$41*12,IF((EXTERNE_POZICIE!$B$53-12*('TCO TO BE- SW'!$D154-1))&lt;0,0,(EXTERNE_POZICIE!$B$53-12*('TCO TO BE- SW'!$D154-1))*((H$4+'TCO TO BE - HW'!H$4)/($E$4+'TCO TO BE - HW'!$E$4)*SUM(EXTERNE_POZICIE!$M$53:$M$64)*1.23)/EXTERNE_POZICIE!$B$53)),0)+IFERROR(SUM(#REF!)*'TCO TO BE- SW'!H$4/'TCO TO BE- SW'!$E$4,0)</f>
        <v>0</v>
      </c>
      <c r="I164" s="576">
        <f>IFERROR(IF((POZICIE_INTERNE!$B$52-12*('TCO TO BE- SW'!$D154-1))&gt;12,((I$4+'TCO TO BE - HW'!I$4)/($E$4+'TCO TO BE - HW'!$E$4)*SUM(POZICIE_INTERNE!$I$52:$I$63))/POZICIE_INTERNE!$B$52*12,IF((POZICIE_INTERNE!$B$52-12*('TCO TO BE- SW'!$D154-1))&lt;0,0,(POZICIE_INTERNE!$B$52-12*('TCO TO BE- SW'!$D154-1))*((I$4+'TCO TO BE - HW'!I$4)/($E$4+'TCO TO BE - HW'!$E$4)*SUM(POZICIE_INTERNE!$I$52:$I$63))/POZICIE_INTERNE!$B$52)),0)+IFERROR(IF((EXTERNE_POZICIE!$B$53-12*('TCO TO BE- SW'!$D154-1))&gt;12,((I$4+'TCO TO BE - HW'!I$4)/($E$4+'TCO TO BE - HW'!$E$4)*SUM(EXTERNE_POZICIE!$M$53:$M$64)*1.23)/EXTERNE_POZICIE!$B$41*12,IF((EXTERNE_POZICIE!$B$53-12*('TCO TO BE- SW'!$D154-1))&lt;0,0,(EXTERNE_POZICIE!$B$53-12*('TCO TO BE- SW'!$D154-1))*((I$4+'TCO TO BE - HW'!I$4)/($E$4+'TCO TO BE - HW'!$E$4)*SUM(EXTERNE_POZICIE!$M$53:$M$64)*1.23)/EXTERNE_POZICIE!$B$53)),0)+IFERROR(SUM(#REF!)*'TCO TO BE- SW'!I$4/'TCO TO BE- SW'!$E$4,0)</f>
        <v>0</v>
      </c>
      <c r="J164" s="576">
        <f>IFERROR(IF((POZICIE_INTERNE!$B$52-12*('TCO TO BE- SW'!$D154-1))&gt;12,((J$4+'TCO TO BE - HW'!J$4)/($E$4+'TCO TO BE - HW'!$E$4)*SUM(POZICIE_INTERNE!$I$52:$I$63))/POZICIE_INTERNE!$B$52*12,IF((POZICIE_INTERNE!$B$52-12*('TCO TO BE- SW'!$D154-1))&lt;0,0,(POZICIE_INTERNE!$B$52-12*('TCO TO BE- SW'!$D154-1))*((J$4+'TCO TO BE - HW'!J$4)/($E$4+'TCO TO BE - HW'!$E$4)*SUM(POZICIE_INTERNE!$I$52:$I$63))/POZICIE_INTERNE!$B$52)),0)+IFERROR(IF((EXTERNE_POZICIE!$B$53-12*('TCO TO BE- SW'!$D154-1))&gt;12,((J$4+'TCO TO BE - HW'!J$4)/($E$4+'TCO TO BE - HW'!$E$4)*SUM(EXTERNE_POZICIE!$M$53:$M$64)*1.23)/EXTERNE_POZICIE!$B$41*12,IF((EXTERNE_POZICIE!$B$53-12*('TCO TO BE- SW'!$D154-1))&lt;0,0,(EXTERNE_POZICIE!$B$53-12*('TCO TO BE- SW'!$D154-1))*((J$4+'TCO TO BE - HW'!J$4)/($E$4+'TCO TO BE - HW'!$E$4)*SUM(EXTERNE_POZICIE!$M$53:$M$64)*1.23)/EXTERNE_POZICIE!$B$53)),0)+IFERROR(SUM(#REF!)*'TCO TO BE- SW'!J$4/'TCO TO BE- SW'!$E$4,0)</f>
        <v>0</v>
      </c>
      <c r="K164" s="576">
        <f>IFERROR(IF((POZICIE_INTERNE!$B$52-12*('TCO TO BE- SW'!$D154-1))&gt;12,((K$4+'TCO TO BE - HW'!K$4)/($E$4+'TCO TO BE - HW'!$E$4)*SUM(POZICIE_INTERNE!$I$52:$I$63))/POZICIE_INTERNE!$B$52*12,IF((POZICIE_INTERNE!$B$52-12*('TCO TO BE- SW'!$D154-1))&lt;0,0,(POZICIE_INTERNE!$B$52-12*('TCO TO BE- SW'!$D154-1))*((K$4+'TCO TO BE - HW'!K$4)/($E$4+'TCO TO BE - HW'!$E$4)*SUM(POZICIE_INTERNE!$I$52:$I$63))/POZICIE_INTERNE!$B$52)),0)+IFERROR(IF((EXTERNE_POZICIE!$B$53-12*('TCO TO BE- SW'!$D154-1))&gt;12,((K$4+'TCO TO BE - HW'!K$4)/($E$4+'TCO TO BE - HW'!$E$4)*SUM(EXTERNE_POZICIE!$M$53:$M$64)*1.23)/EXTERNE_POZICIE!$B$41*12,IF((EXTERNE_POZICIE!$B$53-12*('TCO TO BE- SW'!$D154-1))&lt;0,0,(EXTERNE_POZICIE!$B$53-12*('TCO TO BE- SW'!$D154-1))*((K$4+'TCO TO BE - HW'!K$4)/($E$4+'TCO TO BE - HW'!$E$4)*SUM(EXTERNE_POZICIE!$M$53:$M$64)*1.23)/EXTERNE_POZICIE!$B$53)),0)+IFERROR(SUM(#REF!)*'TCO TO BE- SW'!K$4/'TCO TO BE- SW'!$E$4,0)</f>
        <v>0</v>
      </c>
      <c r="L164" s="576">
        <f>IFERROR(IF((POZICIE_INTERNE!$B$52-12*('TCO TO BE- SW'!$D154-1))&gt;12,((L$4+'TCO TO BE - HW'!L$4)/($E$4+'TCO TO BE - HW'!$E$4)*SUM(POZICIE_INTERNE!$I$52:$I$63))/POZICIE_INTERNE!$B$52*12,IF((POZICIE_INTERNE!$B$52-12*('TCO TO BE- SW'!$D154-1))&lt;0,0,(POZICIE_INTERNE!$B$52-12*('TCO TO BE- SW'!$D154-1))*((L$4+'TCO TO BE - HW'!L$4)/($E$4+'TCO TO BE - HW'!$E$4)*SUM(POZICIE_INTERNE!$I$52:$I$63))/POZICIE_INTERNE!$B$52)),0)+IFERROR(IF((EXTERNE_POZICIE!$B$53-12*('TCO TO BE- SW'!$D154-1))&gt;12,((L$4+'TCO TO BE - HW'!L$4)/($E$4+'TCO TO BE - HW'!$E$4)*SUM(EXTERNE_POZICIE!$M$53:$M$64)*1.23)/EXTERNE_POZICIE!$B$41*12,IF((EXTERNE_POZICIE!$B$53-12*('TCO TO BE- SW'!$D154-1))&lt;0,0,(EXTERNE_POZICIE!$B$53-12*('TCO TO BE- SW'!$D154-1))*((L$4+'TCO TO BE - HW'!L$4)/($E$4+'TCO TO BE - HW'!$E$4)*SUM(EXTERNE_POZICIE!$M$53:$M$64)*1.23)/EXTERNE_POZICIE!$B$53)),0)+IFERROR(SUM(#REF!)*'TCO TO BE- SW'!L$4/'TCO TO BE- SW'!$E$4,0)</f>
        <v>0</v>
      </c>
      <c r="M164" s="576">
        <f>IFERROR(IF((POZICIE_INTERNE!$B$52-12*('TCO TO BE- SW'!$D154-1))&gt;12,((M$4+'TCO TO BE - HW'!M$4)/($E$4+'TCO TO BE - HW'!$E$4)*SUM(POZICIE_INTERNE!$I$52:$I$63))/POZICIE_INTERNE!$B$52*12,IF((POZICIE_INTERNE!$B$52-12*('TCO TO BE- SW'!$D154-1))&lt;0,0,(POZICIE_INTERNE!$B$52-12*('TCO TO BE- SW'!$D154-1))*((M$4+'TCO TO BE - HW'!M$4)/($E$4+'TCO TO BE - HW'!$E$4)*SUM(POZICIE_INTERNE!$I$52:$I$63))/POZICIE_INTERNE!$B$52)),0)+IFERROR(IF((EXTERNE_POZICIE!$B$53-12*('TCO TO BE- SW'!$D154-1))&gt;12,((M$4+'TCO TO BE - HW'!M$4)/($E$4+'TCO TO BE - HW'!$E$4)*SUM(EXTERNE_POZICIE!$M$53:$M$64)*1.23)/EXTERNE_POZICIE!$B$41*12,IF((EXTERNE_POZICIE!$B$53-12*('TCO TO BE- SW'!$D154-1))&lt;0,0,(EXTERNE_POZICIE!$B$53-12*('TCO TO BE- SW'!$D154-1))*((M$4+'TCO TO BE - HW'!M$4)/($E$4+'TCO TO BE - HW'!$E$4)*SUM(EXTERNE_POZICIE!$M$53:$M$64)*1.23)/EXTERNE_POZICIE!$B$53)),0)+IFERROR(SUM(#REF!)*'TCO TO BE- SW'!M$4/'TCO TO BE- SW'!$E$4,0)</f>
        <v>0</v>
      </c>
      <c r="N164" s="576">
        <f>IFERROR(IF((POZICIE_INTERNE!$B$52-12*('TCO TO BE- SW'!$D154-1))&gt;12,((N$4+'TCO TO BE - HW'!N$4)/($E$4+'TCO TO BE - HW'!$E$4)*SUM(POZICIE_INTERNE!$I$52:$I$63))/POZICIE_INTERNE!$B$52*12,IF((POZICIE_INTERNE!$B$52-12*('TCO TO BE- SW'!$D154-1))&lt;0,0,(POZICIE_INTERNE!$B$52-12*('TCO TO BE- SW'!$D154-1))*((N$4+'TCO TO BE - HW'!N$4)/($E$4+'TCO TO BE - HW'!$E$4)*SUM(POZICIE_INTERNE!$I$52:$I$63))/POZICIE_INTERNE!$B$52)),0)+IFERROR(IF((EXTERNE_POZICIE!$B$53-12*('TCO TO BE- SW'!$D154-1))&gt;12,((N$4+'TCO TO BE - HW'!N$4)/($E$4+'TCO TO BE - HW'!$E$4)*SUM(EXTERNE_POZICIE!$M$53:$M$64)*1.23)/EXTERNE_POZICIE!$B$41*12,IF((EXTERNE_POZICIE!$B$53-12*('TCO TO BE- SW'!$D154-1))&lt;0,0,(EXTERNE_POZICIE!$B$53-12*('TCO TO BE- SW'!$D154-1))*((N$4+'TCO TO BE - HW'!N$4)/($E$4+'TCO TO BE - HW'!$E$4)*SUM(EXTERNE_POZICIE!$M$53:$M$64)*1.23)/EXTERNE_POZICIE!$B$53)),0)+IFERROR(SUM(#REF!)*'TCO TO BE- SW'!N$4/'TCO TO BE- SW'!$E$4,0)</f>
        <v>0</v>
      </c>
      <c r="O164" s="576">
        <f>IFERROR(IF((POZICIE_INTERNE!$B$52-12*('TCO TO BE- SW'!$D154-1))&gt;12,((O$4+'TCO TO BE - HW'!O$4)/($E$4+'TCO TO BE - HW'!$E$4)*SUM(POZICIE_INTERNE!$I$52:$I$63))/POZICIE_INTERNE!$B$52*12,IF((POZICIE_INTERNE!$B$52-12*('TCO TO BE- SW'!$D154-1))&lt;0,0,(POZICIE_INTERNE!$B$52-12*('TCO TO BE- SW'!$D154-1))*((O$4+'TCO TO BE - HW'!O$4)/($E$4+'TCO TO BE - HW'!$E$4)*SUM(POZICIE_INTERNE!$I$52:$I$63))/POZICIE_INTERNE!$B$52)),0)+IFERROR(IF((EXTERNE_POZICIE!$B$53-12*('TCO TO BE- SW'!$D154-1))&gt;12,((O$4+'TCO TO BE - HW'!O$4)/($E$4+'TCO TO BE - HW'!$E$4)*SUM(EXTERNE_POZICIE!$M$53:$M$64)*1.23)/EXTERNE_POZICIE!$B$41*12,IF((EXTERNE_POZICIE!$B$53-12*('TCO TO BE- SW'!$D154-1))&lt;0,0,(EXTERNE_POZICIE!$B$53-12*('TCO TO BE- SW'!$D154-1))*((O$4+'TCO TO BE - HW'!O$4)/($E$4+'TCO TO BE - HW'!$E$4)*SUM(EXTERNE_POZICIE!$M$53:$M$64)*1.23)/EXTERNE_POZICIE!$B$53)),0)+IFERROR(SUM(#REF!)*'TCO TO BE- SW'!O$4/'TCO TO BE- SW'!$E$4,0)</f>
        <v>0</v>
      </c>
      <c r="P164" s="576">
        <f>IFERROR(IF((POZICIE_INTERNE!$B$52-12*('TCO TO BE- SW'!$D154-1))&gt;12,((P$4+'TCO TO BE - HW'!P$4)/($E$4+'TCO TO BE - HW'!$E$4)*SUM(POZICIE_INTERNE!$I$52:$I$63))/POZICIE_INTERNE!$B$52*12,IF((POZICIE_INTERNE!$B$52-12*('TCO TO BE- SW'!$D154-1))&lt;0,0,(POZICIE_INTERNE!$B$52-12*('TCO TO BE- SW'!$D154-1))*((P$4+'TCO TO BE - HW'!P$4)/($E$4+'TCO TO BE - HW'!$E$4)*SUM(POZICIE_INTERNE!$I$52:$I$63))/POZICIE_INTERNE!$B$52)),0)+IFERROR(IF((EXTERNE_POZICIE!$B$53-12*('TCO TO BE- SW'!$D154-1))&gt;12,((P$4+'TCO TO BE - HW'!P$4)/($E$4+'TCO TO BE - HW'!$E$4)*SUM(EXTERNE_POZICIE!$M$53:$M$64)*1.23)/EXTERNE_POZICIE!$B$41*12,IF((EXTERNE_POZICIE!$B$53-12*('TCO TO BE- SW'!$D154-1))&lt;0,0,(EXTERNE_POZICIE!$B$53-12*('TCO TO BE- SW'!$D154-1))*((P$4+'TCO TO BE - HW'!P$4)/($E$4+'TCO TO BE - HW'!$E$4)*SUM(EXTERNE_POZICIE!$M$53:$M$64)*1.23)/EXTERNE_POZICIE!$B$53)),0)+IFERROR(SUM(#REF!)*'TCO TO BE- SW'!P$4/'TCO TO BE- SW'!$E$4,0)</f>
        <v>0</v>
      </c>
      <c r="Q164" s="576">
        <f>IFERROR(IF((POZICIE_INTERNE!$B$52-12*('TCO TO BE- SW'!$D154-1))&gt;12,((Q$4+'TCO TO BE - HW'!Q$4)/($E$4+'TCO TO BE - HW'!$E$4)*SUM(POZICIE_INTERNE!$I$52:$I$63))/POZICIE_INTERNE!$B$52*12,IF((POZICIE_INTERNE!$B$52-12*('TCO TO BE- SW'!$D154-1))&lt;0,0,(POZICIE_INTERNE!$B$52-12*('TCO TO BE- SW'!$D154-1))*((Q$4+'TCO TO BE - HW'!Q$4)/($E$4+'TCO TO BE - HW'!$E$4)*SUM(POZICIE_INTERNE!$I$52:$I$63))/POZICIE_INTERNE!$B$52)),0)+IFERROR(IF((EXTERNE_POZICIE!$B$53-12*('TCO TO BE- SW'!$D154-1))&gt;12,((Q$4+'TCO TO BE - HW'!Q$4)/($E$4+'TCO TO BE - HW'!$E$4)*SUM(EXTERNE_POZICIE!$M$53:$M$64)*1.23)/EXTERNE_POZICIE!$B$41*12,IF((EXTERNE_POZICIE!$B$53-12*('TCO TO BE- SW'!$D154-1))&lt;0,0,(EXTERNE_POZICIE!$B$53-12*('TCO TO BE- SW'!$D154-1))*((Q$4+'TCO TO BE - HW'!Q$4)/($E$4+'TCO TO BE - HW'!$E$4)*SUM(EXTERNE_POZICIE!$M$53:$M$64)*1.23)/EXTERNE_POZICIE!$B$53)),0)+IFERROR(SUM(#REF!)*'TCO TO BE- SW'!Q$4/'TCO TO BE- SW'!$E$4,0)</f>
        <v>0</v>
      </c>
      <c r="R164" s="576">
        <f>IFERROR(IF((POZICIE_INTERNE!$B$52-12*('TCO TO BE- SW'!$D154-1))&gt;12,((R$4+'TCO TO BE - HW'!R$4)/($E$4+'TCO TO BE - HW'!$E$4)*SUM(POZICIE_INTERNE!$I$52:$I$63))/POZICIE_INTERNE!$B$52*12,IF((POZICIE_INTERNE!$B$52-12*('TCO TO BE- SW'!$D154-1))&lt;0,0,(POZICIE_INTERNE!$B$52-12*('TCO TO BE- SW'!$D154-1))*((R$4+'TCO TO BE - HW'!R$4)/($E$4+'TCO TO BE - HW'!$E$4)*SUM(POZICIE_INTERNE!$I$52:$I$63))/POZICIE_INTERNE!$B$52)),0)+IFERROR(IF((EXTERNE_POZICIE!$B$53-12*('TCO TO BE- SW'!$D154-1))&gt;12,((R$4+'TCO TO BE - HW'!R$4)/($E$4+'TCO TO BE - HW'!$E$4)*SUM(EXTERNE_POZICIE!$M$53:$M$64)*1.23)/EXTERNE_POZICIE!$B$41*12,IF((EXTERNE_POZICIE!$B$53-12*('TCO TO BE- SW'!$D154-1))&lt;0,0,(EXTERNE_POZICIE!$B$53-12*('TCO TO BE- SW'!$D154-1))*((R$4+'TCO TO BE - HW'!R$4)/($E$4+'TCO TO BE - HW'!$E$4)*SUM(EXTERNE_POZICIE!$M$53:$M$64)*1.23)/EXTERNE_POZICIE!$B$53)),0)+IFERROR(SUM(#REF!)*'TCO TO BE- SW'!R$4/'TCO TO BE- SW'!$E$4,0)</f>
        <v>0</v>
      </c>
      <c r="S164" s="576">
        <f>IFERROR(IF((POZICIE_INTERNE!$B$52-12*('TCO TO BE- SW'!$D154-1))&gt;12,((S$4+'TCO TO BE - HW'!S$4)/($E$4+'TCO TO BE - HW'!$E$4)*SUM(POZICIE_INTERNE!$I$52:$I$63))/POZICIE_INTERNE!$B$52*12,IF((POZICIE_INTERNE!$B$52-12*('TCO TO BE- SW'!$D154-1))&lt;0,0,(POZICIE_INTERNE!$B$52-12*('TCO TO BE- SW'!$D154-1))*((S$4+'TCO TO BE - HW'!S$4)/($E$4+'TCO TO BE - HW'!$E$4)*SUM(POZICIE_INTERNE!$I$52:$I$63))/POZICIE_INTERNE!$B$52)),0)+IFERROR(IF((EXTERNE_POZICIE!$B$53-12*('TCO TO BE- SW'!$D154-1))&gt;12,((S$4+'TCO TO BE - HW'!S$4)/($E$4+'TCO TO BE - HW'!$E$4)*SUM(EXTERNE_POZICIE!$M$53:$M$64)*1.23)/EXTERNE_POZICIE!$B$41*12,IF((EXTERNE_POZICIE!$B$53-12*('TCO TO BE- SW'!$D154-1))&lt;0,0,(EXTERNE_POZICIE!$B$53-12*('TCO TO BE- SW'!$D154-1))*((S$4+'TCO TO BE - HW'!S$4)/($E$4+'TCO TO BE - HW'!$E$4)*SUM(EXTERNE_POZICIE!$M$53:$M$64)*1.23)/EXTERNE_POZICIE!$B$53)),0)+IFERROR(SUM(#REF!)*'TCO TO BE- SW'!S$4/'TCO TO BE- SW'!$E$4,0)</f>
        <v>0</v>
      </c>
      <c r="T164" s="576">
        <f>IFERROR(IF((POZICIE_INTERNE!$B$52-12*('TCO TO BE- SW'!$D154-1))&gt;12,((T$4+'TCO TO BE - HW'!T$4)/($E$4+'TCO TO BE - HW'!$E$4)*SUM(POZICIE_INTERNE!$I$52:$I$63))/POZICIE_INTERNE!$B$52*12,IF((POZICIE_INTERNE!$B$52-12*('TCO TO BE- SW'!$D154-1))&lt;0,0,(POZICIE_INTERNE!$B$52-12*('TCO TO BE- SW'!$D154-1))*((T$4+'TCO TO BE - HW'!T$4)/($E$4+'TCO TO BE - HW'!$E$4)*SUM(POZICIE_INTERNE!$I$52:$I$63))/POZICIE_INTERNE!$B$52)),0)+IFERROR(IF((EXTERNE_POZICIE!$B$53-12*('TCO TO BE- SW'!$D154-1))&gt;12,((T$4+'TCO TO BE - HW'!T$4)/($E$4+'TCO TO BE - HW'!$E$4)*SUM(EXTERNE_POZICIE!$M$53:$M$64)*1.23)/EXTERNE_POZICIE!$B$41*12,IF((EXTERNE_POZICIE!$B$53-12*('TCO TO BE- SW'!$D154-1))&lt;0,0,(EXTERNE_POZICIE!$B$53-12*('TCO TO BE- SW'!$D154-1))*((T$4+'TCO TO BE - HW'!T$4)/($E$4+'TCO TO BE - HW'!$E$4)*SUM(EXTERNE_POZICIE!$M$53:$M$64)*1.23)/EXTERNE_POZICIE!$B$53)),0)+IFERROR(SUM(#REF!)*'TCO TO BE- SW'!T$4/'TCO TO BE- SW'!$E$4,0)</f>
        <v>0</v>
      </c>
      <c r="U164" s="576">
        <f>IFERROR(IF((POZICIE_INTERNE!$B$52-12*('TCO TO BE- SW'!$D154-1))&gt;12,((U$4+'TCO TO BE - HW'!U$4)/($E$4+'TCO TO BE - HW'!$E$4)*SUM(POZICIE_INTERNE!$I$52:$I$63))/POZICIE_INTERNE!$B$52*12,IF((POZICIE_INTERNE!$B$52-12*('TCO TO BE- SW'!$D154-1))&lt;0,0,(POZICIE_INTERNE!$B$52-12*('TCO TO BE- SW'!$D154-1))*((U$4+'TCO TO BE - HW'!U$4)/($E$4+'TCO TO BE - HW'!$E$4)*SUM(POZICIE_INTERNE!$I$52:$I$63))/POZICIE_INTERNE!$B$52)),0)+IFERROR(IF((EXTERNE_POZICIE!$B$53-12*('TCO TO BE- SW'!$D154-1))&gt;12,((U$4+'TCO TO BE - HW'!U$4)/($E$4+'TCO TO BE - HW'!$E$4)*SUM(EXTERNE_POZICIE!$M$53:$M$64)*1.23)/EXTERNE_POZICIE!$B$41*12,IF((EXTERNE_POZICIE!$B$53-12*('TCO TO BE- SW'!$D154-1))&lt;0,0,(EXTERNE_POZICIE!$B$53-12*('TCO TO BE- SW'!$D154-1))*((U$4+'TCO TO BE - HW'!U$4)/($E$4+'TCO TO BE - HW'!$E$4)*SUM(EXTERNE_POZICIE!$M$53:$M$64)*1.23)/EXTERNE_POZICIE!$B$53)),0)+IFERROR(SUM(#REF!)*'TCO TO BE- SW'!U$4/'TCO TO BE- SW'!$E$4,0)</f>
        <v>0</v>
      </c>
      <c r="V164" s="576">
        <f>IFERROR(IF((POZICIE_INTERNE!$B$52-12*('TCO TO BE- SW'!$D154-1))&gt;12,((V$4+'TCO TO BE - HW'!V$4)/($E$4+'TCO TO BE - HW'!$E$4)*SUM(POZICIE_INTERNE!$I$52:$I$63))/POZICIE_INTERNE!$B$52*12,IF((POZICIE_INTERNE!$B$52-12*('TCO TO BE- SW'!$D154-1))&lt;0,0,(POZICIE_INTERNE!$B$52-12*('TCO TO BE- SW'!$D154-1))*((V$4+'TCO TO BE - HW'!V$4)/($E$4+'TCO TO BE - HW'!$E$4)*SUM(POZICIE_INTERNE!$I$52:$I$63))/POZICIE_INTERNE!$B$52)),0)+IFERROR(IF((EXTERNE_POZICIE!$B$53-12*('TCO TO BE- SW'!$D154-1))&gt;12,((V$4+'TCO TO BE - HW'!V$4)/($E$4+'TCO TO BE - HW'!$E$4)*SUM(EXTERNE_POZICIE!$M$53:$M$64)*1.23)/EXTERNE_POZICIE!$B$41*12,IF((EXTERNE_POZICIE!$B$53-12*('TCO TO BE- SW'!$D154-1))&lt;0,0,(EXTERNE_POZICIE!$B$53-12*('TCO TO BE- SW'!$D154-1))*((V$4+'TCO TO BE - HW'!V$4)/($E$4+'TCO TO BE - HW'!$E$4)*SUM(EXTERNE_POZICIE!$M$53:$M$64)*1.23)/EXTERNE_POZICIE!$B$53)),0)+IFERROR(SUM(#REF!)*'TCO TO BE- SW'!V$4/'TCO TO BE- SW'!$E$4,0)</f>
        <v>0</v>
      </c>
      <c r="W164" s="576">
        <f>IFERROR(IF((POZICIE_INTERNE!$B$52-12*('TCO TO BE- SW'!$D154-1))&gt;12,((W$4+'TCO TO BE - HW'!W$4)/($E$4+'TCO TO BE - HW'!$E$4)*SUM(POZICIE_INTERNE!$I$52:$I$63))/POZICIE_INTERNE!$B$52*12,IF((POZICIE_INTERNE!$B$52-12*('TCO TO BE- SW'!$D154-1))&lt;0,0,(POZICIE_INTERNE!$B$52-12*('TCO TO BE- SW'!$D154-1))*((W$4+'TCO TO BE - HW'!W$4)/($E$4+'TCO TO BE - HW'!$E$4)*SUM(POZICIE_INTERNE!$I$52:$I$63))/POZICIE_INTERNE!$B$52)),0)+IFERROR(IF((EXTERNE_POZICIE!$B$53-12*('TCO TO BE- SW'!$D154-1))&gt;12,((W$4+'TCO TO BE - HW'!W$4)/($E$4+'TCO TO BE - HW'!$E$4)*SUM(EXTERNE_POZICIE!$M$53:$M$64)*1.23)/EXTERNE_POZICIE!$B$41*12,IF((EXTERNE_POZICIE!$B$53-12*('TCO TO BE- SW'!$D154-1))&lt;0,0,(EXTERNE_POZICIE!$B$53-12*('TCO TO BE- SW'!$D154-1))*((W$4+'TCO TO BE - HW'!W$4)/($E$4+'TCO TO BE - HW'!$E$4)*SUM(EXTERNE_POZICIE!$M$53:$M$64)*1.23)/EXTERNE_POZICIE!$B$53)),0)+IFERROR(SUM(#REF!)*'TCO TO BE- SW'!W$4/'TCO TO BE- SW'!$E$4,0)</f>
        <v>0</v>
      </c>
      <c r="X164" s="576">
        <f>IFERROR(IF((POZICIE_INTERNE!$B$52-12*('TCO TO BE- SW'!$D154-1))&gt;12,((X$4+'TCO TO BE - HW'!X$4)/($E$4+'TCO TO BE - HW'!$E$4)*SUM(POZICIE_INTERNE!$I$52:$I$63))/POZICIE_INTERNE!$B$52*12,IF((POZICIE_INTERNE!$B$52-12*('TCO TO BE- SW'!$D154-1))&lt;0,0,(POZICIE_INTERNE!$B$52-12*('TCO TO BE- SW'!$D154-1))*((X$4+'TCO TO BE - HW'!X$4)/($E$4+'TCO TO BE - HW'!$E$4)*SUM(POZICIE_INTERNE!$I$52:$I$63))/POZICIE_INTERNE!$B$52)),0)+IFERROR(IF((EXTERNE_POZICIE!$B$53-12*('TCO TO BE- SW'!$D154-1))&gt;12,((X$4+'TCO TO BE - HW'!X$4)/($E$4+'TCO TO BE - HW'!$E$4)*SUM(EXTERNE_POZICIE!$M$53:$M$64)*1.23)/EXTERNE_POZICIE!$B$41*12,IF((EXTERNE_POZICIE!$B$53-12*('TCO TO BE- SW'!$D154-1))&lt;0,0,(EXTERNE_POZICIE!$B$53-12*('TCO TO BE- SW'!$D154-1))*((X$4+'TCO TO BE - HW'!X$4)/($E$4+'TCO TO BE - HW'!$E$4)*SUM(EXTERNE_POZICIE!$M$53:$M$64)*1.23)/EXTERNE_POZICIE!$B$53)),0)+IFERROR(SUM(#REF!)*'TCO TO BE- SW'!X$4/'TCO TO BE- SW'!$E$4,0)</f>
        <v>0</v>
      </c>
      <c r="Y164" s="576">
        <f>IFERROR(IF((POZICIE_INTERNE!$B$52-12*('TCO TO BE- SW'!$D154-1))&gt;12,((Y$4+'TCO TO BE - HW'!Y$4)/($E$4+'TCO TO BE - HW'!$E$4)*SUM(POZICIE_INTERNE!$I$52:$I$63))/POZICIE_INTERNE!$B$52*12,IF((POZICIE_INTERNE!$B$52-12*('TCO TO BE- SW'!$D154-1))&lt;0,0,(POZICIE_INTERNE!$B$52-12*('TCO TO BE- SW'!$D154-1))*((Y$4+'TCO TO BE - HW'!Y$4)/($E$4+'TCO TO BE - HW'!$E$4)*SUM(POZICIE_INTERNE!$I$52:$I$63))/POZICIE_INTERNE!$B$52)),0)+IFERROR(IF((EXTERNE_POZICIE!$B$53-12*('TCO TO BE- SW'!$D154-1))&gt;12,((Y$4+'TCO TO BE - HW'!Y$4)/($E$4+'TCO TO BE - HW'!$E$4)*SUM(EXTERNE_POZICIE!$M$53:$M$64)*1.23)/EXTERNE_POZICIE!$B$41*12,IF((EXTERNE_POZICIE!$B$53-12*('TCO TO BE- SW'!$D154-1))&lt;0,0,(EXTERNE_POZICIE!$B$53-12*('TCO TO BE- SW'!$D154-1))*((Y$4+'TCO TO BE - HW'!Y$4)/($E$4+'TCO TO BE - HW'!$E$4)*SUM(EXTERNE_POZICIE!$M$53:$M$64)*1.23)/EXTERNE_POZICIE!$B$53)),0)+IFERROR(SUM(#REF!)*'TCO TO BE- SW'!Y$4/'TCO TO BE- SW'!$E$4,0)</f>
        <v>0</v>
      </c>
      <c r="Z164" s="576">
        <f>IFERROR(IF((POZICIE_INTERNE!$B$52-12*('TCO TO BE- SW'!$D154-1))&gt;12,((Z$4+'TCO TO BE - HW'!Z$4)/($E$4+'TCO TO BE - HW'!$E$4)*SUM(POZICIE_INTERNE!$I$52:$I$63))/POZICIE_INTERNE!$B$52*12,IF((POZICIE_INTERNE!$B$52-12*('TCO TO BE- SW'!$D154-1))&lt;0,0,(POZICIE_INTERNE!$B$52-12*('TCO TO BE- SW'!$D154-1))*((Z$4+'TCO TO BE - HW'!Z$4)/($E$4+'TCO TO BE - HW'!$E$4)*SUM(POZICIE_INTERNE!$I$52:$I$63))/POZICIE_INTERNE!$B$52)),0)+IFERROR(IF((EXTERNE_POZICIE!$B$53-12*('TCO TO BE- SW'!$D154-1))&gt;12,((Z$4+'TCO TO BE - HW'!Z$4)/($E$4+'TCO TO BE - HW'!$E$4)*SUM(EXTERNE_POZICIE!$M$53:$M$64)*1.23)/EXTERNE_POZICIE!$B$41*12,IF((EXTERNE_POZICIE!$B$53-12*('TCO TO BE- SW'!$D154-1))&lt;0,0,(EXTERNE_POZICIE!$B$53-12*('TCO TO BE- SW'!$D154-1))*((Z$4+'TCO TO BE - HW'!Z$4)/($E$4+'TCO TO BE - HW'!$E$4)*SUM(EXTERNE_POZICIE!$M$53:$M$64)*1.23)/EXTERNE_POZICIE!$B$53)),0)+IFERROR(SUM(#REF!)*'TCO TO BE- SW'!Z$4/'TCO TO BE- SW'!$E$4,0)</f>
        <v>0</v>
      </c>
    </row>
    <row r="165" spans="1:26">
      <c r="A165" s="841"/>
      <c r="B165" s="842"/>
      <c r="C165" s="842"/>
      <c r="D165" s="64">
        <v>5</v>
      </c>
      <c r="E165" s="68">
        <f t="shared" si="16"/>
        <v>0</v>
      </c>
      <c r="F165" s="576">
        <f>IFERROR(IF((POZICIE_INTERNE!$B$52-12*('TCO TO BE- SW'!$D155-1))&gt;12,((F$4+'TCO TO BE - HW'!F$4)/($E$4+'TCO TO BE - HW'!$E$4)*SUM(POZICIE_INTERNE!$I$52:$I$63))/POZICIE_INTERNE!$B$52*12,IF((POZICIE_INTERNE!$B$52-12*('TCO TO BE- SW'!$D155-1))&lt;0,0,(POZICIE_INTERNE!$B$52-12*('TCO TO BE- SW'!$D155-1))*((F$4+'TCO TO BE - HW'!F$4)/($E$4+'TCO TO BE - HW'!$E$4)*SUM(POZICIE_INTERNE!$I$52:$I$63))/POZICIE_INTERNE!$B$52)),0)+IFERROR(IF((EXTERNE_POZICIE!$B$53-12*('TCO TO BE- SW'!$D155-1))&gt;12,((F$4+'TCO TO BE - HW'!F$4)/($E$4+'TCO TO BE - HW'!$E$4)*SUM(EXTERNE_POZICIE!$M$53:$M$64)*1.23)/EXTERNE_POZICIE!$B$41*12,IF((EXTERNE_POZICIE!$B$53-12*('TCO TO BE- SW'!$D155-1))&lt;0,0,(EXTERNE_POZICIE!$B$53-12*('TCO TO BE- SW'!$D155-1))*((F$4+'TCO TO BE - HW'!F$4)/($E$4+'TCO TO BE - HW'!$E$4)*SUM(EXTERNE_POZICIE!$M$53:$M$64)*1.23)/EXTERNE_POZICIE!$B$53)),0)+IFERROR(SUM(#REF!)*'TCO TO BE- SW'!F$4/'TCO TO BE- SW'!$E$4,0)</f>
        <v>0</v>
      </c>
      <c r="G165" s="576">
        <f>IFERROR(IF((POZICIE_INTERNE!$B$52-12*('TCO TO BE- SW'!$D155-1))&gt;12,((G$4+'TCO TO BE - HW'!G$4)/($E$4+'TCO TO BE - HW'!$E$4)*SUM(POZICIE_INTERNE!$I$52:$I$63))/POZICIE_INTERNE!$B$52*12,IF((POZICIE_INTERNE!$B$52-12*('TCO TO BE- SW'!$D155-1))&lt;0,0,(POZICIE_INTERNE!$B$52-12*('TCO TO BE- SW'!$D155-1))*((G$4+'TCO TO BE - HW'!G$4)/($E$4+'TCO TO BE - HW'!$E$4)*SUM(POZICIE_INTERNE!$I$52:$I$63))/POZICIE_INTERNE!$B$52)),0)+IFERROR(IF((EXTERNE_POZICIE!$B$53-12*('TCO TO BE- SW'!$D155-1))&gt;12,((G$4+'TCO TO BE - HW'!G$4)/($E$4+'TCO TO BE - HW'!$E$4)*SUM(EXTERNE_POZICIE!$M$53:$M$64)*1.23)/EXTERNE_POZICIE!$B$41*12,IF((EXTERNE_POZICIE!$B$53-12*('TCO TO BE- SW'!$D155-1))&lt;0,0,(EXTERNE_POZICIE!$B$53-12*('TCO TO BE- SW'!$D155-1))*((G$4+'TCO TO BE - HW'!G$4)/($E$4+'TCO TO BE - HW'!$E$4)*SUM(EXTERNE_POZICIE!$M$53:$M$64)*1.23)/EXTERNE_POZICIE!$B$53)),0)+IFERROR(SUM(#REF!)*'TCO TO BE- SW'!G$4/'TCO TO BE- SW'!$E$4,0)</f>
        <v>0</v>
      </c>
      <c r="H165" s="576">
        <f>IFERROR(IF((POZICIE_INTERNE!$B$52-12*('TCO TO BE- SW'!$D155-1))&gt;12,((H$4+'TCO TO BE - HW'!H$4)/($E$4+'TCO TO BE - HW'!$E$4)*SUM(POZICIE_INTERNE!$I$52:$I$63))/POZICIE_INTERNE!$B$52*12,IF((POZICIE_INTERNE!$B$52-12*('TCO TO BE- SW'!$D155-1))&lt;0,0,(POZICIE_INTERNE!$B$52-12*('TCO TO BE- SW'!$D155-1))*((H$4+'TCO TO BE - HW'!H$4)/($E$4+'TCO TO BE - HW'!$E$4)*SUM(POZICIE_INTERNE!$I$52:$I$63))/POZICIE_INTERNE!$B$52)),0)+IFERROR(IF((EXTERNE_POZICIE!$B$53-12*('TCO TO BE- SW'!$D155-1))&gt;12,((H$4+'TCO TO BE - HW'!H$4)/($E$4+'TCO TO BE - HW'!$E$4)*SUM(EXTERNE_POZICIE!$M$53:$M$64)*1.23)/EXTERNE_POZICIE!$B$41*12,IF((EXTERNE_POZICIE!$B$53-12*('TCO TO BE- SW'!$D155-1))&lt;0,0,(EXTERNE_POZICIE!$B$53-12*('TCO TO BE- SW'!$D155-1))*((H$4+'TCO TO BE - HW'!H$4)/($E$4+'TCO TO BE - HW'!$E$4)*SUM(EXTERNE_POZICIE!$M$53:$M$64)*1.23)/EXTERNE_POZICIE!$B$53)),0)+IFERROR(SUM(#REF!)*'TCO TO BE- SW'!H$4/'TCO TO BE- SW'!$E$4,0)</f>
        <v>0</v>
      </c>
      <c r="I165" s="576">
        <f>IFERROR(IF((POZICIE_INTERNE!$B$52-12*('TCO TO BE- SW'!$D155-1))&gt;12,((I$4+'TCO TO BE - HW'!I$4)/($E$4+'TCO TO BE - HW'!$E$4)*SUM(POZICIE_INTERNE!$I$52:$I$63))/POZICIE_INTERNE!$B$52*12,IF((POZICIE_INTERNE!$B$52-12*('TCO TO BE- SW'!$D155-1))&lt;0,0,(POZICIE_INTERNE!$B$52-12*('TCO TO BE- SW'!$D155-1))*((I$4+'TCO TO BE - HW'!I$4)/($E$4+'TCO TO BE - HW'!$E$4)*SUM(POZICIE_INTERNE!$I$52:$I$63))/POZICIE_INTERNE!$B$52)),0)+IFERROR(IF((EXTERNE_POZICIE!$B$53-12*('TCO TO BE- SW'!$D155-1))&gt;12,((I$4+'TCO TO BE - HW'!I$4)/($E$4+'TCO TO BE - HW'!$E$4)*SUM(EXTERNE_POZICIE!$M$53:$M$64)*1.23)/EXTERNE_POZICIE!$B$41*12,IF((EXTERNE_POZICIE!$B$53-12*('TCO TO BE- SW'!$D155-1))&lt;0,0,(EXTERNE_POZICIE!$B$53-12*('TCO TO BE- SW'!$D155-1))*((I$4+'TCO TO BE - HW'!I$4)/($E$4+'TCO TO BE - HW'!$E$4)*SUM(EXTERNE_POZICIE!$M$53:$M$64)*1.23)/EXTERNE_POZICIE!$B$53)),0)+IFERROR(SUM(#REF!)*'TCO TO BE- SW'!I$4/'TCO TO BE- SW'!$E$4,0)</f>
        <v>0</v>
      </c>
      <c r="J165" s="576">
        <f>IFERROR(IF((POZICIE_INTERNE!$B$52-12*('TCO TO BE- SW'!$D155-1))&gt;12,((J$4+'TCO TO BE - HW'!J$4)/($E$4+'TCO TO BE - HW'!$E$4)*SUM(POZICIE_INTERNE!$I$52:$I$63))/POZICIE_INTERNE!$B$52*12,IF((POZICIE_INTERNE!$B$52-12*('TCO TO BE- SW'!$D155-1))&lt;0,0,(POZICIE_INTERNE!$B$52-12*('TCO TO BE- SW'!$D155-1))*((J$4+'TCO TO BE - HW'!J$4)/($E$4+'TCO TO BE - HW'!$E$4)*SUM(POZICIE_INTERNE!$I$52:$I$63))/POZICIE_INTERNE!$B$52)),0)+IFERROR(IF((EXTERNE_POZICIE!$B$53-12*('TCO TO BE- SW'!$D155-1))&gt;12,((J$4+'TCO TO BE - HW'!J$4)/($E$4+'TCO TO BE - HW'!$E$4)*SUM(EXTERNE_POZICIE!$M$53:$M$64)*1.23)/EXTERNE_POZICIE!$B$41*12,IF((EXTERNE_POZICIE!$B$53-12*('TCO TO BE- SW'!$D155-1))&lt;0,0,(EXTERNE_POZICIE!$B$53-12*('TCO TO BE- SW'!$D155-1))*((J$4+'TCO TO BE - HW'!J$4)/($E$4+'TCO TO BE - HW'!$E$4)*SUM(EXTERNE_POZICIE!$M$53:$M$64)*1.23)/EXTERNE_POZICIE!$B$53)),0)+IFERROR(SUM(#REF!)*'TCO TO BE- SW'!J$4/'TCO TO BE- SW'!$E$4,0)</f>
        <v>0</v>
      </c>
      <c r="K165" s="576">
        <f>IFERROR(IF((POZICIE_INTERNE!$B$52-12*('TCO TO BE- SW'!$D155-1))&gt;12,((K$4+'TCO TO BE - HW'!K$4)/($E$4+'TCO TO BE - HW'!$E$4)*SUM(POZICIE_INTERNE!$I$52:$I$63))/POZICIE_INTERNE!$B$52*12,IF((POZICIE_INTERNE!$B$52-12*('TCO TO BE- SW'!$D155-1))&lt;0,0,(POZICIE_INTERNE!$B$52-12*('TCO TO BE- SW'!$D155-1))*((K$4+'TCO TO BE - HW'!K$4)/($E$4+'TCO TO BE - HW'!$E$4)*SUM(POZICIE_INTERNE!$I$52:$I$63))/POZICIE_INTERNE!$B$52)),0)+IFERROR(IF((EXTERNE_POZICIE!$B$53-12*('TCO TO BE- SW'!$D155-1))&gt;12,((K$4+'TCO TO BE - HW'!K$4)/($E$4+'TCO TO BE - HW'!$E$4)*SUM(EXTERNE_POZICIE!$M$53:$M$64)*1.23)/EXTERNE_POZICIE!$B$41*12,IF((EXTERNE_POZICIE!$B$53-12*('TCO TO BE- SW'!$D155-1))&lt;0,0,(EXTERNE_POZICIE!$B$53-12*('TCO TO BE- SW'!$D155-1))*((K$4+'TCO TO BE - HW'!K$4)/($E$4+'TCO TO BE - HW'!$E$4)*SUM(EXTERNE_POZICIE!$M$53:$M$64)*1.23)/EXTERNE_POZICIE!$B$53)),0)+IFERROR(SUM(#REF!)*'TCO TO BE- SW'!K$4/'TCO TO BE- SW'!$E$4,0)</f>
        <v>0</v>
      </c>
      <c r="L165" s="576">
        <f>IFERROR(IF((POZICIE_INTERNE!$B$52-12*('TCO TO BE- SW'!$D155-1))&gt;12,((L$4+'TCO TO BE - HW'!L$4)/($E$4+'TCO TO BE - HW'!$E$4)*SUM(POZICIE_INTERNE!$I$52:$I$63))/POZICIE_INTERNE!$B$52*12,IF((POZICIE_INTERNE!$B$52-12*('TCO TO BE- SW'!$D155-1))&lt;0,0,(POZICIE_INTERNE!$B$52-12*('TCO TO BE- SW'!$D155-1))*((L$4+'TCO TO BE - HW'!L$4)/($E$4+'TCO TO BE - HW'!$E$4)*SUM(POZICIE_INTERNE!$I$52:$I$63))/POZICIE_INTERNE!$B$52)),0)+IFERROR(IF((EXTERNE_POZICIE!$B$53-12*('TCO TO BE- SW'!$D155-1))&gt;12,((L$4+'TCO TO BE - HW'!L$4)/($E$4+'TCO TO BE - HW'!$E$4)*SUM(EXTERNE_POZICIE!$M$53:$M$64)*1.23)/EXTERNE_POZICIE!$B$41*12,IF((EXTERNE_POZICIE!$B$53-12*('TCO TO BE- SW'!$D155-1))&lt;0,0,(EXTERNE_POZICIE!$B$53-12*('TCO TO BE- SW'!$D155-1))*((L$4+'TCO TO BE - HW'!L$4)/($E$4+'TCO TO BE - HW'!$E$4)*SUM(EXTERNE_POZICIE!$M$53:$M$64)*1.23)/EXTERNE_POZICIE!$B$53)),0)+IFERROR(SUM(#REF!)*'TCO TO BE- SW'!L$4/'TCO TO BE- SW'!$E$4,0)</f>
        <v>0</v>
      </c>
      <c r="M165" s="576">
        <f>IFERROR(IF((POZICIE_INTERNE!$B$52-12*('TCO TO BE- SW'!$D155-1))&gt;12,((M$4+'TCO TO BE - HW'!M$4)/($E$4+'TCO TO BE - HW'!$E$4)*SUM(POZICIE_INTERNE!$I$52:$I$63))/POZICIE_INTERNE!$B$52*12,IF((POZICIE_INTERNE!$B$52-12*('TCO TO BE- SW'!$D155-1))&lt;0,0,(POZICIE_INTERNE!$B$52-12*('TCO TO BE- SW'!$D155-1))*((M$4+'TCO TO BE - HW'!M$4)/($E$4+'TCO TO BE - HW'!$E$4)*SUM(POZICIE_INTERNE!$I$52:$I$63))/POZICIE_INTERNE!$B$52)),0)+IFERROR(IF((EXTERNE_POZICIE!$B$53-12*('TCO TO BE- SW'!$D155-1))&gt;12,((M$4+'TCO TO BE - HW'!M$4)/($E$4+'TCO TO BE - HW'!$E$4)*SUM(EXTERNE_POZICIE!$M$53:$M$64)*1.23)/EXTERNE_POZICIE!$B$41*12,IF((EXTERNE_POZICIE!$B$53-12*('TCO TO BE- SW'!$D155-1))&lt;0,0,(EXTERNE_POZICIE!$B$53-12*('TCO TO BE- SW'!$D155-1))*((M$4+'TCO TO BE - HW'!M$4)/($E$4+'TCO TO BE - HW'!$E$4)*SUM(EXTERNE_POZICIE!$M$53:$M$64)*1.23)/EXTERNE_POZICIE!$B$53)),0)+IFERROR(SUM(#REF!)*'TCO TO BE- SW'!M$4/'TCO TO BE- SW'!$E$4,0)</f>
        <v>0</v>
      </c>
      <c r="N165" s="576">
        <f>IFERROR(IF((POZICIE_INTERNE!$B$52-12*('TCO TO BE- SW'!$D155-1))&gt;12,((N$4+'TCO TO BE - HW'!N$4)/($E$4+'TCO TO BE - HW'!$E$4)*SUM(POZICIE_INTERNE!$I$52:$I$63))/POZICIE_INTERNE!$B$52*12,IF((POZICIE_INTERNE!$B$52-12*('TCO TO BE- SW'!$D155-1))&lt;0,0,(POZICIE_INTERNE!$B$52-12*('TCO TO BE- SW'!$D155-1))*((N$4+'TCO TO BE - HW'!N$4)/($E$4+'TCO TO BE - HW'!$E$4)*SUM(POZICIE_INTERNE!$I$52:$I$63))/POZICIE_INTERNE!$B$52)),0)+IFERROR(IF((EXTERNE_POZICIE!$B$53-12*('TCO TO BE- SW'!$D155-1))&gt;12,((N$4+'TCO TO BE - HW'!N$4)/($E$4+'TCO TO BE - HW'!$E$4)*SUM(EXTERNE_POZICIE!$M$53:$M$64)*1.23)/EXTERNE_POZICIE!$B$41*12,IF((EXTERNE_POZICIE!$B$53-12*('TCO TO BE- SW'!$D155-1))&lt;0,0,(EXTERNE_POZICIE!$B$53-12*('TCO TO BE- SW'!$D155-1))*((N$4+'TCO TO BE - HW'!N$4)/($E$4+'TCO TO BE - HW'!$E$4)*SUM(EXTERNE_POZICIE!$M$53:$M$64)*1.23)/EXTERNE_POZICIE!$B$53)),0)+IFERROR(SUM(#REF!)*'TCO TO BE- SW'!N$4/'TCO TO BE- SW'!$E$4,0)</f>
        <v>0</v>
      </c>
      <c r="O165" s="576">
        <f>IFERROR(IF((POZICIE_INTERNE!$B$52-12*('TCO TO BE- SW'!$D155-1))&gt;12,((O$4+'TCO TO BE - HW'!O$4)/($E$4+'TCO TO BE - HW'!$E$4)*SUM(POZICIE_INTERNE!$I$52:$I$63))/POZICIE_INTERNE!$B$52*12,IF((POZICIE_INTERNE!$B$52-12*('TCO TO BE- SW'!$D155-1))&lt;0,0,(POZICIE_INTERNE!$B$52-12*('TCO TO BE- SW'!$D155-1))*((O$4+'TCO TO BE - HW'!O$4)/($E$4+'TCO TO BE - HW'!$E$4)*SUM(POZICIE_INTERNE!$I$52:$I$63))/POZICIE_INTERNE!$B$52)),0)+IFERROR(IF((EXTERNE_POZICIE!$B$53-12*('TCO TO BE- SW'!$D155-1))&gt;12,((O$4+'TCO TO BE - HW'!O$4)/($E$4+'TCO TO BE - HW'!$E$4)*SUM(EXTERNE_POZICIE!$M$53:$M$64)*1.23)/EXTERNE_POZICIE!$B$41*12,IF((EXTERNE_POZICIE!$B$53-12*('TCO TO BE- SW'!$D155-1))&lt;0,0,(EXTERNE_POZICIE!$B$53-12*('TCO TO BE- SW'!$D155-1))*((O$4+'TCO TO BE - HW'!O$4)/($E$4+'TCO TO BE - HW'!$E$4)*SUM(EXTERNE_POZICIE!$M$53:$M$64)*1.23)/EXTERNE_POZICIE!$B$53)),0)+IFERROR(SUM(#REF!)*'TCO TO BE- SW'!O$4/'TCO TO BE- SW'!$E$4,0)</f>
        <v>0</v>
      </c>
      <c r="P165" s="576">
        <f>IFERROR(IF((POZICIE_INTERNE!$B$52-12*('TCO TO BE- SW'!$D155-1))&gt;12,((P$4+'TCO TO BE - HW'!P$4)/($E$4+'TCO TO BE - HW'!$E$4)*SUM(POZICIE_INTERNE!$I$52:$I$63))/POZICIE_INTERNE!$B$52*12,IF((POZICIE_INTERNE!$B$52-12*('TCO TO BE- SW'!$D155-1))&lt;0,0,(POZICIE_INTERNE!$B$52-12*('TCO TO BE- SW'!$D155-1))*((P$4+'TCO TO BE - HW'!P$4)/($E$4+'TCO TO BE - HW'!$E$4)*SUM(POZICIE_INTERNE!$I$52:$I$63))/POZICIE_INTERNE!$B$52)),0)+IFERROR(IF((EXTERNE_POZICIE!$B$53-12*('TCO TO BE- SW'!$D155-1))&gt;12,((P$4+'TCO TO BE - HW'!P$4)/($E$4+'TCO TO BE - HW'!$E$4)*SUM(EXTERNE_POZICIE!$M$53:$M$64)*1.23)/EXTERNE_POZICIE!$B$41*12,IF((EXTERNE_POZICIE!$B$53-12*('TCO TO BE- SW'!$D155-1))&lt;0,0,(EXTERNE_POZICIE!$B$53-12*('TCO TO BE- SW'!$D155-1))*((P$4+'TCO TO BE - HW'!P$4)/($E$4+'TCO TO BE - HW'!$E$4)*SUM(EXTERNE_POZICIE!$M$53:$M$64)*1.23)/EXTERNE_POZICIE!$B$53)),0)+IFERROR(SUM(#REF!)*'TCO TO BE- SW'!P$4/'TCO TO BE- SW'!$E$4,0)</f>
        <v>0</v>
      </c>
      <c r="Q165" s="576">
        <f>IFERROR(IF((POZICIE_INTERNE!$B$52-12*('TCO TO BE- SW'!$D155-1))&gt;12,((Q$4+'TCO TO BE - HW'!Q$4)/($E$4+'TCO TO BE - HW'!$E$4)*SUM(POZICIE_INTERNE!$I$52:$I$63))/POZICIE_INTERNE!$B$52*12,IF((POZICIE_INTERNE!$B$52-12*('TCO TO BE- SW'!$D155-1))&lt;0,0,(POZICIE_INTERNE!$B$52-12*('TCO TO BE- SW'!$D155-1))*((Q$4+'TCO TO BE - HW'!Q$4)/($E$4+'TCO TO BE - HW'!$E$4)*SUM(POZICIE_INTERNE!$I$52:$I$63))/POZICIE_INTERNE!$B$52)),0)+IFERROR(IF((EXTERNE_POZICIE!$B$53-12*('TCO TO BE- SW'!$D155-1))&gt;12,((Q$4+'TCO TO BE - HW'!Q$4)/($E$4+'TCO TO BE - HW'!$E$4)*SUM(EXTERNE_POZICIE!$M$53:$M$64)*1.23)/EXTERNE_POZICIE!$B$41*12,IF((EXTERNE_POZICIE!$B$53-12*('TCO TO BE- SW'!$D155-1))&lt;0,0,(EXTERNE_POZICIE!$B$53-12*('TCO TO BE- SW'!$D155-1))*((Q$4+'TCO TO BE - HW'!Q$4)/($E$4+'TCO TO BE - HW'!$E$4)*SUM(EXTERNE_POZICIE!$M$53:$M$64)*1.23)/EXTERNE_POZICIE!$B$53)),0)+IFERROR(SUM(#REF!)*'TCO TO BE- SW'!Q$4/'TCO TO BE- SW'!$E$4,0)</f>
        <v>0</v>
      </c>
      <c r="R165" s="576">
        <f>IFERROR(IF((POZICIE_INTERNE!$B$52-12*('TCO TO BE- SW'!$D155-1))&gt;12,((R$4+'TCO TO BE - HW'!R$4)/($E$4+'TCO TO BE - HW'!$E$4)*SUM(POZICIE_INTERNE!$I$52:$I$63))/POZICIE_INTERNE!$B$52*12,IF((POZICIE_INTERNE!$B$52-12*('TCO TO BE- SW'!$D155-1))&lt;0,0,(POZICIE_INTERNE!$B$52-12*('TCO TO BE- SW'!$D155-1))*((R$4+'TCO TO BE - HW'!R$4)/($E$4+'TCO TO BE - HW'!$E$4)*SUM(POZICIE_INTERNE!$I$52:$I$63))/POZICIE_INTERNE!$B$52)),0)+IFERROR(IF((EXTERNE_POZICIE!$B$53-12*('TCO TO BE- SW'!$D155-1))&gt;12,((R$4+'TCO TO BE - HW'!R$4)/($E$4+'TCO TO BE - HW'!$E$4)*SUM(EXTERNE_POZICIE!$M$53:$M$64)*1.23)/EXTERNE_POZICIE!$B$41*12,IF((EXTERNE_POZICIE!$B$53-12*('TCO TO BE- SW'!$D155-1))&lt;0,0,(EXTERNE_POZICIE!$B$53-12*('TCO TO BE- SW'!$D155-1))*((R$4+'TCO TO BE - HW'!R$4)/($E$4+'TCO TO BE - HW'!$E$4)*SUM(EXTERNE_POZICIE!$M$53:$M$64)*1.23)/EXTERNE_POZICIE!$B$53)),0)+IFERROR(SUM(#REF!)*'TCO TO BE- SW'!R$4/'TCO TO BE- SW'!$E$4,0)</f>
        <v>0</v>
      </c>
      <c r="S165" s="576">
        <f>IFERROR(IF((POZICIE_INTERNE!$B$52-12*('TCO TO BE- SW'!$D155-1))&gt;12,((S$4+'TCO TO BE - HW'!S$4)/($E$4+'TCO TO BE - HW'!$E$4)*SUM(POZICIE_INTERNE!$I$52:$I$63))/POZICIE_INTERNE!$B$52*12,IF((POZICIE_INTERNE!$B$52-12*('TCO TO BE- SW'!$D155-1))&lt;0,0,(POZICIE_INTERNE!$B$52-12*('TCO TO BE- SW'!$D155-1))*((S$4+'TCO TO BE - HW'!S$4)/($E$4+'TCO TO BE - HW'!$E$4)*SUM(POZICIE_INTERNE!$I$52:$I$63))/POZICIE_INTERNE!$B$52)),0)+IFERROR(IF((EXTERNE_POZICIE!$B$53-12*('TCO TO BE- SW'!$D155-1))&gt;12,((S$4+'TCO TO BE - HW'!S$4)/($E$4+'TCO TO BE - HW'!$E$4)*SUM(EXTERNE_POZICIE!$M$53:$M$64)*1.23)/EXTERNE_POZICIE!$B$41*12,IF((EXTERNE_POZICIE!$B$53-12*('TCO TO BE- SW'!$D155-1))&lt;0,0,(EXTERNE_POZICIE!$B$53-12*('TCO TO BE- SW'!$D155-1))*((S$4+'TCO TO BE - HW'!S$4)/($E$4+'TCO TO BE - HW'!$E$4)*SUM(EXTERNE_POZICIE!$M$53:$M$64)*1.23)/EXTERNE_POZICIE!$B$53)),0)+IFERROR(SUM(#REF!)*'TCO TO BE- SW'!S$4/'TCO TO BE- SW'!$E$4,0)</f>
        <v>0</v>
      </c>
      <c r="T165" s="576">
        <f>IFERROR(IF((POZICIE_INTERNE!$B$52-12*('TCO TO BE- SW'!$D155-1))&gt;12,((T$4+'TCO TO BE - HW'!T$4)/($E$4+'TCO TO BE - HW'!$E$4)*SUM(POZICIE_INTERNE!$I$52:$I$63))/POZICIE_INTERNE!$B$52*12,IF((POZICIE_INTERNE!$B$52-12*('TCO TO BE- SW'!$D155-1))&lt;0,0,(POZICIE_INTERNE!$B$52-12*('TCO TO BE- SW'!$D155-1))*((T$4+'TCO TO BE - HW'!T$4)/($E$4+'TCO TO BE - HW'!$E$4)*SUM(POZICIE_INTERNE!$I$52:$I$63))/POZICIE_INTERNE!$B$52)),0)+IFERROR(IF((EXTERNE_POZICIE!$B$53-12*('TCO TO BE- SW'!$D155-1))&gt;12,((T$4+'TCO TO BE - HW'!T$4)/($E$4+'TCO TO BE - HW'!$E$4)*SUM(EXTERNE_POZICIE!$M$53:$M$64)*1.23)/EXTERNE_POZICIE!$B$41*12,IF((EXTERNE_POZICIE!$B$53-12*('TCO TO BE- SW'!$D155-1))&lt;0,0,(EXTERNE_POZICIE!$B$53-12*('TCO TO BE- SW'!$D155-1))*((T$4+'TCO TO BE - HW'!T$4)/($E$4+'TCO TO BE - HW'!$E$4)*SUM(EXTERNE_POZICIE!$M$53:$M$64)*1.23)/EXTERNE_POZICIE!$B$53)),0)+IFERROR(SUM(#REF!)*'TCO TO BE- SW'!T$4/'TCO TO BE- SW'!$E$4,0)</f>
        <v>0</v>
      </c>
      <c r="U165" s="576">
        <f>IFERROR(IF((POZICIE_INTERNE!$B$52-12*('TCO TO BE- SW'!$D155-1))&gt;12,((U$4+'TCO TO BE - HW'!U$4)/($E$4+'TCO TO BE - HW'!$E$4)*SUM(POZICIE_INTERNE!$I$52:$I$63))/POZICIE_INTERNE!$B$52*12,IF((POZICIE_INTERNE!$B$52-12*('TCO TO BE- SW'!$D155-1))&lt;0,0,(POZICIE_INTERNE!$B$52-12*('TCO TO BE- SW'!$D155-1))*((U$4+'TCO TO BE - HW'!U$4)/($E$4+'TCO TO BE - HW'!$E$4)*SUM(POZICIE_INTERNE!$I$52:$I$63))/POZICIE_INTERNE!$B$52)),0)+IFERROR(IF((EXTERNE_POZICIE!$B$53-12*('TCO TO BE- SW'!$D155-1))&gt;12,((U$4+'TCO TO BE - HW'!U$4)/($E$4+'TCO TO BE - HW'!$E$4)*SUM(EXTERNE_POZICIE!$M$53:$M$64)*1.23)/EXTERNE_POZICIE!$B$41*12,IF((EXTERNE_POZICIE!$B$53-12*('TCO TO BE- SW'!$D155-1))&lt;0,0,(EXTERNE_POZICIE!$B$53-12*('TCO TO BE- SW'!$D155-1))*((U$4+'TCO TO BE - HW'!U$4)/($E$4+'TCO TO BE - HW'!$E$4)*SUM(EXTERNE_POZICIE!$M$53:$M$64)*1.23)/EXTERNE_POZICIE!$B$53)),0)+IFERROR(SUM(#REF!)*'TCO TO BE- SW'!U$4/'TCO TO BE- SW'!$E$4,0)</f>
        <v>0</v>
      </c>
      <c r="V165" s="576">
        <f>IFERROR(IF((POZICIE_INTERNE!$B$52-12*('TCO TO BE- SW'!$D155-1))&gt;12,((V$4+'TCO TO BE - HW'!V$4)/($E$4+'TCO TO BE - HW'!$E$4)*SUM(POZICIE_INTERNE!$I$52:$I$63))/POZICIE_INTERNE!$B$52*12,IF((POZICIE_INTERNE!$B$52-12*('TCO TO BE- SW'!$D155-1))&lt;0,0,(POZICIE_INTERNE!$B$52-12*('TCO TO BE- SW'!$D155-1))*((V$4+'TCO TO BE - HW'!V$4)/($E$4+'TCO TO BE - HW'!$E$4)*SUM(POZICIE_INTERNE!$I$52:$I$63))/POZICIE_INTERNE!$B$52)),0)+IFERROR(IF((EXTERNE_POZICIE!$B$53-12*('TCO TO BE- SW'!$D155-1))&gt;12,((V$4+'TCO TO BE - HW'!V$4)/($E$4+'TCO TO BE - HW'!$E$4)*SUM(EXTERNE_POZICIE!$M$53:$M$64)*1.23)/EXTERNE_POZICIE!$B$41*12,IF((EXTERNE_POZICIE!$B$53-12*('TCO TO BE- SW'!$D155-1))&lt;0,0,(EXTERNE_POZICIE!$B$53-12*('TCO TO BE- SW'!$D155-1))*((V$4+'TCO TO BE - HW'!V$4)/($E$4+'TCO TO BE - HW'!$E$4)*SUM(EXTERNE_POZICIE!$M$53:$M$64)*1.23)/EXTERNE_POZICIE!$B$53)),0)+IFERROR(SUM(#REF!)*'TCO TO BE- SW'!V$4/'TCO TO BE- SW'!$E$4,0)</f>
        <v>0</v>
      </c>
      <c r="W165" s="576">
        <f>IFERROR(IF((POZICIE_INTERNE!$B$52-12*('TCO TO BE- SW'!$D155-1))&gt;12,((W$4+'TCO TO BE - HW'!W$4)/($E$4+'TCO TO BE - HW'!$E$4)*SUM(POZICIE_INTERNE!$I$52:$I$63))/POZICIE_INTERNE!$B$52*12,IF((POZICIE_INTERNE!$B$52-12*('TCO TO BE- SW'!$D155-1))&lt;0,0,(POZICIE_INTERNE!$B$52-12*('TCO TO BE- SW'!$D155-1))*((W$4+'TCO TO BE - HW'!W$4)/($E$4+'TCO TO BE - HW'!$E$4)*SUM(POZICIE_INTERNE!$I$52:$I$63))/POZICIE_INTERNE!$B$52)),0)+IFERROR(IF((EXTERNE_POZICIE!$B$53-12*('TCO TO BE- SW'!$D155-1))&gt;12,((W$4+'TCO TO BE - HW'!W$4)/($E$4+'TCO TO BE - HW'!$E$4)*SUM(EXTERNE_POZICIE!$M$53:$M$64)*1.23)/EXTERNE_POZICIE!$B$41*12,IF((EXTERNE_POZICIE!$B$53-12*('TCO TO BE- SW'!$D155-1))&lt;0,0,(EXTERNE_POZICIE!$B$53-12*('TCO TO BE- SW'!$D155-1))*((W$4+'TCO TO BE - HW'!W$4)/($E$4+'TCO TO BE - HW'!$E$4)*SUM(EXTERNE_POZICIE!$M$53:$M$64)*1.23)/EXTERNE_POZICIE!$B$53)),0)+IFERROR(SUM(#REF!)*'TCO TO BE- SW'!W$4/'TCO TO BE- SW'!$E$4,0)</f>
        <v>0</v>
      </c>
      <c r="X165" s="576">
        <f>IFERROR(IF((POZICIE_INTERNE!$B$52-12*('TCO TO BE- SW'!$D155-1))&gt;12,((X$4+'TCO TO BE - HW'!X$4)/($E$4+'TCO TO BE - HW'!$E$4)*SUM(POZICIE_INTERNE!$I$52:$I$63))/POZICIE_INTERNE!$B$52*12,IF((POZICIE_INTERNE!$B$52-12*('TCO TO BE- SW'!$D155-1))&lt;0,0,(POZICIE_INTERNE!$B$52-12*('TCO TO BE- SW'!$D155-1))*((X$4+'TCO TO BE - HW'!X$4)/($E$4+'TCO TO BE - HW'!$E$4)*SUM(POZICIE_INTERNE!$I$52:$I$63))/POZICIE_INTERNE!$B$52)),0)+IFERROR(IF((EXTERNE_POZICIE!$B$53-12*('TCO TO BE- SW'!$D155-1))&gt;12,((X$4+'TCO TO BE - HW'!X$4)/($E$4+'TCO TO BE - HW'!$E$4)*SUM(EXTERNE_POZICIE!$M$53:$M$64)*1.23)/EXTERNE_POZICIE!$B$41*12,IF((EXTERNE_POZICIE!$B$53-12*('TCO TO BE- SW'!$D155-1))&lt;0,0,(EXTERNE_POZICIE!$B$53-12*('TCO TO BE- SW'!$D155-1))*((X$4+'TCO TO BE - HW'!X$4)/($E$4+'TCO TO BE - HW'!$E$4)*SUM(EXTERNE_POZICIE!$M$53:$M$64)*1.23)/EXTERNE_POZICIE!$B$53)),0)+IFERROR(SUM(#REF!)*'TCO TO BE- SW'!X$4/'TCO TO BE- SW'!$E$4,0)</f>
        <v>0</v>
      </c>
      <c r="Y165" s="576">
        <f>IFERROR(IF((POZICIE_INTERNE!$B$52-12*('TCO TO BE- SW'!$D155-1))&gt;12,((Y$4+'TCO TO BE - HW'!Y$4)/($E$4+'TCO TO BE - HW'!$E$4)*SUM(POZICIE_INTERNE!$I$52:$I$63))/POZICIE_INTERNE!$B$52*12,IF((POZICIE_INTERNE!$B$52-12*('TCO TO BE- SW'!$D155-1))&lt;0,0,(POZICIE_INTERNE!$B$52-12*('TCO TO BE- SW'!$D155-1))*((Y$4+'TCO TO BE - HW'!Y$4)/($E$4+'TCO TO BE - HW'!$E$4)*SUM(POZICIE_INTERNE!$I$52:$I$63))/POZICIE_INTERNE!$B$52)),0)+IFERROR(IF((EXTERNE_POZICIE!$B$53-12*('TCO TO BE- SW'!$D155-1))&gt;12,((Y$4+'TCO TO BE - HW'!Y$4)/($E$4+'TCO TO BE - HW'!$E$4)*SUM(EXTERNE_POZICIE!$M$53:$M$64)*1.23)/EXTERNE_POZICIE!$B$41*12,IF((EXTERNE_POZICIE!$B$53-12*('TCO TO BE- SW'!$D155-1))&lt;0,0,(EXTERNE_POZICIE!$B$53-12*('TCO TO BE- SW'!$D155-1))*((Y$4+'TCO TO BE - HW'!Y$4)/($E$4+'TCO TO BE - HW'!$E$4)*SUM(EXTERNE_POZICIE!$M$53:$M$64)*1.23)/EXTERNE_POZICIE!$B$53)),0)+IFERROR(SUM(#REF!)*'TCO TO BE- SW'!Y$4/'TCO TO BE- SW'!$E$4,0)</f>
        <v>0</v>
      </c>
      <c r="Z165" s="576">
        <f>IFERROR(IF((POZICIE_INTERNE!$B$52-12*('TCO TO BE- SW'!$D155-1))&gt;12,((Z$4+'TCO TO BE - HW'!Z$4)/($E$4+'TCO TO BE - HW'!$E$4)*SUM(POZICIE_INTERNE!$I$52:$I$63))/POZICIE_INTERNE!$B$52*12,IF((POZICIE_INTERNE!$B$52-12*('TCO TO BE- SW'!$D155-1))&lt;0,0,(POZICIE_INTERNE!$B$52-12*('TCO TO BE- SW'!$D155-1))*((Z$4+'TCO TO BE - HW'!Z$4)/($E$4+'TCO TO BE - HW'!$E$4)*SUM(POZICIE_INTERNE!$I$52:$I$63))/POZICIE_INTERNE!$B$52)),0)+IFERROR(IF((EXTERNE_POZICIE!$B$53-12*('TCO TO BE- SW'!$D155-1))&gt;12,((Z$4+'TCO TO BE - HW'!Z$4)/($E$4+'TCO TO BE - HW'!$E$4)*SUM(EXTERNE_POZICIE!$M$53:$M$64)*1.23)/EXTERNE_POZICIE!$B$41*12,IF((EXTERNE_POZICIE!$B$53-12*('TCO TO BE- SW'!$D155-1))&lt;0,0,(EXTERNE_POZICIE!$B$53-12*('TCO TO BE- SW'!$D155-1))*((Z$4+'TCO TO BE - HW'!Z$4)/($E$4+'TCO TO BE - HW'!$E$4)*SUM(EXTERNE_POZICIE!$M$53:$M$64)*1.23)/EXTERNE_POZICIE!$B$53)),0)+IFERROR(SUM(#REF!)*'TCO TO BE- SW'!Z$4/'TCO TO BE- SW'!$E$4,0)</f>
        <v>0</v>
      </c>
    </row>
    <row r="166" spans="1:26">
      <c r="A166" s="841"/>
      <c r="B166" s="842"/>
      <c r="C166" s="842"/>
      <c r="D166" s="64">
        <v>6</v>
      </c>
      <c r="E166" s="68">
        <f t="shared" si="16"/>
        <v>0</v>
      </c>
      <c r="F166" s="576">
        <f>IFERROR(IF((POZICIE_INTERNE!$B$52-12*('TCO TO BE- SW'!$D156-1))&gt;12,((F$4+'TCO TO BE - HW'!F$4)/($E$4+'TCO TO BE - HW'!$E$4)*SUM(POZICIE_INTERNE!$I$52:$I$63))/POZICIE_INTERNE!$B$52*12,IF((POZICIE_INTERNE!$B$52-12*('TCO TO BE- SW'!$D156-1))&lt;0,0,(POZICIE_INTERNE!$B$52-12*('TCO TO BE- SW'!$D156-1))*((F$4+'TCO TO BE - HW'!F$4)/($E$4+'TCO TO BE - HW'!$E$4)*SUM(POZICIE_INTERNE!$I$52:$I$63))/POZICIE_INTERNE!$B$52)),0)+IFERROR(IF((EXTERNE_POZICIE!$B$53-12*('TCO TO BE- SW'!$D156-1))&gt;12,((F$4+'TCO TO BE - HW'!F$4)/($E$4+'TCO TO BE - HW'!$E$4)*SUM(EXTERNE_POZICIE!$M$53:$M$64)*1.23)/EXTERNE_POZICIE!$B$41*12,IF((EXTERNE_POZICIE!$B$53-12*('TCO TO BE- SW'!$D156-1))&lt;0,0,(EXTERNE_POZICIE!$B$53-12*('TCO TO BE- SW'!$D156-1))*((F$4+'TCO TO BE - HW'!F$4)/($E$4+'TCO TO BE - HW'!$E$4)*SUM(EXTERNE_POZICIE!$M$53:$M$64)*1.23)/EXTERNE_POZICIE!$B$53)),0)+IFERROR(SUM(#REF!)*'TCO TO BE- SW'!F$4/'TCO TO BE- SW'!$E$4,0)</f>
        <v>0</v>
      </c>
      <c r="G166" s="576">
        <f>IFERROR(IF((POZICIE_INTERNE!$B$52-12*('TCO TO BE- SW'!$D156-1))&gt;12,((G$4+'TCO TO BE - HW'!G$4)/($E$4+'TCO TO BE - HW'!$E$4)*SUM(POZICIE_INTERNE!$I$52:$I$63))/POZICIE_INTERNE!$B$52*12,IF((POZICIE_INTERNE!$B$52-12*('TCO TO BE- SW'!$D156-1))&lt;0,0,(POZICIE_INTERNE!$B$52-12*('TCO TO BE- SW'!$D156-1))*((G$4+'TCO TO BE - HW'!G$4)/($E$4+'TCO TO BE - HW'!$E$4)*SUM(POZICIE_INTERNE!$I$52:$I$63))/POZICIE_INTERNE!$B$52)),0)+IFERROR(IF((EXTERNE_POZICIE!$B$53-12*('TCO TO BE- SW'!$D156-1))&gt;12,((G$4+'TCO TO BE - HW'!G$4)/($E$4+'TCO TO BE - HW'!$E$4)*SUM(EXTERNE_POZICIE!$M$53:$M$64)*1.23)/EXTERNE_POZICIE!$B$41*12,IF((EXTERNE_POZICIE!$B$53-12*('TCO TO BE- SW'!$D156-1))&lt;0,0,(EXTERNE_POZICIE!$B$53-12*('TCO TO BE- SW'!$D156-1))*((G$4+'TCO TO BE - HW'!G$4)/($E$4+'TCO TO BE - HW'!$E$4)*SUM(EXTERNE_POZICIE!$M$53:$M$64)*1.23)/EXTERNE_POZICIE!$B$53)),0)+IFERROR(SUM(#REF!)*'TCO TO BE- SW'!G$4/'TCO TO BE- SW'!$E$4,0)</f>
        <v>0</v>
      </c>
      <c r="H166" s="576">
        <f>IFERROR(IF((POZICIE_INTERNE!$B$52-12*('TCO TO BE- SW'!$D156-1))&gt;12,((H$4+'TCO TO BE - HW'!H$4)/($E$4+'TCO TO BE - HW'!$E$4)*SUM(POZICIE_INTERNE!$I$52:$I$63))/POZICIE_INTERNE!$B$52*12,IF((POZICIE_INTERNE!$B$52-12*('TCO TO BE- SW'!$D156-1))&lt;0,0,(POZICIE_INTERNE!$B$52-12*('TCO TO BE- SW'!$D156-1))*((H$4+'TCO TO BE - HW'!H$4)/($E$4+'TCO TO BE - HW'!$E$4)*SUM(POZICIE_INTERNE!$I$52:$I$63))/POZICIE_INTERNE!$B$52)),0)+IFERROR(IF((EXTERNE_POZICIE!$B$53-12*('TCO TO BE- SW'!$D156-1))&gt;12,((H$4+'TCO TO BE - HW'!H$4)/($E$4+'TCO TO BE - HW'!$E$4)*SUM(EXTERNE_POZICIE!$M$53:$M$64)*1.23)/EXTERNE_POZICIE!$B$41*12,IF((EXTERNE_POZICIE!$B$53-12*('TCO TO BE- SW'!$D156-1))&lt;0,0,(EXTERNE_POZICIE!$B$53-12*('TCO TO BE- SW'!$D156-1))*((H$4+'TCO TO BE - HW'!H$4)/($E$4+'TCO TO BE - HW'!$E$4)*SUM(EXTERNE_POZICIE!$M$53:$M$64)*1.23)/EXTERNE_POZICIE!$B$53)),0)+IFERROR(SUM(#REF!)*'TCO TO BE- SW'!H$4/'TCO TO BE- SW'!$E$4,0)</f>
        <v>0</v>
      </c>
      <c r="I166" s="576">
        <f>IFERROR(IF((POZICIE_INTERNE!$B$52-12*('TCO TO BE- SW'!$D156-1))&gt;12,((I$4+'TCO TO BE - HW'!I$4)/($E$4+'TCO TO BE - HW'!$E$4)*SUM(POZICIE_INTERNE!$I$52:$I$63))/POZICIE_INTERNE!$B$52*12,IF((POZICIE_INTERNE!$B$52-12*('TCO TO BE- SW'!$D156-1))&lt;0,0,(POZICIE_INTERNE!$B$52-12*('TCO TO BE- SW'!$D156-1))*((I$4+'TCO TO BE - HW'!I$4)/($E$4+'TCO TO BE - HW'!$E$4)*SUM(POZICIE_INTERNE!$I$52:$I$63))/POZICIE_INTERNE!$B$52)),0)+IFERROR(IF((EXTERNE_POZICIE!$B$53-12*('TCO TO BE- SW'!$D156-1))&gt;12,((I$4+'TCO TO BE - HW'!I$4)/($E$4+'TCO TO BE - HW'!$E$4)*SUM(EXTERNE_POZICIE!$M$53:$M$64)*1.23)/EXTERNE_POZICIE!$B$41*12,IF((EXTERNE_POZICIE!$B$53-12*('TCO TO BE- SW'!$D156-1))&lt;0,0,(EXTERNE_POZICIE!$B$53-12*('TCO TO BE- SW'!$D156-1))*((I$4+'TCO TO BE - HW'!I$4)/($E$4+'TCO TO BE - HW'!$E$4)*SUM(EXTERNE_POZICIE!$M$53:$M$64)*1.23)/EXTERNE_POZICIE!$B$53)),0)+IFERROR(SUM(#REF!)*'TCO TO BE- SW'!I$4/'TCO TO BE- SW'!$E$4,0)</f>
        <v>0</v>
      </c>
      <c r="J166" s="576">
        <f>IFERROR(IF((POZICIE_INTERNE!$B$52-12*('TCO TO BE- SW'!$D156-1))&gt;12,((J$4+'TCO TO BE - HW'!J$4)/($E$4+'TCO TO BE - HW'!$E$4)*SUM(POZICIE_INTERNE!$I$52:$I$63))/POZICIE_INTERNE!$B$52*12,IF((POZICIE_INTERNE!$B$52-12*('TCO TO BE- SW'!$D156-1))&lt;0,0,(POZICIE_INTERNE!$B$52-12*('TCO TO BE- SW'!$D156-1))*((J$4+'TCO TO BE - HW'!J$4)/($E$4+'TCO TO BE - HW'!$E$4)*SUM(POZICIE_INTERNE!$I$52:$I$63))/POZICIE_INTERNE!$B$52)),0)+IFERROR(IF((EXTERNE_POZICIE!$B$53-12*('TCO TO BE- SW'!$D156-1))&gt;12,((J$4+'TCO TO BE - HW'!J$4)/($E$4+'TCO TO BE - HW'!$E$4)*SUM(EXTERNE_POZICIE!$M$53:$M$64)*1.23)/EXTERNE_POZICIE!$B$41*12,IF((EXTERNE_POZICIE!$B$53-12*('TCO TO BE- SW'!$D156-1))&lt;0,0,(EXTERNE_POZICIE!$B$53-12*('TCO TO BE- SW'!$D156-1))*((J$4+'TCO TO BE - HW'!J$4)/($E$4+'TCO TO BE - HW'!$E$4)*SUM(EXTERNE_POZICIE!$M$53:$M$64)*1.23)/EXTERNE_POZICIE!$B$53)),0)+IFERROR(SUM(#REF!)*'TCO TO BE- SW'!J$4/'TCO TO BE- SW'!$E$4,0)</f>
        <v>0</v>
      </c>
      <c r="K166" s="576">
        <f>IFERROR(IF((POZICIE_INTERNE!$B$52-12*('TCO TO BE- SW'!$D156-1))&gt;12,((K$4+'TCO TO BE - HW'!K$4)/($E$4+'TCO TO BE - HW'!$E$4)*SUM(POZICIE_INTERNE!$I$52:$I$63))/POZICIE_INTERNE!$B$52*12,IF((POZICIE_INTERNE!$B$52-12*('TCO TO BE- SW'!$D156-1))&lt;0,0,(POZICIE_INTERNE!$B$52-12*('TCO TO BE- SW'!$D156-1))*((K$4+'TCO TO BE - HW'!K$4)/($E$4+'TCO TO BE - HW'!$E$4)*SUM(POZICIE_INTERNE!$I$52:$I$63))/POZICIE_INTERNE!$B$52)),0)+IFERROR(IF((EXTERNE_POZICIE!$B$53-12*('TCO TO BE- SW'!$D156-1))&gt;12,((K$4+'TCO TO BE - HW'!K$4)/($E$4+'TCO TO BE - HW'!$E$4)*SUM(EXTERNE_POZICIE!$M$53:$M$64)*1.23)/EXTERNE_POZICIE!$B$41*12,IF((EXTERNE_POZICIE!$B$53-12*('TCO TO BE- SW'!$D156-1))&lt;0,0,(EXTERNE_POZICIE!$B$53-12*('TCO TO BE- SW'!$D156-1))*((K$4+'TCO TO BE - HW'!K$4)/($E$4+'TCO TO BE - HW'!$E$4)*SUM(EXTERNE_POZICIE!$M$53:$M$64)*1.23)/EXTERNE_POZICIE!$B$53)),0)+IFERROR(SUM(#REF!)*'TCO TO BE- SW'!K$4/'TCO TO BE- SW'!$E$4,0)</f>
        <v>0</v>
      </c>
      <c r="L166" s="576">
        <f>IFERROR(IF((POZICIE_INTERNE!$B$52-12*('TCO TO BE- SW'!$D156-1))&gt;12,((L$4+'TCO TO BE - HW'!L$4)/($E$4+'TCO TO BE - HW'!$E$4)*SUM(POZICIE_INTERNE!$I$52:$I$63))/POZICIE_INTERNE!$B$52*12,IF((POZICIE_INTERNE!$B$52-12*('TCO TO BE- SW'!$D156-1))&lt;0,0,(POZICIE_INTERNE!$B$52-12*('TCO TO BE- SW'!$D156-1))*((L$4+'TCO TO BE - HW'!L$4)/($E$4+'TCO TO BE - HW'!$E$4)*SUM(POZICIE_INTERNE!$I$52:$I$63))/POZICIE_INTERNE!$B$52)),0)+IFERROR(IF((EXTERNE_POZICIE!$B$53-12*('TCO TO BE- SW'!$D156-1))&gt;12,((L$4+'TCO TO BE - HW'!L$4)/($E$4+'TCO TO BE - HW'!$E$4)*SUM(EXTERNE_POZICIE!$M$53:$M$64)*1.23)/EXTERNE_POZICIE!$B$41*12,IF((EXTERNE_POZICIE!$B$53-12*('TCO TO BE- SW'!$D156-1))&lt;0,0,(EXTERNE_POZICIE!$B$53-12*('TCO TO BE- SW'!$D156-1))*((L$4+'TCO TO BE - HW'!L$4)/($E$4+'TCO TO BE - HW'!$E$4)*SUM(EXTERNE_POZICIE!$M$53:$M$64)*1.23)/EXTERNE_POZICIE!$B$53)),0)+IFERROR(SUM(#REF!)*'TCO TO BE- SW'!L$4/'TCO TO BE- SW'!$E$4,0)</f>
        <v>0</v>
      </c>
      <c r="M166" s="576">
        <f>IFERROR(IF((POZICIE_INTERNE!$B$52-12*('TCO TO BE- SW'!$D156-1))&gt;12,((M$4+'TCO TO BE - HW'!M$4)/($E$4+'TCO TO BE - HW'!$E$4)*SUM(POZICIE_INTERNE!$I$52:$I$63))/POZICIE_INTERNE!$B$52*12,IF((POZICIE_INTERNE!$B$52-12*('TCO TO BE- SW'!$D156-1))&lt;0,0,(POZICIE_INTERNE!$B$52-12*('TCO TO BE- SW'!$D156-1))*((M$4+'TCO TO BE - HW'!M$4)/($E$4+'TCO TO BE - HW'!$E$4)*SUM(POZICIE_INTERNE!$I$52:$I$63))/POZICIE_INTERNE!$B$52)),0)+IFERROR(IF((EXTERNE_POZICIE!$B$53-12*('TCO TO BE- SW'!$D156-1))&gt;12,((M$4+'TCO TO BE - HW'!M$4)/($E$4+'TCO TO BE - HW'!$E$4)*SUM(EXTERNE_POZICIE!$M$53:$M$64)*1.23)/EXTERNE_POZICIE!$B$41*12,IF((EXTERNE_POZICIE!$B$53-12*('TCO TO BE- SW'!$D156-1))&lt;0,0,(EXTERNE_POZICIE!$B$53-12*('TCO TO BE- SW'!$D156-1))*((M$4+'TCO TO BE - HW'!M$4)/($E$4+'TCO TO BE - HW'!$E$4)*SUM(EXTERNE_POZICIE!$M$53:$M$64)*1.23)/EXTERNE_POZICIE!$B$53)),0)+IFERROR(SUM(#REF!)*'TCO TO BE- SW'!M$4/'TCO TO BE- SW'!$E$4,0)</f>
        <v>0</v>
      </c>
      <c r="N166" s="576">
        <f>IFERROR(IF((POZICIE_INTERNE!$B$52-12*('TCO TO BE- SW'!$D156-1))&gt;12,((N$4+'TCO TO BE - HW'!N$4)/($E$4+'TCO TO BE - HW'!$E$4)*SUM(POZICIE_INTERNE!$I$52:$I$63))/POZICIE_INTERNE!$B$52*12,IF((POZICIE_INTERNE!$B$52-12*('TCO TO BE- SW'!$D156-1))&lt;0,0,(POZICIE_INTERNE!$B$52-12*('TCO TO BE- SW'!$D156-1))*((N$4+'TCO TO BE - HW'!N$4)/($E$4+'TCO TO BE - HW'!$E$4)*SUM(POZICIE_INTERNE!$I$52:$I$63))/POZICIE_INTERNE!$B$52)),0)+IFERROR(IF((EXTERNE_POZICIE!$B$53-12*('TCO TO BE- SW'!$D156-1))&gt;12,((N$4+'TCO TO BE - HW'!N$4)/($E$4+'TCO TO BE - HW'!$E$4)*SUM(EXTERNE_POZICIE!$M$53:$M$64)*1.23)/EXTERNE_POZICIE!$B$41*12,IF((EXTERNE_POZICIE!$B$53-12*('TCO TO BE- SW'!$D156-1))&lt;0,0,(EXTERNE_POZICIE!$B$53-12*('TCO TO BE- SW'!$D156-1))*((N$4+'TCO TO BE - HW'!N$4)/($E$4+'TCO TO BE - HW'!$E$4)*SUM(EXTERNE_POZICIE!$M$53:$M$64)*1.23)/EXTERNE_POZICIE!$B$53)),0)+IFERROR(SUM(#REF!)*'TCO TO BE- SW'!N$4/'TCO TO BE- SW'!$E$4,0)</f>
        <v>0</v>
      </c>
      <c r="O166" s="576">
        <f>IFERROR(IF((POZICIE_INTERNE!$B$52-12*('TCO TO BE- SW'!$D156-1))&gt;12,((O$4+'TCO TO BE - HW'!O$4)/($E$4+'TCO TO BE - HW'!$E$4)*SUM(POZICIE_INTERNE!$I$52:$I$63))/POZICIE_INTERNE!$B$52*12,IF((POZICIE_INTERNE!$B$52-12*('TCO TO BE- SW'!$D156-1))&lt;0,0,(POZICIE_INTERNE!$B$52-12*('TCO TO BE- SW'!$D156-1))*((O$4+'TCO TO BE - HW'!O$4)/($E$4+'TCO TO BE - HW'!$E$4)*SUM(POZICIE_INTERNE!$I$52:$I$63))/POZICIE_INTERNE!$B$52)),0)+IFERROR(IF((EXTERNE_POZICIE!$B$53-12*('TCO TO BE- SW'!$D156-1))&gt;12,((O$4+'TCO TO BE - HW'!O$4)/($E$4+'TCO TO BE - HW'!$E$4)*SUM(EXTERNE_POZICIE!$M$53:$M$64)*1.23)/EXTERNE_POZICIE!$B$41*12,IF((EXTERNE_POZICIE!$B$53-12*('TCO TO BE- SW'!$D156-1))&lt;0,0,(EXTERNE_POZICIE!$B$53-12*('TCO TO BE- SW'!$D156-1))*((O$4+'TCO TO BE - HW'!O$4)/($E$4+'TCO TO BE - HW'!$E$4)*SUM(EXTERNE_POZICIE!$M$53:$M$64)*1.23)/EXTERNE_POZICIE!$B$53)),0)+IFERROR(SUM(#REF!)*'TCO TO BE- SW'!O$4/'TCO TO BE- SW'!$E$4,0)</f>
        <v>0</v>
      </c>
      <c r="P166" s="576">
        <f>IFERROR(IF((POZICIE_INTERNE!$B$52-12*('TCO TO BE- SW'!$D156-1))&gt;12,((P$4+'TCO TO BE - HW'!P$4)/($E$4+'TCO TO BE - HW'!$E$4)*SUM(POZICIE_INTERNE!$I$52:$I$63))/POZICIE_INTERNE!$B$52*12,IF((POZICIE_INTERNE!$B$52-12*('TCO TO BE- SW'!$D156-1))&lt;0,0,(POZICIE_INTERNE!$B$52-12*('TCO TO BE- SW'!$D156-1))*((P$4+'TCO TO BE - HW'!P$4)/($E$4+'TCO TO BE - HW'!$E$4)*SUM(POZICIE_INTERNE!$I$52:$I$63))/POZICIE_INTERNE!$B$52)),0)+IFERROR(IF((EXTERNE_POZICIE!$B$53-12*('TCO TO BE- SW'!$D156-1))&gt;12,((P$4+'TCO TO BE - HW'!P$4)/($E$4+'TCO TO BE - HW'!$E$4)*SUM(EXTERNE_POZICIE!$M$53:$M$64)*1.23)/EXTERNE_POZICIE!$B$41*12,IF((EXTERNE_POZICIE!$B$53-12*('TCO TO BE- SW'!$D156-1))&lt;0,0,(EXTERNE_POZICIE!$B$53-12*('TCO TO BE- SW'!$D156-1))*((P$4+'TCO TO BE - HW'!P$4)/($E$4+'TCO TO BE - HW'!$E$4)*SUM(EXTERNE_POZICIE!$M$53:$M$64)*1.23)/EXTERNE_POZICIE!$B$53)),0)+IFERROR(SUM(#REF!)*'TCO TO BE- SW'!P$4/'TCO TO BE- SW'!$E$4,0)</f>
        <v>0</v>
      </c>
      <c r="Q166" s="576">
        <f>IFERROR(IF((POZICIE_INTERNE!$B$52-12*('TCO TO BE- SW'!$D156-1))&gt;12,((Q$4+'TCO TO BE - HW'!Q$4)/($E$4+'TCO TO BE - HW'!$E$4)*SUM(POZICIE_INTERNE!$I$52:$I$63))/POZICIE_INTERNE!$B$52*12,IF((POZICIE_INTERNE!$B$52-12*('TCO TO BE- SW'!$D156-1))&lt;0,0,(POZICIE_INTERNE!$B$52-12*('TCO TO BE- SW'!$D156-1))*((Q$4+'TCO TO BE - HW'!Q$4)/($E$4+'TCO TO BE - HW'!$E$4)*SUM(POZICIE_INTERNE!$I$52:$I$63))/POZICIE_INTERNE!$B$52)),0)+IFERROR(IF((EXTERNE_POZICIE!$B$53-12*('TCO TO BE- SW'!$D156-1))&gt;12,((Q$4+'TCO TO BE - HW'!Q$4)/($E$4+'TCO TO BE - HW'!$E$4)*SUM(EXTERNE_POZICIE!$M$53:$M$64)*1.23)/EXTERNE_POZICIE!$B$41*12,IF((EXTERNE_POZICIE!$B$53-12*('TCO TO BE- SW'!$D156-1))&lt;0,0,(EXTERNE_POZICIE!$B$53-12*('TCO TO BE- SW'!$D156-1))*((Q$4+'TCO TO BE - HW'!Q$4)/($E$4+'TCO TO BE - HW'!$E$4)*SUM(EXTERNE_POZICIE!$M$53:$M$64)*1.23)/EXTERNE_POZICIE!$B$53)),0)+IFERROR(SUM(#REF!)*'TCO TO BE- SW'!Q$4/'TCO TO BE- SW'!$E$4,0)</f>
        <v>0</v>
      </c>
      <c r="R166" s="576">
        <f>IFERROR(IF((POZICIE_INTERNE!$B$52-12*('TCO TO BE- SW'!$D156-1))&gt;12,((R$4+'TCO TO BE - HW'!R$4)/($E$4+'TCO TO BE - HW'!$E$4)*SUM(POZICIE_INTERNE!$I$52:$I$63))/POZICIE_INTERNE!$B$52*12,IF((POZICIE_INTERNE!$B$52-12*('TCO TO BE- SW'!$D156-1))&lt;0,0,(POZICIE_INTERNE!$B$52-12*('TCO TO BE- SW'!$D156-1))*((R$4+'TCO TO BE - HW'!R$4)/($E$4+'TCO TO BE - HW'!$E$4)*SUM(POZICIE_INTERNE!$I$52:$I$63))/POZICIE_INTERNE!$B$52)),0)+IFERROR(IF((EXTERNE_POZICIE!$B$53-12*('TCO TO BE- SW'!$D156-1))&gt;12,((R$4+'TCO TO BE - HW'!R$4)/($E$4+'TCO TO BE - HW'!$E$4)*SUM(EXTERNE_POZICIE!$M$53:$M$64)*1.23)/EXTERNE_POZICIE!$B$41*12,IF((EXTERNE_POZICIE!$B$53-12*('TCO TO BE- SW'!$D156-1))&lt;0,0,(EXTERNE_POZICIE!$B$53-12*('TCO TO BE- SW'!$D156-1))*((R$4+'TCO TO BE - HW'!R$4)/($E$4+'TCO TO BE - HW'!$E$4)*SUM(EXTERNE_POZICIE!$M$53:$M$64)*1.23)/EXTERNE_POZICIE!$B$53)),0)+IFERROR(SUM(#REF!)*'TCO TO BE- SW'!R$4/'TCO TO BE- SW'!$E$4,0)</f>
        <v>0</v>
      </c>
      <c r="S166" s="576">
        <f>IFERROR(IF((POZICIE_INTERNE!$B$52-12*('TCO TO BE- SW'!$D156-1))&gt;12,((S$4+'TCO TO BE - HW'!S$4)/($E$4+'TCO TO BE - HW'!$E$4)*SUM(POZICIE_INTERNE!$I$52:$I$63))/POZICIE_INTERNE!$B$52*12,IF((POZICIE_INTERNE!$B$52-12*('TCO TO BE- SW'!$D156-1))&lt;0,0,(POZICIE_INTERNE!$B$52-12*('TCO TO BE- SW'!$D156-1))*((S$4+'TCO TO BE - HW'!S$4)/($E$4+'TCO TO BE - HW'!$E$4)*SUM(POZICIE_INTERNE!$I$52:$I$63))/POZICIE_INTERNE!$B$52)),0)+IFERROR(IF((EXTERNE_POZICIE!$B$53-12*('TCO TO BE- SW'!$D156-1))&gt;12,((S$4+'TCO TO BE - HW'!S$4)/($E$4+'TCO TO BE - HW'!$E$4)*SUM(EXTERNE_POZICIE!$M$53:$M$64)*1.23)/EXTERNE_POZICIE!$B$41*12,IF((EXTERNE_POZICIE!$B$53-12*('TCO TO BE- SW'!$D156-1))&lt;0,0,(EXTERNE_POZICIE!$B$53-12*('TCO TO BE- SW'!$D156-1))*((S$4+'TCO TO BE - HW'!S$4)/($E$4+'TCO TO BE - HW'!$E$4)*SUM(EXTERNE_POZICIE!$M$53:$M$64)*1.23)/EXTERNE_POZICIE!$B$53)),0)+IFERROR(SUM(#REF!)*'TCO TO BE- SW'!S$4/'TCO TO BE- SW'!$E$4,0)</f>
        <v>0</v>
      </c>
      <c r="T166" s="576">
        <f>IFERROR(IF((POZICIE_INTERNE!$B$52-12*('TCO TO BE- SW'!$D156-1))&gt;12,((T$4+'TCO TO BE - HW'!T$4)/($E$4+'TCO TO BE - HW'!$E$4)*SUM(POZICIE_INTERNE!$I$52:$I$63))/POZICIE_INTERNE!$B$52*12,IF((POZICIE_INTERNE!$B$52-12*('TCO TO BE- SW'!$D156-1))&lt;0,0,(POZICIE_INTERNE!$B$52-12*('TCO TO BE- SW'!$D156-1))*((T$4+'TCO TO BE - HW'!T$4)/($E$4+'TCO TO BE - HW'!$E$4)*SUM(POZICIE_INTERNE!$I$52:$I$63))/POZICIE_INTERNE!$B$52)),0)+IFERROR(IF((EXTERNE_POZICIE!$B$53-12*('TCO TO BE- SW'!$D156-1))&gt;12,((T$4+'TCO TO BE - HW'!T$4)/($E$4+'TCO TO BE - HW'!$E$4)*SUM(EXTERNE_POZICIE!$M$53:$M$64)*1.23)/EXTERNE_POZICIE!$B$41*12,IF((EXTERNE_POZICIE!$B$53-12*('TCO TO BE- SW'!$D156-1))&lt;0,0,(EXTERNE_POZICIE!$B$53-12*('TCO TO BE- SW'!$D156-1))*((T$4+'TCO TO BE - HW'!T$4)/($E$4+'TCO TO BE - HW'!$E$4)*SUM(EXTERNE_POZICIE!$M$53:$M$64)*1.23)/EXTERNE_POZICIE!$B$53)),0)+IFERROR(SUM(#REF!)*'TCO TO BE- SW'!T$4/'TCO TO BE- SW'!$E$4,0)</f>
        <v>0</v>
      </c>
      <c r="U166" s="576">
        <f>IFERROR(IF((POZICIE_INTERNE!$B$52-12*('TCO TO BE- SW'!$D156-1))&gt;12,((U$4+'TCO TO BE - HW'!U$4)/($E$4+'TCO TO BE - HW'!$E$4)*SUM(POZICIE_INTERNE!$I$52:$I$63))/POZICIE_INTERNE!$B$52*12,IF((POZICIE_INTERNE!$B$52-12*('TCO TO BE- SW'!$D156-1))&lt;0,0,(POZICIE_INTERNE!$B$52-12*('TCO TO BE- SW'!$D156-1))*((U$4+'TCO TO BE - HW'!U$4)/($E$4+'TCO TO BE - HW'!$E$4)*SUM(POZICIE_INTERNE!$I$52:$I$63))/POZICIE_INTERNE!$B$52)),0)+IFERROR(IF((EXTERNE_POZICIE!$B$53-12*('TCO TO BE- SW'!$D156-1))&gt;12,((U$4+'TCO TO BE - HW'!U$4)/($E$4+'TCO TO BE - HW'!$E$4)*SUM(EXTERNE_POZICIE!$M$53:$M$64)*1.23)/EXTERNE_POZICIE!$B$41*12,IF((EXTERNE_POZICIE!$B$53-12*('TCO TO BE- SW'!$D156-1))&lt;0,0,(EXTERNE_POZICIE!$B$53-12*('TCO TO BE- SW'!$D156-1))*((U$4+'TCO TO BE - HW'!U$4)/($E$4+'TCO TO BE - HW'!$E$4)*SUM(EXTERNE_POZICIE!$M$53:$M$64)*1.23)/EXTERNE_POZICIE!$B$53)),0)+IFERROR(SUM(#REF!)*'TCO TO BE- SW'!U$4/'TCO TO BE- SW'!$E$4,0)</f>
        <v>0</v>
      </c>
      <c r="V166" s="576">
        <f>IFERROR(IF((POZICIE_INTERNE!$B$52-12*('TCO TO BE- SW'!$D156-1))&gt;12,((V$4+'TCO TO BE - HW'!V$4)/($E$4+'TCO TO BE - HW'!$E$4)*SUM(POZICIE_INTERNE!$I$52:$I$63))/POZICIE_INTERNE!$B$52*12,IF((POZICIE_INTERNE!$B$52-12*('TCO TO BE- SW'!$D156-1))&lt;0,0,(POZICIE_INTERNE!$B$52-12*('TCO TO BE- SW'!$D156-1))*((V$4+'TCO TO BE - HW'!V$4)/($E$4+'TCO TO BE - HW'!$E$4)*SUM(POZICIE_INTERNE!$I$52:$I$63))/POZICIE_INTERNE!$B$52)),0)+IFERROR(IF((EXTERNE_POZICIE!$B$53-12*('TCO TO BE- SW'!$D156-1))&gt;12,((V$4+'TCO TO BE - HW'!V$4)/($E$4+'TCO TO BE - HW'!$E$4)*SUM(EXTERNE_POZICIE!$M$53:$M$64)*1.23)/EXTERNE_POZICIE!$B$41*12,IF((EXTERNE_POZICIE!$B$53-12*('TCO TO BE- SW'!$D156-1))&lt;0,0,(EXTERNE_POZICIE!$B$53-12*('TCO TO BE- SW'!$D156-1))*((V$4+'TCO TO BE - HW'!V$4)/($E$4+'TCO TO BE - HW'!$E$4)*SUM(EXTERNE_POZICIE!$M$53:$M$64)*1.23)/EXTERNE_POZICIE!$B$53)),0)+IFERROR(SUM(#REF!)*'TCO TO BE- SW'!V$4/'TCO TO BE- SW'!$E$4,0)</f>
        <v>0</v>
      </c>
      <c r="W166" s="576">
        <f>IFERROR(IF((POZICIE_INTERNE!$B$52-12*('TCO TO BE- SW'!$D156-1))&gt;12,((W$4+'TCO TO BE - HW'!W$4)/($E$4+'TCO TO BE - HW'!$E$4)*SUM(POZICIE_INTERNE!$I$52:$I$63))/POZICIE_INTERNE!$B$52*12,IF((POZICIE_INTERNE!$B$52-12*('TCO TO BE- SW'!$D156-1))&lt;0,0,(POZICIE_INTERNE!$B$52-12*('TCO TO BE- SW'!$D156-1))*((W$4+'TCO TO BE - HW'!W$4)/($E$4+'TCO TO BE - HW'!$E$4)*SUM(POZICIE_INTERNE!$I$52:$I$63))/POZICIE_INTERNE!$B$52)),0)+IFERROR(IF((EXTERNE_POZICIE!$B$53-12*('TCO TO BE- SW'!$D156-1))&gt;12,((W$4+'TCO TO BE - HW'!W$4)/($E$4+'TCO TO BE - HW'!$E$4)*SUM(EXTERNE_POZICIE!$M$53:$M$64)*1.23)/EXTERNE_POZICIE!$B$41*12,IF((EXTERNE_POZICIE!$B$53-12*('TCO TO BE- SW'!$D156-1))&lt;0,0,(EXTERNE_POZICIE!$B$53-12*('TCO TO BE- SW'!$D156-1))*((W$4+'TCO TO BE - HW'!W$4)/($E$4+'TCO TO BE - HW'!$E$4)*SUM(EXTERNE_POZICIE!$M$53:$M$64)*1.23)/EXTERNE_POZICIE!$B$53)),0)+IFERROR(SUM(#REF!)*'TCO TO BE- SW'!W$4/'TCO TO BE- SW'!$E$4,0)</f>
        <v>0</v>
      </c>
      <c r="X166" s="576">
        <f>IFERROR(IF((POZICIE_INTERNE!$B$52-12*('TCO TO BE- SW'!$D156-1))&gt;12,((X$4+'TCO TO BE - HW'!X$4)/($E$4+'TCO TO BE - HW'!$E$4)*SUM(POZICIE_INTERNE!$I$52:$I$63))/POZICIE_INTERNE!$B$52*12,IF((POZICIE_INTERNE!$B$52-12*('TCO TO BE- SW'!$D156-1))&lt;0,0,(POZICIE_INTERNE!$B$52-12*('TCO TO BE- SW'!$D156-1))*((X$4+'TCO TO BE - HW'!X$4)/($E$4+'TCO TO BE - HW'!$E$4)*SUM(POZICIE_INTERNE!$I$52:$I$63))/POZICIE_INTERNE!$B$52)),0)+IFERROR(IF((EXTERNE_POZICIE!$B$53-12*('TCO TO BE- SW'!$D156-1))&gt;12,((X$4+'TCO TO BE - HW'!X$4)/($E$4+'TCO TO BE - HW'!$E$4)*SUM(EXTERNE_POZICIE!$M$53:$M$64)*1.23)/EXTERNE_POZICIE!$B$41*12,IF((EXTERNE_POZICIE!$B$53-12*('TCO TO BE- SW'!$D156-1))&lt;0,0,(EXTERNE_POZICIE!$B$53-12*('TCO TO BE- SW'!$D156-1))*((X$4+'TCO TO BE - HW'!X$4)/($E$4+'TCO TO BE - HW'!$E$4)*SUM(EXTERNE_POZICIE!$M$53:$M$64)*1.23)/EXTERNE_POZICIE!$B$53)),0)+IFERROR(SUM(#REF!)*'TCO TO BE- SW'!X$4/'TCO TO BE- SW'!$E$4,0)</f>
        <v>0</v>
      </c>
      <c r="Y166" s="576">
        <f>IFERROR(IF((POZICIE_INTERNE!$B$52-12*('TCO TO BE- SW'!$D156-1))&gt;12,((Y$4+'TCO TO BE - HW'!Y$4)/($E$4+'TCO TO BE - HW'!$E$4)*SUM(POZICIE_INTERNE!$I$52:$I$63))/POZICIE_INTERNE!$B$52*12,IF((POZICIE_INTERNE!$B$52-12*('TCO TO BE- SW'!$D156-1))&lt;0,0,(POZICIE_INTERNE!$B$52-12*('TCO TO BE- SW'!$D156-1))*((Y$4+'TCO TO BE - HW'!Y$4)/($E$4+'TCO TO BE - HW'!$E$4)*SUM(POZICIE_INTERNE!$I$52:$I$63))/POZICIE_INTERNE!$B$52)),0)+IFERROR(IF((EXTERNE_POZICIE!$B$53-12*('TCO TO BE- SW'!$D156-1))&gt;12,((Y$4+'TCO TO BE - HW'!Y$4)/($E$4+'TCO TO BE - HW'!$E$4)*SUM(EXTERNE_POZICIE!$M$53:$M$64)*1.23)/EXTERNE_POZICIE!$B$41*12,IF((EXTERNE_POZICIE!$B$53-12*('TCO TO BE- SW'!$D156-1))&lt;0,0,(EXTERNE_POZICIE!$B$53-12*('TCO TO BE- SW'!$D156-1))*((Y$4+'TCO TO BE - HW'!Y$4)/($E$4+'TCO TO BE - HW'!$E$4)*SUM(EXTERNE_POZICIE!$M$53:$M$64)*1.23)/EXTERNE_POZICIE!$B$53)),0)+IFERROR(SUM(#REF!)*'TCO TO BE- SW'!Y$4/'TCO TO BE- SW'!$E$4,0)</f>
        <v>0</v>
      </c>
      <c r="Z166" s="576">
        <f>IFERROR(IF((POZICIE_INTERNE!$B$52-12*('TCO TO BE- SW'!$D156-1))&gt;12,((Z$4+'TCO TO BE - HW'!Z$4)/($E$4+'TCO TO BE - HW'!$E$4)*SUM(POZICIE_INTERNE!$I$52:$I$63))/POZICIE_INTERNE!$B$52*12,IF((POZICIE_INTERNE!$B$52-12*('TCO TO BE- SW'!$D156-1))&lt;0,0,(POZICIE_INTERNE!$B$52-12*('TCO TO BE- SW'!$D156-1))*((Z$4+'TCO TO BE - HW'!Z$4)/($E$4+'TCO TO BE - HW'!$E$4)*SUM(POZICIE_INTERNE!$I$52:$I$63))/POZICIE_INTERNE!$B$52)),0)+IFERROR(IF((EXTERNE_POZICIE!$B$53-12*('TCO TO BE- SW'!$D156-1))&gt;12,((Z$4+'TCO TO BE - HW'!Z$4)/($E$4+'TCO TO BE - HW'!$E$4)*SUM(EXTERNE_POZICIE!$M$53:$M$64)*1.23)/EXTERNE_POZICIE!$B$41*12,IF((EXTERNE_POZICIE!$B$53-12*('TCO TO BE- SW'!$D156-1))&lt;0,0,(EXTERNE_POZICIE!$B$53-12*('TCO TO BE- SW'!$D156-1))*((Z$4+'TCO TO BE - HW'!Z$4)/($E$4+'TCO TO BE - HW'!$E$4)*SUM(EXTERNE_POZICIE!$M$53:$M$64)*1.23)/EXTERNE_POZICIE!$B$53)),0)+IFERROR(SUM(#REF!)*'TCO TO BE- SW'!Z$4/'TCO TO BE- SW'!$E$4,0)</f>
        <v>0</v>
      </c>
    </row>
    <row r="167" spans="1:26">
      <c r="A167" s="841"/>
      <c r="B167" s="842"/>
      <c r="C167" s="842"/>
      <c r="D167" s="64">
        <v>7</v>
      </c>
      <c r="E167" s="68">
        <f t="shared" si="16"/>
        <v>0</v>
      </c>
      <c r="F167" s="576">
        <f>IFERROR(IF((POZICIE_INTERNE!$B$52-12*('TCO TO BE- SW'!$D157-1))&gt;12,((F$4+'TCO TO BE - HW'!F$4)/($E$4+'TCO TO BE - HW'!$E$4)*SUM(POZICIE_INTERNE!$I$52:$I$63))/POZICIE_INTERNE!$B$52*12,IF((POZICIE_INTERNE!$B$52-12*('TCO TO BE- SW'!$D157-1))&lt;0,0,(POZICIE_INTERNE!$B$52-12*('TCO TO BE- SW'!$D157-1))*((F$4+'TCO TO BE - HW'!F$4)/($E$4+'TCO TO BE - HW'!$E$4)*SUM(POZICIE_INTERNE!$I$52:$I$63))/POZICIE_INTERNE!$B$52)),0)+IFERROR(IF((EXTERNE_POZICIE!$B$53-12*('TCO TO BE- SW'!$D157-1))&gt;12,((F$4+'TCO TO BE - HW'!F$4)/($E$4+'TCO TO BE - HW'!$E$4)*SUM(EXTERNE_POZICIE!$M$53:$M$64)*1.23)/EXTERNE_POZICIE!$B$41*12,IF((EXTERNE_POZICIE!$B$53-12*('TCO TO BE- SW'!$D157-1))&lt;0,0,(EXTERNE_POZICIE!$B$53-12*('TCO TO BE- SW'!$D157-1))*((F$4+'TCO TO BE - HW'!F$4)/($E$4+'TCO TO BE - HW'!$E$4)*SUM(EXTERNE_POZICIE!$M$53:$M$64)*1.23)/EXTERNE_POZICIE!$B$53)),0)+IFERROR(SUM(#REF!)*'TCO TO BE- SW'!F$4/'TCO TO BE- SW'!$E$4,0)</f>
        <v>0</v>
      </c>
      <c r="G167" s="576">
        <f>IFERROR(IF((POZICIE_INTERNE!$B$52-12*('TCO TO BE- SW'!$D157-1))&gt;12,((G$4+'TCO TO BE - HW'!G$4)/($E$4+'TCO TO BE - HW'!$E$4)*SUM(POZICIE_INTERNE!$I$52:$I$63))/POZICIE_INTERNE!$B$52*12,IF((POZICIE_INTERNE!$B$52-12*('TCO TO BE- SW'!$D157-1))&lt;0,0,(POZICIE_INTERNE!$B$52-12*('TCO TO BE- SW'!$D157-1))*((G$4+'TCO TO BE - HW'!G$4)/($E$4+'TCO TO BE - HW'!$E$4)*SUM(POZICIE_INTERNE!$I$52:$I$63))/POZICIE_INTERNE!$B$52)),0)+IFERROR(IF((EXTERNE_POZICIE!$B$53-12*('TCO TO BE- SW'!$D157-1))&gt;12,((G$4+'TCO TO BE - HW'!G$4)/($E$4+'TCO TO BE - HW'!$E$4)*SUM(EXTERNE_POZICIE!$M$53:$M$64)*1.23)/EXTERNE_POZICIE!$B$41*12,IF((EXTERNE_POZICIE!$B$53-12*('TCO TO BE- SW'!$D157-1))&lt;0,0,(EXTERNE_POZICIE!$B$53-12*('TCO TO BE- SW'!$D157-1))*((G$4+'TCO TO BE - HW'!G$4)/($E$4+'TCO TO BE - HW'!$E$4)*SUM(EXTERNE_POZICIE!$M$53:$M$64)*1.23)/EXTERNE_POZICIE!$B$53)),0)+IFERROR(SUM(#REF!)*'TCO TO BE- SW'!G$4/'TCO TO BE- SW'!$E$4,0)</f>
        <v>0</v>
      </c>
      <c r="H167" s="576">
        <f>IFERROR(IF((POZICIE_INTERNE!$B$52-12*('TCO TO BE- SW'!$D157-1))&gt;12,((H$4+'TCO TO BE - HW'!H$4)/($E$4+'TCO TO BE - HW'!$E$4)*SUM(POZICIE_INTERNE!$I$52:$I$63))/POZICIE_INTERNE!$B$52*12,IF((POZICIE_INTERNE!$B$52-12*('TCO TO BE- SW'!$D157-1))&lt;0,0,(POZICIE_INTERNE!$B$52-12*('TCO TO BE- SW'!$D157-1))*((H$4+'TCO TO BE - HW'!H$4)/($E$4+'TCO TO BE - HW'!$E$4)*SUM(POZICIE_INTERNE!$I$52:$I$63))/POZICIE_INTERNE!$B$52)),0)+IFERROR(IF((EXTERNE_POZICIE!$B$53-12*('TCO TO BE- SW'!$D157-1))&gt;12,((H$4+'TCO TO BE - HW'!H$4)/($E$4+'TCO TO BE - HW'!$E$4)*SUM(EXTERNE_POZICIE!$M$53:$M$64)*1.23)/EXTERNE_POZICIE!$B$41*12,IF((EXTERNE_POZICIE!$B$53-12*('TCO TO BE- SW'!$D157-1))&lt;0,0,(EXTERNE_POZICIE!$B$53-12*('TCO TO BE- SW'!$D157-1))*((H$4+'TCO TO BE - HW'!H$4)/($E$4+'TCO TO BE - HW'!$E$4)*SUM(EXTERNE_POZICIE!$M$53:$M$64)*1.23)/EXTERNE_POZICIE!$B$53)),0)+IFERROR(SUM(#REF!)*'TCO TO BE- SW'!H$4/'TCO TO BE- SW'!$E$4,0)</f>
        <v>0</v>
      </c>
      <c r="I167" s="576">
        <f>IFERROR(IF((POZICIE_INTERNE!$B$52-12*('TCO TO BE- SW'!$D157-1))&gt;12,((I$4+'TCO TO BE - HW'!I$4)/($E$4+'TCO TO BE - HW'!$E$4)*SUM(POZICIE_INTERNE!$I$52:$I$63))/POZICIE_INTERNE!$B$52*12,IF((POZICIE_INTERNE!$B$52-12*('TCO TO BE- SW'!$D157-1))&lt;0,0,(POZICIE_INTERNE!$B$52-12*('TCO TO BE- SW'!$D157-1))*((I$4+'TCO TO BE - HW'!I$4)/($E$4+'TCO TO BE - HW'!$E$4)*SUM(POZICIE_INTERNE!$I$52:$I$63))/POZICIE_INTERNE!$B$52)),0)+IFERROR(IF((EXTERNE_POZICIE!$B$53-12*('TCO TO BE- SW'!$D157-1))&gt;12,((I$4+'TCO TO BE - HW'!I$4)/($E$4+'TCO TO BE - HW'!$E$4)*SUM(EXTERNE_POZICIE!$M$53:$M$64)*1.23)/EXTERNE_POZICIE!$B$41*12,IF((EXTERNE_POZICIE!$B$53-12*('TCO TO BE- SW'!$D157-1))&lt;0,0,(EXTERNE_POZICIE!$B$53-12*('TCO TO BE- SW'!$D157-1))*((I$4+'TCO TO BE - HW'!I$4)/($E$4+'TCO TO BE - HW'!$E$4)*SUM(EXTERNE_POZICIE!$M$53:$M$64)*1.23)/EXTERNE_POZICIE!$B$53)),0)+IFERROR(SUM(#REF!)*'TCO TO BE- SW'!I$4/'TCO TO BE- SW'!$E$4,0)</f>
        <v>0</v>
      </c>
      <c r="J167" s="576">
        <f>IFERROR(IF((POZICIE_INTERNE!$B$52-12*('TCO TO BE- SW'!$D157-1))&gt;12,((J$4+'TCO TO BE - HW'!J$4)/($E$4+'TCO TO BE - HW'!$E$4)*SUM(POZICIE_INTERNE!$I$52:$I$63))/POZICIE_INTERNE!$B$52*12,IF((POZICIE_INTERNE!$B$52-12*('TCO TO BE- SW'!$D157-1))&lt;0,0,(POZICIE_INTERNE!$B$52-12*('TCO TO BE- SW'!$D157-1))*((J$4+'TCO TO BE - HW'!J$4)/($E$4+'TCO TO BE - HW'!$E$4)*SUM(POZICIE_INTERNE!$I$52:$I$63))/POZICIE_INTERNE!$B$52)),0)+IFERROR(IF((EXTERNE_POZICIE!$B$53-12*('TCO TO BE- SW'!$D157-1))&gt;12,((J$4+'TCO TO BE - HW'!J$4)/($E$4+'TCO TO BE - HW'!$E$4)*SUM(EXTERNE_POZICIE!$M$53:$M$64)*1.23)/EXTERNE_POZICIE!$B$41*12,IF((EXTERNE_POZICIE!$B$53-12*('TCO TO BE- SW'!$D157-1))&lt;0,0,(EXTERNE_POZICIE!$B$53-12*('TCO TO BE- SW'!$D157-1))*((J$4+'TCO TO BE - HW'!J$4)/($E$4+'TCO TO BE - HW'!$E$4)*SUM(EXTERNE_POZICIE!$M$53:$M$64)*1.23)/EXTERNE_POZICIE!$B$53)),0)+IFERROR(SUM(#REF!)*'TCO TO BE- SW'!J$4/'TCO TO BE- SW'!$E$4,0)</f>
        <v>0</v>
      </c>
      <c r="K167" s="576">
        <f>IFERROR(IF((POZICIE_INTERNE!$B$52-12*('TCO TO BE- SW'!$D157-1))&gt;12,((K$4+'TCO TO BE - HW'!K$4)/($E$4+'TCO TO BE - HW'!$E$4)*SUM(POZICIE_INTERNE!$I$52:$I$63))/POZICIE_INTERNE!$B$52*12,IF((POZICIE_INTERNE!$B$52-12*('TCO TO BE- SW'!$D157-1))&lt;0,0,(POZICIE_INTERNE!$B$52-12*('TCO TO BE- SW'!$D157-1))*((K$4+'TCO TO BE - HW'!K$4)/($E$4+'TCO TO BE - HW'!$E$4)*SUM(POZICIE_INTERNE!$I$52:$I$63))/POZICIE_INTERNE!$B$52)),0)+IFERROR(IF((EXTERNE_POZICIE!$B$53-12*('TCO TO BE- SW'!$D157-1))&gt;12,((K$4+'TCO TO BE - HW'!K$4)/($E$4+'TCO TO BE - HW'!$E$4)*SUM(EXTERNE_POZICIE!$M$53:$M$64)*1.23)/EXTERNE_POZICIE!$B$41*12,IF((EXTERNE_POZICIE!$B$53-12*('TCO TO BE- SW'!$D157-1))&lt;0,0,(EXTERNE_POZICIE!$B$53-12*('TCO TO BE- SW'!$D157-1))*((K$4+'TCO TO BE - HW'!K$4)/($E$4+'TCO TO BE - HW'!$E$4)*SUM(EXTERNE_POZICIE!$M$53:$M$64)*1.23)/EXTERNE_POZICIE!$B$53)),0)+IFERROR(SUM(#REF!)*'TCO TO BE- SW'!K$4/'TCO TO BE- SW'!$E$4,0)</f>
        <v>0</v>
      </c>
      <c r="L167" s="576">
        <f>IFERROR(IF((POZICIE_INTERNE!$B$52-12*('TCO TO BE- SW'!$D157-1))&gt;12,((L$4+'TCO TO BE - HW'!L$4)/($E$4+'TCO TO BE - HW'!$E$4)*SUM(POZICIE_INTERNE!$I$52:$I$63))/POZICIE_INTERNE!$B$52*12,IF((POZICIE_INTERNE!$B$52-12*('TCO TO BE- SW'!$D157-1))&lt;0,0,(POZICIE_INTERNE!$B$52-12*('TCO TO BE- SW'!$D157-1))*((L$4+'TCO TO BE - HW'!L$4)/($E$4+'TCO TO BE - HW'!$E$4)*SUM(POZICIE_INTERNE!$I$52:$I$63))/POZICIE_INTERNE!$B$52)),0)+IFERROR(IF((EXTERNE_POZICIE!$B$53-12*('TCO TO BE- SW'!$D157-1))&gt;12,((L$4+'TCO TO BE - HW'!L$4)/($E$4+'TCO TO BE - HW'!$E$4)*SUM(EXTERNE_POZICIE!$M$53:$M$64)*1.23)/EXTERNE_POZICIE!$B$41*12,IF((EXTERNE_POZICIE!$B$53-12*('TCO TO BE- SW'!$D157-1))&lt;0,0,(EXTERNE_POZICIE!$B$53-12*('TCO TO BE- SW'!$D157-1))*((L$4+'TCO TO BE - HW'!L$4)/($E$4+'TCO TO BE - HW'!$E$4)*SUM(EXTERNE_POZICIE!$M$53:$M$64)*1.23)/EXTERNE_POZICIE!$B$53)),0)+IFERROR(SUM(#REF!)*'TCO TO BE- SW'!L$4/'TCO TO BE- SW'!$E$4,0)</f>
        <v>0</v>
      </c>
      <c r="M167" s="576">
        <f>IFERROR(IF((POZICIE_INTERNE!$B$52-12*('TCO TO BE- SW'!$D157-1))&gt;12,((M$4+'TCO TO BE - HW'!M$4)/($E$4+'TCO TO BE - HW'!$E$4)*SUM(POZICIE_INTERNE!$I$52:$I$63))/POZICIE_INTERNE!$B$52*12,IF((POZICIE_INTERNE!$B$52-12*('TCO TO BE- SW'!$D157-1))&lt;0,0,(POZICIE_INTERNE!$B$52-12*('TCO TO BE- SW'!$D157-1))*((M$4+'TCO TO BE - HW'!M$4)/($E$4+'TCO TO BE - HW'!$E$4)*SUM(POZICIE_INTERNE!$I$52:$I$63))/POZICIE_INTERNE!$B$52)),0)+IFERROR(IF((EXTERNE_POZICIE!$B$53-12*('TCO TO BE- SW'!$D157-1))&gt;12,((M$4+'TCO TO BE - HW'!M$4)/($E$4+'TCO TO BE - HW'!$E$4)*SUM(EXTERNE_POZICIE!$M$53:$M$64)*1.23)/EXTERNE_POZICIE!$B$41*12,IF((EXTERNE_POZICIE!$B$53-12*('TCO TO BE- SW'!$D157-1))&lt;0,0,(EXTERNE_POZICIE!$B$53-12*('TCO TO BE- SW'!$D157-1))*((M$4+'TCO TO BE - HW'!M$4)/($E$4+'TCO TO BE - HW'!$E$4)*SUM(EXTERNE_POZICIE!$M$53:$M$64)*1.23)/EXTERNE_POZICIE!$B$53)),0)+IFERROR(SUM(#REF!)*'TCO TO BE- SW'!M$4/'TCO TO BE- SW'!$E$4,0)</f>
        <v>0</v>
      </c>
      <c r="N167" s="576">
        <f>IFERROR(IF((POZICIE_INTERNE!$B$52-12*('TCO TO BE- SW'!$D157-1))&gt;12,((N$4+'TCO TO BE - HW'!N$4)/($E$4+'TCO TO BE - HW'!$E$4)*SUM(POZICIE_INTERNE!$I$52:$I$63))/POZICIE_INTERNE!$B$52*12,IF((POZICIE_INTERNE!$B$52-12*('TCO TO BE- SW'!$D157-1))&lt;0,0,(POZICIE_INTERNE!$B$52-12*('TCO TO BE- SW'!$D157-1))*((N$4+'TCO TO BE - HW'!N$4)/($E$4+'TCO TO BE - HW'!$E$4)*SUM(POZICIE_INTERNE!$I$52:$I$63))/POZICIE_INTERNE!$B$52)),0)+IFERROR(IF((EXTERNE_POZICIE!$B$53-12*('TCO TO BE- SW'!$D157-1))&gt;12,((N$4+'TCO TO BE - HW'!N$4)/($E$4+'TCO TO BE - HW'!$E$4)*SUM(EXTERNE_POZICIE!$M$53:$M$64)*1.23)/EXTERNE_POZICIE!$B$41*12,IF((EXTERNE_POZICIE!$B$53-12*('TCO TO BE- SW'!$D157-1))&lt;0,0,(EXTERNE_POZICIE!$B$53-12*('TCO TO BE- SW'!$D157-1))*((N$4+'TCO TO BE - HW'!N$4)/($E$4+'TCO TO BE - HW'!$E$4)*SUM(EXTERNE_POZICIE!$M$53:$M$64)*1.23)/EXTERNE_POZICIE!$B$53)),0)+IFERROR(SUM(#REF!)*'TCO TO BE- SW'!N$4/'TCO TO BE- SW'!$E$4,0)</f>
        <v>0</v>
      </c>
      <c r="O167" s="576">
        <f>IFERROR(IF((POZICIE_INTERNE!$B$52-12*('TCO TO BE- SW'!$D157-1))&gt;12,((O$4+'TCO TO BE - HW'!O$4)/($E$4+'TCO TO BE - HW'!$E$4)*SUM(POZICIE_INTERNE!$I$52:$I$63))/POZICIE_INTERNE!$B$52*12,IF((POZICIE_INTERNE!$B$52-12*('TCO TO BE- SW'!$D157-1))&lt;0,0,(POZICIE_INTERNE!$B$52-12*('TCO TO BE- SW'!$D157-1))*((O$4+'TCO TO BE - HW'!O$4)/($E$4+'TCO TO BE - HW'!$E$4)*SUM(POZICIE_INTERNE!$I$52:$I$63))/POZICIE_INTERNE!$B$52)),0)+IFERROR(IF((EXTERNE_POZICIE!$B$53-12*('TCO TO BE- SW'!$D157-1))&gt;12,((O$4+'TCO TO BE - HW'!O$4)/($E$4+'TCO TO BE - HW'!$E$4)*SUM(EXTERNE_POZICIE!$M$53:$M$64)*1.23)/EXTERNE_POZICIE!$B$41*12,IF((EXTERNE_POZICIE!$B$53-12*('TCO TO BE- SW'!$D157-1))&lt;0,0,(EXTERNE_POZICIE!$B$53-12*('TCO TO BE- SW'!$D157-1))*((O$4+'TCO TO BE - HW'!O$4)/($E$4+'TCO TO BE - HW'!$E$4)*SUM(EXTERNE_POZICIE!$M$53:$M$64)*1.23)/EXTERNE_POZICIE!$B$53)),0)+IFERROR(SUM(#REF!)*'TCO TO BE- SW'!O$4/'TCO TO BE- SW'!$E$4,0)</f>
        <v>0</v>
      </c>
      <c r="P167" s="576">
        <f>IFERROR(IF((POZICIE_INTERNE!$B$52-12*('TCO TO BE- SW'!$D157-1))&gt;12,((P$4+'TCO TO BE - HW'!P$4)/($E$4+'TCO TO BE - HW'!$E$4)*SUM(POZICIE_INTERNE!$I$52:$I$63))/POZICIE_INTERNE!$B$52*12,IF((POZICIE_INTERNE!$B$52-12*('TCO TO BE- SW'!$D157-1))&lt;0,0,(POZICIE_INTERNE!$B$52-12*('TCO TO BE- SW'!$D157-1))*((P$4+'TCO TO BE - HW'!P$4)/($E$4+'TCO TO BE - HW'!$E$4)*SUM(POZICIE_INTERNE!$I$52:$I$63))/POZICIE_INTERNE!$B$52)),0)+IFERROR(IF((EXTERNE_POZICIE!$B$53-12*('TCO TO BE- SW'!$D157-1))&gt;12,((P$4+'TCO TO BE - HW'!P$4)/($E$4+'TCO TO BE - HW'!$E$4)*SUM(EXTERNE_POZICIE!$M$53:$M$64)*1.23)/EXTERNE_POZICIE!$B$41*12,IF((EXTERNE_POZICIE!$B$53-12*('TCO TO BE- SW'!$D157-1))&lt;0,0,(EXTERNE_POZICIE!$B$53-12*('TCO TO BE- SW'!$D157-1))*((P$4+'TCO TO BE - HW'!P$4)/($E$4+'TCO TO BE - HW'!$E$4)*SUM(EXTERNE_POZICIE!$M$53:$M$64)*1.23)/EXTERNE_POZICIE!$B$53)),0)+IFERROR(SUM(#REF!)*'TCO TO BE- SW'!P$4/'TCO TO BE- SW'!$E$4,0)</f>
        <v>0</v>
      </c>
      <c r="Q167" s="576">
        <f>IFERROR(IF((POZICIE_INTERNE!$B$52-12*('TCO TO BE- SW'!$D157-1))&gt;12,((Q$4+'TCO TO BE - HW'!Q$4)/($E$4+'TCO TO BE - HW'!$E$4)*SUM(POZICIE_INTERNE!$I$52:$I$63))/POZICIE_INTERNE!$B$52*12,IF((POZICIE_INTERNE!$B$52-12*('TCO TO BE- SW'!$D157-1))&lt;0,0,(POZICIE_INTERNE!$B$52-12*('TCO TO BE- SW'!$D157-1))*((Q$4+'TCO TO BE - HW'!Q$4)/($E$4+'TCO TO BE - HW'!$E$4)*SUM(POZICIE_INTERNE!$I$52:$I$63))/POZICIE_INTERNE!$B$52)),0)+IFERROR(IF((EXTERNE_POZICIE!$B$53-12*('TCO TO BE- SW'!$D157-1))&gt;12,((Q$4+'TCO TO BE - HW'!Q$4)/($E$4+'TCO TO BE - HW'!$E$4)*SUM(EXTERNE_POZICIE!$M$53:$M$64)*1.23)/EXTERNE_POZICIE!$B$41*12,IF((EXTERNE_POZICIE!$B$53-12*('TCO TO BE- SW'!$D157-1))&lt;0,0,(EXTERNE_POZICIE!$B$53-12*('TCO TO BE- SW'!$D157-1))*((Q$4+'TCO TO BE - HW'!Q$4)/($E$4+'TCO TO BE - HW'!$E$4)*SUM(EXTERNE_POZICIE!$M$53:$M$64)*1.23)/EXTERNE_POZICIE!$B$53)),0)+IFERROR(SUM(#REF!)*'TCO TO BE- SW'!Q$4/'TCO TO BE- SW'!$E$4,0)</f>
        <v>0</v>
      </c>
      <c r="R167" s="576">
        <f>IFERROR(IF((POZICIE_INTERNE!$B$52-12*('TCO TO BE- SW'!$D157-1))&gt;12,((R$4+'TCO TO BE - HW'!R$4)/($E$4+'TCO TO BE - HW'!$E$4)*SUM(POZICIE_INTERNE!$I$52:$I$63))/POZICIE_INTERNE!$B$52*12,IF((POZICIE_INTERNE!$B$52-12*('TCO TO BE- SW'!$D157-1))&lt;0,0,(POZICIE_INTERNE!$B$52-12*('TCO TO BE- SW'!$D157-1))*((R$4+'TCO TO BE - HW'!R$4)/($E$4+'TCO TO BE - HW'!$E$4)*SUM(POZICIE_INTERNE!$I$52:$I$63))/POZICIE_INTERNE!$B$52)),0)+IFERROR(IF((EXTERNE_POZICIE!$B$53-12*('TCO TO BE- SW'!$D157-1))&gt;12,((R$4+'TCO TO BE - HW'!R$4)/($E$4+'TCO TO BE - HW'!$E$4)*SUM(EXTERNE_POZICIE!$M$53:$M$64)*1.23)/EXTERNE_POZICIE!$B$41*12,IF((EXTERNE_POZICIE!$B$53-12*('TCO TO BE- SW'!$D157-1))&lt;0,0,(EXTERNE_POZICIE!$B$53-12*('TCO TO BE- SW'!$D157-1))*((R$4+'TCO TO BE - HW'!R$4)/($E$4+'TCO TO BE - HW'!$E$4)*SUM(EXTERNE_POZICIE!$M$53:$M$64)*1.23)/EXTERNE_POZICIE!$B$53)),0)+IFERROR(SUM(#REF!)*'TCO TO BE- SW'!R$4/'TCO TO BE- SW'!$E$4,0)</f>
        <v>0</v>
      </c>
      <c r="S167" s="576">
        <f>IFERROR(IF((POZICIE_INTERNE!$B$52-12*('TCO TO BE- SW'!$D157-1))&gt;12,((S$4+'TCO TO BE - HW'!S$4)/($E$4+'TCO TO BE - HW'!$E$4)*SUM(POZICIE_INTERNE!$I$52:$I$63))/POZICIE_INTERNE!$B$52*12,IF((POZICIE_INTERNE!$B$52-12*('TCO TO BE- SW'!$D157-1))&lt;0,0,(POZICIE_INTERNE!$B$52-12*('TCO TO BE- SW'!$D157-1))*((S$4+'TCO TO BE - HW'!S$4)/($E$4+'TCO TO BE - HW'!$E$4)*SUM(POZICIE_INTERNE!$I$52:$I$63))/POZICIE_INTERNE!$B$52)),0)+IFERROR(IF((EXTERNE_POZICIE!$B$53-12*('TCO TO BE- SW'!$D157-1))&gt;12,((S$4+'TCO TO BE - HW'!S$4)/($E$4+'TCO TO BE - HW'!$E$4)*SUM(EXTERNE_POZICIE!$M$53:$M$64)*1.23)/EXTERNE_POZICIE!$B$41*12,IF((EXTERNE_POZICIE!$B$53-12*('TCO TO BE- SW'!$D157-1))&lt;0,0,(EXTERNE_POZICIE!$B$53-12*('TCO TO BE- SW'!$D157-1))*((S$4+'TCO TO BE - HW'!S$4)/($E$4+'TCO TO BE - HW'!$E$4)*SUM(EXTERNE_POZICIE!$M$53:$M$64)*1.23)/EXTERNE_POZICIE!$B$53)),0)+IFERROR(SUM(#REF!)*'TCO TO BE- SW'!S$4/'TCO TO BE- SW'!$E$4,0)</f>
        <v>0</v>
      </c>
      <c r="T167" s="576">
        <f>IFERROR(IF((POZICIE_INTERNE!$B$52-12*('TCO TO BE- SW'!$D157-1))&gt;12,((T$4+'TCO TO BE - HW'!T$4)/($E$4+'TCO TO BE - HW'!$E$4)*SUM(POZICIE_INTERNE!$I$52:$I$63))/POZICIE_INTERNE!$B$52*12,IF((POZICIE_INTERNE!$B$52-12*('TCO TO BE- SW'!$D157-1))&lt;0,0,(POZICIE_INTERNE!$B$52-12*('TCO TO BE- SW'!$D157-1))*((T$4+'TCO TO BE - HW'!T$4)/($E$4+'TCO TO BE - HW'!$E$4)*SUM(POZICIE_INTERNE!$I$52:$I$63))/POZICIE_INTERNE!$B$52)),0)+IFERROR(IF((EXTERNE_POZICIE!$B$53-12*('TCO TO BE- SW'!$D157-1))&gt;12,((T$4+'TCO TO BE - HW'!T$4)/($E$4+'TCO TO BE - HW'!$E$4)*SUM(EXTERNE_POZICIE!$M$53:$M$64)*1.23)/EXTERNE_POZICIE!$B$41*12,IF((EXTERNE_POZICIE!$B$53-12*('TCO TO BE- SW'!$D157-1))&lt;0,0,(EXTERNE_POZICIE!$B$53-12*('TCO TO BE- SW'!$D157-1))*((T$4+'TCO TO BE - HW'!T$4)/($E$4+'TCO TO BE - HW'!$E$4)*SUM(EXTERNE_POZICIE!$M$53:$M$64)*1.23)/EXTERNE_POZICIE!$B$53)),0)+IFERROR(SUM(#REF!)*'TCO TO BE- SW'!T$4/'TCO TO BE- SW'!$E$4,0)</f>
        <v>0</v>
      </c>
      <c r="U167" s="576">
        <f>IFERROR(IF((POZICIE_INTERNE!$B$52-12*('TCO TO BE- SW'!$D157-1))&gt;12,((U$4+'TCO TO BE - HW'!U$4)/($E$4+'TCO TO BE - HW'!$E$4)*SUM(POZICIE_INTERNE!$I$52:$I$63))/POZICIE_INTERNE!$B$52*12,IF((POZICIE_INTERNE!$B$52-12*('TCO TO BE- SW'!$D157-1))&lt;0,0,(POZICIE_INTERNE!$B$52-12*('TCO TO BE- SW'!$D157-1))*((U$4+'TCO TO BE - HW'!U$4)/($E$4+'TCO TO BE - HW'!$E$4)*SUM(POZICIE_INTERNE!$I$52:$I$63))/POZICIE_INTERNE!$B$52)),0)+IFERROR(IF((EXTERNE_POZICIE!$B$53-12*('TCO TO BE- SW'!$D157-1))&gt;12,((U$4+'TCO TO BE - HW'!U$4)/($E$4+'TCO TO BE - HW'!$E$4)*SUM(EXTERNE_POZICIE!$M$53:$M$64)*1.23)/EXTERNE_POZICIE!$B$41*12,IF((EXTERNE_POZICIE!$B$53-12*('TCO TO BE- SW'!$D157-1))&lt;0,0,(EXTERNE_POZICIE!$B$53-12*('TCO TO BE- SW'!$D157-1))*((U$4+'TCO TO BE - HW'!U$4)/($E$4+'TCO TO BE - HW'!$E$4)*SUM(EXTERNE_POZICIE!$M$53:$M$64)*1.23)/EXTERNE_POZICIE!$B$53)),0)+IFERROR(SUM(#REF!)*'TCO TO BE- SW'!U$4/'TCO TO BE- SW'!$E$4,0)</f>
        <v>0</v>
      </c>
      <c r="V167" s="576">
        <f>IFERROR(IF((POZICIE_INTERNE!$B$52-12*('TCO TO BE- SW'!$D157-1))&gt;12,((V$4+'TCO TO BE - HW'!V$4)/($E$4+'TCO TO BE - HW'!$E$4)*SUM(POZICIE_INTERNE!$I$52:$I$63))/POZICIE_INTERNE!$B$52*12,IF((POZICIE_INTERNE!$B$52-12*('TCO TO BE- SW'!$D157-1))&lt;0,0,(POZICIE_INTERNE!$B$52-12*('TCO TO BE- SW'!$D157-1))*((V$4+'TCO TO BE - HW'!V$4)/($E$4+'TCO TO BE - HW'!$E$4)*SUM(POZICIE_INTERNE!$I$52:$I$63))/POZICIE_INTERNE!$B$52)),0)+IFERROR(IF((EXTERNE_POZICIE!$B$53-12*('TCO TO BE- SW'!$D157-1))&gt;12,((V$4+'TCO TO BE - HW'!V$4)/($E$4+'TCO TO BE - HW'!$E$4)*SUM(EXTERNE_POZICIE!$M$53:$M$64)*1.23)/EXTERNE_POZICIE!$B$41*12,IF((EXTERNE_POZICIE!$B$53-12*('TCO TO BE- SW'!$D157-1))&lt;0,0,(EXTERNE_POZICIE!$B$53-12*('TCO TO BE- SW'!$D157-1))*((V$4+'TCO TO BE - HW'!V$4)/($E$4+'TCO TO BE - HW'!$E$4)*SUM(EXTERNE_POZICIE!$M$53:$M$64)*1.23)/EXTERNE_POZICIE!$B$53)),0)+IFERROR(SUM(#REF!)*'TCO TO BE- SW'!V$4/'TCO TO BE- SW'!$E$4,0)</f>
        <v>0</v>
      </c>
      <c r="W167" s="576">
        <f>IFERROR(IF((POZICIE_INTERNE!$B$52-12*('TCO TO BE- SW'!$D157-1))&gt;12,((W$4+'TCO TO BE - HW'!W$4)/($E$4+'TCO TO BE - HW'!$E$4)*SUM(POZICIE_INTERNE!$I$52:$I$63))/POZICIE_INTERNE!$B$52*12,IF((POZICIE_INTERNE!$B$52-12*('TCO TO BE- SW'!$D157-1))&lt;0,0,(POZICIE_INTERNE!$B$52-12*('TCO TO BE- SW'!$D157-1))*((W$4+'TCO TO BE - HW'!W$4)/($E$4+'TCO TO BE - HW'!$E$4)*SUM(POZICIE_INTERNE!$I$52:$I$63))/POZICIE_INTERNE!$B$52)),0)+IFERROR(IF((EXTERNE_POZICIE!$B$53-12*('TCO TO BE- SW'!$D157-1))&gt;12,((W$4+'TCO TO BE - HW'!W$4)/($E$4+'TCO TO BE - HW'!$E$4)*SUM(EXTERNE_POZICIE!$M$53:$M$64)*1.23)/EXTERNE_POZICIE!$B$41*12,IF((EXTERNE_POZICIE!$B$53-12*('TCO TO BE- SW'!$D157-1))&lt;0,0,(EXTERNE_POZICIE!$B$53-12*('TCO TO BE- SW'!$D157-1))*((W$4+'TCO TO BE - HW'!W$4)/($E$4+'TCO TO BE - HW'!$E$4)*SUM(EXTERNE_POZICIE!$M$53:$M$64)*1.23)/EXTERNE_POZICIE!$B$53)),0)+IFERROR(SUM(#REF!)*'TCO TO BE- SW'!W$4/'TCO TO BE- SW'!$E$4,0)</f>
        <v>0</v>
      </c>
      <c r="X167" s="576">
        <f>IFERROR(IF((POZICIE_INTERNE!$B$52-12*('TCO TO BE- SW'!$D157-1))&gt;12,((X$4+'TCO TO BE - HW'!X$4)/($E$4+'TCO TO BE - HW'!$E$4)*SUM(POZICIE_INTERNE!$I$52:$I$63))/POZICIE_INTERNE!$B$52*12,IF((POZICIE_INTERNE!$B$52-12*('TCO TO BE- SW'!$D157-1))&lt;0,0,(POZICIE_INTERNE!$B$52-12*('TCO TO BE- SW'!$D157-1))*((X$4+'TCO TO BE - HW'!X$4)/($E$4+'TCO TO BE - HW'!$E$4)*SUM(POZICIE_INTERNE!$I$52:$I$63))/POZICIE_INTERNE!$B$52)),0)+IFERROR(IF((EXTERNE_POZICIE!$B$53-12*('TCO TO BE- SW'!$D157-1))&gt;12,((X$4+'TCO TO BE - HW'!X$4)/($E$4+'TCO TO BE - HW'!$E$4)*SUM(EXTERNE_POZICIE!$M$53:$M$64)*1.23)/EXTERNE_POZICIE!$B$41*12,IF((EXTERNE_POZICIE!$B$53-12*('TCO TO BE- SW'!$D157-1))&lt;0,0,(EXTERNE_POZICIE!$B$53-12*('TCO TO BE- SW'!$D157-1))*((X$4+'TCO TO BE - HW'!X$4)/($E$4+'TCO TO BE - HW'!$E$4)*SUM(EXTERNE_POZICIE!$M$53:$M$64)*1.23)/EXTERNE_POZICIE!$B$53)),0)+IFERROR(SUM(#REF!)*'TCO TO BE- SW'!X$4/'TCO TO BE- SW'!$E$4,0)</f>
        <v>0</v>
      </c>
      <c r="Y167" s="576">
        <f>IFERROR(IF((POZICIE_INTERNE!$B$52-12*('TCO TO BE- SW'!$D157-1))&gt;12,((Y$4+'TCO TO BE - HW'!Y$4)/($E$4+'TCO TO BE - HW'!$E$4)*SUM(POZICIE_INTERNE!$I$52:$I$63))/POZICIE_INTERNE!$B$52*12,IF((POZICIE_INTERNE!$B$52-12*('TCO TO BE- SW'!$D157-1))&lt;0,0,(POZICIE_INTERNE!$B$52-12*('TCO TO BE- SW'!$D157-1))*((Y$4+'TCO TO BE - HW'!Y$4)/($E$4+'TCO TO BE - HW'!$E$4)*SUM(POZICIE_INTERNE!$I$52:$I$63))/POZICIE_INTERNE!$B$52)),0)+IFERROR(IF((EXTERNE_POZICIE!$B$53-12*('TCO TO BE- SW'!$D157-1))&gt;12,((Y$4+'TCO TO BE - HW'!Y$4)/($E$4+'TCO TO BE - HW'!$E$4)*SUM(EXTERNE_POZICIE!$M$53:$M$64)*1.23)/EXTERNE_POZICIE!$B$41*12,IF((EXTERNE_POZICIE!$B$53-12*('TCO TO BE- SW'!$D157-1))&lt;0,0,(EXTERNE_POZICIE!$B$53-12*('TCO TO BE- SW'!$D157-1))*((Y$4+'TCO TO BE - HW'!Y$4)/($E$4+'TCO TO BE - HW'!$E$4)*SUM(EXTERNE_POZICIE!$M$53:$M$64)*1.23)/EXTERNE_POZICIE!$B$53)),0)+IFERROR(SUM(#REF!)*'TCO TO BE- SW'!Y$4/'TCO TO BE- SW'!$E$4,0)</f>
        <v>0</v>
      </c>
      <c r="Z167" s="576">
        <f>IFERROR(IF((POZICIE_INTERNE!$B$52-12*('TCO TO BE- SW'!$D157-1))&gt;12,((Z$4+'TCO TO BE - HW'!Z$4)/($E$4+'TCO TO BE - HW'!$E$4)*SUM(POZICIE_INTERNE!$I$52:$I$63))/POZICIE_INTERNE!$B$52*12,IF((POZICIE_INTERNE!$B$52-12*('TCO TO BE- SW'!$D157-1))&lt;0,0,(POZICIE_INTERNE!$B$52-12*('TCO TO BE- SW'!$D157-1))*((Z$4+'TCO TO BE - HW'!Z$4)/($E$4+'TCO TO BE - HW'!$E$4)*SUM(POZICIE_INTERNE!$I$52:$I$63))/POZICIE_INTERNE!$B$52)),0)+IFERROR(IF((EXTERNE_POZICIE!$B$53-12*('TCO TO BE- SW'!$D157-1))&gt;12,((Z$4+'TCO TO BE - HW'!Z$4)/($E$4+'TCO TO BE - HW'!$E$4)*SUM(EXTERNE_POZICIE!$M$53:$M$64)*1.23)/EXTERNE_POZICIE!$B$41*12,IF((EXTERNE_POZICIE!$B$53-12*('TCO TO BE- SW'!$D157-1))&lt;0,0,(EXTERNE_POZICIE!$B$53-12*('TCO TO BE- SW'!$D157-1))*((Z$4+'TCO TO BE - HW'!Z$4)/($E$4+'TCO TO BE - HW'!$E$4)*SUM(EXTERNE_POZICIE!$M$53:$M$64)*1.23)/EXTERNE_POZICIE!$B$53)),0)+IFERROR(SUM(#REF!)*'TCO TO BE- SW'!Z$4/'TCO TO BE- SW'!$E$4,0)</f>
        <v>0</v>
      </c>
    </row>
    <row r="168" spans="1:26">
      <c r="A168" s="841"/>
      <c r="B168" s="842"/>
      <c r="C168" s="842"/>
      <c r="D168" s="64">
        <v>8</v>
      </c>
      <c r="E168" s="68">
        <f t="shared" si="16"/>
        <v>0</v>
      </c>
      <c r="F168" s="576">
        <f>IFERROR(IF((POZICIE_INTERNE!$B$52-12*('TCO TO BE- SW'!$D158-1))&gt;12,((F$4+'TCO TO BE - HW'!F$4)/($E$4+'TCO TO BE - HW'!$E$4)*SUM(POZICIE_INTERNE!$I$52:$I$63))/POZICIE_INTERNE!$B$52*12,IF((POZICIE_INTERNE!$B$52-12*('TCO TO BE- SW'!$D158-1))&lt;0,0,(POZICIE_INTERNE!$B$52-12*('TCO TO BE- SW'!$D158-1))*((F$4+'TCO TO BE - HW'!F$4)/($E$4+'TCO TO BE - HW'!$E$4)*SUM(POZICIE_INTERNE!$I$52:$I$63))/POZICIE_INTERNE!$B$52)),0)+IFERROR(IF((EXTERNE_POZICIE!$B$53-12*('TCO TO BE- SW'!$D158-1))&gt;12,((F$4+'TCO TO BE - HW'!F$4)/($E$4+'TCO TO BE - HW'!$E$4)*SUM(EXTERNE_POZICIE!$M$53:$M$64)*1.23)/EXTERNE_POZICIE!$B$41*12,IF((EXTERNE_POZICIE!$B$53-12*('TCO TO BE- SW'!$D158-1))&lt;0,0,(EXTERNE_POZICIE!$B$53-12*('TCO TO BE- SW'!$D158-1))*((F$4+'TCO TO BE - HW'!F$4)/($E$4+'TCO TO BE - HW'!$E$4)*SUM(EXTERNE_POZICIE!$M$53:$M$64)*1.23)/EXTERNE_POZICIE!$B$53)),0)+IFERROR(SUM(#REF!)*'TCO TO BE- SW'!F$4/'TCO TO BE- SW'!$E$4,0)</f>
        <v>0</v>
      </c>
      <c r="G168" s="576">
        <f>IFERROR(IF((POZICIE_INTERNE!$B$52-12*('TCO TO BE- SW'!$D158-1))&gt;12,((G$4+'TCO TO BE - HW'!G$4)/($E$4+'TCO TO BE - HW'!$E$4)*SUM(POZICIE_INTERNE!$I$52:$I$63))/POZICIE_INTERNE!$B$52*12,IF((POZICIE_INTERNE!$B$52-12*('TCO TO BE- SW'!$D158-1))&lt;0,0,(POZICIE_INTERNE!$B$52-12*('TCO TO BE- SW'!$D158-1))*((G$4+'TCO TO BE - HW'!G$4)/($E$4+'TCO TO BE - HW'!$E$4)*SUM(POZICIE_INTERNE!$I$52:$I$63))/POZICIE_INTERNE!$B$52)),0)+IFERROR(IF((EXTERNE_POZICIE!$B$53-12*('TCO TO BE- SW'!$D158-1))&gt;12,((G$4+'TCO TO BE - HW'!G$4)/($E$4+'TCO TO BE - HW'!$E$4)*SUM(EXTERNE_POZICIE!$M$53:$M$64)*1.23)/EXTERNE_POZICIE!$B$41*12,IF((EXTERNE_POZICIE!$B$53-12*('TCO TO BE- SW'!$D158-1))&lt;0,0,(EXTERNE_POZICIE!$B$53-12*('TCO TO BE- SW'!$D158-1))*((G$4+'TCO TO BE - HW'!G$4)/($E$4+'TCO TO BE - HW'!$E$4)*SUM(EXTERNE_POZICIE!$M$53:$M$64)*1.23)/EXTERNE_POZICIE!$B$53)),0)+IFERROR(SUM(#REF!)*'TCO TO BE- SW'!G$4/'TCO TO BE- SW'!$E$4,0)</f>
        <v>0</v>
      </c>
      <c r="H168" s="576">
        <f>IFERROR(IF((POZICIE_INTERNE!$B$52-12*('TCO TO BE- SW'!$D158-1))&gt;12,((H$4+'TCO TO BE - HW'!H$4)/($E$4+'TCO TO BE - HW'!$E$4)*SUM(POZICIE_INTERNE!$I$52:$I$63))/POZICIE_INTERNE!$B$52*12,IF((POZICIE_INTERNE!$B$52-12*('TCO TO BE- SW'!$D158-1))&lt;0,0,(POZICIE_INTERNE!$B$52-12*('TCO TO BE- SW'!$D158-1))*((H$4+'TCO TO BE - HW'!H$4)/($E$4+'TCO TO BE - HW'!$E$4)*SUM(POZICIE_INTERNE!$I$52:$I$63))/POZICIE_INTERNE!$B$52)),0)+IFERROR(IF((EXTERNE_POZICIE!$B$53-12*('TCO TO BE- SW'!$D158-1))&gt;12,((H$4+'TCO TO BE - HW'!H$4)/($E$4+'TCO TO BE - HW'!$E$4)*SUM(EXTERNE_POZICIE!$M$53:$M$64)*1.23)/EXTERNE_POZICIE!$B$41*12,IF((EXTERNE_POZICIE!$B$53-12*('TCO TO BE- SW'!$D158-1))&lt;0,0,(EXTERNE_POZICIE!$B$53-12*('TCO TO BE- SW'!$D158-1))*((H$4+'TCO TO BE - HW'!H$4)/($E$4+'TCO TO BE - HW'!$E$4)*SUM(EXTERNE_POZICIE!$M$53:$M$64)*1.23)/EXTERNE_POZICIE!$B$53)),0)+IFERROR(SUM(#REF!)*'TCO TO BE- SW'!H$4/'TCO TO BE- SW'!$E$4,0)</f>
        <v>0</v>
      </c>
      <c r="I168" s="576">
        <f>IFERROR(IF((POZICIE_INTERNE!$B$52-12*('TCO TO BE- SW'!$D158-1))&gt;12,((I$4+'TCO TO BE - HW'!I$4)/($E$4+'TCO TO BE - HW'!$E$4)*SUM(POZICIE_INTERNE!$I$52:$I$63))/POZICIE_INTERNE!$B$52*12,IF((POZICIE_INTERNE!$B$52-12*('TCO TO BE- SW'!$D158-1))&lt;0,0,(POZICIE_INTERNE!$B$52-12*('TCO TO BE- SW'!$D158-1))*((I$4+'TCO TO BE - HW'!I$4)/($E$4+'TCO TO BE - HW'!$E$4)*SUM(POZICIE_INTERNE!$I$52:$I$63))/POZICIE_INTERNE!$B$52)),0)+IFERROR(IF((EXTERNE_POZICIE!$B$53-12*('TCO TO BE- SW'!$D158-1))&gt;12,((I$4+'TCO TO BE - HW'!I$4)/($E$4+'TCO TO BE - HW'!$E$4)*SUM(EXTERNE_POZICIE!$M$53:$M$64)*1.23)/EXTERNE_POZICIE!$B$41*12,IF((EXTERNE_POZICIE!$B$53-12*('TCO TO BE- SW'!$D158-1))&lt;0,0,(EXTERNE_POZICIE!$B$53-12*('TCO TO BE- SW'!$D158-1))*((I$4+'TCO TO BE - HW'!I$4)/($E$4+'TCO TO BE - HW'!$E$4)*SUM(EXTERNE_POZICIE!$M$53:$M$64)*1.23)/EXTERNE_POZICIE!$B$53)),0)+IFERROR(SUM(#REF!)*'TCO TO BE- SW'!I$4/'TCO TO BE- SW'!$E$4,0)</f>
        <v>0</v>
      </c>
      <c r="J168" s="576">
        <f>IFERROR(IF((POZICIE_INTERNE!$B$52-12*('TCO TO BE- SW'!$D158-1))&gt;12,((J$4+'TCO TO BE - HW'!J$4)/($E$4+'TCO TO BE - HW'!$E$4)*SUM(POZICIE_INTERNE!$I$52:$I$63))/POZICIE_INTERNE!$B$52*12,IF((POZICIE_INTERNE!$B$52-12*('TCO TO BE- SW'!$D158-1))&lt;0,0,(POZICIE_INTERNE!$B$52-12*('TCO TO BE- SW'!$D158-1))*((J$4+'TCO TO BE - HW'!J$4)/($E$4+'TCO TO BE - HW'!$E$4)*SUM(POZICIE_INTERNE!$I$52:$I$63))/POZICIE_INTERNE!$B$52)),0)+IFERROR(IF((EXTERNE_POZICIE!$B$53-12*('TCO TO BE- SW'!$D158-1))&gt;12,((J$4+'TCO TO BE - HW'!J$4)/($E$4+'TCO TO BE - HW'!$E$4)*SUM(EXTERNE_POZICIE!$M$53:$M$64)*1.23)/EXTERNE_POZICIE!$B$41*12,IF((EXTERNE_POZICIE!$B$53-12*('TCO TO BE- SW'!$D158-1))&lt;0,0,(EXTERNE_POZICIE!$B$53-12*('TCO TO BE- SW'!$D158-1))*((J$4+'TCO TO BE - HW'!J$4)/($E$4+'TCO TO BE - HW'!$E$4)*SUM(EXTERNE_POZICIE!$M$53:$M$64)*1.23)/EXTERNE_POZICIE!$B$53)),0)+IFERROR(SUM(#REF!)*'TCO TO BE- SW'!J$4/'TCO TO BE- SW'!$E$4,0)</f>
        <v>0</v>
      </c>
      <c r="K168" s="576">
        <f>IFERROR(IF((POZICIE_INTERNE!$B$52-12*('TCO TO BE- SW'!$D158-1))&gt;12,((K$4+'TCO TO BE - HW'!K$4)/($E$4+'TCO TO BE - HW'!$E$4)*SUM(POZICIE_INTERNE!$I$52:$I$63))/POZICIE_INTERNE!$B$52*12,IF((POZICIE_INTERNE!$B$52-12*('TCO TO BE- SW'!$D158-1))&lt;0,0,(POZICIE_INTERNE!$B$52-12*('TCO TO BE- SW'!$D158-1))*((K$4+'TCO TO BE - HW'!K$4)/($E$4+'TCO TO BE - HW'!$E$4)*SUM(POZICIE_INTERNE!$I$52:$I$63))/POZICIE_INTERNE!$B$52)),0)+IFERROR(IF((EXTERNE_POZICIE!$B$53-12*('TCO TO BE- SW'!$D158-1))&gt;12,((K$4+'TCO TO BE - HW'!K$4)/($E$4+'TCO TO BE - HW'!$E$4)*SUM(EXTERNE_POZICIE!$M$53:$M$64)*1.23)/EXTERNE_POZICIE!$B$41*12,IF((EXTERNE_POZICIE!$B$53-12*('TCO TO BE- SW'!$D158-1))&lt;0,0,(EXTERNE_POZICIE!$B$53-12*('TCO TO BE- SW'!$D158-1))*((K$4+'TCO TO BE - HW'!K$4)/($E$4+'TCO TO BE - HW'!$E$4)*SUM(EXTERNE_POZICIE!$M$53:$M$64)*1.23)/EXTERNE_POZICIE!$B$53)),0)+IFERROR(SUM(#REF!)*'TCO TO BE- SW'!K$4/'TCO TO BE- SW'!$E$4,0)</f>
        <v>0</v>
      </c>
      <c r="L168" s="576">
        <f>IFERROR(IF((POZICIE_INTERNE!$B$52-12*('TCO TO BE- SW'!$D158-1))&gt;12,((L$4+'TCO TO BE - HW'!L$4)/($E$4+'TCO TO BE - HW'!$E$4)*SUM(POZICIE_INTERNE!$I$52:$I$63))/POZICIE_INTERNE!$B$52*12,IF((POZICIE_INTERNE!$B$52-12*('TCO TO BE- SW'!$D158-1))&lt;0,0,(POZICIE_INTERNE!$B$52-12*('TCO TO BE- SW'!$D158-1))*((L$4+'TCO TO BE - HW'!L$4)/($E$4+'TCO TO BE - HW'!$E$4)*SUM(POZICIE_INTERNE!$I$52:$I$63))/POZICIE_INTERNE!$B$52)),0)+IFERROR(IF((EXTERNE_POZICIE!$B$53-12*('TCO TO BE- SW'!$D158-1))&gt;12,((L$4+'TCO TO BE - HW'!L$4)/($E$4+'TCO TO BE - HW'!$E$4)*SUM(EXTERNE_POZICIE!$M$53:$M$64)*1.23)/EXTERNE_POZICIE!$B$41*12,IF((EXTERNE_POZICIE!$B$53-12*('TCO TO BE- SW'!$D158-1))&lt;0,0,(EXTERNE_POZICIE!$B$53-12*('TCO TO BE- SW'!$D158-1))*((L$4+'TCO TO BE - HW'!L$4)/($E$4+'TCO TO BE - HW'!$E$4)*SUM(EXTERNE_POZICIE!$M$53:$M$64)*1.23)/EXTERNE_POZICIE!$B$53)),0)+IFERROR(SUM(#REF!)*'TCO TO BE- SW'!L$4/'TCO TO BE- SW'!$E$4,0)</f>
        <v>0</v>
      </c>
      <c r="M168" s="576">
        <f>IFERROR(IF((POZICIE_INTERNE!$B$52-12*('TCO TO BE- SW'!$D158-1))&gt;12,((M$4+'TCO TO BE - HW'!M$4)/($E$4+'TCO TO BE - HW'!$E$4)*SUM(POZICIE_INTERNE!$I$52:$I$63))/POZICIE_INTERNE!$B$52*12,IF((POZICIE_INTERNE!$B$52-12*('TCO TO BE- SW'!$D158-1))&lt;0,0,(POZICIE_INTERNE!$B$52-12*('TCO TO BE- SW'!$D158-1))*((M$4+'TCO TO BE - HW'!M$4)/($E$4+'TCO TO BE - HW'!$E$4)*SUM(POZICIE_INTERNE!$I$52:$I$63))/POZICIE_INTERNE!$B$52)),0)+IFERROR(IF((EXTERNE_POZICIE!$B$53-12*('TCO TO BE- SW'!$D158-1))&gt;12,((M$4+'TCO TO BE - HW'!M$4)/($E$4+'TCO TO BE - HW'!$E$4)*SUM(EXTERNE_POZICIE!$M$53:$M$64)*1.23)/EXTERNE_POZICIE!$B$41*12,IF((EXTERNE_POZICIE!$B$53-12*('TCO TO BE- SW'!$D158-1))&lt;0,0,(EXTERNE_POZICIE!$B$53-12*('TCO TO BE- SW'!$D158-1))*((M$4+'TCO TO BE - HW'!M$4)/($E$4+'TCO TO BE - HW'!$E$4)*SUM(EXTERNE_POZICIE!$M$53:$M$64)*1.23)/EXTERNE_POZICIE!$B$53)),0)+IFERROR(SUM(#REF!)*'TCO TO BE- SW'!M$4/'TCO TO BE- SW'!$E$4,0)</f>
        <v>0</v>
      </c>
      <c r="N168" s="576">
        <f>IFERROR(IF((POZICIE_INTERNE!$B$52-12*('TCO TO BE- SW'!$D158-1))&gt;12,((N$4+'TCO TO BE - HW'!N$4)/($E$4+'TCO TO BE - HW'!$E$4)*SUM(POZICIE_INTERNE!$I$52:$I$63))/POZICIE_INTERNE!$B$52*12,IF((POZICIE_INTERNE!$B$52-12*('TCO TO BE- SW'!$D158-1))&lt;0,0,(POZICIE_INTERNE!$B$52-12*('TCO TO BE- SW'!$D158-1))*((N$4+'TCO TO BE - HW'!N$4)/($E$4+'TCO TO BE - HW'!$E$4)*SUM(POZICIE_INTERNE!$I$52:$I$63))/POZICIE_INTERNE!$B$52)),0)+IFERROR(IF((EXTERNE_POZICIE!$B$53-12*('TCO TO BE- SW'!$D158-1))&gt;12,((N$4+'TCO TO BE - HW'!N$4)/($E$4+'TCO TO BE - HW'!$E$4)*SUM(EXTERNE_POZICIE!$M$53:$M$64)*1.23)/EXTERNE_POZICIE!$B$41*12,IF((EXTERNE_POZICIE!$B$53-12*('TCO TO BE- SW'!$D158-1))&lt;0,0,(EXTERNE_POZICIE!$B$53-12*('TCO TO BE- SW'!$D158-1))*((N$4+'TCO TO BE - HW'!N$4)/($E$4+'TCO TO BE - HW'!$E$4)*SUM(EXTERNE_POZICIE!$M$53:$M$64)*1.23)/EXTERNE_POZICIE!$B$53)),0)+IFERROR(SUM(#REF!)*'TCO TO BE- SW'!N$4/'TCO TO BE- SW'!$E$4,0)</f>
        <v>0</v>
      </c>
      <c r="O168" s="576">
        <f>IFERROR(IF((POZICIE_INTERNE!$B$52-12*('TCO TO BE- SW'!$D158-1))&gt;12,((O$4+'TCO TO BE - HW'!O$4)/($E$4+'TCO TO BE - HW'!$E$4)*SUM(POZICIE_INTERNE!$I$52:$I$63))/POZICIE_INTERNE!$B$52*12,IF((POZICIE_INTERNE!$B$52-12*('TCO TO BE- SW'!$D158-1))&lt;0,0,(POZICIE_INTERNE!$B$52-12*('TCO TO BE- SW'!$D158-1))*((O$4+'TCO TO BE - HW'!O$4)/($E$4+'TCO TO BE - HW'!$E$4)*SUM(POZICIE_INTERNE!$I$52:$I$63))/POZICIE_INTERNE!$B$52)),0)+IFERROR(IF((EXTERNE_POZICIE!$B$53-12*('TCO TO BE- SW'!$D158-1))&gt;12,((O$4+'TCO TO BE - HW'!O$4)/($E$4+'TCO TO BE - HW'!$E$4)*SUM(EXTERNE_POZICIE!$M$53:$M$64)*1.23)/EXTERNE_POZICIE!$B$41*12,IF((EXTERNE_POZICIE!$B$53-12*('TCO TO BE- SW'!$D158-1))&lt;0,0,(EXTERNE_POZICIE!$B$53-12*('TCO TO BE- SW'!$D158-1))*((O$4+'TCO TO BE - HW'!O$4)/($E$4+'TCO TO BE - HW'!$E$4)*SUM(EXTERNE_POZICIE!$M$53:$M$64)*1.23)/EXTERNE_POZICIE!$B$53)),0)+IFERROR(SUM(#REF!)*'TCO TO BE- SW'!O$4/'TCO TO BE- SW'!$E$4,0)</f>
        <v>0</v>
      </c>
      <c r="P168" s="576">
        <f>IFERROR(IF((POZICIE_INTERNE!$B$52-12*('TCO TO BE- SW'!$D158-1))&gt;12,((P$4+'TCO TO BE - HW'!P$4)/($E$4+'TCO TO BE - HW'!$E$4)*SUM(POZICIE_INTERNE!$I$52:$I$63))/POZICIE_INTERNE!$B$52*12,IF((POZICIE_INTERNE!$B$52-12*('TCO TO BE- SW'!$D158-1))&lt;0,0,(POZICIE_INTERNE!$B$52-12*('TCO TO BE- SW'!$D158-1))*((P$4+'TCO TO BE - HW'!P$4)/($E$4+'TCO TO BE - HW'!$E$4)*SUM(POZICIE_INTERNE!$I$52:$I$63))/POZICIE_INTERNE!$B$52)),0)+IFERROR(IF((EXTERNE_POZICIE!$B$53-12*('TCO TO BE- SW'!$D158-1))&gt;12,((P$4+'TCO TO BE - HW'!P$4)/($E$4+'TCO TO BE - HW'!$E$4)*SUM(EXTERNE_POZICIE!$M$53:$M$64)*1.23)/EXTERNE_POZICIE!$B$41*12,IF((EXTERNE_POZICIE!$B$53-12*('TCO TO BE- SW'!$D158-1))&lt;0,0,(EXTERNE_POZICIE!$B$53-12*('TCO TO BE- SW'!$D158-1))*((P$4+'TCO TO BE - HW'!P$4)/($E$4+'TCO TO BE - HW'!$E$4)*SUM(EXTERNE_POZICIE!$M$53:$M$64)*1.23)/EXTERNE_POZICIE!$B$53)),0)+IFERROR(SUM(#REF!)*'TCO TO BE- SW'!P$4/'TCO TO BE- SW'!$E$4,0)</f>
        <v>0</v>
      </c>
      <c r="Q168" s="576">
        <f>IFERROR(IF((POZICIE_INTERNE!$B$52-12*('TCO TO BE- SW'!$D158-1))&gt;12,((Q$4+'TCO TO BE - HW'!Q$4)/($E$4+'TCO TO BE - HW'!$E$4)*SUM(POZICIE_INTERNE!$I$52:$I$63))/POZICIE_INTERNE!$B$52*12,IF((POZICIE_INTERNE!$B$52-12*('TCO TO BE- SW'!$D158-1))&lt;0,0,(POZICIE_INTERNE!$B$52-12*('TCO TO BE- SW'!$D158-1))*((Q$4+'TCO TO BE - HW'!Q$4)/($E$4+'TCO TO BE - HW'!$E$4)*SUM(POZICIE_INTERNE!$I$52:$I$63))/POZICIE_INTERNE!$B$52)),0)+IFERROR(IF((EXTERNE_POZICIE!$B$53-12*('TCO TO BE- SW'!$D158-1))&gt;12,((Q$4+'TCO TO BE - HW'!Q$4)/($E$4+'TCO TO BE - HW'!$E$4)*SUM(EXTERNE_POZICIE!$M$53:$M$64)*1.23)/EXTERNE_POZICIE!$B$41*12,IF((EXTERNE_POZICIE!$B$53-12*('TCO TO BE- SW'!$D158-1))&lt;0,0,(EXTERNE_POZICIE!$B$53-12*('TCO TO BE- SW'!$D158-1))*((Q$4+'TCO TO BE - HW'!Q$4)/($E$4+'TCO TO BE - HW'!$E$4)*SUM(EXTERNE_POZICIE!$M$53:$M$64)*1.23)/EXTERNE_POZICIE!$B$53)),0)+IFERROR(SUM(#REF!)*'TCO TO BE- SW'!Q$4/'TCO TO BE- SW'!$E$4,0)</f>
        <v>0</v>
      </c>
      <c r="R168" s="576">
        <f>IFERROR(IF((POZICIE_INTERNE!$B$52-12*('TCO TO BE- SW'!$D158-1))&gt;12,((R$4+'TCO TO BE - HW'!R$4)/($E$4+'TCO TO BE - HW'!$E$4)*SUM(POZICIE_INTERNE!$I$52:$I$63))/POZICIE_INTERNE!$B$52*12,IF((POZICIE_INTERNE!$B$52-12*('TCO TO BE- SW'!$D158-1))&lt;0,0,(POZICIE_INTERNE!$B$52-12*('TCO TO BE- SW'!$D158-1))*((R$4+'TCO TO BE - HW'!R$4)/($E$4+'TCO TO BE - HW'!$E$4)*SUM(POZICIE_INTERNE!$I$52:$I$63))/POZICIE_INTERNE!$B$52)),0)+IFERROR(IF((EXTERNE_POZICIE!$B$53-12*('TCO TO BE- SW'!$D158-1))&gt;12,((R$4+'TCO TO BE - HW'!R$4)/($E$4+'TCO TO BE - HW'!$E$4)*SUM(EXTERNE_POZICIE!$M$53:$M$64)*1.23)/EXTERNE_POZICIE!$B$41*12,IF((EXTERNE_POZICIE!$B$53-12*('TCO TO BE- SW'!$D158-1))&lt;0,0,(EXTERNE_POZICIE!$B$53-12*('TCO TO BE- SW'!$D158-1))*((R$4+'TCO TO BE - HW'!R$4)/($E$4+'TCO TO BE - HW'!$E$4)*SUM(EXTERNE_POZICIE!$M$53:$M$64)*1.23)/EXTERNE_POZICIE!$B$53)),0)+IFERROR(SUM(#REF!)*'TCO TO BE- SW'!R$4/'TCO TO BE- SW'!$E$4,0)</f>
        <v>0</v>
      </c>
      <c r="S168" s="576">
        <f>IFERROR(IF((POZICIE_INTERNE!$B$52-12*('TCO TO BE- SW'!$D158-1))&gt;12,((S$4+'TCO TO BE - HW'!S$4)/($E$4+'TCO TO BE - HW'!$E$4)*SUM(POZICIE_INTERNE!$I$52:$I$63))/POZICIE_INTERNE!$B$52*12,IF((POZICIE_INTERNE!$B$52-12*('TCO TO BE- SW'!$D158-1))&lt;0,0,(POZICIE_INTERNE!$B$52-12*('TCO TO BE- SW'!$D158-1))*((S$4+'TCO TO BE - HW'!S$4)/($E$4+'TCO TO BE - HW'!$E$4)*SUM(POZICIE_INTERNE!$I$52:$I$63))/POZICIE_INTERNE!$B$52)),0)+IFERROR(IF((EXTERNE_POZICIE!$B$53-12*('TCO TO BE- SW'!$D158-1))&gt;12,((S$4+'TCO TO BE - HW'!S$4)/($E$4+'TCO TO BE - HW'!$E$4)*SUM(EXTERNE_POZICIE!$M$53:$M$64)*1.23)/EXTERNE_POZICIE!$B$41*12,IF((EXTERNE_POZICIE!$B$53-12*('TCO TO BE- SW'!$D158-1))&lt;0,0,(EXTERNE_POZICIE!$B$53-12*('TCO TO BE- SW'!$D158-1))*((S$4+'TCO TO BE - HW'!S$4)/($E$4+'TCO TO BE - HW'!$E$4)*SUM(EXTERNE_POZICIE!$M$53:$M$64)*1.23)/EXTERNE_POZICIE!$B$53)),0)+IFERROR(SUM(#REF!)*'TCO TO BE- SW'!S$4/'TCO TO BE- SW'!$E$4,0)</f>
        <v>0</v>
      </c>
      <c r="T168" s="576">
        <f>IFERROR(IF((POZICIE_INTERNE!$B$52-12*('TCO TO BE- SW'!$D158-1))&gt;12,((T$4+'TCO TO BE - HW'!T$4)/($E$4+'TCO TO BE - HW'!$E$4)*SUM(POZICIE_INTERNE!$I$52:$I$63))/POZICIE_INTERNE!$B$52*12,IF((POZICIE_INTERNE!$B$52-12*('TCO TO BE- SW'!$D158-1))&lt;0,0,(POZICIE_INTERNE!$B$52-12*('TCO TO BE- SW'!$D158-1))*((T$4+'TCO TO BE - HW'!T$4)/($E$4+'TCO TO BE - HW'!$E$4)*SUM(POZICIE_INTERNE!$I$52:$I$63))/POZICIE_INTERNE!$B$52)),0)+IFERROR(IF((EXTERNE_POZICIE!$B$53-12*('TCO TO BE- SW'!$D158-1))&gt;12,((T$4+'TCO TO BE - HW'!T$4)/($E$4+'TCO TO BE - HW'!$E$4)*SUM(EXTERNE_POZICIE!$M$53:$M$64)*1.23)/EXTERNE_POZICIE!$B$41*12,IF((EXTERNE_POZICIE!$B$53-12*('TCO TO BE- SW'!$D158-1))&lt;0,0,(EXTERNE_POZICIE!$B$53-12*('TCO TO BE- SW'!$D158-1))*((T$4+'TCO TO BE - HW'!T$4)/($E$4+'TCO TO BE - HW'!$E$4)*SUM(EXTERNE_POZICIE!$M$53:$M$64)*1.23)/EXTERNE_POZICIE!$B$53)),0)+IFERROR(SUM(#REF!)*'TCO TO BE- SW'!T$4/'TCO TO BE- SW'!$E$4,0)</f>
        <v>0</v>
      </c>
      <c r="U168" s="576">
        <f>IFERROR(IF((POZICIE_INTERNE!$B$52-12*('TCO TO BE- SW'!$D158-1))&gt;12,((U$4+'TCO TO BE - HW'!U$4)/($E$4+'TCO TO BE - HW'!$E$4)*SUM(POZICIE_INTERNE!$I$52:$I$63))/POZICIE_INTERNE!$B$52*12,IF((POZICIE_INTERNE!$B$52-12*('TCO TO BE- SW'!$D158-1))&lt;0,0,(POZICIE_INTERNE!$B$52-12*('TCO TO BE- SW'!$D158-1))*((U$4+'TCO TO BE - HW'!U$4)/($E$4+'TCO TO BE - HW'!$E$4)*SUM(POZICIE_INTERNE!$I$52:$I$63))/POZICIE_INTERNE!$B$52)),0)+IFERROR(IF((EXTERNE_POZICIE!$B$53-12*('TCO TO BE- SW'!$D158-1))&gt;12,((U$4+'TCO TO BE - HW'!U$4)/($E$4+'TCO TO BE - HW'!$E$4)*SUM(EXTERNE_POZICIE!$M$53:$M$64)*1.23)/EXTERNE_POZICIE!$B$41*12,IF((EXTERNE_POZICIE!$B$53-12*('TCO TO BE- SW'!$D158-1))&lt;0,0,(EXTERNE_POZICIE!$B$53-12*('TCO TO BE- SW'!$D158-1))*((U$4+'TCO TO BE - HW'!U$4)/($E$4+'TCO TO BE - HW'!$E$4)*SUM(EXTERNE_POZICIE!$M$53:$M$64)*1.23)/EXTERNE_POZICIE!$B$53)),0)+IFERROR(SUM(#REF!)*'TCO TO BE- SW'!U$4/'TCO TO BE- SW'!$E$4,0)</f>
        <v>0</v>
      </c>
      <c r="V168" s="576">
        <f>IFERROR(IF((POZICIE_INTERNE!$B$52-12*('TCO TO BE- SW'!$D158-1))&gt;12,((V$4+'TCO TO BE - HW'!V$4)/($E$4+'TCO TO BE - HW'!$E$4)*SUM(POZICIE_INTERNE!$I$52:$I$63))/POZICIE_INTERNE!$B$52*12,IF((POZICIE_INTERNE!$B$52-12*('TCO TO BE- SW'!$D158-1))&lt;0,0,(POZICIE_INTERNE!$B$52-12*('TCO TO BE- SW'!$D158-1))*((V$4+'TCO TO BE - HW'!V$4)/($E$4+'TCO TO BE - HW'!$E$4)*SUM(POZICIE_INTERNE!$I$52:$I$63))/POZICIE_INTERNE!$B$52)),0)+IFERROR(IF((EXTERNE_POZICIE!$B$53-12*('TCO TO BE- SW'!$D158-1))&gt;12,((V$4+'TCO TO BE - HW'!V$4)/($E$4+'TCO TO BE - HW'!$E$4)*SUM(EXTERNE_POZICIE!$M$53:$M$64)*1.23)/EXTERNE_POZICIE!$B$41*12,IF((EXTERNE_POZICIE!$B$53-12*('TCO TO BE- SW'!$D158-1))&lt;0,0,(EXTERNE_POZICIE!$B$53-12*('TCO TO BE- SW'!$D158-1))*((V$4+'TCO TO BE - HW'!V$4)/($E$4+'TCO TO BE - HW'!$E$4)*SUM(EXTERNE_POZICIE!$M$53:$M$64)*1.23)/EXTERNE_POZICIE!$B$53)),0)+IFERROR(SUM(#REF!)*'TCO TO BE- SW'!V$4/'TCO TO BE- SW'!$E$4,0)</f>
        <v>0</v>
      </c>
      <c r="W168" s="576">
        <f>IFERROR(IF((POZICIE_INTERNE!$B$52-12*('TCO TO BE- SW'!$D158-1))&gt;12,((W$4+'TCO TO BE - HW'!W$4)/($E$4+'TCO TO BE - HW'!$E$4)*SUM(POZICIE_INTERNE!$I$52:$I$63))/POZICIE_INTERNE!$B$52*12,IF((POZICIE_INTERNE!$B$52-12*('TCO TO BE- SW'!$D158-1))&lt;0,0,(POZICIE_INTERNE!$B$52-12*('TCO TO BE- SW'!$D158-1))*((W$4+'TCO TO BE - HW'!W$4)/($E$4+'TCO TO BE - HW'!$E$4)*SUM(POZICIE_INTERNE!$I$52:$I$63))/POZICIE_INTERNE!$B$52)),0)+IFERROR(IF((EXTERNE_POZICIE!$B$53-12*('TCO TO BE- SW'!$D158-1))&gt;12,((W$4+'TCO TO BE - HW'!W$4)/($E$4+'TCO TO BE - HW'!$E$4)*SUM(EXTERNE_POZICIE!$M$53:$M$64)*1.23)/EXTERNE_POZICIE!$B$41*12,IF((EXTERNE_POZICIE!$B$53-12*('TCO TO BE- SW'!$D158-1))&lt;0,0,(EXTERNE_POZICIE!$B$53-12*('TCO TO BE- SW'!$D158-1))*((W$4+'TCO TO BE - HW'!W$4)/($E$4+'TCO TO BE - HW'!$E$4)*SUM(EXTERNE_POZICIE!$M$53:$M$64)*1.23)/EXTERNE_POZICIE!$B$53)),0)+IFERROR(SUM(#REF!)*'TCO TO BE- SW'!W$4/'TCO TO BE- SW'!$E$4,0)</f>
        <v>0</v>
      </c>
      <c r="X168" s="576">
        <f>IFERROR(IF((POZICIE_INTERNE!$B$52-12*('TCO TO BE- SW'!$D158-1))&gt;12,((X$4+'TCO TO BE - HW'!X$4)/($E$4+'TCO TO BE - HW'!$E$4)*SUM(POZICIE_INTERNE!$I$52:$I$63))/POZICIE_INTERNE!$B$52*12,IF((POZICIE_INTERNE!$B$52-12*('TCO TO BE- SW'!$D158-1))&lt;0,0,(POZICIE_INTERNE!$B$52-12*('TCO TO BE- SW'!$D158-1))*((X$4+'TCO TO BE - HW'!X$4)/($E$4+'TCO TO BE - HW'!$E$4)*SUM(POZICIE_INTERNE!$I$52:$I$63))/POZICIE_INTERNE!$B$52)),0)+IFERROR(IF((EXTERNE_POZICIE!$B$53-12*('TCO TO BE- SW'!$D158-1))&gt;12,((X$4+'TCO TO BE - HW'!X$4)/($E$4+'TCO TO BE - HW'!$E$4)*SUM(EXTERNE_POZICIE!$M$53:$M$64)*1.23)/EXTERNE_POZICIE!$B$41*12,IF((EXTERNE_POZICIE!$B$53-12*('TCO TO BE- SW'!$D158-1))&lt;0,0,(EXTERNE_POZICIE!$B$53-12*('TCO TO BE- SW'!$D158-1))*((X$4+'TCO TO BE - HW'!X$4)/($E$4+'TCO TO BE - HW'!$E$4)*SUM(EXTERNE_POZICIE!$M$53:$M$64)*1.23)/EXTERNE_POZICIE!$B$53)),0)+IFERROR(SUM(#REF!)*'TCO TO BE- SW'!X$4/'TCO TO BE- SW'!$E$4,0)</f>
        <v>0</v>
      </c>
      <c r="Y168" s="576">
        <f>IFERROR(IF((POZICIE_INTERNE!$B$52-12*('TCO TO BE- SW'!$D158-1))&gt;12,((Y$4+'TCO TO BE - HW'!Y$4)/($E$4+'TCO TO BE - HW'!$E$4)*SUM(POZICIE_INTERNE!$I$52:$I$63))/POZICIE_INTERNE!$B$52*12,IF((POZICIE_INTERNE!$B$52-12*('TCO TO BE- SW'!$D158-1))&lt;0,0,(POZICIE_INTERNE!$B$52-12*('TCO TO BE- SW'!$D158-1))*((Y$4+'TCO TO BE - HW'!Y$4)/($E$4+'TCO TO BE - HW'!$E$4)*SUM(POZICIE_INTERNE!$I$52:$I$63))/POZICIE_INTERNE!$B$52)),0)+IFERROR(IF((EXTERNE_POZICIE!$B$53-12*('TCO TO BE- SW'!$D158-1))&gt;12,((Y$4+'TCO TO BE - HW'!Y$4)/($E$4+'TCO TO BE - HW'!$E$4)*SUM(EXTERNE_POZICIE!$M$53:$M$64)*1.23)/EXTERNE_POZICIE!$B$41*12,IF((EXTERNE_POZICIE!$B$53-12*('TCO TO BE- SW'!$D158-1))&lt;0,0,(EXTERNE_POZICIE!$B$53-12*('TCO TO BE- SW'!$D158-1))*((Y$4+'TCO TO BE - HW'!Y$4)/($E$4+'TCO TO BE - HW'!$E$4)*SUM(EXTERNE_POZICIE!$M$53:$M$64)*1.23)/EXTERNE_POZICIE!$B$53)),0)+IFERROR(SUM(#REF!)*'TCO TO BE- SW'!Y$4/'TCO TO BE- SW'!$E$4,0)</f>
        <v>0</v>
      </c>
      <c r="Z168" s="576">
        <f>IFERROR(IF((POZICIE_INTERNE!$B$52-12*('TCO TO BE- SW'!$D158-1))&gt;12,((Z$4+'TCO TO BE - HW'!Z$4)/($E$4+'TCO TO BE - HW'!$E$4)*SUM(POZICIE_INTERNE!$I$52:$I$63))/POZICIE_INTERNE!$B$52*12,IF((POZICIE_INTERNE!$B$52-12*('TCO TO BE- SW'!$D158-1))&lt;0,0,(POZICIE_INTERNE!$B$52-12*('TCO TO BE- SW'!$D158-1))*((Z$4+'TCO TO BE - HW'!Z$4)/($E$4+'TCO TO BE - HW'!$E$4)*SUM(POZICIE_INTERNE!$I$52:$I$63))/POZICIE_INTERNE!$B$52)),0)+IFERROR(IF((EXTERNE_POZICIE!$B$53-12*('TCO TO BE- SW'!$D158-1))&gt;12,((Z$4+'TCO TO BE - HW'!Z$4)/($E$4+'TCO TO BE - HW'!$E$4)*SUM(EXTERNE_POZICIE!$M$53:$M$64)*1.23)/EXTERNE_POZICIE!$B$41*12,IF((EXTERNE_POZICIE!$B$53-12*('TCO TO BE- SW'!$D158-1))&lt;0,0,(EXTERNE_POZICIE!$B$53-12*('TCO TO BE- SW'!$D158-1))*((Z$4+'TCO TO BE - HW'!Z$4)/($E$4+'TCO TO BE - HW'!$E$4)*SUM(EXTERNE_POZICIE!$M$53:$M$64)*1.23)/EXTERNE_POZICIE!$B$53)),0)+IFERROR(SUM(#REF!)*'TCO TO BE- SW'!Z$4/'TCO TO BE- SW'!$E$4,0)</f>
        <v>0</v>
      </c>
    </row>
    <row r="169" spans="1:26">
      <c r="A169" s="841"/>
      <c r="B169" s="842"/>
      <c r="C169" s="842"/>
      <c r="D169" s="64">
        <v>9</v>
      </c>
      <c r="E169" s="68">
        <f t="shared" si="16"/>
        <v>0</v>
      </c>
      <c r="F169" s="576">
        <f>IFERROR(IF((POZICIE_INTERNE!$B$52-12*('TCO TO BE- SW'!$D159-1))&gt;12,((F$4+'TCO TO BE - HW'!F$4)/($E$4+'TCO TO BE - HW'!$E$4)*SUM(POZICIE_INTERNE!$I$52:$I$63))/POZICIE_INTERNE!$B$52*12,IF((POZICIE_INTERNE!$B$52-12*('TCO TO BE- SW'!$D159-1))&lt;0,0,(POZICIE_INTERNE!$B$52-12*('TCO TO BE- SW'!$D159-1))*((F$4+'TCO TO BE - HW'!F$4)/($E$4+'TCO TO BE - HW'!$E$4)*SUM(POZICIE_INTERNE!$I$52:$I$63))/POZICIE_INTERNE!$B$52)),0)+IFERROR(IF((EXTERNE_POZICIE!$B$53-12*('TCO TO BE- SW'!$D159-1))&gt;12,((F$4+'TCO TO BE - HW'!F$4)/($E$4+'TCO TO BE - HW'!$E$4)*SUM(EXTERNE_POZICIE!$M$53:$M$64)*1.23)/EXTERNE_POZICIE!$B$41*12,IF((EXTERNE_POZICIE!$B$53-12*('TCO TO BE- SW'!$D159-1))&lt;0,0,(EXTERNE_POZICIE!$B$53-12*('TCO TO BE- SW'!$D159-1))*((F$4+'TCO TO BE - HW'!F$4)/($E$4+'TCO TO BE - HW'!$E$4)*SUM(EXTERNE_POZICIE!$M$53:$M$64)*1.23)/EXTERNE_POZICIE!$B$53)),0)+IFERROR(SUM(#REF!)*'TCO TO BE- SW'!F$4/'TCO TO BE- SW'!$E$4,0)</f>
        <v>0</v>
      </c>
      <c r="G169" s="576">
        <f>IFERROR(IF((POZICIE_INTERNE!$B$52-12*('TCO TO BE- SW'!$D159-1))&gt;12,((G$4+'TCO TO BE - HW'!G$4)/($E$4+'TCO TO BE - HW'!$E$4)*SUM(POZICIE_INTERNE!$I$52:$I$63))/POZICIE_INTERNE!$B$52*12,IF((POZICIE_INTERNE!$B$52-12*('TCO TO BE- SW'!$D159-1))&lt;0,0,(POZICIE_INTERNE!$B$52-12*('TCO TO BE- SW'!$D159-1))*((G$4+'TCO TO BE - HW'!G$4)/($E$4+'TCO TO BE - HW'!$E$4)*SUM(POZICIE_INTERNE!$I$52:$I$63))/POZICIE_INTERNE!$B$52)),0)+IFERROR(IF((EXTERNE_POZICIE!$B$53-12*('TCO TO BE- SW'!$D159-1))&gt;12,((G$4+'TCO TO BE - HW'!G$4)/($E$4+'TCO TO BE - HW'!$E$4)*SUM(EXTERNE_POZICIE!$M$53:$M$64)*1.23)/EXTERNE_POZICIE!$B$41*12,IF((EXTERNE_POZICIE!$B$53-12*('TCO TO BE- SW'!$D159-1))&lt;0,0,(EXTERNE_POZICIE!$B$53-12*('TCO TO BE- SW'!$D159-1))*((G$4+'TCO TO BE - HW'!G$4)/($E$4+'TCO TO BE - HW'!$E$4)*SUM(EXTERNE_POZICIE!$M$53:$M$64)*1.23)/EXTERNE_POZICIE!$B$53)),0)+IFERROR(SUM(#REF!)*'TCO TO BE- SW'!G$4/'TCO TO BE- SW'!$E$4,0)</f>
        <v>0</v>
      </c>
      <c r="H169" s="576">
        <f>IFERROR(IF((POZICIE_INTERNE!$B$52-12*('TCO TO BE- SW'!$D159-1))&gt;12,((H$4+'TCO TO BE - HW'!H$4)/($E$4+'TCO TO BE - HW'!$E$4)*SUM(POZICIE_INTERNE!$I$52:$I$63))/POZICIE_INTERNE!$B$52*12,IF((POZICIE_INTERNE!$B$52-12*('TCO TO BE- SW'!$D159-1))&lt;0,0,(POZICIE_INTERNE!$B$52-12*('TCO TO BE- SW'!$D159-1))*((H$4+'TCO TO BE - HW'!H$4)/($E$4+'TCO TO BE - HW'!$E$4)*SUM(POZICIE_INTERNE!$I$52:$I$63))/POZICIE_INTERNE!$B$52)),0)+IFERROR(IF((EXTERNE_POZICIE!$B$53-12*('TCO TO BE- SW'!$D159-1))&gt;12,((H$4+'TCO TO BE - HW'!H$4)/($E$4+'TCO TO BE - HW'!$E$4)*SUM(EXTERNE_POZICIE!$M$53:$M$64)*1.23)/EXTERNE_POZICIE!$B$41*12,IF((EXTERNE_POZICIE!$B$53-12*('TCO TO BE- SW'!$D159-1))&lt;0,0,(EXTERNE_POZICIE!$B$53-12*('TCO TO BE- SW'!$D159-1))*((H$4+'TCO TO BE - HW'!H$4)/($E$4+'TCO TO BE - HW'!$E$4)*SUM(EXTERNE_POZICIE!$M$53:$M$64)*1.23)/EXTERNE_POZICIE!$B$53)),0)+IFERROR(SUM(#REF!)*'TCO TO BE- SW'!H$4/'TCO TO BE- SW'!$E$4,0)</f>
        <v>0</v>
      </c>
      <c r="I169" s="576">
        <f>IFERROR(IF((POZICIE_INTERNE!$B$52-12*('TCO TO BE- SW'!$D159-1))&gt;12,((I$4+'TCO TO BE - HW'!I$4)/($E$4+'TCO TO BE - HW'!$E$4)*SUM(POZICIE_INTERNE!$I$52:$I$63))/POZICIE_INTERNE!$B$52*12,IF((POZICIE_INTERNE!$B$52-12*('TCO TO BE- SW'!$D159-1))&lt;0,0,(POZICIE_INTERNE!$B$52-12*('TCO TO BE- SW'!$D159-1))*((I$4+'TCO TO BE - HW'!I$4)/($E$4+'TCO TO BE - HW'!$E$4)*SUM(POZICIE_INTERNE!$I$52:$I$63))/POZICIE_INTERNE!$B$52)),0)+IFERROR(IF((EXTERNE_POZICIE!$B$53-12*('TCO TO BE- SW'!$D159-1))&gt;12,((I$4+'TCO TO BE - HW'!I$4)/($E$4+'TCO TO BE - HW'!$E$4)*SUM(EXTERNE_POZICIE!$M$53:$M$64)*1.23)/EXTERNE_POZICIE!$B$41*12,IF((EXTERNE_POZICIE!$B$53-12*('TCO TO BE- SW'!$D159-1))&lt;0,0,(EXTERNE_POZICIE!$B$53-12*('TCO TO BE- SW'!$D159-1))*((I$4+'TCO TO BE - HW'!I$4)/($E$4+'TCO TO BE - HW'!$E$4)*SUM(EXTERNE_POZICIE!$M$53:$M$64)*1.23)/EXTERNE_POZICIE!$B$53)),0)+IFERROR(SUM(#REF!)*'TCO TO BE- SW'!I$4/'TCO TO BE- SW'!$E$4,0)</f>
        <v>0</v>
      </c>
      <c r="J169" s="576">
        <f>IFERROR(IF((POZICIE_INTERNE!$B$52-12*('TCO TO BE- SW'!$D159-1))&gt;12,((J$4+'TCO TO BE - HW'!J$4)/($E$4+'TCO TO BE - HW'!$E$4)*SUM(POZICIE_INTERNE!$I$52:$I$63))/POZICIE_INTERNE!$B$52*12,IF((POZICIE_INTERNE!$B$52-12*('TCO TO BE- SW'!$D159-1))&lt;0,0,(POZICIE_INTERNE!$B$52-12*('TCO TO BE- SW'!$D159-1))*((J$4+'TCO TO BE - HW'!J$4)/($E$4+'TCO TO BE - HW'!$E$4)*SUM(POZICIE_INTERNE!$I$52:$I$63))/POZICIE_INTERNE!$B$52)),0)+IFERROR(IF((EXTERNE_POZICIE!$B$53-12*('TCO TO BE- SW'!$D159-1))&gt;12,((J$4+'TCO TO BE - HW'!J$4)/($E$4+'TCO TO BE - HW'!$E$4)*SUM(EXTERNE_POZICIE!$M$53:$M$64)*1.23)/EXTERNE_POZICIE!$B$41*12,IF((EXTERNE_POZICIE!$B$53-12*('TCO TO BE- SW'!$D159-1))&lt;0,0,(EXTERNE_POZICIE!$B$53-12*('TCO TO BE- SW'!$D159-1))*((J$4+'TCO TO BE - HW'!J$4)/($E$4+'TCO TO BE - HW'!$E$4)*SUM(EXTERNE_POZICIE!$M$53:$M$64)*1.23)/EXTERNE_POZICIE!$B$53)),0)+IFERROR(SUM(#REF!)*'TCO TO BE- SW'!J$4/'TCO TO BE- SW'!$E$4,0)</f>
        <v>0</v>
      </c>
      <c r="K169" s="576">
        <f>IFERROR(IF((POZICIE_INTERNE!$B$52-12*('TCO TO BE- SW'!$D159-1))&gt;12,((K$4+'TCO TO BE - HW'!K$4)/($E$4+'TCO TO BE - HW'!$E$4)*SUM(POZICIE_INTERNE!$I$52:$I$63))/POZICIE_INTERNE!$B$52*12,IF((POZICIE_INTERNE!$B$52-12*('TCO TO BE- SW'!$D159-1))&lt;0,0,(POZICIE_INTERNE!$B$52-12*('TCO TO BE- SW'!$D159-1))*((K$4+'TCO TO BE - HW'!K$4)/($E$4+'TCO TO BE - HW'!$E$4)*SUM(POZICIE_INTERNE!$I$52:$I$63))/POZICIE_INTERNE!$B$52)),0)+IFERROR(IF((EXTERNE_POZICIE!$B$53-12*('TCO TO BE- SW'!$D159-1))&gt;12,((K$4+'TCO TO BE - HW'!K$4)/($E$4+'TCO TO BE - HW'!$E$4)*SUM(EXTERNE_POZICIE!$M$53:$M$64)*1.23)/EXTERNE_POZICIE!$B$41*12,IF((EXTERNE_POZICIE!$B$53-12*('TCO TO BE- SW'!$D159-1))&lt;0,0,(EXTERNE_POZICIE!$B$53-12*('TCO TO BE- SW'!$D159-1))*((K$4+'TCO TO BE - HW'!K$4)/($E$4+'TCO TO BE - HW'!$E$4)*SUM(EXTERNE_POZICIE!$M$53:$M$64)*1.23)/EXTERNE_POZICIE!$B$53)),0)+IFERROR(SUM(#REF!)*'TCO TO BE- SW'!K$4/'TCO TO BE- SW'!$E$4,0)</f>
        <v>0</v>
      </c>
      <c r="L169" s="576">
        <f>IFERROR(IF((POZICIE_INTERNE!$B$52-12*('TCO TO BE- SW'!$D159-1))&gt;12,((L$4+'TCO TO BE - HW'!L$4)/($E$4+'TCO TO BE - HW'!$E$4)*SUM(POZICIE_INTERNE!$I$52:$I$63))/POZICIE_INTERNE!$B$52*12,IF((POZICIE_INTERNE!$B$52-12*('TCO TO BE- SW'!$D159-1))&lt;0,0,(POZICIE_INTERNE!$B$52-12*('TCO TO BE- SW'!$D159-1))*((L$4+'TCO TO BE - HW'!L$4)/($E$4+'TCO TO BE - HW'!$E$4)*SUM(POZICIE_INTERNE!$I$52:$I$63))/POZICIE_INTERNE!$B$52)),0)+IFERROR(IF((EXTERNE_POZICIE!$B$53-12*('TCO TO BE- SW'!$D159-1))&gt;12,((L$4+'TCO TO BE - HW'!L$4)/($E$4+'TCO TO BE - HW'!$E$4)*SUM(EXTERNE_POZICIE!$M$53:$M$64)*1.23)/EXTERNE_POZICIE!$B$41*12,IF((EXTERNE_POZICIE!$B$53-12*('TCO TO BE- SW'!$D159-1))&lt;0,0,(EXTERNE_POZICIE!$B$53-12*('TCO TO BE- SW'!$D159-1))*((L$4+'TCO TO BE - HW'!L$4)/($E$4+'TCO TO BE - HW'!$E$4)*SUM(EXTERNE_POZICIE!$M$53:$M$64)*1.23)/EXTERNE_POZICIE!$B$53)),0)+IFERROR(SUM(#REF!)*'TCO TO BE- SW'!L$4/'TCO TO BE- SW'!$E$4,0)</f>
        <v>0</v>
      </c>
      <c r="M169" s="576">
        <f>IFERROR(IF((POZICIE_INTERNE!$B$52-12*('TCO TO BE- SW'!$D159-1))&gt;12,((M$4+'TCO TO BE - HW'!M$4)/($E$4+'TCO TO BE - HW'!$E$4)*SUM(POZICIE_INTERNE!$I$52:$I$63))/POZICIE_INTERNE!$B$52*12,IF((POZICIE_INTERNE!$B$52-12*('TCO TO BE- SW'!$D159-1))&lt;0,0,(POZICIE_INTERNE!$B$52-12*('TCO TO BE- SW'!$D159-1))*((M$4+'TCO TO BE - HW'!M$4)/($E$4+'TCO TO BE - HW'!$E$4)*SUM(POZICIE_INTERNE!$I$52:$I$63))/POZICIE_INTERNE!$B$52)),0)+IFERROR(IF((EXTERNE_POZICIE!$B$53-12*('TCO TO BE- SW'!$D159-1))&gt;12,((M$4+'TCO TO BE - HW'!M$4)/($E$4+'TCO TO BE - HW'!$E$4)*SUM(EXTERNE_POZICIE!$M$53:$M$64)*1.23)/EXTERNE_POZICIE!$B$41*12,IF((EXTERNE_POZICIE!$B$53-12*('TCO TO BE- SW'!$D159-1))&lt;0,0,(EXTERNE_POZICIE!$B$53-12*('TCO TO BE- SW'!$D159-1))*((M$4+'TCO TO BE - HW'!M$4)/($E$4+'TCO TO BE - HW'!$E$4)*SUM(EXTERNE_POZICIE!$M$53:$M$64)*1.23)/EXTERNE_POZICIE!$B$53)),0)+IFERROR(SUM(#REF!)*'TCO TO BE- SW'!M$4/'TCO TO BE- SW'!$E$4,0)</f>
        <v>0</v>
      </c>
      <c r="N169" s="576">
        <f>IFERROR(IF((POZICIE_INTERNE!$B$52-12*('TCO TO BE- SW'!$D159-1))&gt;12,((N$4+'TCO TO BE - HW'!N$4)/($E$4+'TCO TO BE - HW'!$E$4)*SUM(POZICIE_INTERNE!$I$52:$I$63))/POZICIE_INTERNE!$B$52*12,IF((POZICIE_INTERNE!$B$52-12*('TCO TO BE- SW'!$D159-1))&lt;0,0,(POZICIE_INTERNE!$B$52-12*('TCO TO BE- SW'!$D159-1))*((N$4+'TCO TO BE - HW'!N$4)/($E$4+'TCO TO BE - HW'!$E$4)*SUM(POZICIE_INTERNE!$I$52:$I$63))/POZICIE_INTERNE!$B$52)),0)+IFERROR(IF((EXTERNE_POZICIE!$B$53-12*('TCO TO BE- SW'!$D159-1))&gt;12,((N$4+'TCO TO BE - HW'!N$4)/($E$4+'TCO TO BE - HW'!$E$4)*SUM(EXTERNE_POZICIE!$M$53:$M$64)*1.23)/EXTERNE_POZICIE!$B$41*12,IF((EXTERNE_POZICIE!$B$53-12*('TCO TO BE- SW'!$D159-1))&lt;0,0,(EXTERNE_POZICIE!$B$53-12*('TCO TO BE- SW'!$D159-1))*((N$4+'TCO TO BE - HW'!N$4)/($E$4+'TCO TO BE - HW'!$E$4)*SUM(EXTERNE_POZICIE!$M$53:$M$64)*1.23)/EXTERNE_POZICIE!$B$53)),0)+IFERROR(SUM(#REF!)*'TCO TO BE- SW'!N$4/'TCO TO BE- SW'!$E$4,0)</f>
        <v>0</v>
      </c>
      <c r="O169" s="576">
        <f>IFERROR(IF((POZICIE_INTERNE!$B$52-12*('TCO TO BE- SW'!$D159-1))&gt;12,((O$4+'TCO TO BE - HW'!O$4)/($E$4+'TCO TO BE - HW'!$E$4)*SUM(POZICIE_INTERNE!$I$52:$I$63))/POZICIE_INTERNE!$B$52*12,IF((POZICIE_INTERNE!$B$52-12*('TCO TO BE- SW'!$D159-1))&lt;0,0,(POZICIE_INTERNE!$B$52-12*('TCO TO BE- SW'!$D159-1))*((O$4+'TCO TO BE - HW'!O$4)/($E$4+'TCO TO BE - HW'!$E$4)*SUM(POZICIE_INTERNE!$I$52:$I$63))/POZICIE_INTERNE!$B$52)),0)+IFERROR(IF((EXTERNE_POZICIE!$B$53-12*('TCO TO BE- SW'!$D159-1))&gt;12,((O$4+'TCO TO BE - HW'!O$4)/($E$4+'TCO TO BE - HW'!$E$4)*SUM(EXTERNE_POZICIE!$M$53:$M$64)*1.23)/EXTERNE_POZICIE!$B$41*12,IF((EXTERNE_POZICIE!$B$53-12*('TCO TO BE- SW'!$D159-1))&lt;0,0,(EXTERNE_POZICIE!$B$53-12*('TCO TO BE- SW'!$D159-1))*((O$4+'TCO TO BE - HW'!O$4)/($E$4+'TCO TO BE - HW'!$E$4)*SUM(EXTERNE_POZICIE!$M$53:$M$64)*1.23)/EXTERNE_POZICIE!$B$53)),0)+IFERROR(SUM(#REF!)*'TCO TO BE- SW'!O$4/'TCO TO BE- SW'!$E$4,0)</f>
        <v>0</v>
      </c>
      <c r="P169" s="576">
        <f>IFERROR(IF((POZICIE_INTERNE!$B$52-12*('TCO TO BE- SW'!$D159-1))&gt;12,((P$4+'TCO TO BE - HW'!P$4)/($E$4+'TCO TO BE - HW'!$E$4)*SUM(POZICIE_INTERNE!$I$52:$I$63))/POZICIE_INTERNE!$B$52*12,IF((POZICIE_INTERNE!$B$52-12*('TCO TO BE- SW'!$D159-1))&lt;0,0,(POZICIE_INTERNE!$B$52-12*('TCO TO BE- SW'!$D159-1))*((P$4+'TCO TO BE - HW'!P$4)/($E$4+'TCO TO BE - HW'!$E$4)*SUM(POZICIE_INTERNE!$I$52:$I$63))/POZICIE_INTERNE!$B$52)),0)+IFERROR(IF((EXTERNE_POZICIE!$B$53-12*('TCO TO BE- SW'!$D159-1))&gt;12,((P$4+'TCO TO BE - HW'!P$4)/($E$4+'TCO TO BE - HW'!$E$4)*SUM(EXTERNE_POZICIE!$M$53:$M$64)*1.23)/EXTERNE_POZICIE!$B$41*12,IF((EXTERNE_POZICIE!$B$53-12*('TCO TO BE- SW'!$D159-1))&lt;0,0,(EXTERNE_POZICIE!$B$53-12*('TCO TO BE- SW'!$D159-1))*((P$4+'TCO TO BE - HW'!P$4)/($E$4+'TCO TO BE - HW'!$E$4)*SUM(EXTERNE_POZICIE!$M$53:$M$64)*1.23)/EXTERNE_POZICIE!$B$53)),0)+IFERROR(SUM(#REF!)*'TCO TO BE- SW'!P$4/'TCO TO BE- SW'!$E$4,0)</f>
        <v>0</v>
      </c>
      <c r="Q169" s="576">
        <f>IFERROR(IF((POZICIE_INTERNE!$B$52-12*('TCO TO BE- SW'!$D159-1))&gt;12,((Q$4+'TCO TO BE - HW'!Q$4)/($E$4+'TCO TO BE - HW'!$E$4)*SUM(POZICIE_INTERNE!$I$52:$I$63))/POZICIE_INTERNE!$B$52*12,IF((POZICIE_INTERNE!$B$52-12*('TCO TO BE- SW'!$D159-1))&lt;0,0,(POZICIE_INTERNE!$B$52-12*('TCO TO BE- SW'!$D159-1))*((Q$4+'TCO TO BE - HW'!Q$4)/($E$4+'TCO TO BE - HW'!$E$4)*SUM(POZICIE_INTERNE!$I$52:$I$63))/POZICIE_INTERNE!$B$52)),0)+IFERROR(IF((EXTERNE_POZICIE!$B$53-12*('TCO TO BE- SW'!$D159-1))&gt;12,((Q$4+'TCO TO BE - HW'!Q$4)/($E$4+'TCO TO BE - HW'!$E$4)*SUM(EXTERNE_POZICIE!$M$53:$M$64)*1.23)/EXTERNE_POZICIE!$B$41*12,IF((EXTERNE_POZICIE!$B$53-12*('TCO TO BE- SW'!$D159-1))&lt;0,0,(EXTERNE_POZICIE!$B$53-12*('TCO TO BE- SW'!$D159-1))*((Q$4+'TCO TO BE - HW'!Q$4)/($E$4+'TCO TO BE - HW'!$E$4)*SUM(EXTERNE_POZICIE!$M$53:$M$64)*1.23)/EXTERNE_POZICIE!$B$53)),0)+IFERROR(SUM(#REF!)*'TCO TO BE- SW'!Q$4/'TCO TO BE- SW'!$E$4,0)</f>
        <v>0</v>
      </c>
      <c r="R169" s="576">
        <f>IFERROR(IF((POZICIE_INTERNE!$B$52-12*('TCO TO BE- SW'!$D159-1))&gt;12,((R$4+'TCO TO BE - HW'!R$4)/($E$4+'TCO TO BE - HW'!$E$4)*SUM(POZICIE_INTERNE!$I$52:$I$63))/POZICIE_INTERNE!$B$52*12,IF((POZICIE_INTERNE!$B$52-12*('TCO TO BE- SW'!$D159-1))&lt;0,0,(POZICIE_INTERNE!$B$52-12*('TCO TO BE- SW'!$D159-1))*((R$4+'TCO TO BE - HW'!R$4)/($E$4+'TCO TO BE - HW'!$E$4)*SUM(POZICIE_INTERNE!$I$52:$I$63))/POZICIE_INTERNE!$B$52)),0)+IFERROR(IF((EXTERNE_POZICIE!$B$53-12*('TCO TO BE- SW'!$D159-1))&gt;12,((R$4+'TCO TO BE - HW'!R$4)/($E$4+'TCO TO BE - HW'!$E$4)*SUM(EXTERNE_POZICIE!$M$53:$M$64)*1.23)/EXTERNE_POZICIE!$B$41*12,IF((EXTERNE_POZICIE!$B$53-12*('TCO TO BE- SW'!$D159-1))&lt;0,0,(EXTERNE_POZICIE!$B$53-12*('TCO TO BE- SW'!$D159-1))*((R$4+'TCO TO BE - HW'!R$4)/($E$4+'TCO TO BE - HW'!$E$4)*SUM(EXTERNE_POZICIE!$M$53:$M$64)*1.23)/EXTERNE_POZICIE!$B$53)),0)+IFERROR(SUM(#REF!)*'TCO TO BE- SW'!R$4/'TCO TO BE- SW'!$E$4,0)</f>
        <v>0</v>
      </c>
      <c r="S169" s="576">
        <f>IFERROR(IF((POZICIE_INTERNE!$B$52-12*('TCO TO BE- SW'!$D159-1))&gt;12,((S$4+'TCO TO BE - HW'!S$4)/($E$4+'TCO TO BE - HW'!$E$4)*SUM(POZICIE_INTERNE!$I$52:$I$63))/POZICIE_INTERNE!$B$52*12,IF((POZICIE_INTERNE!$B$52-12*('TCO TO BE- SW'!$D159-1))&lt;0,0,(POZICIE_INTERNE!$B$52-12*('TCO TO BE- SW'!$D159-1))*((S$4+'TCO TO BE - HW'!S$4)/($E$4+'TCO TO BE - HW'!$E$4)*SUM(POZICIE_INTERNE!$I$52:$I$63))/POZICIE_INTERNE!$B$52)),0)+IFERROR(IF((EXTERNE_POZICIE!$B$53-12*('TCO TO BE- SW'!$D159-1))&gt;12,((S$4+'TCO TO BE - HW'!S$4)/($E$4+'TCO TO BE - HW'!$E$4)*SUM(EXTERNE_POZICIE!$M$53:$M$64)*1.23)/EXTERNE_POZICIE!$B$41*12,IF((EXTERNE_POZICIE!$B$53-12*('TCO TO BE- SW'!$D159-1))&lt;0,0,(EXTERNE_POZICIE!$B$53-12*('TCO TO BE- SW'!$D159-1))*((S$4+'TCO TO BE - HW'!S$4)/($E$4+'TCO TO BE - HW'!$E$4)*SUM(EXTERNE_POZICIE!$M$53:$M$64)*1.23)/EXTERNE_POZICIE!$B$53)),0)+IFERROR(SUM(#REF!)*'TCO TO BE- SW'!S$4/'TCO TO BE- SW'!$E$4,0)</f>
        <v>0</v>
      </c>
      <c r="T169" s="576">
        <f>IFERROR(IF((POZICIE_INTERNE!$B$52-12*('TCO TO BE- SW'!$D159-1))&gt;12,((T$4+'TCO TO BE - HW'!T$4)/($E$4+'TCO TO BE - HW'!$E$4)*SUM(POZICIE_INTERNE!$I$52:$I$63))/POZICIE_INTERNE!$B$52*12,IF((POZICIE_INTERNE!$B$52-12*('TCO TO BE- SW'!$D159-1))&lt;0,0,(POZICIE_INTERNE!$B$52-12*('TCO TO BE- SW'!$D159-1))*((T$4+'TCO TO BE - HW'!T$4)/($E$4+'TCO TO BE - HW'!$E$4)*SUM(POZICIE_INTERNE!$I$52:$I$63))/POZICIE_INTERNE!$B$52)),0)+IFERROR(IF((EXTERNE_POZICIE!$B$53-12*('TCO TO BE- SW'!$D159-1))&gt;12,((T$4+'TCO TO BE - HW'!T$4)/($E$4+'TCO TO BE - HW'!$E$4)*SUM(EXTERNE_POZICIE!$M$53:$M$64)*1.23)/EXTERNE_POZICIE!$B$41*12,IF((EXTERNE_POZICIE!$B$53-12*('TCO TO BE- SW'!$D159-1))&lt;0,0,(EXTERNE_POZICIE!$B$53-12*('TCO TO BE- SW'!$D159-1))*((T$4+'TCO TO BE - HW'!T$4)/($E$4+'TCO TO BE - HW'!$E$4)*SUM(EXTERNE_POZICIE!$M$53:$M$64)*1.23)/EXTERNE_POZICIE!$B$53)),0)+IFERROR(SUM(#REF!)*'TCO TO BE- SW'!T$4/'TCO TO BE- SW'!$E$4,0)</f>
        <v>0</v>
      </c>
      <c r="U169" s="576">
        <f>IFERROR(IF((POZICIE_INTERNE!$B$52-12*('TCO TO BE- SW'!$D159-1))&gt;12,((U$4+'TCO TO BE - HW'!U$4)/($E$4+'TCO TO BE - HW'!$E$4)*SUM(POZICIE_INTERNE!$I$52:$I$63))/POZICIE_INTERNE!$B$52*12,IF((POZICIE_INTERNE!$B$52-12*('TCO TO BE- SW'!$D159-1))&lt;0,0,(POZICIE_INTERNE!$B$52-12*('TCO TO BE- SW'!$D159-1))*((U$4+'TCO TO BE - HW'!U$4)/($E$4+'TCO TO BE - HW'!$E$4)*SUM(POZICIE_INTERNE!$I$52:$I$63))/POZICIE_INTERNE!$B$52)),0)+IFERROR(IF((EXTERNE_POZICIE!$B$53-12*('TCO TO BE- SW'!$D159-1))&gt;12,((U$4+'TCO TO BE - HW'!U$4)/($E$4+'TCO TO BE - HW'!$E$4)*SUM(EXTERNE_POZICIE!$M$53:$M$64)*1.23)/EXTERNE_POZICIE!$B$41*12,IF((EXTERNE_POZICIE!$B$53-12*('TCO TO BE- SW'!$D159-1))&lt;0,0,(EXTERNE_POZICIE!$B$53-12*('TCO TO BE- SW'!$D159-1))*((U$4+'TCO TO BE - HW'!U$4)/($E$4+'TCO TO BE - HW'!$E$4)*SUM(EXTERNE_POZICIE!$M$53:$M$64)*1.23)/EXTERNE_POZICIE!$B$53)),0)+IFERROR(SUM(#REF!)*'TCO TO BE- SW'!U$4/'TCO TO BE- SW'!$E$4,0)</f>
        <v>0</v>
      </c>
      <c r="V169" s="576">
        <f>IFERROR(IF((POZICIE_INTERNE!$B$52-12*('TCO TO BE- SW'!$D159-1))&gt;12,((V$4+'TCO TO BE - HW'!V$4)/($E$4+'TCO TO BE - HW'!$E$4)*SUM(POZICIE_INTERNE!$I$52:$I$63))/POZICIE_INTERNE!$B$52*12,IF((POZICIE_INTERNE!$B$52-12*('TCO TO BE- SW'!$D159-1))&lt;0,0,(POZICIE_INTERNE!$B$52-12*('TCO TO BE- SW'!$D159-1))*((V$4+'TCO TO BE - HW'!V$4)/($E$4+'TCO TO BE - HW'!$E$4)*SUM(POZICIE_INTERNE!$I$52:$I$63))/POZICIE_INTERNE!$B$52)),0)+IFERROR(IF((EXTERNE_POZICIE!$B$53-12*('TCO TO BE- SW'!$D159-1))&gt;12,((V$4+'TCO TO BE - HW'!V$4)/($E$4+'TCO TO BE - HW'!$E$4)*SUM(EXTERNE_POZICIE!$M$53:$M$64)*1.23)/EXTERNE_POZICIE!$B$41*12,IF((EXTERNE_POZICIE!$B$53-12*('TCO TO BE- SW'!$D159-1))&lt;0,0,(EXTERNE_POZICIE!$B$53-12*('TCO TO BE- SW'!$D159-1))*((V$4+'TCO TO BE - HW'!V$4)/($E$4+'TCO TO BE - HW'!$E$4)*SUM(EXTERNE_POZICIE!$M$53:$M$64)*1.23)/EXTERNE_POZICIE!$B$53)),0)+IFERROR(SUM(#REF!)*'TCO TO BE- SW'!V$4/'TCO TO BE- SW'!$E$4,0)</f>
        <v>0</v>
      </c>
      <c r="W169" s="576">
        <f>IFERROR(IF((POZICIE_INTERNE!$B$52-12*('TCO TO BE- SW'!$D159-1))&gt;12,((W$4+'TCO TO BE - HW'!W$4)/($E$4+'TCO TO BE - HW'!$E$4)*SUM(POZICIE_INTERNE!$I$52:$I$63))/POZICIE_INTERNE!$B$52*12,IF((POZICIE_INTERNE!$B$52-12*('TCO TO BE- SW'!$D159-1))&lt;0,0,(POZICIE_INTERNE!$B$52-12*('TCO TO BE- SW'!$D159-1))*((W$4+'TCO TO BE - HW'!W$4)/($E$4+'TCO TO BE - HW'!$E$4)*SUM(POZICIE_INTERNE!$I$52:$I$63))/POZICIE_INTERNE!$B$52)),0)+IFERROR(IF((EXTERNE_POZICIE!$B$53-12*('TCO TO BE- SW'!$D159-1))&gt;12,((W$4+'TCO TO BE - HW'!W$4)/($E$4+'TCO TO BE - HW'!$E$4)*SUM(EXTERNE_POZICIE!$M$53:$M$64)*1.23)/EXTERNE_POZICIE!$B$41*12,IF((EXTERNE_POZICIE!$B$53-12*('TCO TO BE- SW'!$D159-1))&lt;0,0,(EXTERNE_POZICIE!$B$53-12*('TCO TO BE- SW'!$D159-1))*((W$4+'TCO TO BE - HW'!W$4)/($E$4+'TCO TO BE - HW'!$E$4)*SUM(EXTERNE_POZICIE!$M$53:$M$64)*1.23)/EXTERNE_POZICIE!$B$53)),0)+IFERROR(SUM(#REF!)*'TCO TO BE- SW'!W$4/'TCO TO BE- SW'!$E$4,0)</f>
        <v>0</v>
      </c>
      <c r="X169" s="576">
        <f>IFERROR(IF((POZICIE_INTERNE!$B$52-12*('TCO TO BE- SW'!$D159-1))&gt;12,((X$4+'TCO TO BE - HW'!X$4)/($E$4+'TCO TO BE - HW'!$E$4)*SUM(POZICIE_INTERNE!$I$52:$I$63))/POZICIE_INTERNE!$B$52*12,IF((POZICIE_INTERNE!$B$52-12*('TCO TO BE- SW'!$D159-1))&lt;0,0,(POZICIE_INTERNE!$B$52-12*('TCO TO BE- SW'!$D159-1))*((X$4+'TCO TO BE - HW'!X$4)/($E$4+'TCO TO BE - HW'!$E$4)*SUM(POZICIE_INTERNE!$I$52:$I$63))/POZICIE_INTERNE!$B$52)),0)+IFERROR(IF((EXTERNE_POZICIE!$B$53-12*('TCO TO BE- SW'!$D159-1))&gt;12,((X$4+'TCO TO BE - HW'!X$4)/($E$4+'TCO TO BE - HW'!$E$4)*SUM(EXTERNE_POZICIE!$M$53:$M$64)*1.23)/EXTERNE_POZICIE!$B$41*12,IF((EXTERNE_POZICIE!$B$53-12*('TCO TO BE- SW'!$D159-1))&lt;0,0,(EXTERNE_POZICIE!$B$53-12*('TCO TO BE- SW'!$D159-1))*((X$4+'TCO TO BE - HW'!X$4)/($E$4+'TCO TO BE - HW'!$E$4)*SUM(EXTERNE_POZICIE!$M$53:$M$64)*1.23)/EXTERNE_POZICIE!$B$53)),0)+IFERROR(SUM(#REF!)*'TCO TO BE- SW'!X$4/'TCO TO BE- SW'!$E$4,0)</f>
        <v>0</v>
      </c>
      <c r="Y169" s="576">
        <f>IFERROR(IF((POZICIE_INTERNE!$B$52-12*('TCO TO BE- SW'!$D159-1))&gt;12,((Y$4+'TCO TO BE - HW'!Y$4)/($E$4+'TCO TO BE - HW'!$E$4)*SUM(POZICIE_INTERNE!$I$52:$I$63))/POZICIE_INTERNE!$B$52*12,IF((POZICIE_INTERNE!$B$52-12*('TCO TO BE- SW'!$D159-1))&lt;0,0,(POZICIE_INTERNE!$B$52-12*('TCO TO BE- SW'!$D159-1))*((Y$4+'TCO TO BE - HW'!Y$4)/($E$4+'TCO TO BE - HW'!$E$4)*SUM(POZICIE_INTERNE!$I$52:$I$63))/POZICIE_INTERNE!$B$52)),0)+IFERROR(IF((EXTERNE_POZICIE!$B$53-12*('TCO TO BE- SW'!$D159-1))&gt;12,((Y$4+'TCO TO BE - HW'!Y$4)/($E$4+'TCO TO BE - HW'!$E$4)*SUM(EXTERNE_POZICIE!$M$53:$M$64)*1.23)/EXTERNE_POZICIE!$B$41*12,IF((EXTERNE_POZICIE!$B$53-12*('TCO TO BE- SW'!$D159-1))&lt;0,0,(EXTERNE_POZICIE!$B$53-12*('TCO TO BE- SW'!$D159-1))*((Y$4+'TCO TO BE - HW'!Y$4)/($E$4+'TCO TO BE - HW'!$E$4)*SUM(EXTERNE_POZICIE!$M$53:$M$64)*1.23)/EXTERNE_POZICIE!$B$53)),0)+IFERROR(SUM(#REF!)*'TCO TO BE- SW'!Y$4/'TCO TO BE- SW'!$E$4,0)</f>
        <v>0</v>
      </c>
      <c r="Z169" s="576">
        <f>IFERROR(IF((POZICIE_INTERNE!$B$52-12*('TCO TO BE- SW'!$D159-1))&gt;12,((Z$4+'TCO TO BE - HW'!Z$4)/($E$4+'TCO TO BE - HW'!$E$4)*SUM(POZICIE_INTERNE!$I$52:$I$63))/POZICIE_INTERNE!$B$52*12,IF((POZICIE_INTERNE!$B$52-12*('TCO TO BE- SW'!$D159-1))&lt;0,0,(POZICIE_INTERNE!$B$52-12*('TCO TO BE- SW'!$D159-1))*((Z$4+'TCO TO BE - HW'!Z$4)/($E$4+'TCO TO BE - HW'!$E$4)*SUM(POZICIE_INTERNE!$I$52:$I$63))/POZICIE_INTERNE!$B$52)),0)+IFERROR(IF((EXTERNE_POZICIE!$B$53-12*('TCO TO BE- SW'!$D159-1))&gt;12,((Z$4+'TCO TO BE - HW'!Z$4)/($E$4+'TCO TO BE - HW'!$E$4)*SUM(EXTERNE_POZICIE!$M$53:$M$64)*1.23)/EXTERNE_POZICIE!$B$41*12,IF((EXTERNE_POZICIE!$B$53-12*('TCO TO BE- SW'!$D159-1))&lt;0,0,(EXTERNE_POZICIE!$B$53-12*('TCO TO BE- SW'!$D159-1))*((Z$4+'TCO TO BE - HW'!Z$4)/($E$4+'TCO TO BE - HW'!$E$4)*SUM(EXTERNE_POZICIE!$M$53:$M$64)*1.23)/EXTERNE_POZICIE!$B$53)),0)+IFERROR(SUM(#REF!)*'TCO TO BE- SW'!Z$4/'TCO TO BE- SW'!$E$4,0)</f>
        <v>0</v>
      </c>
    </row>
    <row r="170" spans="1:26" ht="15" thickBot="1">
      <c r="A170" s="841"/>
      <c r="B170" s="842"/>
      <c r="C170" s="842"/>
      <c r="D170" s="65">
        <v>10</v>
      </c>
      <c r="E170" s="69">
        <f t="shared" si="16"/>
        <v>0</v>
      </c>
      <c r="F170" s="576">
        <f>IFERROR(IF((POZICIE_INTERNE!$B$52-12*('TCO TO BE- SW'!$D160-1))&gt;12,((F$4+'TCO TO BE - HW'!F$4)/($E$4+'TCO TO BE - HW'!$E$4)*SUM(POZICIE_INTERNE!$I$52:$I$63))/POZICIE_INTERNE!$B$52*12,IF((POZICIE_INTERNE!$B$52-12*('TCO TO BE- SW'!$D160-1))&lt;0,0,(POZICIE_INTERNE!$B$52-12*('TCO TO BE- SW'!$D160-1))*((F$4+'TCO TO BE - HW'!F$4)/($E$4+'TCO TO BE - HW'!$E$4)*SUM(POZICIE_INTERNE!$I$52:$I$63))/POZICIE_INTERNE!$B$52)),0)+IFERROR(IF((EXTERNE_POZICIE!$B$53-12*('TCO TO BE- SW'!$D160-1))&gt;12,((F$4+'TCO TO BE - HW'!F$4)/($E$4+'TCO TO BE - HW'!$E$4)*SUM(EXTERNE_POZICIE!$M$53:$M$64)*1.23)/EXTERNE_POZICIE!$B$41*12,IF((EXTERNE_POZICIE!$B$53-12*('TCO TO BE- SW'!$D160-1))&lt;0,0,(EXTERNE_POZICIE!$B$53-12*('TCO TO BE- SW'!$D160-1))*((F$4+'TCO TO BE - HW'!F$4)/($E$4+'TCO TO BE - HW'!$E$4)*SUM(EXTERNE_POZICIE!$M$53:$M$64)*1.23)/EXTERNE_POZICIE!$B$53)),0)+IFERROR(SUM(#REF!)*'TCO TO BE- SW'!F$4/'TCO TO BE- SW'!$E$4,0)</f>
        <v>0</v>
      </c>
      <c r="G170" s="576">
        <f>IFERROR(IF((POZICIE_INTERNE!$B$52-12*('TCO TO BE- SW'!$D160-1))&gt;12,((G$4+'TCO TO BE - HW'!G$4)/($E$4+'TCO TO BE - HW'!$E$4)*SUM(POZICIE_INTERNE!$I$52:$I$63))/POZICIE_INTERNE!$B$52*12,IF((POZICIE_INTERNE!$B$52-12*('TCO TO BE- SW'!$D160-1))&lt;0,0,(POZICIE_INTERNE!$B$52-12*('TCO TO BE- SW'!$D160-1))*((G$4+'TCO TO BE - HW'!G$4)/($E$4+'TCO TO BE - HW'!$E$4)*SUM(POZICIE_INTERNE!$I$52:$I$63))/POZICIE_INTERNE!$B$52)),0)+IFERROR(IF((EXTERNE_POZICIE!$B$53-12*('TCO TO BE- SW'!$D160-1))&gt;12,((G$4+'TCO TO BE - HW'!G$4)/($E$4+'TCO TO BE - HW'!$E$4)*SUM(EXTERNE_POZICIE!$M$53:$M$64)*1.23)/EXTERNE_POZICIE!$B$41*12,IF((EXTERNE_POZICIE!$B$53-12*('TCO TO BE- SW'!$D160-1))&lt;0,0,(EXTERNE_POZICIE!$B$53-12*('TCO TO BE- SW'!$D160-1))*((G$4+'TCO TO BE - HW'!G$4)/($E$4+'TCO TO BE - HW'!$E$4)*SUM(EXTERNE_POZICIE!$M$53:$M$64)*1.23)/EXTERNE_POZICIE!$B$53)),0)+IFERROR(SUM(#REF!)*'TCO TO BE- SW'!G$4/'TCO TO BE- SW'!$E$4,0)</f>
        <v>0</v>
      </c>
      <c r="H170" s="576">
        <f>IFERROR(IF((POZICIE_INTERNE!$B$52-12*('TCO TO BE- SW'!$D160-1))&gt;12,((H$4+'TCO TO BE - HW'!H$4)/($E$4+'TCO TO BE - HW'!$E$4)*SUM(POZICIE_INTERNE!$I$52:$I$63))/POZICIE_INTERNE!$B$52*12,IF((POZICIE_INTERNE!$B$52-12*('TCO TO BE- SW'!$D160-1))&lt;0,0,(POZICIE_INTERNE!$B$52-12*('TCO TO BE- SW'!$D160-1))*((H$4+'TCO TO BE - HW'!H$4)/($E$4+'TCO TO BE - HW'!$E$4)*SUM(POZICIE_INTERNE!$I$52:$I$63))/POZICIE_INTERNE!$B$52)),0)+IFERROR(IF((EXTERNE_POZICIE!$B$53-12*('TCO TO BE- SW'!$D160-1))&gt;12,((H$4+'TCO TO BE - HW'!H$4)/($E$4+'TCO TO BE - HW'!$E$4)*SUM(EXTERNE_POZICIE!$M$53:$M$64)*1.23)/EXTERNE_POZICIE!$B$41*12,IF((EXTERNE_POZICIE!$B$53-12*('TCO TO BE- SW'!$D160-1))&lt;0,0,(EXTERNE_POZICIE!$B$53-12*('TCO TO BE- SW'!$D160-1))*((H$4+'TCO TO BE - HW'!H$4)/($E$4+'TCO TO BE - HW'!$E$4)*SUM(EXTERNE_POZICIE!$M$53:$M$64)*1.23)/EXTERNE_POZICIE!$B$53)),0)+IFERROR(SUM(#REF!)*'TCO TO BE- SW'!H$4/'TCO TO BE- SW'!$E$4,0)</f>
        <v>0</v>
      </c>
      <c r="I170" s="576">
        <f>IFERROR(IF((POZICIE_INTERNE!$B$52-12*('TCO TO BE- SW'!$D160-1))&gt;12,((I$4+'TCO TO BE - HW'!I$4)/($E$4+'TCO TO BE - HW'!$E$4)*SUM(POZICIE_INTERNE!$I$52:$I$63))/POZICIE_INTERNE!$B$52*12,IF((POZICIE_INTERNE!$B$52-12*('TCO TO BE- SW'!$D160-1))&lt;0,0,(POZICIE_INTERNE!$B$52-12*('TCO TO BE- SW'!$D160-1))*((I$4+'TCO TO BE - HW'!I$4)/($E$4+'TCO TO BE - HW'!$E$4)*SUM(POZICIE_INTERNE!$I$52:$I$63))/POZICIE_INTERNE!$B$52)),0)+IFERROR(IF((EXTERNE_POZICIE!$B$53-12*('TCO TO BE- SW'!$D160-1))&gt;12,((I$4+'TCO TO BE - HW'!I$4)/($E$4+'TCO TO BE - HW'!$E$4)*SUM(EXTERNE_POZICIE!$M$53:$M$64)*1.23)/EXTERNE_POZICIE!$B$41*12,IF((EXTERNE_POZICIE!$B$53-12*('TCO TO BE- SW'!$D160-1))&lt;0,0,(EXTERNE_POZICIE!$B$53-12*('TCO TO BE- SW'!$D160-1))*((I$4+'TCO TO BE - HW'!I$4)/($E$4+'TCO TO BE - HW'!$E$4)*SUM(EXTERNE_POZICIE!$M$53:$M$64)*1.23)/EXTERNE_POZICIE!$B$53)),0)+IFERROR(SUM(#REF!)*'TCO TO BE- SW'!I$4/'TCO TO BE- SW'!$E$4,0)</f>
        <v>0</v>
      </c>
      <c r="J170" s="576">
        <f>IFERROR(IF((POZICIE_INTERNE!$B$52-12*('TCO TO BE- SW'!$D160-1))&gt;12,((J$4+'TCO TO BE - HW'!J$4)/($E$4+'TCO TO BE - HW'!$E$4)*SUM(POZICIE_INTERNE!$I$52:$I$63))/POZICIE_INTERNE!$B$52*12,IF((POZICIE_INTERNE!$B$52-12*('TCO TO BE- SW'!$D160-1))&lt;0,0,(POZICIE_INTERNE!$B$52-12*('TCO TO BE- SW'!$D160-1))*((J$4+'TCO TO BE - HW'!J$4)/($E$4+'TCO TO BE - HW'!$E$4)*SUM(POZICIE_INTERNE!$I$52:$I$63))/POZICIE_INTERNE!$B$52)),0)+IFERROR(IF((EXTERNE_POZICIE!$B$53-12*('TCO TO BE- SW'!$D160-1))&gt;12,((J$4+'TCO TO BE - HW'!J$4)/($E$4+'TCO TO BE - HW'!$E$4)*SUM(EXTERNE_POZICIE!$M$53:$M$64)*1.23)/EXTERNE_POZICIE!$B$41*12,IF((EXTERNE_POZICIE!$B$53-12*('TCO TO BE- SW'!$D160-1))&lt;0,0,(EXTERNE_POZICIE!$B$53-12*('TCO TO BE- SW'!$D160-1))*((J$4+'TCO TO BE - HW'!J$4)/($E$4+'TCO TO BE - HW'!$E$4)*SUM(EXTERNE_POZICIE!$M$53:$M$64)*1.23)/EXTERNE_POZICIE!$B$53)),0)+IFERROR(SUM(#REF!)*'TCO TO BE- SW'!J$4/'TCO TO BE- SW'!$E$4,0)</f>
        <v>0</v>
      </c>
      <c r="K170" s="576">
        <f>IFERROR(IF((POZICIE_INTERNE!$B$52-12*('TCO TO BE- SW'!$D160-1))&gt;12,((K$4+'TCO TO BE - HW'!K$4)/($E$4+'TCO TO BE - HW'!$E$4)*SUM(POZICIE_INTERNE!$I$52:$I$63))/POZICIE_INTERNE!$B$52*12,IF((POZICIE_INTERNE!$B$52-12*('TCO TO BE- SW'!$D160-1))&lt;0,0,(POZICIE_INTERNE!$B$52-12*('TCO TO BE- SW'!$D160-1))*((K$4+'TCO TO BE - HW'!K$4)/($E$4+'TCO TO BE - HW'!$E$4)*SUM(POZICIE_INTERNE!$I$52:$I$63))/POZICIE_INTERNE!$B$52)),0)+IFERROR(IF((EXTERNE_POZICIE!$B$53-12*('TCO TO BE- SW'!$D160-1))&gt;12,((K$4+'TCO TO BE - HW'!K$4)/($E$4+'TCO TO BE - HW'!$E$4)*SUM(EXTERNE_POZICIE!$M$53:$M$64)*1.23)/EXTERNE_POZICIE!$B$41*12,IF((EXTERNE_POZICIE!$B$53-12*('TCO TO BE- SW'!$D160-1))&lt;0,0,(EXTERNE_POZICIE!$B$53-12*('TCO TO BE- SW'!$D160-1))*((K$4+'TCO TO BE - HW'!K$4)/($E$4+'TCO TO BE - HW'!$E$4)*SUM(EXTERNE_POZICIE!$M$53:$M$64)*1.23)/EXTERNE_POZICIE!$B$53)),0)+IFERROR(SUM(#REF!)*'TCO TO BE- SW'!K$4/'TCO TO BE- SW'!$E$4,0)</f>
        <v>0</v>
      </c>
      <c r="L170" s="576">
        <f>IFERROR(IF((POZICIE_INTERNE!$B$52-12*('TCO TO BE- SW'!$D160-1))&gt;12,((L$4+'TCO TO BE - HW'!L$4)/($E$4+'TCO TO BE - HW'!$E$4)*SUM(POZICIE_INTERNE!$I$52:$I$63))/POZICIE_INTERNE!$B$52*12,IF((POZICIE_INTERNE!$B$52-12*('TCO TO BE- SW'!$D160-1))&lt;0,0,(POZICIE_INTERNE!$B$52-12*('TCO TO BE- SW'!$D160-1))*((L$4+'TCO TO BE - HW'!L$4)/($E$4+'TCO TO BE - HW'!$E$4)*SUM(POZICIE_INTERNE!$I$52:$I$63))/POZICIE_INTERNE!$B$52)),0)+IFERROR(IF((EXTERNE_POZICIE!$B$53-12*('TCO TO BE- SW'!$D160-1))&gt;12,((L$4+'TCO TO BE - HW'!L$4)/($E$4+'TCO TO BE - HW'!$E$4)*SUM(EXTERNE_POZICIE!$M$53:$M$64)*1.23)/EXTERNE_POZICIE!$B$41*12,IF((EXTERNE_POZICIE!$B$53-12*('TCO TO BE- SW'!$D160-1))&lt;0,0,(EXTERNE_POZICIE!$B$53-12*('TCO TO BE- SW'!$D160-1))*((L$4+'TCO TO BE - HW'!L$4)/($E$4+'TCO TO BE - HW'!$E$4)*SUM(EXTERNE_POZICIE!$M$53:$M$64)*1.23)/EXTERNE_POZICIE!$B$53)),0)+IFERROR(SUM(#REF!)*'TCO TO BE- SW'!L$4/'TCO TO BE- SW'!$E$4,0)</f>
        <v>0</v>
      </c>
      <c r="M170" s="576">
        <f>IFERROR(IF((POZICIE_INTERNE!$B$52-12*('TCO TO BE- SW'!$D160-1))&gt;12,((M$4+'TCO TO BE - HW'!M$4)/($E$4+'TCO TO BE - HW'!$E$4)*SUM(POZICIE_INTERNE!$I$52:$I$63))/POZICIE_INTERNE!$B$52*12,IF((POZICIE_INTERNE!$B$52-12*('TCO TO BE- SW'!$D160-1))&lt;0,0,(POZICIE_INTERNE!$B$52-12*('TCO TO BE- SW'!$D160-1))*((M$4+'TCO TO BE - HW'!M$4)/($E$4+'TCO TO BE - HW'!$E$4)*SUM(POZICIE_INTERNE!$I$52:$I$63))/POZICIE_INTERNE!$B$52)),0)+IFERROR(IF((EXTERNE_POZICIE!$B$53-12*('TCO TO BE- SW'!$D160-1))&gt;12,((M$4+'TCO TO BE - HW'!M$4)/($E$4+'TCO TO BE - HW'!$E$4)*SUM(EXTERNE_POZICIE!$M$53:$M$64)*1.23)/EXTERNE_POZICIE!$B$41*12,IF((EXTERNE_POZICIE!$B$53-12*('TCO TO BE- SW'!$D160-1))&lt;0,0,(EXTERNE_POZICIE!$B$53-12*('TCO TO BE- SW'!$D160-1))*((M$4+'TCO TO BE - HW'!M$4)/($E$4+'TCO TO BE - HW'!$E$4)*SUM(EXTERNE_POZICIE!$M$53:$M$64)*1.23)/EXTERNE_POZICIE!$B$53)),0)+IFERROR(SUM(#REF!)*'TCO TO BE- SW'!M$4/'TCO TO BE- SW'!$E$4,0)</f>
        <v>0</v>
      </c>
      <c r="N170" s="576">
        <f>IFERROR(IF((POZICIE_INTERNE!$B$52-12*('TCO TO BE- SW'!$D160-1))&gt;12,((N$4+'TCO TO BE - HW'!N$4)/($E$4+'TCO TO BE - HW'!$E$4)*SUM(POZICIE_INTERNE!$I$52:$I$63))/POZICIE_INTERNE!$B$52*12,IF((POZICIE_INTERNE!$B$52-12*('TCO TO BE- SW'!$D160-1))&lt;0,0,(POZICIE_INTERNE!$B$52-12*('TCO TO BE- SW'!$D160-1))*((N$4+'TCO TO BE - HW'!N$4)/($E$4+'TCO TO BE - HW'!$E$4)*SUM(POZICIE_INTERNE!$I$52:$I$63))/POZICIE_INTERNE!$B$52)),0)+IFERROR(IF((EXTERNE_POZICIE!$B$53-12*('TCO TO BE- SW'!$D160-1))&gt;12,((N$4+'TCO TO BE - HW'!N$4)/($E$4+'TCO TO BE - HW'!$E$4)*SUM(EXTERNE_POZICIE!$M$53:$M$64)*1.23)/EXTERNE_POZICIE!$B$41*12,IF((EXTERNE_POZICIE!$B$53-12*('TCO TO BE- SW'!$D160-1))&lt;0,0,(EXTERNE_POZICIE!$B$53-12*('TCO TO BE- SW'!$D160-1))*((N$4+'TCO TO BE - HW'!N$4)/($E$4+'TCO TO BE - HW'!$E$4)*SUM(EXTERNE_POZICIE!$M$53:$M$64)*1.23)/EXTERNE_POZICIE!$B$53)),0)+IFERROR(SUM(#REF!)*'TCO TO BE- SW'!N$4/'TCO TO BE- SW'!$E$4,0)</f>
        <v>0</v>
      </c>
      <c r="O170" s="576">
        <f>IFERROR(IF((POZICIE_INTERNE!$B$52-12*('TCO TO BE- SW'!$D160-1))&gt;12,((O$4+'TCO TO BE - HW'!O$4)/($E$4+'TCO TO BE - HW'!$E$4)*SUM(POZICIE_INTERNE!$I$52:$I$63))/POZICIE_INTERNE!$B$52*12,IF((POZICIE_INTERNE!$B$52-12*('TCO TO BE- SW'!$D160-1))&lt;0,0,(POZICIE_INTERNE!$B$52-12*('TCO TO BE- SW'!$D160-1))*((O$4+'TCO TO BE - HW'!O$4)/($E$4+'TCO TO BE - HW'!$E$4)*SUM(POZICIE_INTERNE!$I$52:$I$63))/POZICIE_INTERNE!$B$52)),0)+IFERROR(IF((EXTERNE_POZICIE!$B$53-12*('TCO TO BE- SW'!$D160-1))&gt;12,((O$4+'TCO TO BE - HW'!O$4)/($E$4+'TCO TO BE - HW'!$E$4)*SUM(EXTERNE_POZICIE!$M$53:$M$64)*1.23)/EXTERNE_POZICIE!$B$41*12,IF((EXTERNE_POZICIE!$B$53-12*('TCO TO BE- SW'!$D160-1))&lt;0,0,(EXTERNE_POZICIE!$B$53-12*('TCO TO BE- SW'!$D160-1))*((O$4+'TCO TO BE - HW'!O$4)/($E$4+'TCO TO BE - HW'!$E$4)*SUM(EXTERNE_POZICIE!$M$53:$M$64)*1.23)/EXTERNE_POZICIE!$B$53)),0)+IFERROR(SUM(#REF!)*'TCO TO BE- SW'!O$4/'TCO TO BE- SW'!$E$4,0)</f>
        <v>0</v>
      </c>
      <c r="P170" s="576">
        <f>IFERROR(IF((POZICIE_INTERNE!$B$52-12*('TCO TO BE- SW'!$D160-1))&gt;12,((P$4+'TCO TO BE - HW'!P$4)/($E$4+'TCO TO BE - HW'!$E$4)*SUM(POZICIE_INTERNE!$I$52:$I$63))/POZICIE_INTERNE!$B$52*12,IF((POZICIE_INTERNE!$B$52-12*('TCO TO BE- SW'!$D160-1))&lt;0,0,(POZICIE_INTERNE!$B$52-12*('TCO TO BE- SW'!$D160-1))*((P$4+'TCO TO BE - HW'!P$4)/($E$4+'TCO TO BE - HW'!$E$4)*SUM(POZICIE_INTERNE!$I$52:$I$63))/POZICIE_INTERNE!$B$52)),0)+IFERROR(IF((EXTERNE_POZICIE!$B$53-12*('TCO TO BE- SW'!$D160-1))&gt;12,((P$4+'TCO TO BE - HW'!P$4)/($E$4+'TCO TO BE - HW'!$E$4)*SUM(EXTERNE_POZICIE!$M$53:$M$64)*1.23)/EXTERNE_POZICIE!$B$41*12,IF((EXTERNE_POZICIE!$B$53-12*('TCO TO BE- SW'!$D160-1))&lt;0,0,(EXTERNE_POZICIE!$B$53-12*('TCO TO BE- SW'!$D160-1))*((P$4+'TCO TO BE - HW'!P$4)/($E$4+'TCO TO BE - HW'!$E$4)*SUM(EXTERNE_POZICIE!$M$53:$M$64)*1.23)/EXTERNE_POZICIE!$B$53)),0)+IFERROR(SUM(#REF!)*'TCO TO BE- SW'!P$4/'TCO TO BE- SW'!$E$4,0)</f>
        <v>0</v>
      </c>
      <c r="Q170" s="576">
        <f>IFERROR(IF((POZICIE_INTERNE!$B$52-12*('TCO TO BE- SW'!$D160-1))&gt;12,((Q$4+'TCO TO BE - HW'!Q$4)/($E$4+'TCO TO BE - HW'!$E$4)*SUM(POZICIE_INTERNE!$I$52:$I$63))/POZICIE_INTERNE!$B$52*12,IF((POZICIE_INTERNE!$B$52-12*('TCO TO BE- SW'!$D160-1))&lt;0,0,(POZICIE_INTERNE!$B$52-12*('TCO TO BE- SW'!$D160-1))*((Q$4+'TCO TO BE - HW'!Q$4)/($E$4+'TCO TO BE - HW'!$E$4)*SUM(POZICIE_INTERNE!$I$52:$I$63))/POZICIE_INTERNE!$B$52)),0)+IFERROR(IF((EXTERNE_POZICIE!$B$53-12*('TCO TO BE- SW'!$D160-1))&gt;12,((Q$4+'TCO TO BE - HW'!Q$4)/($E$4+'TCO TO BE - HW'!$E$4)*SUM(EXTERNE_POZICIE!$M$53:$M$64)*1.23)/EXTERNE_POZICIE!$B$41*12,IF((EXTERNE_POZICIE!$B$53-12*('TCO TO BE- SW'!$D160-1))&lt;0,0,(EXTERNE_POZICIE!$B$53-12*('TCO TO BE- SW'!$D160-1))*((Q$4+'TCO TO BE - HW'!Q$4)/($E$4+'TCO TO BE - HW'!$E$4)*SUM(EXTERNE_POZICIE!$M$53:$M$64)*1.23)/EXTERNE_POZICIE!$B$53)),0)+IFERROR(SUM(#REF!)*'TCO TO BE- SW'!Q$4/'TCO TO BE- SW'!$E$4,0)</f>
        <v>0</v>
      </c>
      <c r="R170" s="576">
        <f>IFERROR(IF((POZICIE_INTERNE!$B$52-12*('TCO TO BE- SW'!$D160-1))&gt;12,((R$4+'TCO TO BE - HW'!R$4)/($E$4+'TCO TO BE - HW'!$E$4)*SUM(POZICIE_INTERNE!$I$52:$I$63))/POZICIE_INTERNE!$B$52*12,IF((POZICIE_INTERNE!$B$52-12*('TCO TO BE- SW'!$D160-1))&lt;0,0,(POZICIE_INTERNE!$B$52-12*('TCO TO BE- SW'!$D160-1))*((R$4+'TCO TO BE - HW'!R$4)/($E$4+'TCO TO BE - HW'!$E$4)*SUM(POZICIE_INTERNE!$I$52:$I$63))/POZICIE_INTERNE!$B$52)),0)+IFERROR(IF((EXTERNE_POZICIE!$B$53-12*('TCO TO BE- SW'!$D160-1))&gt;12,((R$4+'TCO TO BE - HW'!R$4)/($E$4+'TCO TO BE - HW'!$E$4)*SUM(EXTERNE_POZICIE!$M$53:$M$64)*1.23)/EXTERNE_POZICIE!$B$41*12,IF((EXTERNE_POZICIE!$B$53-12*('TCO TO BE- SW'!$D160-1))&lt;0,0,(EXTERNE_POZICIE!$B$53-12*('TCO TO BE- SW'!$D160-1))*((R$4+'TCO TO BE - HW'!R$4)/($E$4+'TCO TO BE - HW'!$E$4)*SUM(EXTERNE_POZICIE!$M$53:$M$64)*1.23)/EXTERNE_POZICIE!$B$53)),0)+IFERROR(SUM(#REF!)*'TCO TO BE- SW'!R$4/'TCO TO BE- SW'!$E$4,0)</f>
        <v>0</v>
      </c>
      <c r="S170" s="576">
        <f>IFERROR(IF((POZICIE_INTERNE!$B$52-12*('TCO TO BE- SW'!$D160-1))&gt;12,((S$4+'TCO TO BE - HW'!S$4)/($E$4+'TCO TO BE - HW'!$E$4)*SUM(POZICIE_INTERNE!$I$52:$I$63))/POZICIE_INTERNE!$B$52*12,IF((POZICIE_INTERNE!$B$52-12*('TCO TO BE- SW'!$D160-1))&lt;0,0,(POZICIE_INTERNE!$B$52-12*('TCO TO BE- SW'!$D160-1))*((S$4+'TCO TO BE - HW'!S$4)/($E$4+'TCO TO BE - HW'!$E$4)*SUM(POZICIE_INTERNE!$I$52:$I$63))/POZICIE_INTERNE!$B$52)),0)+IFERROR(IF((EXTERNE_POZICIE!$B$53-12*('TCO TO BE- SW'!$D160-1))&gt;12,((S$4+'TCO TO BE - HW'!S$4)/($E$4+'TCO TO BE - HW'!$E$4)*SUM(EXTERNE_POZICIE!$M$53:$M$64)*1.23)/EXTERNE_POZICIE!$B$41*12,IF((EXTERNE_POZICIE!$B$53-12*('TCO TO BE- SW'!$D160-1))&lt;0,0,(EXTERNE_POZICIE!$B$53-12*('TCO TO BE- SW'!$D160-1))*((S$4+'TCO TO BE - HW'!S$4)/($E$4+'TCO TO BE - HW'!$E$4)*SUM(EXTERNE_POZICIE!$M$53:$M$64)*1.23)/EXTERNE_POZICIE!$B$53)),0)+IFERROR(SUM(#REF!)*'TCO TO BE- SW'!S$4/'TCO TO BE- SW'!$E$4,0)</f>
        <v>0</v>
      </c>
      <c r="T170" s="576">
        <f>IFERROR(IF((POZICIE_INTERNE!$B$52-12*('TCO TO BE- SW'!$D160-1))&gt;12,((T$4+'TCO TO BE - HW'!T$4)/($E$4+'TCO TO BE - HW'!$E$4)*SUM(POZICIE_INTERNE!$I$52:$I$63))/POZICIE_INTERNE!$B$52*12,IF((POZICIE_INTERNE!$B$52-12*('TCO TO BE- SW'!$D160-1))&lt;0,0,(POZICIE_INTERNE!$B$52-12*('TCO TO BE- SW'!$D160-1))*((T$4+'TCO TO BE - HW'!T$4)/($E$4+'TCO TO BE - HW'!$E$4)*SUM(POZICIE_INTERNE!$I$52:$I$63))/POZICIE_INTERNE!$B$52)),0)+IFERROR(IF((EXTERNE_POZICIE!$B$53-12*('TCO TO BE- SW'!$D160-1))&gt;12,((T$4+'TCO TO BE - HW'!T$4)/($E$4+'TCO TO BE - HW'!$E$4)*SUM(EXTERNE_POZICIE!$M$53:$M$64)*1.23)/EXTERNE_POZICIE!$B$41*12,IF((EXTERNE_POZICIE!$B$53-12*('TCO TO BE- SW'!$D160-1))&lt;0,0,(EXTERNE_POZICIE!$B$53-12*('TCO TO BE- SW'!$D160-1))*((T$4+'TCO TO BE - HW'!T$4)/($E$4+'TCO TO BE - HW'!$E$4)*SUM(EXTERNE_POZICIE!$M$53:$M$64)*1.23)/EXTERNE_POZICIE!$B$53)),0)+IFERROR(SUM(#REF!)*'TCO TO BE- SW'!T$4/'TCO TO BE- SW'!$E$4,0)</f>
        <v>0</v>
      </c>
      <c r="U170" s="576">
        <f>IFERROR(IF((POZICIE_INTERNE!$B$52-12*('TCO TO BE- SW'!$D160-1))&gt;12,((U$4+'TCO TO BE - HW'!U$4)/($E$4+'TCO TO BE - HW'!$E$4)*SUM(POZICIE_INTERNE!$I$52:$I$63))/POZICIE_INTERNE!$B$52*12,IF((POZICIE_INTERNE!$B$52-12*('TCO TO BE- SW'!$D160-1))&lt;0,0,(POZICIE_INTERNE!$B$52-12*('TCO TO BE- SW'!$D160-1))*((U$4+'TCO TO BE - HW'!U$4)/($E$4+'TCO TO BE - HW'!$E$4)*SUM(POZICIE_INTERNE!$I$52:$I$63))/POZICIE_INTERNE!$B$52)),0)+IFERROR(IF((EXTERNE_POZICIE!$B$53-12*('TCO TO BE- SW'!$D160-1))&gt;12,((U$4+'TCO TO BE - HW'!U$4)/($E$4+'TCO TO BE - HW'!$E$4)*SUM(EXTERNE_POZICIE!$M$53:$M$64)*1.23)/EXTERNE_POZICIE!$B$41*12,IF((EXTERNE_POZICIE!$B$53-12*('TCO TO BE- SW'!$D160-1))&lt;0,0,(EXTERNE_POZICIE!$B$53-12*('TCO TO BE- SW'!$D160-1))*((U$4+'TCO TO BE - HW'!U$4)/($E$4+'TCO TO BE - HW'!$E$4)*SUM(EXTERNE_POZICIE!$M$53:$M$64)*1.23)/EXTERNE_POZICIE!$B$53)),0)+IFERROR(SUM(#REF!)*'TCO TO BE- SW'!U$4/'TCO TO BE- SW'!$E$4,0)</f>
        <v>0</v>
      </c>
      <c r="V170" s="576">
        <f>IFERROR(IF((POZICIE_INTERNE!$B$52-12*('TCO TO BE- SW'!$D160-1))&gt;12,((V$4+'TCO TO BE - HW'!V$4)/($E$4+'TCO TO BE - HW'!$E$4)*SUM(POZICIE_INTERNE!$I$52:$I$63))/POZICIE_INTERNE!$B$52*12,IF((POZICIE_INTERNE!$B$52-12*('TCO TO BE- SW'!$D160-1))&lt;0,0,(POZICIE_INTERNE!$B$52-12*('TCO TO BE- SW'!$D160-1))*((V$4+'TCO TO BE - HW'!V$4)/($E$4+'TCO TO BE - HW'!$E$4)*SUM(POZICIE_INTERNE!$I$52:$I$63))/POZICIE_INTERNE!$B$52)),0)+IFERROR(IF((EXTERNE_POZICIE!$B$53-12*('TCO TO BE- SW'!$D160-1))&gt;12,((V$4+'TCO TO BE - HW'!V$4)/($E$4+'TCO TO BE - HW'!$E$4)*SUM(EXTERNE_POZICIE!$M$53:$M$64)*1.23)/EXTERNE_POZICIE!$B$41*12,IF((EXTERNE_POZICIE!$B$53-12*('TCO TO BE- SW'!$D160-1))&lt;0,0,(EXTERNE_POZICIE!$B$53-12*('TCO TO BE- SW'!$D160-1))*((V$4+'TCO TO BE - HW'!V$4)/($E$4+'TCO TO BE - HW'!$E$4)*SUM(EXTERNE_POZICIE!$M$53:$M$64)*1.23)/EXTERNE_POZICIE!$B$53)),0)+IFERROR(SUM(#REF!)*'TCO TO BE- SW'!V$4/'TCO TO BE- SW'!$E$4,0)</f>
        <v>0</v>
      </c>
      <c r="W170" s="576">
        <f>IFERROR(IF((POZICIE_INTERNE!$B$52-12*('TCO TO BE- SW'!$D160-1))&gt;12,((W$4+'TCO TO BE - HW'!W$4)/($E$4+'TCO TO BE - HW'!$E$4)*SUM(POZICIE_INTERNE!$I$52:$I$63))/POZICIE_INTERNE!$B$52*12,IF((POZICIE_INTERNE!$B$52-12*('TCO TO BE- SW'!$D160-1))&lt;0,0,(POZICIE_INTERNE!$B$52-12*('TCO TO BE- SW'!$D160-1))*((W$4+'TCO TO BE - HW'!W$4)/($E$4+'TCO TO BE - HW'!$E$4)*SUM(POZICIE_INTERNE!$I$52:$I$63))/POZICIE_INTERNE!$B$52)),0)+IFERROR(IF((EXTERNE_POZICIE!$B$53-12*('TCO TO BE- SW'!$D160-1))&gt;12,((W$4+'TCO TO BE - HW'!W$4)/($E$4+'TCO TO BE - HW'!$E$4)*SUM(EXTERNE_POZICIE!$M$53:$M$64)*1.23)/EXTERNE_POZICIE!$B$41*12,IF((EXTERNE_POZICIE!$B$53-12*('TCO TO BE- SW'!$D160-1))&lt;0,0,(EXTERNE_POZICIE!$B$53-12*('TCO TO BE- SW'!$D160-1))*((W$4+'TCO TO BE - HW'!W$4)/($E$4+'TCO TO BE - HW'!$E$4)*SUM(EXTERNE_POZICIE!$M$53:$M$64)*1.23)/EXTERNE_POZICIE!$B$53)),0)+IFERROR(SUM(#REF!)*'TCO TO BE- SW'!W$4/'TCO TO BE- SW'!$E$4,0)</f>
        <v>0</v>
      </c>
      <c r="X170" s="576">
        <f>IFERROR(IF((POZICIE_INTERNE!$B$52-12*('TCO TO BE- SW'!$D160-1))&gt;12,((X$4+'TCO TO BE - HW'!X$4)/($E$4+'TCO TO BE - HW'!$E$4)*SUM(POZICIE_INTERNE!$I$52:$I$63))/POZICIE_INTERNE!$B$52*12,IF((POZICIE_INTERNE!$B$52-12*('TCO TO BE- SW'!$D160-1))&lt;0,0,(POZICIE_INTERNE!$B$52-12*('TCO TO BE- SW'!$D160-1))*((X$4+'TCO TO BE - HW'!X$4)/($E$4+'TCO TO BE - HW'!$E$4)*SUM(POZICIE_INTERNE!$I$52:$I$63))/POZICIE_INTERNE!$B$52)),0)+IFERROR(IF((EXTERNE_POZICIE!$B$53-12*('TCO TO BE- SW'!$D160-1))&gt;12,((X$4+'TCO TO BE - HW'!X$4)/($E$4+'TCO TO BE - HW'!$E$4)*SUM(EXTERNE_POZICIE!$M$53:$M$64)*1.23)/EXTERNE_POZICIE!$B$41*12,IF((EXTERNE_POZICIE!$B$53-12*('TCO TO BE- SW'!$D160-1))&lt;0,0,(EXTERNE_POZICIE!$B$53-12*('TCO TO BE- SW'!$D160-1))*((X$4+'TCO TO BE - HW'!X$4)/($E$4+'TCO TO BE - HW'!$E$4)*SUM(EXTERNE_POZICIE!$M$53:$M$64)*1.23)/EXTERNE_POZICIE!$B$53)),0)+IFERROR(SUM(#REF!)*'TCO TO BE- SW'!X$4/'TCO TO BE- SW'!$E$4,0)</f>
        <v>0</v>
      </c>
      <c r="Y170" s="576">
        <f>IFERROR(IF((POZICIE_INTERNE!$B$52-12*('TCO TO BE- SW'!$D160-1))&gt;12,((Y$4+'TCO TO BE - HW'!Y$4)/($E$4+'TCO TO BE - HW'!$E$4)*SUM(POZICIE_INTERNE!$I$52:$I$63))/POZICIE_INTERNE!$B$52*12,IF((POZICIE_INTERNE!$B$52-12*('TCO TO BE- SW'!$D160-1))&lt;0,0,(POZICIE_INTERNE!$B$52-12*('TCO TO BE- SW'!$D160-1))*((Y$4+'TCO TO BE - HW'!Y$4)/($E$4+'TCO TO BE - HW'!$E$4)*SUM(POZICIE_INTERNE!$I$52:$I$63))/POZICIE_INTERNE!$B$52)),0)+IFERROR(IF((EXTERNE_POZICIE!$B$53-12*('TCO TO BE- SW'!$D160-1))&gt;12,((Y$4+'TCO TO BE - HW'!Y$4)/($E$4+'TCO TO BE - HW'!$E$4)*SUM(EXTERNE_POZICIE!$M$53:$M$64)*1.23)/EXTERNE_POZICIE!$B$41*12,IF((EXTERNE_POZICIE!$B$53-12*('TCO TO BE- SW'!$D160-1))&lt;0,0,(EXTERNE_POZICIE!$B$53-12*('TCO TO BE- SW'!$D160-1))*((Y$4+'TCO TO BE - HW'!Y$4)/($E$4+'TCO TO BE - HW'!$E$4)*SUM(EXTERNE_POZICIE!$M$53:$M$64)*1.23)/EXTERNE_POZICIE!$B$53)),0)+IFERROR(SUM(#REF!)*'TCO TO BE- SW'!Y$4/'TCO TO BE- SW'!$E$4,0)</f>
        <v>0</v>
      </c>
      <c r="Z170" s="576">
        <f>IFERROR(IF((POZICIE_INTERNE!$B$52-12*('TCO TO BE- SW'!$D160-1))&gt;12,((Z$4+'TCO TO BE - HW'!Z$4)/($E$4+'TCO TO BE - HW'!$E$4)*SUM(POZICIE_INTERNE!$I$52:$I$63))/POZICIE_INTERNE!$B$52*12,IF((POZICIE_INTERNE!$B$52-12*('TCO TO BE- SW'!$D160-1))&lt;0,0,(POZICIE_INTERNE!$B$52-12*('TCO TO BE- SW'!$D160-1))*((Z$4+'TCO TO BE - HW'!Z$4)/($E$4+'TCO TO BE - HW'!$E$4)*SUM(POZICIE_INTERNE!$I$52:$I$63))/POZICIE_INTERNE!$B$52)),0)+IFERROR(IF((EXTERNE_POZICIE!$B$53-12*('TCO TO BE- SW'!$D160-1))&gt;12,((Z$4+'TCO TO BE - HW'!Z$4)/($E$4+'TCO TO BE - HW'!$E$4)*SUM(EXTERNE_POZICIE!$M$53:$M$64)*1.23)/EXTERNE_POZICIE!$B$41*12,IF((EXTERNE_POZICIE!$B$53-12*('TCO TO BE- SW'!$D160-1))&lt;0,0,(EXTERNE_POZICIE!$B$53-12*('TCO TO BE- SW'!$D160-1))*((Z$4+'TCO TO BE - HW'!Z$4)/($E$4+'TCO TO BE - HW'!$E$4)*SUM(EXTERNE_POZICIE!$M$53:$M$64)*1.23)/EXTERNE_POZICIE!$B$53)),0)+IFERROR(SUM(#REF!)*'TCO TO BE- SW'!Z$4/'TCO TO BE- SW'!$E$4,0)</f>
        <v>0</v>
      </c>
    </row>
    <row r="171" spans="1:26" ht="15" thickBot="1">
      <c r="A171" s="848" t="s">
        <v>108</v>
      </c>
      <c r="B171" s="849"/>
      <c r="C171" s="849"/>
      <c r="D171" s="75"/>
      <c r="E171" s="72">
        <f t="shared" ref="E171:Z171" si="17">SUM(E172:E191)</f>
        <v>0</v>
      </c>
      <c r="F171" s="73">
        <f t="shared" si="17"/>
        <v>0</v>
      </c>
      <c r="G171" s="73">
        <f t="shared" si="17"/>
        <v>0</v>
      </c>
      <c r="H171" s="73">
        <f t="shared" si="17"/>
        <v>0</v>
      </c>
      <c r="I171" s="73">
        <f t="shared" si="17"/>
        <v>0</v>
      </c>
      <c r="J171" s="73">
        <f t="shared" si="17"/>
        <v>0</v>
      </c>
      <c r="K171" s="73">
        <f t="shared" si="17"/>
        <v>0</v>
      </c>
      <c r="L171" s="73">
        <f t="shared" si="17"/>
        <v>0</v>
      </c>
      <c r="M171" s="73">
        <f t="shared" si="17"/>
        <v>0</v>
      </c>
      <c r="N171" s="73">
        <f t="shared" si="17"/>
        <v>0</v>
      </c>
      <c r="O171" s="73">
        <f t="shared" si="17"/>
        <v>0</v>
      </c>
      <c r="P171" s="73">
        <f t="shared" si="17"/>
        <v>0</v>
      </c>
      <c r="Q171" s="73">
        <f t="shared" si="17"/>
        <v>0</v>
      </c>
      <c r="R171" s="73">
        <f t="shared" si="17"/>
        <v>0</v>
      </c>
      <c r="S171" s="73">
        <f t="shared" si="17"/>
        <v>0</v>
      </c>
      <c r="T171" s="73">
        <f t="shared" si="17"/>
        <v>0</v>
      </c>
      <c r="U171" s="73">
        <f t="shared" si="17"/>
        <v>0</v>
      </c>
      <c r="V171" s="73">
        <f t="shared" si="17"/>
        <v>0</v>
      </c>
      <c r="W171" s="73">
        <f t="shared" si="17"/>
        <v>0</v>
      </c>
      <c r="X171" s="73">
        <f t="shared" si="17"/>
        <v>0</v>
      </c>
      <c r="Y171" s="73">
        <f t="shared" si="17"/>
        <v>0</v>
      </c>
      <c r="Z171" s="73">
        <f t="shared" si="17"/>
        <v>0</v>
      </c>
    </row>
    <row r="172" spans="1:26">
      <c r="A172" s="841" t="s">
        <v>2137</v>
      </c>
      <c r="B172" s="842" t="s">
        <v>2120</v>
      </c>
      <c r="C172" s="842">
        <v>633013</v>
      </c>
      <c r="D172" s="63">
        <v>1</v>
      </c>
      <c r="E172" s="60">
        <f t="shared" ref="E172:E191" si="18">SUM(F172:Z172)</f>
        <v>0</v>
      </c>
      <c r="F172" s="580">
        <v>0</v>
      </c>
      <c r="G172" s="580">
        <v>0</v>
      </c>
      <c r="H172" s="580">
        <v>0</v>
      </c>
      <c r="I172" s="580">
        <v>0</v>
      </c>
      <c r="J172" s="580">
        <v>0</v>
      </c>
      <c r="K172" s="580">
        <v>0</v>
      </c>
      <c r="L172" s="580">
        <v>0</v>
      </c>
      <c r="M172" s="580">
        <v>0</v>
      </c>
      <c r="N172" s="580">
        <v>0</v>
      </c>
      <c r="O172" s="580">
        <v>0</v>
      </c>
      <c r="P172" s="580">
        <v>0</v>
      </c>
      <c r="Q172" s="580">
        <v>0</v>
      </c>
      <c r="R172" s="580">
        <v>0</v>
      </c>
      <c r="S172" s="580">
        <v>0</v>
      </c>
      <c r="T172" s="580">
        <v>0</v>
      </c>
      <c r="U172" s="580">
        <v>0</v>
      </c>
      <c r="V172" s="580">
        <v>0</v>
      </c>
      <c r="W172" s="580">
        <v>0</v>
      </c>
      <c r="X172" s="580">
        <v>0</v>
      </c>
      <c r="Y172" s="580">
        <v>0</v>
      </c>
      <c r="Z172" s="580">
        <v>0</v>
      </c>
    </row>
    <row r="173" spans="1:26">
      <c r="A173" s="841"/>
      <c r="B173" s="842"/>
      <c r="C173" s="842"/>
      <c r="D173" s="64">
        <v>2</v>
      </c>
      <c r="E173" s="61">
        <f t="shared" si="18"/>
        <v>0</v>
      </c>
      <c r="F173" s="581">
        <v>0</v>
      </c>
      <c r="G173" s="581">
        <v>0</v>
      </c>
      <c r="H173" s="581">
        <v>0</v>
      </c>
      <c r="I173" s="581">
        <v>0</v>
      </c>
      <c r="J173" s="581">
        <v>0</v>
      </c>
      <c r="K173" s="581">
        <v>0</v>
      </c>
      <c r="L173" s="581">
        <v>0</v>
      </c>
      <c r="M173" s="581">
        <v>0</v>
      </c>
      <c r="N173" s="581">
        <v>0</v>
      </c>
      <c r="O173" s="581">
        <v>0</v>
      </c>
      <c r="P173" s="581">
        <v>0</v>
      </c>
      <c r="Q173" s="581">
        <v>0</v>
      </c>
      <c r="R173" s="581">
        <v>0</v>
      </c>
      <c r="S173" s="581">
        <v>0</v>
      </c>
      <c r="T173" s="581">
        <v>0</v>
      </c>
      <c r="U173" s="581">
        <v>0</v>
      </c>
      <c r="V173" s="581">
        <v>0</v>
      </c>
      <c r="W173" s="581">
        <v>0</v>
      </c>
      <c r="X173" s="581">
        <v>0</v>
      </c>
      <c r="Y173" s="581">
        <v>0</v>
      </c>
      <c r="Z173" s="581">
        <v>0</v>
      </c>
    </row>
    <row r="174" spans="1:26">
      <c r="A174" s="841"/>
      <c r="B174" s="842"/>
      <c r="C174" s="842"/>
      <c r="D174" s="64">
        <v>3</v>
      </c>
      <c r="E174" s="61">
        <f t="shared" si="18"/>
        <v>0</v>
      </c>
      <c r="F174" s="581">
        <v>0</v>
      </c>
      <c r="G174" s="581">
        <v>0</v>
      </c>
      <c r="H174" s="581">
        <v>0</v>
      </c>
      <c r="I174" s="581">
        <v>0</v>
      </c>
      <c r="J174" s="581">
        <v>0</v>
      </c>
      <c r="K174" s="581">
        <v>0</v>
      </c>
      <c r="L174" s="581">
        <v>0</v>
      </c>
      <c r="M174" s="581">
        <v>0</v>
      </c>
      <c r="N174" s="581">
        <v>0</v>
      </c>
      <c r="O174" s="581">
        <v>0</v>
      </c>
      <c r="P174" s="581">
        <v>0</v>
      </c>
      <c r="Q174" s="581">
        <v>0</v>
      </c>
      <c r="R174" s="581">
        <v>0</v>
      </c>
      <c r="S174" s="581">
        <v>0</v>
      </c>
      <c r="T174" s="581">
        <v>0</v>
      </c>
      <c r="U174" s="581">
        <v>0</v>
      </c>
      <c r="V174" s="581">
        <v>0</v>
      </c>
      <c r="W174" s="581">
        <v>0</v>
      </c>
      <c r="X174" s="581">
        <v>0</v>
      </c>
      <c r="Y174" s="581">
        <v>0</v>
      </c>
      <c r="Z174" s="581">
        <v>0</v>
      </c>
    </row>
    <row r="175" spans="1:26">
      <c r="A175" s="841"/>
      <c r="B175" s="842"/>
      <c r="C175" s="842"/>
      <c r="D175" s="64">
        <v>4</v>
      </c>
      <c r="E175" s="61">
        <f t="shared" si="18"/>
        <v>0</v>
      </c>
      <c r="F175" s="581">
        <v>0</v>
      </c>
      <c r="G175" s="581">
        <v>0</v>
      </c>
      <c r="H175" s="581">
        <v>0</v>
      </c>
      <c r="I175" s="581">
        <v>0</v>
      </c>
      <c r="J175" s="581">
        <v>0</v>
      </c>
      <c r="K175" s="581">
        <v>0</v>
      </c>
      <c r="L175" s="581">
        <v>0</v>
      </c>
      <c r="M175" s="581">
        <v>0</v>
      </c>
      <c r="N175" s="581">
        <v>0</v>
      </c>
      <c r="O175" s="581">
        <v>0</v>
      </c>
      <c r="P175" s="581">
        <v>0</v>
      </c>
      <c r="Q175" s="581">
        <v>0</v>
      </c>
      <c r="R175" s="581">
        <v>0</v>
      </c>
      <c r="S175" s="581">
        <v>0</v>
      </c>
      <c r="T175" s="581">
        <v>0</v>
      </c>
      <c r="U175" s="581">
        <v>0</v>
      </c>
      <c r="V175" s="581">
        <v>0</v>
      </c>
      <c r="W175" s="581">
        <v>0</v>
      </c>
      <c r="X175" s="581">
        <v>0</v>
      </c>
      <c r="Y175" s="581">
        <v>0</v>
      </c>
      <c r="Z175" s="581">
        <v>0</v>
      </c>
    </row>
    <row r="176" spans="1:26">
      <c r="A176" s="841"/>
      <c r="B176" s="842"/>
      <c r="C176" s="842"/>
      <c r="D176" s="64">
        <v>5</v>
      </c>
      <c r="E176" s="61">
        <f t="shared" si="18"/>
        <v>0</v>
      </c>
      <c r="F176" s="581">
        <v>0</v>
      </c>
      <c r="G176" s="581">
        <v>0</v>
      </c>
      <c r="H176" s="581">
        <v>0</v>
      </c>
      <c r="I176" s="581">
        <v>0</v>
      </c>
      <c r="J176" s="581">
        <v>0</v>
      </c>
      <c r="K176" s="581">
        <v>0</v>
      </c>
      <c r="L176" s="581">
        <v>0</v>
      </c>
      <c r="M176" s="581">
        <v>0</v>
      </c>
      <c r="N176" s="581">
        <v>0</v>
      </c>
      <c r="O176" s="581">
        <v>0</v>
      </c>
      <c r="P176" s="581">
        <v>0</v>
      </c>
      <c r="Q176" s="581">
        <v>0</v>
      </c>
      <c r="R176" s="581">
        <v>0</v>
      </c>
      <c r="S176" s="581">
        <v>0</v>
      </c>
      <c r="T176" s="581">
        <v>0</v>
      </c>
      <c r="U176" s="581">
        <v>0</v>
      </c>
      <c r="V176" s="581">
        <v>0</v>
      </c>
      <c r="W176" s="581">
        <v>0</v>
      </c>
      <c r="X176" s="581">
        <v>0</v>
      </c>
      <c r="Y176" s="581">
        <v>0</v>
      </c>
      <c r="Z176" s="581">
        <v>0</v>
      </c>
    </row>
    <row r="177" spans="1:26">
      <c r="A177" s="841"/>
      <c r="B177" s="842"/>
      <c r="C177" s="842"/>
      <c r="D177" s="64">
        <v>6</v>
      </c>
      <c r="E177" s="61">
        <f t="shared" si="18"/>
        <v>0</v>
      </c>
      <c r="F177" s="581">
        <v>0</v>
      </c>
      <c r="G177" s="581">
        <v>0</v>
      </c>
      <c r="H177" s="581">
        <v>0</v>
      </c>
      <c r="I177" s="581">
        <v>0</v>
      </c>
      <c r="J177" s="581">
        <v>0</v>
      </c>
      <c r="K177" s="581">
        <v>0</v>
      </c>
      <c r="L177" s="581">
        <v>0</v>
      </c>
      <c r="M177" s="581">
        <v>0</v>
      </c>
      <c r="N177" s="581">
        <v>0</v>
      </c>
      <c r="O177" s="581">
        <v>0</v>
      </c>
      <c r="P177" s="581">
        <v>0</v>
      </c>
      <c r="Q177" s="581">
        <v>0</v>
      </c>
      <c r="R177" s="581">
        <v>0</v>
      </c>
      <c r="S177" s="581">
        <v>0</v>
      </c>
      <c r="T177" s="581">
        <v>0</v>
      </c>
      <c r="U177" s="581">
        <v>0</v>
      </c>
      <c r="V177" s="581">
        <v>0</v>
      </c>
      <c r="W177" s="581">
        <v>0</v>
      </c>
      <c r="X177" s="581">
        <v>0</v>
      </c>
      <c r="Y177" s="581">
        <v>0</v>
      </c>
      <c r="Z177" s="581">
        <v>0</v>
      </c>
    </row>
    <row r="178" spans="1:26">
      <c r="A178" s="841"/>
      <c r="B178" s="842"/>
      <c r="C178" s="842"/>
      <c r="D178" s="64">
        <v>7</v>
      </c>
      <c r="E178" s="61">
        <f t="shared" si="18"/>
        <v>0</v>
      </c>
      <c r="F178" s="581">
        <v>0</v>
      </c>
      <c r="G178" s="581">
        <v>0</v>
      </c>
      <c r="H178" s="581">
        <v>0</v>
      </c>
      <c r="I178" s="581">
        <v>0</v>
      </c>
      <c r="J178" s="581">
        <v>0</v>
      </c>
      <c r="K178" s="581">
        <v>0</v>
      </c>
      <c r="L178" s="581">
        <v>0</v>
      </c>
      <c r="M178" s="581">
        <v>0</v>
      </c>
      <c r="N178" s="581">
        <v>0</v>
      </c>
      <c r="O178" s="581">
        <v>0</v>
      </c>
      <c r="P178" s="581">
        <v>0</v>
      </c>
      <c r="Q178" s="581">
        <v>0</v>
      </c>
      <c r="R178" s="581">
        <v>0</v>
      </c>
      <c r="S178" s="581">
        <v>0</v>
      </c>
      <c r="T178" s="581">
        <v>0</v>
      </c>
      <c r="U178" s="581">
        <v>0</v>
      </c>
      <c r="V178" s="581">
        <v>0</v>
      </c>
      <c r="W178" s="581">
        <v>0</v>
      </c>
      <c r="X178" s="581">
        <v>0</v>
      </c>
      <c r="Y178" s="581">
        <v>0</v>
      </c>
      <c r="Z178" s="581">
        <v>0</v>
      </c>
    </row>
    <row r="179" spans="1:26">
      <c r="A179" s="841"/>
      <c r="B179" s="842"/>
      <c r="C179" s="842"/>
      <c r="D179" s="64">
        <v>8</v>
      </c>
      <c r="E179" s="61">
        <f t="shared" si="18"/>
        <v>0</v>
      </c>
      <c r="F179" s="581">
        <v>0</v>
      </c>
      <c r="G179" s="581">
        <v>0</v>
      </c>
      <c r="H179" s="581">
        <v>0</v>
      </c>
      <c r="I179" s="581">
        <v>0</v>
      </c>
      <c r="J179" s="581">
        <v>0</v>
      </c>
      <c r="K179" s="581">
        <v>0</v>
      </c>
      <c r="L179" s="581">
        <v>0</v>
      </c>
      <c r="M179" s="581">
        <v>0</v>
      </c>
      <c r="N179" s="581">
        <v>0</v>
      </c>
      <c r="O179" s="581">
        <v>0</v>
      </c>
      <c r="P179" s="581">
        <v>0</v>
      </c>
      <c r="Q179" s="581">
        <v>0</v>
      </c>
      <c r="R179" s="581">
        <v>0</v>
      </c>
      <c r="S179" s="581">
        <v>0</v>
      </c>
      <c r="T179" s="581">
        <v>0</v>
      </c>
      <c r="U179" s="581">
        <v>0</v>
      </c>
      <c r="V179" s="581">
        <v>0</v>
      </c>
      <c r="W179" s="581">
        <v>0</v>
      </c>
      <c r="X179" s="581">
        <v>0</v>
      </c>
      <c r="Y179" s="581">
        <v>0</v>
      </c>
      <c r="Z179" s="581">
        <v>0</v>
      </c>
    </row>
    <row r="180" spans="1:26">
      <c r="A180" s="841"/>
      <c r="B180" s="842"/>
      <c r="C180" s="842"/>
      <c r="D180" s="64">
        <v>9</v>
      </c>
      <c r="E180" s="61">
        <f t="shared" si="18"/>
        <v>0</v>
      </c>
      <c r="F180" s="581">
        <v>0</v>
      </c>
      <c r="G180" s="581">
        <v>0</v>
      </c>
      <c r="H180" s="581">
        <v>0</v>
      </c>
      <c r="I180" s="581">
        <v>0</v>
      </c>
      <c r="J180" s="581">
        <v>0</v>
      </c>
      <c r="K180" s="581">
        <v>0</v>
      </c>
      <c r="L180" s="581">
        <v>0</v>
      </c>
      <c r="M180" s="581">
        <v>0</v>
      </c>
      <c r="N180" s="581">
        <v>0</v>
      </c>
      <c r="O180" s="581">
        <v>0</v>
      </c>
      <c r="P180" s="581">
        <v>0</v>
      </c>
      <c r="Q180" s="581">
        <v>0</v>
      </c>
      <c r="R180" s="581">
        <v>0</v>
      </c>
      <c r="S180" s="581">
        <v>0</v>
      </c>
      <c r="T180" s="581">
        <v>0</v>
      </c>
      <c r="U180" s="581">
        <v>0</v>
      </c>
      <c r="V180" s="581">
        <v>0</v>
      </c>
      <c r="W180" s="581">
        <v>0</v>
      </c>
      <c r="X180" s="581">
        <v>0</v>
      </c>
      <c r="Y180" s="581">
        <v>0</v>
      </c>
      <c r="Z180" s="581">
        <v>0</v>
      </c>
    </row>
    <row r="181" spans="1:26" ht="15" thickBot="1">
      <c r="A181" s="841"/>
      <c r="B181" s="842"/>
      <c r="C181" s="842"/>
      <c r="D181" s="65">
        <v>10</v>
      </c>
      <c r="E181" s="62">
        <f t="shared" si="18"/>
        <v>0</v>
      </c>
      <c r="F181" s="582">
        <v>0</v>
      </c>
      <c r="G181" s="582">
        <v>0</v>
      </c>
      <c r="H181" s="582">
        <v>0</v>
      </c>
      <c r="I181" s="582">
        <v>0</v>
      </c>
      <c r="J181" s="582">
        <v>0</v>
      </c>
      <c r="K181" s="582">
        <v>0</v>
      </c>
      <c r="L181" s="582">
        <v>0</v>
      </c>
      <c r="M181" s="582">
        <v>0</v>
      </c>
      <c r="N181" s="582">
        <v>0</v>
      </c>
      <c r="O181" s="582">
        <v>0</v>
      </c>
      <c r="P181" s="582">
        <v>0</v>
      </c>
      <c r="Q181" s="582">
        <v>0</v>
      </c>
      <c r="R181" s="582">
        <v>0</v>
      </c>
      <c r="S181" s="582">
        <v>0</v>
      </c>
      <c r="T181" s="582">
        <v>0</v>
      </c>
      <c r="U181" s="582">
        <v>0</v>
      </c>
      <c r="V181" s="582">
        <v>0</v>
      </c>
      <c r="W181" s="582">
        <v>0</v>
      </c>
      <c r="X181" s="582">
        <v>0</v>
      </c>
      <c r="Y181" s="582">
        <v>0</v>
      </c>
      <c r="Z181" s="582">
        <v>0</v>
      </c>
    </row>
    <row r="182" spans="1:26">
      <c r="A182" s="841" t="s">
        <v>2138</v>
      </c>
      <c r="B182" s="842"/>
      <c r="C182" s="842">
        <v>637031</v>
      </c>
      <c r="D182" s="63">
        <v>1</v>
      </c>
      <c r="E182" s="61">
        <f t="shared" si="18"/>
        <v>0</v>
      </c>
      <c r="F182" s="580">
        <v>0</v>
      </c>
      <c r="G182" s="580">
        <v>0</v>
      </c>
      <c r="H182" s="580">
        <v>0</v>
      </c>
      <c r="I182" s="580">
        <v>0</v>
      </c>
      <c r="J182" s="580">
        <v>0</v>
      </c>
      <c r="K182" s="580">
        <v>0</v>
      </c>
      <c r="L182" s="580">
        <v>0</v>
      </c>
      <c r="M182" s="580">
        <v>0</v>
      </c>
      <c r="N182" s="580">
        <v>0</v>
      </c>
      <c r="O182" s="580">
        <v>0</v>
      </c>
      <c r="P182" s="580">
        <v>0</v>
      </c>
      <c r="Q182" s="580">
        <v>0</v>
      </c>
      <c r="R182" s="580">
        <v>0</v>
      </c>
      <c r="S182" s="580">
        <v>0</v>
      </c>
      <c r="T182" s="580">
        <v>0</v>
      </c>
      <c r="U182" s="580">
        <v>0</v>
      </c>
      <c r="V182" s="580">
        <v>0</v>
      </c>
      <c r="W182" s="580">
        <v>0</v>
      </c>
      <c r="X182" s="580">
        <v>0</v>
      </c>
      <c r="Y182" s="580">
        <v>0</v>
      </c>
      <c r="Z182" s="580">
        <v>0</v>
      </c>
    </row>
    <row r="183" spans="1:26">
      <c r="A183" s="841"/>
      <c r="B183" s="842"/>
      <c r="C183" s="842"/>
      <c r="D183" s="64">
        <v>2</v>
      </c>
      <c r="E183" s="61">
        <f t="shared" si="18"/>
        <v>0</v>
      </c>
      <c r="F183" s="581">
        <v>0</v>
      </c>
      <c r="G183" s="581">
        <v>0</v>
      </c>
      <c r="H183" s="581">
        <v>0</v>
      </c>
      <c r="I183" s="581">
        <v>0</v>
      </c>
      <c r="J183" s="581">
        <v>0</v>
      </c>
      <c r="K183" s="581">
        <v>0</v>
      </c>
      <c r="L183" s="581">
        <v>0</v>
      </c>
      <c r="M183" s="581">
        <v>0</v>
      </c>
      <c r="N183" s="581">
        <v>0</v>
      </c>
      <c r="O183" s="581">
        <v>0</v>
      </c>
      <c r="P183" s="581">
        <v>0</v>
      </c>
      <c r="Q183" s="581">
        <v>0</v>
      </c>
      <c r="R183" s="581">
        <v>0</v>
      </c>
      <c r="S183" s="581">
        <v>0</v>
      </c>
      <c r="T183" s="581">
        <v>0</v>
      </c>
      <c r="U183" s="581">
        <v>0</v>
      </c>
      <c r="V183" s="581">
        <v>0</v>
      </c>
      <c r="W183" s="581">
        <v>0</v>
      </c>
      <c r="X183" s="581">
        <v>0</v>
      </c>
      <c r="Y183" s="581">
        <v>0</v>
      </c>
      <c r="Z183" s="581">
        <v>0</v>
      </c>
    </row>
    <row r="184" spans="1:26">
      <c r="A184" s="841"/>
      <c r="B184" s="842"/>
      <c r="C184" s="842"/>
      <c r="D184" s="64">
        <v>3</v>
      </c>
      <c r="E184" s="61">
        <f t="shared" si="18"/>
        <v>0</v>
      </c>
      <c r="F184" s="581">
        <v>0</v>
      </c>
      <c r="G184" s="581">
        <v>0</v>
      </c>
      <c r="H184" s="581">
        <v>0</v>
      </c>
      <c r="I184" s="581">
        <v>0</v>
      </c>
      <c r="J184" s="581">
        <v>0</v>
      </c>
      <c r="K184" s="581">
        <v>0</v>
      </c>
      <c r="L184" s="581">
        <v>0</v>
      </c>
      <c r="M184" s="581">
        <v>0</v>
      </c>
      <c r="N184" s="581">
        <v>0</v>
      </c>
      <c r="O184" s="581">
        <v>0</v>
      </c>
      <c r="P184" s="581">
        <v>0</v>
      </c>
      <c r="Q184" s="581">
        <v>0</v>
      </c>
      <c r="R184" s="581">
        <v>0</v>
      </c>
      <c r="S184" s="581">
        <v>0</v>
      </c>
      <c r="T184" s="581">
        <v>0</v>
      </c>
      <c r="U184" s="581">
        <v>0</v>
      </c>
      <c r="V184" s="581">
        <v>0</v>
      </c>
      <c r="W184" s="581">
        <v>0</v>
      </c>
      <c r="X184" s="581">
        <v>0</v>
      </c>
      <c r="Y184" s="581">
        <v>0</v>
      </c>
      <c r="Z184" s="581">
        <v>0</v>
      </c>
    </row>
    <row r="185" spans="1:26">
      <c r="A185" s="841"/>
      <c r="B185" s="842"/>
      <c r="C185" s="842"/>
      <c r="D185" s="64">
        <v>4</v>
      </c>
      <c r="E185" s="61">
        <f t="shared" si="18"/>
        <v>0</v>
      </c>
      <c r="F185" s="581">
        <v>0</v>
      </c>
      <c r="G185" s="581">
        <v>0</v>
      </c>
      <c r="H185" s="581">
        <v>0</v>
      </c>
      <c r="I185" s="581">
        <v>0</v>
      </c>
      <c r="J185" s="581">
        <v>0</v>
      </c>
      <c r="K185" s="581">
        <v>0</v>
      </c>
      <c r="L185" s="581">
        <v>0</v>
      </c>
      <c r="M185" s="581">
        <v>0</v>
      </c>
      <c r="N185" s="581">
        <v>0</v>
      </c>
      <c r="O185" s="581">
        <v>0</v>
      </c>
      <c r="P185" s="581">
        <v>0</v>
      </c>
      <c r="Q185" s="581">
        <v>0</v>
      </c>
      <c r="R185" s="581">
        <v>0</v>
      </c>
      <c r="S185" s="581">
        <v>0</v>
      </c>
      <c r="T185" s="581">
        <v>0</v>
      </c>
      <c r="U185" s="581">
        <v>0</v>
      </c>
      <c r="V185" s="581">
        <v>0</v>
      </c>
      <c r="W185" s="581">
        <v>0</v>
      </c>
      <c r="X185" s="581">
        <v>0</v>
      </c>
      <c r="Y185" s="581">
        <v>0</v>
      </c>
      <c r="Z185" s="581">
        <v>0</v>
      </c>
    </row>
    <row r="186" spans="1:26">
      <c r="A186" s="841"/>
      <c r="B186" s="842"/>
      <c r="C186" s="842"/>
      <c r="D186" s="64">
        <v>5</v>
      </c>
      <c r="E186" s="61">
        <f t="shared" si="18"/>
        <v>0</v>
      </c>
      <c r="F186" s="581">
        <v>0</v>
      </c>
      <c r="G186" s="581">
        <v>0</v>
      </c>
      <c r="H186" s="581">
        <v>0</v>
      </c>
      <c r="I186" s="581">
        <v>0</v>
      </c>
      <c r="J186" s="581">
        <v>0</v>
      </c>
      <c r="K186" s="581">
        <v>0</v>
      </c>
      <c r="L186" s="581">
        <v>0</v>
      </c>
      <c r="M186" s="581">
        <v>0</v>
      </c>
      <c r="N186" s="581">
        <v>0</v>
      </c>
      <c r="O186" s="581">
        <v>0</v>
      </c>
      <c r="P186" s="581">
        <v>0</v>
      </c>
      <c r="Q186" s="581">
        <v>0</v>
      </c>
      <c r="R186" s="581">
        <v>0</v>
      </c>
      <c r="S186" s="581">
        <v>0</v>
      </c>
      <c r="T186" s="581">
        <v>0</v>
      </c>
      <c r="U186" s="581">
        <v>0</v>
      </c>
      <c r="V186" s="581">
        <v>0</v>
      </c>
      <c r="W186" s="581">
        <v>0</v>
      </c>
      <c r="X186" s="581">
        <v>0</v>
      </c>
      <c r="Y186" s="581">
        <v>0</v>
      </c>
      <c r="Z186" s="581">
        <v>0</v>
      </c>
    </row>
    <row r="187" spans="1:26">
      <c r="A187" s="841"/>
      <c r="B187" s="842"/>
      <c r="C187" s="842"/>
      <c r="D187" s="64">
        <v>6</v>
      </c>
      <c r="E187" s="61">
        <f t="shared" si="18"/>
        <v>0</v>
      </c>
      <c r="F187" s="581">
        <v>0</v>
      </c>
      <c r="G187" s="581">
        <v>0</v>
      </c>
      <c r="H187" s="581">
        <v>0</v>
      </c>
      <c r="I187" s="581">
        <v>0</v>
      </c>
      <c r="J187" s="581">
        <v>0</v>
      </c>
      <c r="K187" s="581">
        <v>0</v>
      </c>
      <c r="L187" s="581">
        <v>0</v>
      </c>
      <c r="M187" s="581">
        <v>0</v>
      </c>
      <c r="N187" s="581">
        <v>0</v>
      </c>
      <c r="O187" s="581">
        <v>0</v>
      </c>
      <c r="P187" s="581">
        <v>0</v>
      </c>
      <c r="Q187" s="581">
        <v>0</v>
      </c>
      <c r="R187" s="581">
        <v>0</v>
      </c>
      <c r="S187" s="581">
        <v>0</v>
      </c>
      <c r="T187" s="581">
        <v>0</v>
      </c>
      <c r="U187" s="581">
        <v>0</v>
      </c>
      <c r="V187" s="581">
        <v>0</v>
      </c>
      <c r="W187" s="581">
        <v>0</v>
      </c>
      <c r="X187" s="581">
        <v>0</v>
      </c>
      <c r="Y187" s="581">
        <v>0</v>
      </c>
      <c r="Z187" s="581">
        <v>0</v>
      </c>
    </row>
    <row r="188" spans="1:26">
      <c r="A188" s="841"/>
      <c r="B188" s="842"/>
      <c r="C188" s="842"/>
      <c r="D188" s="64">
        <v>7</v>
      </c>
      <c r="E188" s="61">
        <f t="shared" si="18"/>
        <v>0</v>
      </c>
      <c r="F188" s="581">
        <v>0</v>
      </c>
      <c r="G188" s="581">
        <v>0</v>
      </c>
      <c r="H188" s="581">
        <v>0</v>
      </c>
      <c r="I188" s="581">
        <v>0</v>
      </c>
      <c r="J188" s="581">
        <v>0</v>
      </c>
      <c r="K188" s="581">
        <v>0</v>
      </c>
      <c r="L188" s="581">
        <v>0</v>
      </c>
      <c r="M188" s="581">
        <v>0</v>
      </c>
      <c r="N188" s="581">
        <v>0</v>
      </c>
      <c r="O188" s="581">
        <v>0</v>
      </c>
      <c r="P188" s="581">
        <v>0</v>
      </c>
      <c r="Q188" s="581">
        <v>0</v>
      </c>
      <c r="R188" s="581">
        <v>0</v>
      </c>
      <c r="S188" s="581">
        <v>0</v>
      </c>
      <c r="T188" s="581">
        <v>0</v>
      </c>
      <c r="U188" s="581">
        <v>0</v>
      </c>
      <c r="V188" s="581">
        <v>0</v>
      </c>
      <c r="W188" s="581">
        <v>0</v>
      </c>
      <c r="X188" s="581">
        <v>0</v>
      </c>
      <c r="Y188" s="581">
        <v>0</v>
      </c>
      <c r="Z188" s="581">
        <v>0</v>
      </c>
    </row>
    <row r="189" spans="1:26">
      <c r="A189" s="841"/>
      <c r="B189" s="842"/>
      <c r="C189" s="842"/>
      <c r="D189" s="64">
        <v>8</v>
      </c>
      <c r="E189" s="61">
        <f t="shared" si="18"/>
        <v>0</v>
      </c>
      <c r="F189" s="581">
        <v>0</v>
      </c>
      <c r="G189" s="581">
        <v>0</v>
      </c>
      <c r="H189" s="581">
        <v>0</v>
      </c>
      <c r="I189" s="581">
        <v>0</v>
      </c>
      <c r="J189" s="581">
        <v>0</v>
      </c>
      <c r="K189" s="581">
        <v>0</v>
      </c>
      <c r="L189" s="581">
        <v>0</v>
      </c>
      <c r="M189" s="581">
        <v>0</v>
      </c>
      <c r="N189" s="581">
        <v>0</v>
      </c>
      <c r="O189" s="581">
        <v>0</v>
      </c>
      <c r="P189" s="581">
        <v>0</v>
      </c>
      <c r="Q189" s="581">
        <v>0</v>
      </c>
      <c r="R189" s="581">
        <v>0</v>
      </c>
      <c r="S189" s="581">
        <v>0</v>
      </c>
      <c r="T189" s="581">
        <v>0</v>
      </c>
      <c r="U189" s="581">
        <v>0</v>
      </c>
      <c r="V189" s="581">
        <v>0</v>
      </c>
      <c r="W189" s="581">
        <v>0</v>
      </c>
      <c r="X189" s="581">
        <v>0</v>
      </c>
      <c r="Y189" s="581">
        <v>0</v>
      </c>
      <c r="Z189" s="581">
        <v>0</v>
      </c>
    </row>
    <row r="190" spans="1:26">
      <c r="A190" s="841"/>
      <c r="B190" s="842"/>
      <c r="C190" s="842"/>
      <c r="D190" s="64">
        <v>9</v>
      </c>
      <c r="E190" s="61">
        <f t="shared" si="18"/>
        <v>0</v>
      </c>
      <c r="F190" s="581">
        <v>0</v>
      </c>
      <c r="G190" s="581">
        <v>0</v>
      </c>
      <c r="H190" s="581">
        <v>0</v>
      </c>
      <c r="I190" s="581">
        <v>0</v>
      </c>
      <c r="J190" s="581">
        <v>0</v>
      </c>
      <c r="K190" s="581">
        <v>0</v>
      </c>
      <c r="L190" s="581">
        <v>0</v>
      </c>
      <c r="M190" s="581">
        <v>0</v>
      </c>
      <c r="N190" s="581">
        <v>0</v>
      </c>
      <c r="O190" s="581">
        <v>0</v>
      </c>
      <c r="P190" s="581">
        <v>0</v>
      </c>
      <c r="Q190" s="581">
        <v>0</v>
      </c>
      <c r="R190" s="581">
        <v>0</v>
      </c>
      <c r="S190" s="581">
        <v>0</v>
      </c>
      <c r="T190" s="581">
        <v>0</v>
      </c>
      <c r="U190" s="581">
        <v>0</v>
      </c>
      <c r="V190" s="581">
        <v>0</v>
      </c>
      <c r="W190" s="581">
        <v>0</v>
      </c>
      <c r="X190" s="581">
        <v>0</v>
      </c>
      <c r="Y190" s="581">
        <v>0</v>
      </c>
      <c r="Z190" s="581">
        <v>0</v>
      </c>
    </row>
    <row r="191" spans="1:26" ht="15" thickBot="1">
      <c r="A191" s="841"/>
      <c r="B191" s="842"/>
      <c r="C191" s="842"/>
      <c r="D191" s="65">
        <v>10</v>
      </c>
      <c r="E191" s="62">
        <f t="shared" si="18"/>
        <v>0</v>
      </c>
      <c r="F191" s="582">
        <v>0</v>
      </c>
      <c r="G191" s="582">
        <v>0</v>
      </c>
      <c r="H191" s="582">
        <v>0</v>
      </c>
      <c r="I191" s="582">
        <v>0</v>
      </c>
      <c r="J191" s="582">
        <v>0</v>
      </c>
      <c r="K191" s="582">
        <v>0</v>
      </c>
      <c r="L191" s="582">
        <v>0</v>
      </c>
      <c r="M191" s="582">
        <v>0</v>
      </c>
      <c r="N191" s="582">
        <v>0</v>
      </c>
      <c r="O191" s="582">
        <v>0</v>
      </c>
      <c r="P191" s="582">
        <v>0</v>
      </c>
      <c r="Q191" s="582">
        <v>0</v>
      </c>
      <c r="R191" s="582">
        <v>0</v>
      </c>
      <c r="S191" s="582">
        <v>0</v>
      </c>
      <c r="T191" s="582">
        <v>0</v>
      </c>
      <c r="U191" s="582">
        <v>0</v>
      </c>
      <c r="V191" s="582">
        <v>0</v>
      </c>
      <c r="W191" s="582">
        <v>0</v>
      </c>
      <c r="X191" s="582">
        <v>0</v>
      </c>
      <c r="Y191" s="582">
        <v>0</v>
      </c>
      <c r="Z191" s="582">
        <v>0</v>
      </c>
    </row>
  </sheetData>
  <mergeCells count="60">
    <mergeCell ref="F1:Z1"/>
    <mergeCell ref="A16:A25"/>
    <mergeCell ref="B16:B25"/>
    <mergeCell ref="C16:C25"/>
    <mergeCell ref="A57:A66"/>
    <mergeCell ref="B57:B66"/>
    <mergeCell ref="C57:C66"/>
    <mergeCell ref="A47:A56"/>
    <mergeCell ref="B47:B56"/>
    <mergeCell ref="C47:C56"/>
    <mergeCell ref="A4:C4"/>
    <mergeCell ref="C6:C15"/>
    <mergeCell ref="A6:A15"/>
    <mergeCell ref="B6:B15"/>
    <mergeCell ref="A1:D1"/>
    <mergeCell ref="A2:D2"/>
    <mergeCell ref="A171:C171"/>
    <mergeCell ref="A172:A181"/>
    <mergeCell ref="B172:B181"/>
    <mergeCell ref="C172:C181"/>
    <mergeCell ref="A182:A191"/>
    <mergeCell ref="B182:B191"/>
    <mergeCell ref="C182:C191"/>
    <mergeCell ref="A67:A76"/>
    <mergeCell ref="B67:B76"/>
    <mergeCell ref="A26:A35"/>
    <mergeCell ref="B26:B35"/>
    <mergeCell ref="C26:C35"/>
    <mergeCell ref="A37:A46"/>
    <mergeCell ref="B37:B46"/>
    <mergeCell ref="C37:C46"/>
    <mergeCell ref="C67:C76"/>
    <mergeCell ref="A110:A119"/>
    <mergeCell ref="B110:B119"/>
    <mergeCell ref="A77:C77"/>
    <mergeCell ref="A79:A88"/>
    <mergeCell ref="B79:B88"/>
    <mergeCell ref="C79:C88"/>
    <mergeCell ref="A89:A98"/>
    <mergeCell ref="B89:B98"/>
    <mergeCell ref="C89:C98"/>
    <mergeCell ref="A100:A109"/>
    <mergeCell ref="B100:B109"/>
    <mergeCell ref="C100:C109"/>
    <mergeCell ref="C110:C119"/>
    <mergeCell ref="A161:A170"/>
    <mergeCell ref="B161:B170"/>
    <mergeCell ref="C161:C170"/>
    <mergeCell ref="A140:A149"/>
    <mergeCell ref="B140:B149"/>
    <mergeCell ref="A151:A160"/>
    <mergeCell ref="B151:B160"/>
    <mergeCell ref="C151:C160"/>
    <mergeCell ref="C140:C149"/>
    <mergeCell ref="A120:A129"/>
    <mergeCell ref="B120:B129"/>
    <mergeCell ref="C120:C129"/>
    <mergeCell ref="A130:A139"/>
    <mergeCell ref="B130:B139"/>
    <mergeCell ref="C130:C139"/>
  </mergeCells>
  <conditionalFormatting sqref="F2:Z2">
    <cfRule type="cellIs" dxfId="1" priority="1" operator="equal">
      <formula>0</formula>
    </cfRule>
  </conditionalFormatting>
  <pageMargins left="0.7" right="0.7" top="0.75" bottom="0.75" header="0.3" footer="0.3"/>
  <pageSetup paperSize="9" scale="29" orientation="portrait" r:id="rId1"/>
  <ignoredErrors>
    <ignoredError sqref="E36 E99" formula="1"/>
  </ignoredError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Hárok13">
    <tabColor rgb="FFFFFF00"/>
    <outlinePr summaryBelow="0" summaryRight="0"/>
  </sheetPr>
  <dimension ref="A1:AB105"/>
  <sheetViews>
    <sheetView zoomScale="70" zoomScaleNormal="70" workbookViewId="0">
      <pane ySplit="3" topLeftCell="A4" activePane="bottomLeft" state="frozen"/>
      <selection activeCell="G18" sqref="G18"/>
      <selection pane="bottomLeft" activeCell="F18" sqref="F18"/>
    </sheetView>
  </sheetViews>
  <sheetFormatPr defaultColWidth="8.81640625" defaultRowHeight="14.5" outlineLevelRow="1" outlineLevelCol="1"/>
  <cols>
    <col min="1" max="1" width="22.453125" customWidth="1"/>
    <col min="2" max="2" width="23.26953125" customWidth="1"/>
    <col min="3" max="3" width="22.453125" customWidth="1"/>
    <col min="4" max="4" width="8.81640625" style="197"/>
    <col min="5" max="5" width="17.81640625" customWidth="1"/>
    <col min="6" max="25" width="18.7265625" customWidth="1" outlineLevel="1"/>
    <col min="26" max="26" width="18.7265625" customWidth="1"/>
    <col min="28" max="28" width="10.7265625" bestFit="1" customWidth="1"/>
  </cols>
  <sheetData>
    <row r="1" spans="1:26" ht="28.5">
      <c r="A1" s="857"/>
      <c r="B1" s="857"/>
      <c r="C1" s="857"/>
      <c r="D1" s="857"/>
      <c r="F1" s="856" t="s">
        <v>227</v>
      </c>
      <c r="G1" s="856"/>
      <c r="H1" s="856"/>
      <c r="I1" s="856"/>
      <c r="J1" s="856"/>
      <c r="K1" s="856"/>
      <c r="L1" s="856"/>
      <c r="M1" s="856"/>
      <c r="N1" s="856"/>
      <c r="O1" s="856"/>
      <c r="P1" s="856"/>
      <c r="Q1" s="856"/>
      <c r="R1" s="856"/>
      <c r="S1" s="856"/>
      <c r="T1" s="856"/>
      <c r="U1" s="856"/>
      <c r="V1" s="856"/>
      <c r="W1" s="856"/>
      <c r="X1" s="856"/>
      <c r="Y1" s="856"/>
      <c r="Z1" s="856"/>
    </row>
    <row r="2" spans="1:26" ht="36" customHeight="1" thickBot="1">
      <c r="A2" s="843" t="s">
        <v>2121</v>
      </c>
      <c r="B2" s="843"/>
      <c r="C2" s="843"/>
      <c r="D2" s="844"/>
      <c r="E2" s="66" t="s">
        <v>152</v>
      </c>
      <c r="F2" s="572" t="str">
        <f>MODULY_CBA!B3</f>
        <v>Grafické rozhranie agendového systému -  správa podaní a konaní</v>
      </c>
      <c r="G2" s="572" t="str">
        <f>MODULY_CBA!$B4</f>
        <v>Grafické rozhranie agendového systému - poskytovanie udajov a platby</v>
      </c>
      <c r="H2" s="572" t="str">
        <f>MODULY_CBA!$B5</f>
        <v>Grafické rozhranie agendového systému - správa údajov katastra</v>
      </c>
      <c r="I2" s="572" t="str">
        <f>MODULY_CBA!$B6</f>
        <v>Integračné služby - poskytovanie udajov a platby</v>
      </c>
      <c r="J2" s="572" t="str">
        <f>MODULY_CBA!$B7</f>
        <v xml:space="preserve">Integračné služby - správa podaní a konaní </v>
      </c>
      <c r="K2" s="572" t="str">
        <f>MODULY_CBA!$B8</f>
        <v>Integračné služby - správa údajov katastra</v>
      </c>
      <c r="L2" s="572" t="str">
        <f>MODULY_CBA!$B9</f>
        <v xml:space="preserve">Registratúrne stredisko - Platby </v>
      </c>
      <c r="M2" s="572" t="str">
        <f>MODULY_CBA!$B10</f>
        <v>Registratúrne stredisko - Podania a konania</v>
      </c>
      <c r="N2" s="572" t="str">
        <f>MODULY_CBA!$B11</f>
        <v xml:space="preserve">Registratúrne stredisko - Poskytovanie údajov  </v>
      </c>
      <c r="O2" s="572" t="str">
        <f>MODULY_CBA!$B12</f>
        <v>Stredisko katastrálneho operátu</v>
      </c>
      <c r="P2" s="572" t="str">
        <f>MODULY_CBA!$B13</f>
        <v>Stredisko podporných služieb - poskytovanie udajov a platby</v>
      </c>
      <c r="Q2" s="572" t="str">
        <f>MODULY_CBA!$B14</f>
        <v>Stredisko podporných služieb - správa podaní a konaní</v>
      </c>
      <c r="R2" s="572" t="str">
        <f>MODULY_CBA!$B15</f>
        <v>Stredisko podporných služieb - správa údajov katastra</v>
      </c>
      <c r="S2" s="572" t="str">
        <f>MODULY_CBA!$B16</f>
        <v>Grafické rozhranie agendového systému -  prototypové data</v>
      </c>
      <c r="T2" s="572">
        <f>MODULY_CBA!$B17</f>
        <v>0</v>
      </c>
      <c r="U2" s="572">
        <f>MODULY_CBA!$B18</f>
        <v>0</v>
      </c>
      <c r="V2" s="572" t="str">
        <f>MODULY_CBA!$B19</f>
        <v>Technologické vybavenie</v>
      </c>
      <c r="W2" s="572" t="str">
        <f>MODULY_CBA!$B20</f>
        <v>Aplikačno-platformové vybavenie</v>
      </c>
      <c r="X2" s="572" t="str">
        <f>MODULY_CBA!$B21</f>
        <v>Dokumentácia riešenia</v>
      </c>
      <c r="Y2" s="572" t="str">
        <f>MODULY_CBA!$B22</f>
        <v>ISKN 2.0</v>
      </c>
      <c r="Z2" s="572">
        <f>MODULY_CBA!$B23</f>
        <v>0</v>
      </c>
    </row>
    <row r="3" spans="1:26" ht="15" thickBot="1">
      <c r="A3" s="36" t="s">
        <v>2106</v>
      </c>
      <c r="B3" s="70" t="s">
        <v>2107</v>
      </c>
      <c r="C3" s="70" t="s">
        <v>2108</v>
      </c>
      <c r="D3" s="157" t="s">
        <v>162</v>
      </c>
      <c r="E3" s="17"/>
      <c r="F3" s="17"/>
      <c r="G3" s="17"/>
      <c r="H3" s="17"/>
      <c r="I3" s="17"/>
      <c r="J3" s="17"/>
      <c r="K3" s="17"/>
      <c r="L3" s="17"/>
      <c r="M3" s="17"/>
      <c r="N3" s="17"/>
      <c r="O3" s="17"/>
      <c r="P3" s="17"/>
      <c r="Q3" s="17"/>
      <c r="R3" s="17"/>
      <c r="S3" s="17"/>
      <c r="T3" s="17"/>
      <c r="U3" s="17"/>
      <c r="V3" s="17"/>
      <c r="W3" s="17"/>
      <c r="X3" s="17"/>
      <c r="Y3" s="17"/>
      <c r="Z3" s="17"/>
    </row>
    <row r="4" spans="1:26" ht="15" thickBot="1">
      <c r="A4" s="854" t="s">
        <v>2139</v>
      </c>
      <c r="B4" s="854"/>
      <c r="C4" s="854"/>
      <c r="D4" s="589"/>
      <c r="E4" s="72">
        <f t="shared" ref="E4:F4" si="0">SUM(E5:E54)</f>
        <v>0</v>
      </c>
      <c r="F4" s="73">
        <f t="shared" si="0"/>
        <v>0</v>
      </c>
      <c r="G4" s="73">
        <f t="shared" ref="G4:Z4" si="1">SUM(G5:G54)</f>
        <v>0</v>
      </c>
      <c r="H4" s="73">
        <f t="shared" si="1"/>
        <v>0</v>
      </c>
      <c r="I4" s="73">
        <f t="shared" si="1"/>
        <v>0</v>
      </c>
      <c r="J4" s="73">
        <f t="shared" si="1"/>
        <v>0</v>
      </c>
      <c r="K4" s="73">
        <f t="shared" si="1"/>
        <v>0</v>
      </c>
      <c r="L4" s="73">
        <f t="shared" si="1"/>
        <v>0</v>
      </c>
      <c r="M4" s="73">
        <f t="shared" si="1"/>
        <v>0</v>
      </c>
      <c r="N4" s="73">
        <f t="shared" si="1"/>
        <v>0</v>
      </c>
      <c r="O4" s="73">
        <f t="shared" si="1"/>
        <v>0</v>
      </c>
      <c r="P4" s="73">
        <f t="shared" si="1"/>
        <v>0</v>
      </c>
      <c r="Q4" s="73">
        <f t="shared" si="1"/>
        <v>0</v>
      </c>
      <c r="R4" s="73">
        <f t="shared" si="1"/>
        <v>0</v>
      </c>
      <c r="S4" s="73">
        <f t="shared" si="1"/>
        <v>0</v>
      </c>
      <c r="T4" s="73">
        <f t="shared" si="1"/>
        <v>0</v>
      </c>
      <c r="U4" s="73">
        <f t="shared" si="1"/>
        <v>0</v>
      </c>
      <c r="V4" s="73">
        <f t="shared" si="1"/>
        <v>0</v>
      </c>
      <c r="W4" s="73">
        <f t="shared" si="1"/>
        <v>0</v>
      </c>
      <c r="X4" s="73">
        <f t="shared" si="1"/>
        <v>0</v>
      </c>
      <c r="Y4" s="73">
        <f t="shared" si="1"/>
        <v>0</v>
      </c>
      <c r="Z4" s="73">
        <f t="shared" si="1"/>
        <v>0</v>
      </c>
    </row>
    <row r="5" spans="1:26" outlineLevel="1">
      <c r="A5" s="841" t="s">
        <v>2140</v>
      </c>
      <c r="B5" s="841" t="s">
        <v>2141</v>
      </c>
      <c r="C5" s="842">
        <v>713002</v>
      </c>
      <c r="D5" s="497">
        <v>1</v>
      </c>
      <c r="E5" s="67">
        <f t="shared" ref="E5:E54" si="2">SUM(F5:Z5)</f>
        <v>0</v>
      </c>
      <c r="F5" s="576">
        <f>IFERROR(SUMIFS('Rozpočet - HW a licencie'!$I$3:$I$102,'Rozpočet - HW a licencie'!$A$3:$A$102,'TCO TO BE - HW'!F$2,'Rozpočet - HW a licencie'!$C$3:$C$102,"HW",'Rozpočet - HW a licencie'!$G$3:$G$102,'TCO TO BE - HW'!$D5,'Rozpočet - HW a licencie'!$D$3:$D$102,'TCO TO BE - HW'!$B$5)+SUMIFS('Rozpočet - HW a licencie'!$I$3:$I$102,'Rozpočet - HW a licencie'!$A$3:$A$102,'TCO TO BE - HW'!F$2,'Rozpočet - HW a licencie'!$C$3:$C$102,"SW pre HW",'Rozpočet - HW a licencie'!$G$3:$G$102,'TCO TO BE - HW'!$D5,'Rozpočet - HW a licencie'!$D$3:$D$102,'TCO TO BE - HW'!$B$5),)</f>
        <v>0</v>
      </c>
      <c r="G5" s="576">
        <f>IFERROR(SUMIFS('Rozpočet - HW a licencie'!$I$3:$I$102,'Rozpočet - HW a licencie'!$A$3:$A$102,'TCO TO BE - HW'!G$2,'Rozpočet - HW a licencie'!$C$3:$C$102,"HW",'Rozpočet - HW a licencie'!$G$3:$G$102,'TCO TO BE - HW'!$D5,'Rozpočet - HW a licencie'!$D$3:$D$102,'TCO TO BE - HW'!$B$5)+SUMIFS('Rozpočet - HW a licencie'!$I$3:$I$102,'Rozpočet - HW a licencie'!$A$3:$A$102,'TCO TO BE - HW'!G$2,'Rozpočet - HW a licencie'!$C$3:$C$102,"SW pre HW",'Rozpočet - HW a licencie'!$G$3:$G$102,'TCO TO BE - HW'!$D5,'Rozpočet - HW a licencie'!$D$3:$D$102,'TCO TO BE - HW'!$B$5),)</f>
        <v>0</v>
      </c>
      <c r="H5" s="576">
        <f>IFERROR(SUMIFS('Rozpočet - HW a licencie'!$I$3:$I$102,'Rozpočet - HW a licencie'!$A$3:$A$102,'TCO TO BE - HW'!H$2,'Rozpočet - HW a licencie'!$C$3:$C$102,"HW",'Rozpočet - HW a licencie'!$G$3:$G$102,'TCO TO BE - HW'!$D5,'Rozpočet - HW a licencie'!$D$3:$D$102,'TCO TO BE - HW'!$B$5)+SUMIFS('Rozpočet - HW a licencie'!$I$3:$I$102,'Rozpočet - HW a licencie'!$A$3:$A$102,'TCO TO BE - HW'!H$2,'Rozpočet - HW a licencie'!$C$3:$C$102,"SW pre HW",'Rozpočet - HW a licencie'!$G$3:$G$102,'TCO TO BE - HW'!$D5,'Rozpočet - HW a licencie'!$D$3:$D$102,'TCO TO BE - HW'!$B$5),)</f>
        <v>0</v>
      </c>
      <c r="I5" s="576">
        <f>IFERROR(SUMIFS('Rozpočet - HW a licencie'!$I$3:$I$102,'Rozpočet - HW a licencie'!$A$3:$A$102,'TCO TO BE - HW'!I$2,'Rozpočet - HW a licencie'!$C$3:$C$102,"HW",'Rozpočet - HW a licencie'!$G$3:$G$102,'TCO TO BE - HW'!$D5,'Rozpočet - HW a licencie'!$D$3:$D$102,'TCO TO BE - HW'!$B$5)+SUMIFS('Rozpočet - HW a licencie'!$I$3:$I$102,'Rozpočet - HW a licencie'!$A$3:$A$102,'TCO TO BE - HW'!I$2,'Rozpočet - HW a licencie'!$C$3:$C$102,"SW pre HW",'Rozpočet - HW a licencie'!$G$3:$G$102,'TCO TO BE - HW'!$D5,'Rozpočet - HW a licencie'!$D$3:$D$102,'TCO TO BE - HW'!$B$5),)</f>
        <v>0</v>
      </c>
      <c r="J5" s="576">
        <f>IFERROR(SUMIFS('Rozpočet - HW a licencie'!$I$3:$I$102,'Rozpočet - HW a licencie'!$A$3:$A$102,'TCO TO BE - HW'!J$2,'Rozpočet - HW a licencie'!$C$3:$C$102,"HW",'Rozpočet - HW a licencie'!$G$3:$G$102,'TCO TO BE - HW'!$D5,'Rozpočet - HW a licencie'!$D$3:$D$102,'TCO TO BE - HW'!$B$5)+SUMIFS('Rozpočet - HW a licencie'!$I$3:$I$102,'Rozpočet - HW a licencie'!$A$3:$A$102,'TCO TO BE - HW'!J$2,'Rozpočet - HW a licencie'!$C$3:$C$102,"SW pre HW",'Rozpočet - HW a licencie'!$G$3:$G$102,'TCO TO BE - HW'!$D5,'Rozpočet - HW a licencie'!$D$3:$D$102,'TCO TO BE - HW'!$B$5),)</f>
        <v>0</v>
      </c>
      <c r="K5" s="576">
        <f>IFERROR(SUMIFS('Rozpočet - HW a licencie'!$I$3:$I$102,'Rozpočet - HW a licencie'!$A$3:$A$102,'TCO TO BE - HW'!K$2,'Rozpočet - HW a licencie'!$C$3:$C$102,"HW",'Rozpočet - HW a licencie'!$G$3:$G$102,'TCO TO BE - HW'!$D5,'Rozpočet - HW a licencie'!$D$3:$D$102,'TCO TO BE - HW'!$B$5)+SUMIFS('Rozpočet - HW a licencie'!$I$3:$I$102,'Rozpočet - HW a licencie'!$A$3:$A$102,'TCO TO BE - HW'!K$2,'Rozpočet - HW a licencie'!$C$3:$C$102,"SW pre HW",'Rozpočet - HW a licencie'!$G$3:$G$102,'TCO TO BE - HW'!$D5,'Rozpočet - HW a licencie'!$D$3:$D$102,'TCO TO BE - HW'!$B$5),)</f>
        <v>0</v>
      </c>
      <c r="L5" s="576">
        <f>IFERROR(SUMIFS('Rozpočet - HW a licencie'!$I$3:$I$102,'Rozpočet - HW a licencie'!$A$3:$A$102,'TCO TO BE - HW'!L$2,'Rozpočet - HW a licencie'!$C$3:$C$102,"HW",'Rozpočet - HW a licencie'!$G$3:$G$102,'TCO TO BE - HW'!$D5,'Rozpočet - HW a licencie'!$D$3:$D$102,'TCO TO BE - HW'!$B$5)+SUMIFS('Rozpočet - HW a licencie'!$I$3:$I$102,'Rozpočet - HW a licencie'!$A$3:$A$102,'TCO TO BE - HW'!L$2,'Rozpočet - HW a licencie'!$C$3:$C$102,"SW pre HW",'Rozpočet - HW a licencie'!$G$3:$G$102,'TCO TO BE - HW'!$D5,'Rozpočet - HW a licencie'!$D$3:$D$102,'TCO TO BE - HW'!$B$5),)</f>
        <v>0</v>
      </c>
      <c r="M5" s="576">
        <f>IFERROR(SUMIFS('Rozpočet - HW a licencie'!$I$3:$I$102,'Rozpočet - HW a licencie'!$A$3:$A$102,'TCO TO BE - HW'!M$2,'Rozpočet - HW a licencie'!$C$3:$C$102,"HW",'Rozpočet - HW a licencie'!$G$3:$G$102,'TCO TO BE - HW'!$D5,'Rozpočet - HW a licencie'!$D$3:$D$102,'TCO TO BE - HW'!$B$5)+SUMIFS('Rozpočet - HW a licencie'!$I$3:$I$102,'Rozpočet - HW a licencie'!$A$3:$A$102,'TCO TO BE - HW'!M$2,'Rozpočet - HW a licencie'!$C$3:$C$102,"SW pre HW",'Rozpočet - HW a licencie'!$G$3:$G$102,'TCO TO BE - HW'!$D5,'Rozpočet - HW a licencie'!$D$3:$D$102,'TCO TO BE - HW'!$B$5),)</f>
        <v>0</v>
      </c>
      <c r="N5" s="576">
        <f>IFERROR(SUMIFS('Rozpočet - HW a licencie'!$I$3:$I$102,'Rozpočet - HW a licencie'!$A$3:$A$102,'TCO TO BE - HW'!N$2,'Rozpočet - HW a licencie'!$C$3:$C$102,"HW",'Rozpočet - HW a licencie'!$G$3:$G$102,'TCO TO BE - HW'!$D5,'Rozpočet - HW a licencie'!$D$3:$D$102,'TCO TO BE - HW'!$B$5)+SUMIFS('Rozpočet - HW a licencie'!$I$3:$I$102,'Rozpočet - HW a licencie'!$A$3:$A$102,'TCO TO BE - HW'!N$2,'Rozpočet - HW a licencie'!$C$3:$C$102,"SW pre HW",'Rozpočet - HW a licencie'!$G$3:$G$102,'TCO TO BE - HW'!$D5,'Rozpočet - HW a licencie'!$D$3:$D$102,'TCO TO BE - HW'!$B$5),)</f>
        <v>0</v>
      </c>
      <c r="O5" s="576">
        <f>IFERROR(SUMIFS('Rozpočet - HW a licencie'!$I$3:$I$102,'Rozpočet - HW a licencie'!$A$3:$A$102,'TCO TO BE - HW'!O$2,'Rozpočet - HW a licencie'!$C$3:$C$102,"HW",'Rozpočet - HW a licencie'!$G$3:$G$102,'TCO TO BE - HW'!$D5,'Rozpočet - HW a licencie'!$D$3:$D$102,'TCO TO BE - HW'!$B$5)+SUMIFS('Rozpočet - HW a licencie'!$I$3:$I$102,'Rozpočet - HW a licencie'!$A$3:$A$102,'TCO TO BE - HW'!O$2,'Rozpočet - HW a licencie'!$C$3:$C$102,"SW pre HW",'Rozpočet - HW a licencie'!$G$3:$G$102,'TCO TO BE - HW'!$D5,'Rozpočet - HW a licencie'!$D$3:$D$102,'TCO TO BE - HW'!$B$5),)</f>
        <v>0</v>
      </c>
      <c r="P5" s="576">
        <f>IFERROR(SUMIFS('Rozpočet - HW a licencie'!$I$3:$I$102,'Rozpočet - HW a licencie'!$A$3:$A$102,'TCO TO BE - HW'!P$2,'Rozpočet - HW a licencie'!$C$3:$C$102,"HW",'Rozpočet - HW a licencie'!$G$3:$G$102,'TCO TO BE - HW'!$D5,'Rozpočet - HW a licencie'!$D$3:$D$102,'TCO TO BE - HW'!$B$5)+SUMIFS('Rozpočet - HW a licencie'!$I$3:$I$102,'Rozpočet - HW a licencie'!$A$3:$A$102,'TCO TO BE - HW'!P$2,'Rozpočet - HW a licencie'!$C$3:$C$102,"SW pre HW",'Rozpočet - HW a licencie'!$G$3:$G$102,'TCO TO BE - HW'!$D5,'Rozpočet - HW a licencie'!$D$3:$D$102,'TCO TO BE - HW'!$B$5),)</f>
        <v>0</v>
      </c>
      <c r="Q5" s="576">
        <f>IFERROR(SUMIFS('Rozpočet - HW a licencie'!$I$3:$I$102,'Rozpočet - HW a licencie'!$A$3:$A$102,'TCO TO BE - HW'!Q$2,'Rozpočet - HW a licencie'!$C$3:$C$102,"HW",'Rozpočet - HW a licencie'!$G$3:$G$102,'TCO TO BE - HW'!$D5,'Rozpočet - HW a licencie'!$D$3:$D$102,'TCO TO BE - HW'!$B$5)+SUMIFS('Rozpočet - HW a licencie'!$I$3:$I$102,'Rozpočet - HW a licencie'!$A$3:$A$102,'TCO TO BE - HW'!Q$2,'Rozpočet - HW a licencie'!$C$3:$C$102,"SW pre HW",'Rozpočet - HW a licencie'!$G$3:$G$102,'TCO TO BE - HW'!$D5,'Rozpočet - HW a licencie'!$D$3:$D$102,'TCO TO BE - HW'!$B$5),)</f>
        <v>0</v>
      </c>
      <c r="R5" s="576">
        <f>IFERROR(SUMIFS('Rozpočet - HW a licencie'!$I$3:$I$102,'Rozpočet - HW a licencie'!$A$3:$A$102,'TCO TO BE - HW'!R$2,'Rozpočet - HW a licencie'!$C$3:$C$102,"HW",'Rozpočet - HW a licencie'!$G$3:$G$102,'TCO TO BE - HW'!$D5,'Rozpočet - HW a licencie'!$D$3:$D$102,'TCO TO BE - HW'!$B$5)+SUMIFS('Rozpočet - HW a licencie'!$I$3:$I$102,'Rozpočet - HW a licencie'!$A$3:$A$102,'TCO TO BE - HW'!R$2,'Rozpočet - HW a licencie'!$C$3:$C$102,"SW pre HW",'Rozpočet - HW a licencie'!$G$3:$G$102,'TCO TO BE - HW'!$D5,'Rozpočet - HW a licencie'!$D$3:$D$102,'TCO TO BE - HW'!$B$5),)</f>
        <v>0</v>
      </c>
      <c r="S5" s="576">
        <f>IFERROR(SUMIFS('Rozpočet - HW a licencie'!$I$3:$I$102,'Rozpočet - HW a licencie'!$A$3:$A$102,'TCO TO BE - HW'!S$2,'Rozpočet - HW a licencie'!$C$3:$C$102,"HW",'Rozpočet - HW a licencie'!$G$3:$G$102,'TCO TO BE - HW'!$D5,'Rozpočet - HW a licencie'!$D$3:$D$102,'TCO TO BE - HW'!$B$5)+SUMIFS('Rozpočet - HW a licencie'!$I$3:$I$102,'Rozpočet - HW a licencie'!$A$3:$A$102,'TCO TO BE - HW'!S$2,'Rozpočet - HW a licencie'!$C$3:$C$102,"SW pre HW",'Rozpočet - HW a licencie'!$G$3:$G$102,'TCO TO BE - HW'!$D5,'Rozpočet - HW a licencie'!$D$3:$D$102,'TCO TO BE - HW'!$B$5),)</f>
        <v>0</v>
      </c>
      <c r="T5" s="576">
        <f>IFERROR(SUMIFS('Rozpočet - HW a licencie'!$I$3:$I$102,'Rozpočet - HW a licencie'!$A$3:$A$102,'TCO TO BE - HW'!T$2,'Rozpočet - HW a licencie'!$C$3:$C$102,"HW",'Rozpočet - HW a licencie'!$G$3:$G$102,'TCO TO BE - HW'!$D5,'Rozpočet - HW a licencie'!$D$3:$D$102,'TCO TO BE - HW'!$B$5)+SUMIFS('Rozpočet - HW a licencie'!$I$3:$I$102,'Rozpočet - HW a licencie'!$A$3:$A$102,'TCO TO BE - HW'!T$2,'Rozpočet - HW a licencie'!$C$3:$C$102,"SW pre HW",'Rozpočet - HW a licencie'!$G$3:$G$102,'TCO TO BE - HW'!$D5,'Rozpočet - HW a licencie'!$D$3:$D$102,'TCO TO BE - HW'!$B$5),)</f>
        <v>0</v>
      </c>
      <c r="U5" s="576">
        <f>IFERROR(SUMIFS('Rozpočet - HW a licencie'!$I$3:$I$102,'Rozpočet - HW a licencie'!$A$3:$A$102,'TCO TO BE - HW'!U$2,'Rozpočet - HW a licencie'!$C$3:$C$102,"HW",'Rozpočet - HW a licencie'!$G$3:$G$102,'TCO TO BE - HW'!$D5,'Rozpočet - HW a licencie'!$D$3:$D$102,'TCO TO BE - HW'!$B$5)+SUMIFS('Rozpočet - HW a licencie'!$I$3:$I$102,'Rozpočet - HW a licencie'!$A$3:$A$102,'TCO TO BE - HW'!U$2,'Rozpočet - HW a licencie'!$C$3:$C$102,"SW pre HW",'Rozpočet - HW a licencie'!$G$3:$G$102,'TCO TO BE - HW'!$D5,'Rozpočet - HW a licencie'!$D$3:$D$102,'TCO TO BE - HW'!$B$5),)</f>
        <v>0</v>
      </c>
      <c r="V5" s="576">
        <f>IFERROR(SUMIFS('Rozpočet - HW a licencie'!$I$3:$I$102,'Rozpočet - HW a licencie'!$A$3:$A$102,'TCO TO BE - HW'!V$2,'Rozpočet - HW a licencie'!$C$3:$C$102,"HW",'Rozpočet - HW a licencie'!$G$3:$G$102,'TCO TO BE - HW'!$D5,'Rozpočet - HW a licencie'!$D$3:$D$102,'TCO TO BE - HW'!$B$5)+SUMIFS('Rozpočet - HW a licencie'!$I$3:$I$102,'Rozpočet - HW a licencie'!$A$3:$A$102,'TCO TO BE - HW'!V$2,'Rozpočet - HW a licencie'!$C$3:$C$102,"SW pre HW",'Rozpočet - HW a licencie'!$G$3:$G$102,'TCO TO BE - HW'!$D5,'Rozpočet - HW a licencie'!$D$3:$D$102,'TCO TO BE - HW'!$B$5),)</f>
        <v>0</v>
      </c>
      <c r="W5" s="576">
        <f>IFERROR(SUMIFS('Rozpočet - HW a licencie'!$I$3:$I$102,'Rozpočet - HW a licencie'!$A$3:$A$102,'TCO TO BE - HW'!W$2,'Rozpočet - HW a licencie'!$C$3:$C$102,"HW",'Rozpočet - HW a licencie'!$G$3:$G$102,'TCO TO BE - HW'!$D5,'Rozpočet - HW a licencie'!$D$3:$D$102,'TCO TO BE - HW'!$B$5)+SUMIFS('Rozpočet - HW a licencie'!$I$3:$I$102,'Rozpočet - HW a licencie'!$A$3:$A$102,'TCO TO BE - HW'!W$2,'Rozpočet - HW a licencie'!$C$3:$C$102,"SW pre HW",'Rozpočet - HW a licencie'!$G$3:$G$102,'TCO TO BE - HW'!$D5,'Rozpočet - HW a licencie'!$D$3:$D$102,'TCO TO BE - HW'!$B$5),)</f>
        <v>0</v>
      </c>
      <c r="X5" s="576">
        <f>IFERROR(SUMIFS('Rozpočet - HW a licencie'!$I$3:$I$102,'Rozpočet - HW a licencie'!$A$3:$A$102,'TCO TO BE - HW'!X$2,'Rozpočet - HW a licencie'!$C$3:$C$102,"HW",'Rozpočet - HW a licencie'!$G$3:$G$102,'TCO TO BE - HW'!$D5,'Rozpočet - HW a licencie'!$D$3:$D$102,'TCO TO BE - HW'!$B$5)+SUMIFS('Rozpočet - HW a licencie'!$I$3:$I$102,'Rozpočet - HW a licencie'!$A$3:$A$102,'TCO TO BE - HW'!X$2,'Rozpočet - HW a licencie'!$C$3:$C$102,"SW pre HW",'Rozpočet - HW a licencie'!$G$3:$G$102,'TCO TO BE - HW'!$D5,'Rozpočet - HW a licencie'!$D$3:$D$102,'TCO TO BE - HW'!$B$5),)</f>
        <v>0</v>
      </c>
      <c r="Y5" s="576">
        <f>IFERROR(SUMIFS('Rozpočet - HW a licencie'!$I$3:$I$102,'Rozpočet - HW a licencie'!$A$3:$A$102,'TCO TO BE - HW'!Y$2,'Rozpočet - HW a licencie'!$C$3:$C$102,"HW",'Rozpočet - HW a licencie'!$G$3:$G$102,'TCO TO BE - HW'!$D5,'Rozpočet - HW a licencie'!$D$3:$D$102,'TCO TO BE - HW'!$B$5)+SUMIFS('Rozpočet - HW a licencie'!$I$3:$I$102,'Rozpočet - HW a licencie'!$A$3:$A$102,'TCO TO BE - HW'!Y$2,'Rozpočet - HW a licencie'!$C$3:$C$102,"SW pre HW",'Rozpočet - HW a licencie'!$G$3:$G$102,'TCO TO BE - HW'!$D5,'Rozpočet - HW a licencie'!$D$3:$D$102,'TCO TO BE - HW'!$B$5),)</f>
        <v>0</v>
      </c>
      <c r="Z5" s="576">
        <f>IFERROR(SUMIFS('Rozpočet - HW a licencie'!$I$3:$I$102,'Rozpočet - HW a licencie'!$A$3:$A$102,'TCO TO BE - HW'!Z$2,'Rozpočet - HW a licencie'!$C$3:$C$102,"HW",'Rozpočet - HW a licencie'!$G$3:$G$102,'TCO TO BE - HW'!$D5,'Rozpočet - HW a licencie'!$D$3:$D$102,'TCO TO BE - HW'!$B$5)+SUMIFS('Rozpočet - HW a licencie'!$I$3:$I$102,'Rozpočet - HW a licencie'!$A$3:$A$102,'TCO TO BE - HW'!Z$2,'Rozpočet - HW a licencie'!$C$3:$C$102,"SW pre HW",'Rozpočet - HW a licencie'!$G$3:$G$102,'TCO TO BE - HW'!$D5,'Rozpočet - HW a licencie'!$D$3:$D$102,'TCO TO BE - HW'!$B$5),)</f>
        <v>0</v>
      </c>
    </row>
    <row r="6" spans="1:26" outlineLevel="1">
      <c r="A6" s="841"/>
      <c r="B6" s="842"/>
      <c r="C6" s="842"/>
      <c r="D6" s="498">
        <v>2</v>
      </c>
      <c r="E6" s="68">
        <f t="shared" si="2"/>
        <v>0</v>
      </c>
      <c r="F6" s="576">
        <f>IFERROR(SUMIFS('Rozpočet - HW a licencie'!$I$3:$I$102,'Rozpočet - HW a licencie'!$A$3:$A$102,'TCO TO BE - HW'!F$2,'Rozpočet - HW a licencie'!$C$3:$C$102,"HW",'Rozpočet - HW a licencie'!$G$3:$G$102,'TCO TO BE - HW'!$D6,'Rozpočet - HW a licencie'!$D$3:$D$102,'TCO TO BE - HW'!$B$5)+SUMIFS('Rozpočet - HW a licencie'!$I$3:$I$102,'Rozpočet - HW a licencie'!$A$3:$A$102,'TCO TO BE - HW'!F$2,'Rozpočet - HW a licencie'!$C$3:$C$102,"SW pre HW",'Rozpočet - HW a licencie'!$G$3:$G$102,'TCO TO BE - HW'!$D6,'Rozpočet - HW a licencie'!$D$3:$D$102,'TCO TO BE - HW'!$B$5),)</f>
        <v>0</v>
      </c>
      <c r="G6" s="576">
        <f>IFERROR(SUMIFS('Rozpočet - HW a licencie'!$I$3:$I$102,'Rozpočet - HW a licencie'!$A$3:$A$102,'TCO TO BE - HW'!G$2,'Rozpočet - HW a licencie'!$C$3:$C$102,"HW",'Rozpočet - HW a licencie'!$G$3:$G$102,'TCO TO BE - HW'!$D6,'Rozpočet - HW a licencie'!$D$3:$D$102,'TCO TO BE - HW'!$B$5)+SUMIFS('Rozpočet - HW a licencie'!$I$3:$I$102,'Rozpočet - HW a licencie'!$A$3:$A$102,'TCO TO BE - HW'!G$2,'Rozpočet - HW a licencie'!$C$3:$C$102,"SW pre HW",'Rozpočet - HW a licencie'!$G$3:$G$102,'TCO TO BE - HW'!$D6,'Rozpočet - HW a licencie'!$D$3:$D$102,'TCO TO BE - HW'!$B$5),)</f>
        <v>0</v>
      </c>
      <c r="H6" s="576">
        <f>IFERROR(SUMIFS('Rozpočet - HW a licencie'!$I$3:$I$102,'Rozpočet - HW a licencie'!$A$3:$A$102,'TCO TO BE - HW'!H$2,'Rozpočet - HW a licencie'!$C$3:$C$102,"HW",'Rozpočet - HW a licencie'!$G$3:$G$102,'TCO TO BE - HW'!$D6,'Rozpočet - HW a licencie'!$D$3:$D$102,'TCO TO BE - HW'!$B$5)+SUMIFS('Rozpočet - HW a licencie'!$I$3:$I$102,'Rozpočet - HW a licencie'!$A$3:$A$102,'TCO TO BE - HW'!H$2,'Rozpočet - HW a licencie'!$C$3:$C$102,"SW pre HW",'Rozpočet - HW a licencie'!$G$3:$G$102,'TCO TO BE - HW'!$D6,'Rozpočet - HW a licencie'!$D$3:$D$102,'TCO TO BE - HW'!$B$5),)</f>
        <v>0</v>
      </c>
      <c r="I6" s="576">
        <f>IFERROR(SUMIFS('Rozpočet - HW a licencie'!$I$3:$I$102,'Rozpočet - HW a licencie'!$A$3:$A$102,'TCO TO BE - HW'!I$2,'Rozpočet - HW a licencie'!$C$3:$C$102,"HW",'Rozpočet - HW a licencie'!$G$3:$G$102,'TCO TO BE - HW'!$D6,'Rozpočet - HW a licencie'!$D$3:$D$102,'TCO TO BE - HW'!$B$5)+SUMIFS('Rozpočet - HW a licencie'!$I$3:$I$102,'Rozpočet - HW a licencie'!$A$3:$A$102,'TCO TO BE - HW'!I$2,'Rozpočet - HW a licencie'!$C$3:$C$102,"SW pre HW",'Rozpočet - HW a licencie'!$G$3:$G$102,'TCO TO BE - HW'!$D6,'Rozpočet - HW a licencie'!$D$3:$D$102,'TCO TO BE - HW'!$B$5),)</f>
        <v>0</v>
      </c>
      <c r="J6" s="576">
        <f>IFERROR(SUMIFS('Rozpočet - HW a licencie'!$I$3:$I$102,'Rozpočet - HW a licencie'!$A$3:$A$102,'TCO TO BE - HW'!J$2,'Rozpočet - HW a licencie'!$C$3:$C$102,"HW",'Rozpočet - HW a licencie'!$G$3:$G$102,'TCO TO BE - HW'!$D6,'Rozpočet - HW a licencie'!$D$3:$D$102,'TCO TO BE - HW'!$B$5)+SUMIFS('Rozpočet - HW a licencie'!$I$3:$I$102,'Rozpočet - HW a licencie'!$A$3:$A$102,'TCO TO BE - HW'!J$2,'Rozpočet - HW a licencie'!$C$3:$C$102,"SW pre HW",'Rozpočet - HW a licencie'!$G$3:$G$102,'TCO TO BE - HW'!$D6,'Rozpočet - HW a licencie'!$D$3:$D$102,'TCO TO BE - HW'!$B$5),)</f>
        <v>0</v>
      </c>
      <c r="K6" s="576">
        <f>IFERROR(SUMIFS('Rozpočet - HW a licencie'!$I$3:$I$102,'Rozpočet - HW a licencie'!$A$3:$A$102,'TCO TO BE - HW'!K$2,'Rozpočet - HW a licencie'!$C$3:$C$102,"HW",'Rozpočet - HW a licencie'!$G$3:$G$102,'TCO TO BE - HW'!$D6,'Rozpočet - HW a licencie'!$D$3:$D$102,'TCO TO BE - HW'!$B$5)+SUMIFS('Rozpočet - HW a licencie'!$I$3:$I$102,'Rozpočet - HW a licencie'!$A$3:$A$102,'TCO TO BE - HW'!K$2,'Rozpočet - HW a licencie'!$C$3:$C$102,"SW pre HW",'Rozpočet - HW a licencie'!$G$3:$G$102,'TCO TO BE - HW'!$D6,'Rozpočet - HW a licencie'!$D$3:$D$102,'TCO TO BE - HW'!$B$5),)</f>
        <v>0</v>
      </c>
      <c r="L6" s="576">
        <f>IFERROR(SUMIFS('Rozpočet - HW a licencie'!$I$3:$I$102,'Rozpočet - HW a licencie'!$A$3:$A$102,'TCO TO BE - HW'!L$2,'Rozpočet - HW a licencie'!$C$3:$C$102,"HW",'Rozpočet - HW a licencie'!$G$3:$G$102,'TCO TO BE - HW'!$D6,'Rozpočet - HW a licencie'!$D$3:$D$102,'TCO TO BE - HW'!$B$5)+SUMIFS('Rozpočet - HW a licencie'!$I$3:$I$102,'Rozpočet - HW a licencie'!$A$3:$A$102,'TCO TO BE - HW'!L$2,'Rozpočet - HW a licencie'!$C$3:$C$102,"SW pre HW",'Rozpočet - HW a licencie'!$G$3:$G$102,'TCO TO BE - HW'!$D6,'Rozpočet - HW a licencie'!$D$3:$D$102,'TCO TO BE - HW'!$B$5),)</f>
        <v>0</v>
      </c>
      <c r="M6" s="576">
        <f>IFERROR(SUMIFS('Rozpočet - HW a licencie'!$I$3:$I$102,'Rozpočet - HW a licencie'!$A$3:$A$102,'TCO TO BE - HW'!M$2,'Rozpočet - HW a licencie'!$C$3:$C$102,"HW",'Rozpočet - HW a licencie'!$G$3:$G$102,'TCO TO BE - HW'!$D6,'Rozpočet - HW a licencie'!$D$3:$D$102,'TCO TO BE - HW'!$B$5)+SUMIFS('Rozpočet - HW a licencie'!$I$3:$I$102,'Rozpočet - HW a licencie'!$A$3:$A$102,'TCO TO BE - HW'!M$2,'Rozpočet - HW a licencie'!$C$3:$C$102,"SW pre HW",'Rozpočet - HW a licencie'!$G$3:$G$102,'TCO TO BE - HW'!$D6,'Rozpočet - HW a licencie'!$D$3:$D$102,'TCO TO BE - HW'!$B$5),)</f>
        <v>0</v>
      </c>
      <c r="N6" s="576">
        <f>IFERROR(SUMIFS('Rozpočet - HW a licencie'!$I$3:$I$102,'Rozpočet - HW a licencie'!$A$3:$A$102,'TCO TO BE - HW'!N$2,'Rozpočet - HW a licencie'!$C$3:$C$102,"HW",'Rozpočet - HW a licencie'!$G$3:$G$102,'TCO TO BE - HW'!$D6,'Rozpočet - HW a licencie'!$D$3:$D$102,'TCO TO BE - HW'!$B$5)+SUMIFS('Rozpočet - HW a licencie'!$I$3:$I$102,'Rozpočet - HW a licencie'!$A$3:$A$102,'TCO TO BE - HW'!N$2,'Rozpočet - HW a licencie'!$C$3:$C$102,"SW pre HW",'Rozpočet - HW a licencie'!$G$3:$G$102,'TCO TO BE - HW'!$D6,'Rozpočet - HW a licencie'!$D$3:$D$102,'TCO TO BE - HW'!$B$5),)</f>
        <v>0</v>
      </c>
      <c r="O6" s="576">
        <f>IFERROR(SUMIFS('Rozpočet - HW a licencie'!$I$3:$I$102,'Rozpočet - HW a licencie'!$A$3:$A$102,'TCO TO BE - HW'!O$2,'Rozpočet - HW a licencie'!$C$3:$C$102,"HW",'Rozpočet - HW a licencie'!$G$3:$G$102,'TCO TO BE - HW'!$D6,'Rozpočet - HW a licencie'!$D$3:$D$102,'TCO TO BE - HW'!$B$5)+SUMIFS('Rozpočet - HW a licencie'!$I$3:$I$102,'Rozpočet - HW a licencie'!$A$3:$A$102,'TCO TO BE - HW'!O$2,'Rozpočet - HW a licencie'!$C$3:$C$102,"SW pre HW",'Rozpočet - HW a licencie'!$G$3:$G$102,'TCO TO BE - HW'!$D6,'Rozpočet - HW a licencie'!$D$3:$D$102,'TCO TO BE - HW'!$B$5),)</f>
        <v>0</v>
      </c>
      <c r="P6" s="576">
        <f>IFERROR(SUMIFS('Rozpočet - HW a licencie'!$I$3:$I$102,'Rozpočet - HW a licencie'!$A$3:$A$102,'TCO TO BE - HW'!P$2,'Rozpočet - HW a licencie'!$C$3:$C$102,"HW",'Rozpočet - HW a licencie'!$G$3:$G$102,'TCO TO BE - HW'!$D6,'Rozpočet - HW a licencie'!$D$3:$D$102,'TCO TO BE - HW'!$B$5)+SUMIFS('Rozpočet - HW a licencie'!$I$3:$I$102,'Rozpočet - HW a licencie'!$A$3:$A$102,'TCO TO BE - HW'!P$2,'Rozpočet - HW a licencie'!$C$3:$C$102,"SW pre HW",'Rozpočet - HW a licencie'!$G$3:$G$102,'TCO TO BE - HW'!$D6,'Rozpočet - HW a licencie'!$D$3:$D$102,'TCO TO BE - HW'!$B$5),)</f>
        <v>0</v>
      </c>
      <c r="Q6" s="576">
        <f>IFERROR(SUMIFS('Rozpočet - HW a licencie'!$I$3:$I$102,'Rozpočet - HW a licencie'!$A$3:$A$102,'TCO TO BE - HW'!Q$2,'Rozpočet - HW a licencie'!$C$3:$C$102,"HW",'Rozpočet - HW a licencie'!$G$3:$G$102,'TCO TO BE - HW'!$D6,'Rozpočet - HW a licencie'!$D$3:$D$102,'TCO TO BE - HW'!$B$5)+SUMIFS('Rozpočet - HW a licencie'!$I$3:$I$102,'Rozpočet - HW a licencie'!$A$3:$A$102,'TCO TO BE - HW'!Q$2,'Rozpočet - HW a licencie'!$C$3:$C$102,"SW pre HW",'Rozpočet - HW a licencie'!$G$3:$G$102,'TCO TO BE - HW'!$D6,'Rozpočet - HW a licencie'!$D$3:$D$102,'TCO TO BE - HW'!$B$5),)</f>
        <v>0</v>
      </c>
      <c r="R6" s="576">
        <f>IFERROR(SUMIFS('Rozpočet - HW a licencie'!$I$3:$I$102,'Rozpočet - HW a licencie'!$A$3:$A$102,'TCO TO BE - HW'!R$2,'Rozpočet - HW a licencie'!$C$3:$C$102,"HW",'Rozpočet - HW a licencie'!$G$3:$G$102,'TCO TO BE - HW'!$D6,'Rozpočet - HW a licencie'!$D$3:$D$102,'TCO TO BE - HW'!$B$5)+SUMIFS('Rozpočet - HW a licencie'!$I$3:$I$102,'Rozpočet - HW a licencie'!$A$3:$A$102,'TCO TO BE - HW'!R$2,'Rozpočet - HW a licencie'!$C$3:$C$102,"SW pre HW",'Rozpočet - HW a licencie'!$G$3:$G$102,'TCO TO BE - HW'!$D6,'Rozpočet - HW a licencie'!$D$3:$D$102,'TCO TO BE - HW'!$B$5),)</f>
        <v>0</v>
      </c>
      <c r="S6" s="576">
        <f>IFERROR(SUMIFS('Rozpočet - HW a licencie'!$I$3:$I$102,'Rozpočet - HW a licencie'!$A$3:$A$102,'TCO TO BE - HW'!S$2,'Rozpočet - HW a licencie'!$C$3:$C$102,"HW",'Rozpočet - HW a licencie'!$G$3:$G$102,'TCO TO BE - HW'!$D6,'Rozpočet - HW a licencie'!$D$3:$D$102,'TCO TO BE - HW'!$B$5)+SUMIFS('Rozpočet - HW a licencie'!$I$3:$I$102,'Rozpočet - HW a licencie'!$A$3:$A$102,'TCO TO BE - HW'!S$2,'Rozpočet - HW a licencie'!$C$3:$C$102,"SW pre HW",'Rozpočet - HW a licencie'!$G$3:$G$102,'TCO TO BE - HW'!$D6,'Rozpočet - HW a licencie'!$D$3:$D$102,'TCO TO BE - HW'!$B$5),)</f>
        <v>0</v>
      </c>
      <c r="T6" s="576">
        <f>IFERROR(SUMIFS('Rozpočet - HW a licencie'!$I$3:$I$102,'Rozpočet - HW a licencie'!$A$3:$A$102,'TCO TO BE - HW'!T$2,'Rozpočet - HW a licencie'!$C$3:$C$102,"HW",'Rozpočet - HW a licencie'!$G$3:$G$102,'TCO TO BE - HW'!$D6,'Rozpočet - HW a licencie'!$D$3:$D$102,'TCO TO BE - HW'!$B$5)+SUMIFS('Rozpočet - HW a licencie'!$I$3:$I$102,'Rozpočet - HW a licencie'!$A$3:$A$102,'TCO TO BE - HW'!T$2,'Rozpočet - HW a licencie'!$C$3:$C$102,"SW pre HW",'Rozpočet - HW a licencie'!$G$3:$G$102,'TCO TO BE - HW'!$D6,'Rozpočet - HW a licencie'!$D$3:$D$102,'TCO TO BE - HW'!$B$5),)</f>
        <v>0</v>
      </c>
      <c r="U6" s="576">
        <f>IFERROR(SUMIFS('Rozpočet - HW a licencie'!$I$3:$I$102,'Rozpočet - HW a licencie'!$A$3:$A$102,'TCO TO BE - HW'!U$2,'Rozpočet - HW a licencie'!$C$3:$C$102,"HW",'Rozpočet - HW a licencie'!$G$3:$G$102,'TCO TO BE - HW'!$D6,'Rozpočet - HW a licencie'!$D$3:$D$102,'TCO TO BE - HW'!$B$5)+SUMIFS('Rozpočet - HW a licencie'!$I$3:$I$102,'Rozpočet - HW a licencie'!$A$3:$A$102,'TCO TO BE - HW'!U$2,'Rozpočet - HW a licencie'!$C$3:$C$102,"SW pre HW",'Rozpočet - HW a licencie'!$G$3:$G$102,'TCO TO BE - HW'!$D6,'Rozpočet - HW a licencie'!$D$3:$D$102,'TCO TO BE - HW'!$B$5),)</f>
        <v>0</v>
      </c>
      <c r="V6" s="576">
        <f>IFERROR(SUMIFS('Rozpočet - HW a licencie'!$I$3:$I$102,'Rozpočet - HW a licencie'!$A$3:$A$102,'TCO TO BE - HW'!V$2,'Rozpočet - HW a licencie'!$C$3:$C$102,"HW",'Rozpočet - HW a licencie'!$G$3:$G$102,'TCO TO BE - HW'!$D6,'Rozpočet - HW a licencie'!$D$3:$D$102,'TCO TO BE - HW'!$B$5)+SUMIFS('Rozpočet - HW a licencie'!$I$3:$I$102,'Rozpočet - HW a licencie'!$A$3:$A$102,'TCO TO BE - HW'!V$2,'Rozpočet - HW a licencie'!$C$3:$C$102,"SW pre HW",'Rozpočet - HW a licencie'!$G$3:$G$102,'TCO TO BE - HW'!$D6,'Rozpočet - HW a licencie'!$D$3:$D$102,'TCO TO BE - HW'!$B$5),)</f>
        <v>0</v>
      </c>
      <c r="W6" s="576">
        <f>IFERROR(SUMIFS('Rozpočet - HW a licencie'!$I$3:$I$102,'Rozpočet - HW a licencie'!$A$3:$A$102,'TCO TO BE - HW'!W$2,'Rozpočet - HW a licencie'!$C$3:$C$102,"HW",'Rozpočet - HW a licencie'!$G$3:$G$102,'TCO TO BE - HW'!$D6,'Rozpočet - HW a licencie'!$D$3:$D$102,'TCO TO BE - HW'!$B$5)+SUMIFS('Rozpočet - HW a licencie'!$I$3:$I$102,'Rozpočet - HW a licencie'!$A$3:$A$102,'TCO TO BE - HW'!W$2,'Rozpočet - HW a licencie'!$C$3:$C$102,"SW pre HW",'Rozpočet - HW a licencie'!$G$3:$G$102,'TCO TO BE - HW'!$D6,'Rozpočet - HW a licencie'!$D$3:$D$102,'TCO TO BE - HW'!$B$5),)</f>
        <v>0</v>
      </c>
      <c r="X6" s="576">
        <f>IFERROR(SUMIFS('Rozpočet - HW a licencie'!$I$3:$I$102,'Rozpočet - HW a licencie'!$A$3:$A$102,'TCO TO BE - HW'!X$2,'Rozpočet - HW a licencie'!$C$3:$C$102,"HW",'Rozpočet - HW a licencie'!$G$3:$G$102,'TCO TO BE - HW'!$D6,'Rozpočet - HW a licencie'!$D$3:$D$102,'TCO TO BE - HW'!$B$5)+SUMIFS('Rozpočet - HW a licencie'!$I$3:$I$102,'Rozpočet - HW a licencie'!$A$3:$A$102,'TCO TO BE - HW'!X$2,'Rozpočet - HW a licencie'!$C$3:$C$102,"SW pre HW",'Rozpočet - HW a licencie'!$G$3:$G$102,'TCO TO BE - HW'!$D6,'Rozpočet - HW a licencie'!$D$3:$D$102,'TCO TO BE - HW'!$B$5),)</f>
        <v>0</v>
      </c>
      <c r="Y6" s="576">
        <f>IFERROR(SUMIFS('Rozpočet - HW a licencie'!$I$3:$I$102,'Rozpočet - HW a licencie'!$A$3:$A$102,'TCO TO BE - HW'!Y$2,'Rozpočet - HW a licencie'!$C$3:$C$102,"HW",'Rozpočet - HW a licencie'!$G$3:$G$102,'TCO TO BE - HW'!$D6,'Rozpočet - HW a licencie'!$D$3:$D$102,'TCO TO BE - HW'!$B$5)+SUMIFS('Rozpočet - HW a licencie'!$I$3:$I$102,'Rozpočet - HW a licencie'!$A$3:$A$102,'TCO TO BE - HW'!Y$2,'Rozpočet - HW a licencie'!$C$3:$C$102,"SW pre HW",'Rozpočet - HW a licencie'!$G$3:$G$102,'TCO TO BE - HW'!$D6,'Rozpočet - HW a licencie'!$D$3:$D$102,'TCO TO BE - HW'!$B$5),)</f>
        <v>0</v>
      </c>
      <c r="Z6" s="576">
        <f>IFERROR(SUMIFS('Rozpočet - HW a licencie'!$I$3:$I$102,'Rozpočet - HW a licencie'!$A$3:$A$102,'TCO TO BE - HW'!Z$2,'Rozpočet - HW a licencie'!$C$3:$C$102,"HW",'Rozpočet - HW a licencie'!$G$3:$G$102,'TCO TO BE - HW'!$D6,'Rozpočet - HW a licencie'!$D$3:$D$102,'TCO TO BE - HW'!$B$5)+SUMIFS('Rozpočet - HW a licencie'!$I$3:$I$102,'Rozpočet - HW a licencie'!$A$3:$A$102,'TCO TO BE - HW'!Z$2,'Rozpočet - HW a licencie'!$C$3:$C$102,"SW pre HW",'Rozpočet - HW a licencie'!$G$3:$G$102,'TCO TO BE - HW'!$D6,'Rozpočet - HW a licencie'!$D$3:$D$102,'TCO TO BE - HW'!$B$5),)</f>
        <v>0</v>
      </c>
    </row>
    <row r="7" spans="1:26" outlineLevel="1">
      <c r="A7" s="841"/>
      <c r="B7" s="842"/>
      <c r="C7" s="842"/>
      <c r="D7" s="498">
        <v>3</v>
      </c>
      <c r="E7" s="68">
        <f t="shared" si="2"/>
        <v>0</v>
      </c>
      <c r="F7" s="576">
        <f>IFERROR(SUMIFS('Rozpočet - HW a licencie'!$I$3:$I$102,'Rozpočet - HW a licencie'!$A$3:$A$102,'TCO TO BE - HW'!F$2,'Rozpočet - HW a licencie'!$C$3:$C$102,"HW",'Rozpočet - HW a licencie'!$G$3:$G$102,'TCO TO BE - HW'!$D7,'Rozpočet - HW a licencie'!$D$3:$D$102,'TCO TO BE - HW'!$B$5)+SUMIFS('Rozpočet - HW a licencie'!$I$3:$I$102,'Rozpočet - HW a licencie'!$A$3:$A$102,'TCO TO BE - HW'!F$2,'Rozpočet - HW a licencie'!$C$3:$C$102,"SW pre HW",'Rozpočet - HW a licencie'!$G$3:$G$102,'TCO TO BE - HW'!$D7,'Rozpočet - HW a licencie'!$D$3:$D$102,'TCO TO BE - HW'!$B$5),)</f>
        <v>0</v>
      </c>
      <c r="G7" s="576">
        <f>IFERROR(SUMIFS('Rozpočet - HW a licencie'!$I$3:$I$102,'Rozpočet - HW a licencie'!$A$3:$A$102,'TCO TO BE - HW'!G$2,'Rozpočet - HW a licencie'!$C$3:$C$102,"HW",'Rozpočet - HW a licencie'!$G$3:$G$102,'TCO TO BE - HW'!$D7,'Rozpočet - HW a licencie'!$D$3:$D$102,'TCO TO BE - HW'!$B$5)+SUMIFS('Rozpočet - HW a licencie'!$I$3:$I$102,'Rozpočet - HW a licencie'!$A$3:$A$102,'TCO TO BE - HW'!G$2,'Rozpočet - HW a licencie'!$C$3:$C$102,"SW pre HW",'Rozpočet - HW a licencie'!$G$3:$G$102,'TCO TO BE - HW'!$D7,'Rozpočet - HW a licencie'!$D$3:$D$102,'TCO TO BE - HW'!$B$5),)</f>
        <v>0</v>
      </c>
      <c r="H7" s="576">
        <f>IFERROR(SUMIFS('Rozpočet - HW a licencie'!$I$3:$I$102,'Rozpočet - HW a licencie'!$A$3:$A$102,'TCO TO BE - HW'!H$2,'Rozpočet - HW a licencie'!$C$3:$C$102,"HW",'Rozpočet - HW a licencie'!$G$3:$G$102,'TCO TO BE - HW'!$D7,'Rozpočet - HW a licencie'!$D$3:$D$102,'TCO TO BE - HW'!$B$5)+SUMIFS('Rozpočet - HW a licencie'!$I$3:$I$102,'Rozpočet - HW a licencie'!$A$3:$A$102,'TCO TO BE - HW'!H$2,'Rozpočet - HW a licencie'!$C$3:$C$102,"SW pre HW",'Rozpočet - HW a licencie'!$G$3:$G$102,'TCO TO BE - HW'!$D7,'Rozpočet - HW a licencie'!$D$3:$D$102,'TCO TO BE - HW'!$B$5),)</f>
        <v>0</v>
      </c>
      <c r="I7" s="576">
        <f>IFERROR(SUMIFS('Rozpočet - HW a licencie'!$I$3:$I$102,'Rozpočet - HW a licencie'!$A$3:$A$102,'TCO TO BE - HW'!I$2,'Rozpočet - HW a licencie'!$C$3:$C$102,"HW",'Rozpočet - HW a licencie'!$G$3:$G$102,'TCO TO BE - HW'!$D7,'Rozpočet - HW a licencie'!$D$3:$D$102,'TCO TO BE - HW'!$B$5)+SUMIFS('Rozpočet - HW a licencie'!$I$3:$I$102,'Rozpočet - HW a licencie'!$A$3:$A$102,'TCO TO BE - HW'!I$2,'Rozpočet - HW a licencie'!$C$3:$C$102,"SW pre HW",'Rozpočet - HW a licencie'!$G$3:$G$102,'TCO TO BE - HW'!$D7,'Rozpočet - HW a licencie'!$D$3:$D$102,'TCO TO BE - HW'!$B$5),)</f>
        <v>0</v>
      </c>
      <c r="J7" s="576">
        <f>IFERROR(SUMIFS('Rozpočet - HW a licencie'!$I$3:$I$102,'Rozpočet - HW a licencie'!$A$3:$A$102,'TCO TO BE - HW'!J$2,'Rozpočet - HW a licencie'!$C$3:$C$102,"HW",'Rozpočet - HW a licencie'!$G$3:$G$102,'TCO TO BE - HW'!$D7,'Rozpočet - HW a licencie'!$D$3:$D$102,'TCO TO BE - HW'!$B$5)+SUMIFS('Rozpočet - HW a licencie'!$I$3:$I$102,'Rozpočet - HW a licencie'!$A$3:$A$102,'TCO TO BE - HW'!J$2,'Rozpočet - HW a licencie'!$C$3:$C$102,"SW pre HW",'Rozpočet - HW a licencie'!$G$3:$G$102,'TCO TO BE - HW'!$D7,'Rozpočet - HW a licencie'!$D$3:$D$102,'TCO TO BE - HW'!$B$5),)</f>
        <v>0</v>
      </c>
      <c r="K7" s="576">
        <f>IFERROR(SUMIFS('Rozpočet - HW a licencie'!$I$3:$I$102,'Rozpočet - HW a licencie'!$A$3:$A$102,'TCO TO BE - HW'!K$2,'Rozpočet - HW a licencie'!$C$3:$C$102,"HW",'Rozpočet - HW a licencie'!$G$3:$G$102,'TCO TO BE - HW'!$D7,'Rozpočet - HW a licencie'!$D$3:$D$102,'TCO TO BE - HW'!$B$5)+SUMIFS('Rozpočet - HW a licencie'!$I$3:$I$102,'Rozpočet - HW a licencie'!$A$3:$A$102,'TCO TO BE - HW'!K$2,'Rozpočet - HW a licencie'!$C$3:$C$102,"SW pre HW",'Rozpočet - HW a licencie'!$G$3:$G$102,'TCO TO BE - HW'!$D7,'Rozpočet - HW a licencie'!$D$3:$D$102,'TCO TO BE - HW'!$B$5),)</f>
        <v>0</v>
      </c>
      <c r="L7" s="576">
        <f>IFERROR(SUMIFS('Rozpočet - HW a licencie'!$I$3:$I$102,'Rozpočet - HW a licencie'!$A$3:$A$102,'TCO TO BE - HW'!L$2,'Rozpočet - HW a licencie'!$C$3:$C$102,"HW",'Rozpočet - HW a licencie'!$G$3:$G$102,'TCO TO BE - HW'!$D7,'Rozpočet - HW a licencie'!$D$3:$D$102,'TCO TO BE - HW'!$B$5)+SUMIFS('Rozpočet - HW a licencie'!$I$3:$I$102,'Rozpočet - HW a licencie'!$A$3:$A$102,'TCO TO BE - HW'!L$2,'Rozpočet - HW a licencie'!$C$3:$C$102,"SW pre HW",'Rozpočet - HW a licencie'!$G$3:$G$102,'TCO TO BE - HW'!$D7,'Rozpočet - HW a licencie'!$D$3:$D$102,'TCO TO BE - HW'!$B$5),)</f>
        <v>0</v>
      </c>
      <c r="M7" s="576">
        <f>IFERROR(SUMIFS('Rozpočet - HW a licencie'!$I$3:$I$102,'Rozpočet - HW a licencie'!$A$3:$A$102,'TCO TO BE - HW'!M$2,'Rozpočet - HW a licencie'!$C$3:$C$102,"HW",'Rozpočet - HW a licencie'!$G$3:$G$102,'TCO TO BE - HW'!$D7,'Rozpočet - HW a licencie'!$D$3:$D$102,'TCO TO BE - HW'!$B$5)+SUMIFS('Rozpočet - HW a licencie'!$I$3:$I$102,'Rozpočet - HW a licencie'!$A$3:$A$102,'TCO TO BE - HW'!M$2,'Rozpočet - HW a licencie'!$C$3:$C$102,"SW pre HW",'Rozpočet - HW a licencie'!$G$3:$G$102,'TCO TO BE - HW'!$D7,'Rozpočet - HW a licencie'!$D$3:$D$102,'TCO TO BE - HW'!$B$5),)</f>
        <v>0</v>
      </c>
      <c r="N7" s="576">
        <f>IFERROR(SUMIFS('Rozpočet - HW a licencie'!$I$3:$I$102,'Rozpočet - HW a licencie'!$A$3:$A$102,'TCO TO BE - HW'!N$2,'Rozpočet - HW a licencie'!$C$3:$C$102,"HW",'Rozpočet - HW a licencie'!$G$3:$G$102,'TCO TO BE - HW'!$D7,'Rozpočet - HW a licencie'!$D$3:$D$102,'TCO TO BE - HW'!$B$5)+SUMIFS('Rozpočet - HW a licencie'!$I$3:$I$102,'Rozpočet - HW a licencie'!$A$3:$A$102,'TCO TO BE - HW'!N$2,'Rozpočet - HW a licencie'!$C$3:$C$102,"SW pre HW",'Rozpočet - HW a licencie'!$G$3:$G$102,'TCO TO BE - HW'!$D7,'Rozpočet - HW a licencie'!$D$3:$D$102,'TCO TO BE - HW'!$B$5),)</f>
        <v>0</v>
      </c>
      <c r="O7" s="576">
        <f>IFERROR(SUMIFS('Rozpočet - HW a licencie'!$I$3:$I$102,'Rozpočet - HW a licencie'!$A$3:$A$102,'TCO TO BE - HW'!O$2,'Rozpočet - HW a licencie'!$C$3:$C$102,"HW",'Rozpočet - HW a licencie'!$G$3:$G$102,'TCO TO BE - HW'!$D7,'Rozpočet - HW a licencie'!$D$3:$D$102,'TCO TO BE - HW'!$B$5)+SUMIFS('Rozpočet - HW a licencie'!$I$3:$I$102,'Rozpočet - HW a licencie'!$A$3:$A$102,'TCO TO BE - HW'!O$2,'Rozpočet - HW a licencie'!$C$3:$C$102,"SW pre HW",'Rozpočet - HW a licencie'!$G$3:$G$102,'TCO TO BE - HW'!$D7,'Rozpočet - HW a licencie'!$D$3:$D$102,'TCO TO BE - HW'!$B$5),)</f>
        <v>0</v>
      </c>
      <c r="P7" s="576">
        <f>IFERROR(SUMIFS('Rozpočet - HW a licencie'!$I$3:$I$102,'Rozpočet - HW a licencie'!$A$3:$A$102,'TCO TO BE - HW'!P$2,'Rozpočet - HW a licencie'!$C$3:$C$102,"HW",'Rozpočet - HW a licencie'!$G$3:$G$102,'TCO TO BE - HW'!$D7,'Rozpočet - HW a licencie'!$D$3:$D$102,'TCO TO BE - HW'!$B$5)+SUMIFS('Rozpočet - HW a licencie'!$I$3:$I$102,'Rozpočet - HW a licencie'!$A$3:$A$102,'TCO TO BE - HW'!P$2,'Rozpočet - HW a licencie'!$C$3:$C$102,"SW pre HW",'Rozpočet - HW a licencie'!$G$3:$G$102,'TCO TO BE - HW'!$D7,'Rozpočet - HW a licencie'!$D$3:$D$102,'TCO TO BE - HW'!$B$5),)</f>
        <v>0</v>
      </c>
      <c r="Q7" s="576">
        <f>IFERROR(SUMIFS('Rozpočet - HW a licencie'!$I$3:$I$102,'Rozpočet - HW a licencie'!$A$3:$A$102,'TCO TO BE - HW'!Q$2,'Rozpočet - HW a licencie'!$C$3:$C$102,"HW",'Rozpočet - HW a licencie'!$G$3:$G$102,'TCO TO BE - HW'!$D7,'Rozpočet - HW a licencie'!$D$3:$D$102,'TCO TO BE - HW'!$B$5)+SUMIFS('Rozpočet - HW a licencie'!$I$3:$I$102,'Rozpočet - HW a licencie'!$A$3:$A$102,'TCO TO BE - HW'!Q$2,'Rozpočet - HW a licencie'!$C$3:$C$102,"SW pre HW",'Rozpočet - HW a licencie'!$G$3:$G$102,'TCO TO BE - HW'!$D7,'Rozpočet - HW a licencie'!$D$3:$D$102,'TCO TO BE - HW'!$B$5),)</f>
        <v>0</v>
      </c>
      <c r="R7" s="576">
        <f>IFERROR(SUMIFS('Rozpočet - HW a licencie'!$I$3:$I$102,'Rozpočet - HW a licencie'!$A$3:$A$102,'TCO TO BE - HW'!R$2,'Rozpočet - HW a licencie'!$C$3:$C$102,"HW",'Rozpočet - HW a licencie'!$G$3:$G$102,'TCO TO BE - HW'!$D7,'Rozpočet - HW a licencie'!$D$3:$D$102,'TCO TO BE - HW'!$B$5)+SUMIFS('Rozpočet - HW a licencie'!$I$3:$I$102,'Rozpočet - HW a licencie'!$A$3:$A$102,'TCO TO BE - HW'!R$2,'Rozpočet - HW a licencie'!$C$3:$C$102,"SW pre HW",'Rozpočet - HW a licencie'!$G$3:$G$102,'TCO TO BE - HW'!$D7,'Rozpočet - HW a licencie'!$D$3:$D$102,'TCO TO BE - HW'!$B$5),)</f>
        <v>0</v>
      </c>
      <c r="S7" s="576">
        <f>IFERROR(SUMIFS('Rozpočet - HW a licencie'!$I$3:$I$102,'Rozpočet - HW a licencie'!$A$3:$A$102,'TCO TO BE - HW'!S$2,'Rozpočet - HW a licencie'!$C$3:$C$102,"HW",'Rozpočet - HW a licencie'!$G$3:$G$102,'TCO TO BE - HW'!$D7,'Rozpočet - HW a licencie'!$D$3:$D$102,'TCO TO BE - HW'!$B$5)+SUMIFS('Rozpočet - HW a licencie'!$I$3:$I$102,'Rozpočet - HW a licencie'!$A$3:$A$102,'TCO TO BE - HW'!S$2,'Rozpočet - HW a licencie'!$C$3:$C$102,"SW pre HW",'Rozpočet - HW a licencie'!$G$3:$G$102,'TCO TO BE - HW'!$D7,'Rozpočet - HW a licencie'!$D$3:$D$102,'TCO TO BE - HW'!$B$5),)</f>
        <v>0</v>
      </c>
      <c r="T7" s="576">
        <f>IFERROR(SUMIFS('Rozpočet - HW a licencie'!$I$3:$I$102,'Rozpočet - HW a licencie'!$A$3:$A$102,'TCO TO BE - HW'!T$2,'Rozpočet - HW a licencie'!$C$3:$C$102,"HW",'Rozpočet - HW a licencie'!$G$3:$G$102,'TCO TO BE - HW'!$D7,'Rozpočet - HW a licencie'!$D$3:$D$102,'TCO TO BE - HW'!$B$5)+SUMIFS('Rozpočet - HW a licencie'!$I$3:$I$102,'Rozpočet - HW a licencie'!$A$3:$A$102,'TCO TO BE - HW'!T$2,'Rozpočet - HW a licencie'!$C$3:$C$102,"SW pre HW",'Rozpočet - HW a licencie'!$G$3:$G$102,'TCO TO BE - HW'!$D7,'Rozpočet - HW a licencie'!$D$3:$D$102,'TCO TO BE - HW'!$B$5),)</f>
        <v>0</v>
      </c>
      <c r="U7" s="576">
        <f>IFERROR(SUMIFS('Rozpočet - HW a licencie'!$I$3:$I$102,'Rozpočet - HW a licencie'!$A$3:$A$102,'TCO TO BE - HW'!U$2,'Rozpočet - HW a licencie'!$C$3:$C$102,"HW",'Rozpočet - HW a licencie'!$G$3:$G$102,'TCO TO BE - HW'!$D7,'Rozpočet - HW a licencie'!$D$3:$D$102,'TCO TO BE - HW'!$B$5)+SUMIFS('Rozpočet - HW a licencie'!$I$3:$I$102,'Rozpočet - HW a licencie'!$A$3:$A$102,'TCO TO BE - HW'!U$2,'Rozpočet - HW a licencie'!$C$3:$C$102,"SW pre HW",'Rozpočet - HW a licencie'!$G$3:$G$102,'TCO TO BE - HW'!$D7,'Rozpočet - HW a licencie'!$D$3:$D$102,'TCO TO BE - HW'!$B$5),)</f>
        <v>0</v>
      </c>
      <c r="V7" s="576">
        <f>IFERROR(SUMIFS('Rozpočet - HW a licencie'!$I$3:$I$102,'Rozpočet - HW a licencie'!$A$3:$A$102,'TCO TO BE - HW'!V$2,'Rozpočet - HW a licencie'!$C$3:$C$102,"HW",'Rozpočet - HW a licencie'!$G$3:$G$102,'TCO TO BE - HW'!$D7,'Rozpočet - HW a licencie'!$D$3:$D$102,'TCO TO BE - HW'!$B$5)+SUMIFS('Rozpočet - HW a licencie'!$I$3:$I$102,'Rozpočet - HW a licencie'!$A$3:$A$102,'TCO TO BE - HW'!V$2,'Rozpočet - HW a licencie'!$C$3:$C$102,"SW pre HW",'Rozpočet - HW a licencie'!$G$3:$G$102,'TCO TO BE - HW'!$D7,'Rozpočet - HW a licencie'!$D$3:$D$102,'TCO TO BE - HW'!$B$5),)</f>
        <v>0</v>
      </c>
      <c r="W7" s="576">
        <f>IFERROR(SUMIFS('Rozpočet - HW a licencie'!$I$3:$I$102,'Rozpočet - HW a licencie'!$A$3:$A$102,'TCO TO BE - HW'!W$2,'Rozpočet - HW a licencie'!$C$3:$C$102,"HW",'Rozpočet - HW a licencie'!$G$3:$G$102,'TCO TO BE - HW'!$D7,'Rozpočet - HW a licencie'!$D$3:$D$102,'TCO TO BE - HW'!$B$5)+SUMIFS('Rozpočet - HW a licencie'!$I$3:$I$102,'Rozpočet - HW a licencie'!$A$3:$A$102,'TCO TO BE - HW'!W$2,'Rozpočet - HW a licencie'!$C$3:$C$102,"SW pre HW",'Rozpočet - HW a licencie'!$G$3:$G$102,'TCO TO BE - HW'!$D7,'Rozpočet - HW a licencie'!$D$3:$D$102,'TCO TO BE - HW'!$B$5),)</f>
        <v>0</v>
      </c>
      <c r="X7" s="576">
        <f>IFERROR(SUMIFS('Rozpočet - HW a licencie'!$I$3:$I$102,'Rozpočet - HW a licencie'!$A$3:$A$102,'TCO TO BE - HW'!X$2,'Rozpočet - HW a licencie'!$C$3:$C$102,"HW",'Rozpočet - HW a licencie'!$G$3:$G$102,'TCO TO BE - HW'!$D7,'Rozpočet - HW a licencie'!$D$3:$D$102,'TCO TO BE - HW'!$B$5)+SUMIFS('Rozpočet - HW a licencie'!$I$3:$I$102,'Rozpočet - HW a licencie'!$A$3:$A$102,'TCO TO BE - HW'!X$2,'Rozpočet - HW a licencie'!$C$3:$C$102,"SW pre HW",'Rozpočet - HW a licencie'!$G$3:$G$102,'TCO TO BE - HW'!$D7,'Rozpočet - HW a licencie'!$D$3:$D$102,'TCO TO BE - HW'!$B$5),)</f>
        <v>0</v>
      </c>
      <c r="Y7" s="576">
        <f>IFERROR(SUMIFS('Rozpočet - HW a licencie'!$I$3:$I$102,'Rozpočet - HW a licencie'!$A$3:$A$102,'TCO TO BE - HW'!Y$2,'Rozpočet - HW a licencie'!$C$3:$C$102,"HW",'Rozpočet - HW a licencie'!$G$3:$G$102,'TCO TO BE - HW'!$D7,'Rozpočet - HW a licencie'!$D$3:$D$102,'TCO TO BE - HW'!$B$5)+SUMIFS('Rozpočet - HW a licencie'!$I$3:$I$102,'Rozpočet - HW a licencie'!$A$3:$A$102,'TCO TO BE - HW'!Y$2,'Rozpočet - HW a licencie'!$C$3:$C$102,"SW pre HW",'Rozpočet - HW a licencie'!$G$3:$G$102,'TCO TO BE - HW'!$D7,'Rozpočet - HW a licencie'!$D$3:$D$102,'TCO TO BE - HW'!$B$5),)</f>
        <v>0</v>
      </c>
      <c r="Z7" s="576">
        <f>IFERROR(SUMIFS('Rozpočet - HW a licencie'!$I$3:$I$102,'Rozpočet - HW a licencie'!$A$3:$A$102,'TCO TO BE - HW'!Z$2,'Rozpočet - HW a licencie'!$C$3:$C$102,"HW",'Rozpočet - HW a licencie'!$G$3:$G$102,'TCO TO BE - HW'!$D7,'Rozpočet - HW a licencie'!$D$3:$D$102,'TCO TO BE - HW'!$B$5)+SUMIFS('Rozpočet - HW a licencie'!$I$3:$I$102,'Rozpočet - HW a licencie'!$A$3:$A$102,'TCO TO BE - HW'!Z$2,'Rozpočet - HW a licencie'!$C$3:$C$102,"SW pre HW",'Rozpočet - HW a licencie'!$G$3:$G$102,'TCO TO BE - HW'!$D7,'Rozpočet - HW a licencie'!$D$3:$D$102,'TCO TO BE - HW'!$B$5),)</f>
        <v>0</v>
      </c>
    </row>
    <row r="8" spans="1:26" outlineLevel="1">
      <c r="A8" s="841"/>
      <c r="B8" s="842"/>
      <c r="C8" s="842"/>
      <c r="D8" s="498">
        <v>4</v>
      </c>
      <c r="E8" s="68">
        <f t="shared" si="2"/>
        <v>0</v>
      </c>
      <c r="F8" s="576">
        <f>IFERROR(SUMIFS('Rozpočet - HW a licencie'!$I$3:$I$102,'Rozpočet - HW a licencie'!$A$3:$A$102,'TCO TO BE - HW'!F$2,'Rozpočet - HW a licencie'!$C$3:$C$102,"HW",'Rozpočet - HW a licencie'!$G$3:$G$102,'TCO TO BE - HW'!$D8,'Rozpočet - HW a licencie'!$D$3:$D$102,'TCO TO BE - HW'!$B$5)+SUMIFS('Rozpočet - HW a licencie'!$I$3:$I$102,'Rozpočet - HW a licencie'!$A$3:$A$102,'TCO TO BE - HW'!F$2,'Rozpočet - HW a licencie'!$C$3:$C$102,"SW pre HW",'Rozpočet - HW a licencie'!$G$3:$G$102,'TCO TO BE - HW'!$D8,'Rozpočet - HW a licencie'!$D$3:$D$102,'TCO TO BE - HW'!$B$5),)</f>
        <v>0</v>
      </c>
      <c r="G8" s="576">
        <f>IFERROR(SUMIFS('Rozpočet - HW a licencie'!$I$3:$I$102,'Rozpočet - HW a licencie'!$A$3:$A$102,'TCO TO BE - HW'!G$2,'Rozpočet - HW a licencie'!$C$3:$C$102,"HW",'Rozpočet - HW a licencie'!$G$3:$G$102,'TCO TO BE - HW'!$D8,'Rozpočet - HW a licencie'!$D$3:$D$102,'TCO TO BE - HW'!$B$5)+SUMIFS('Rozpočet - HW a licencie'!$I$3:$I$102,'Rozpočet - HW a licencie'!$A$3:$A$102,'TCO TO BE - HW'!G$2,'Rozpočet - HW a licencie'!$C$3:$C$102,"SW pre HW",'Rozpočet - HW a licencie'!$G$3:$G$102,'TCO TO BE - HW'!$D8,'Rozpočet - HW a licencie'!$D$3:$D$102,'TCO TO BE - HW'!$B$5),)</f>
        <v>0</v>
      </c>
      <c r="H8" s="576">
        <f>IFERROR(SUMIFS('Rozpočet - HW a licencie'!$I$3:$I$102,'Rozpočet - HW a licencie'!$A$3:$A$102,'TCO TO BE - HW'!H$2,'Rozpočet - HW a licencie'!$C$3:$C$102,"HW",'Rozpočet - HW a licencie'!$G$3:$G$102,'TCO TO BE - HW'!$D8,'Rozpočet - HW a licencie'!$D$3:$D$102,'TCO TO BE - HW'!$B$5)+SUMIFS('Rozpočet - HW a licencie'!$I$3:$I$102,'Rozpočet - HW a licencie'!$A$3:$A$102,'TCO TO BE - HW'!H$2,'Rozpočet - HW a licencie'!$C$3:$C$102,"SW pre HW",'Rozpočet - HW a licencie'!$G$3:$G$102,'TCO TO BE - HW'!$D8,'Rozpočet - HW a licencie'!$D$3:$D$102,'TCO TO BE - HW'!$B$5),)</f>
        <v>0</v>
      </c>
      <c r="I8" s="576">
        <f>IFERROR(SUMIFS('Rozpočet - HW a licencie'!$I$3:$I$102,'Rozpočet - HW a licencie'!$A$3:$A$102,'TCO TO BE - HW'!I$2,'Rozpočet - HW a licencie'!$C$3:$C$102,"HW",'Rozpočet - HW a licencie'!$G$3:$G$102,'TCO TO BE - HW'!$D8,'Rozpočet - HW a licencie'!$D$3:$D$102,'TCO TO BE - HW'!$B$5)+SUMIFS('Rozpočet - HW a licencie'!$I$3:$I$102,'Rozpočet - HW a licencie'!$A$3:$A$102,'TCO TO BE - HW'!I$2,'Rozpočet - HW a licencie'!$C$3:$C$102,"SW pre HW",'Rozpočet - HW a licencie'!$G$3:$G$102,'TCO TO BE - HW'!$D8,'Rozpočet - HW a licencie'!$D$3:$D$102,'TCO TO BE - HW'!$B$5),)</f>
        <v>0</v>
      </c>
      <c r="J8" s="576">
        <f>IFERROR(SUMIFS('Rozpočet - HW a licencie'!$I$3:$I$102,'Rozpočet - HW a licencie'!$A$3:$A$102,'TCO TO BE - HW'!J$2,'Rozpočet - HW a licencie'!$C$3:$C$102,"HW",'Rozpočet - HW a licencie'!$G$3:$G$102,'TCO TO BE - HW'!$D8,'Rozpočet - HW a licencie'!$D$3:$D$102,'TCO TO BE - HW'!$B$5)+SUMIFS('Rozpočet - HW a licencie'!$I$3:$I$102,'Rozpočet - HW a licencie'!$A$3:$A$102,'TCO TO BE - HW'!J$2,'Rozpočet - HW a licencie'!$C$3:$C$102,"SW pre HW",'Rozpočet - HW a licencie'!$G$3:$G$102,'TCO TO BE - HW'!$D8,'Rozpočet - HW a licencie'!$D$3:$D$102,'TCO TO BE - HW'!$B$5),)</f>
        <v>0</v>
      </c>
      <c r="K8" s="576">
        <f>IFERROR(SUMIFS('Rozpočet - HW a licencie'!$I$3:$I$102,'Rozpočet - HW a licencie'!$A$3:$A$102,'TCO TO BE - HW'!K$2,'Rozpočet - HW a licencie'!$C$3:$C$102,"HW",'Rozpočet - HW a licencie'!$G$3:$G$102,'TCO TO BE - HW'!$D8,'Rozpočet - HW a licencie'!$D$3:$D$102,'TCO TO BE - HW'!$B$5)+SUMIFS('Rozpočet - HW a licencie'!$I$3:$I$102,'Rozpočet - HW a licencie'!$A$3:$A$102,'TCO TO BE - HW'!K$2,'Rozpočet - HW a licencie'!$C$3:$C$102,"SW pre HW",'Rozpočet - HW a licencie'!$G$3:$G$102,'TCO TO BE - HW'!$D8,'Rozpočet - HW a licencie'!$D$3:$D$102,'TCO TO BE - HW'!$B$5),)</f>
        <v>0</v>
      </c>
      <c r="L8" s="576">
        <f>IFERROR(SUMIFS('Rozpočet - HW a licencie'!$I$3:$I$102,'Rozpočet - HW a licencie'!$A$3:$A$102,'TCO TO BE - HW'!L$2,'Rozpočet - HW a licencie'!$C$3:$C$102,"HW",'Rozpočet - HW a licencie'!$G$3:$G$102,'TCO TO BE - HW'!$D8,'Rozpočet - HW a licencie'!$D$3:$D$102,'TCO TO BE - HW'!$B$5)+SUMIFS('Rozpočet - HW a licencie'!$I$3:$I$102,'Rozpočet - HW a licencie'!$A$3:$A$102,'TCO TO BE - HW'!L$2,'Rozpočet - HW a licencie'!$C$3:$C$102,"SW pre HW",'Rozpočet - HW a licencie'!$G$3:$G$102,'TCO TO BE - HW'!$D8,'Rozpočet - HW a licencie'!$D$3:$D$102,'TCO TO BE - HW'!$B$5),)</f>
        <v>0</v>
      </c>
      <c r="M8" s="576">
        <f>IFERROR(SUMIFS('Rozpočet - HW a licencie'!$I$3:$I$102,'Rozpočet - HW a licencie'!$A$3:$A$102,'TCO TO BE - HW'!M$2,'Rozpočet - HW a licencie'!$C$3:$C$102,"HW",'Rozpočet - HW a licencie'!$G$3:$G$102,'TCO TO BE - HW'!$D8,'Rozpočet - HW a licencie'!$D$3:$D$102,'TCO TO BE - HW'!$B$5)+SUMIFS('Rozpočet - HW a licencie'!$I$3:$I$102,'Rozpočet - HW a licencie'!$A$3:$A$102,'TCO TO BE - HW'!M$2,'Rozpočet - HW a licencie'!$C$3:$C$102,"SW pre HW",'Rozpočet - HW a licencie'!$G$3:$G$102,'TCO TO BE - HW'!$D8,'Rozpočet - HW a licencie'!$D$3:$D$102,'TCO TO BE - HW'!$B$5),)</f>
        <v>0</v>
      </c>
      <c r="N8" s="576">
        <f>IFERROR(SUMIFS('Rozpočet - HW a licencie'!$I$3:$I$102,'Rozpočet - HW a licencie'!$A$3:$A$102,'TCO TO BE - HW'!N$2,'Rozpočet - HW a licencie'!$C$3:$C$102,"HW",'Rozpočet - HW a licencie'!$G$3:$G$102,'TCO TO BE - HW'!$D8,'Rozpočet - HW a licencie'!$D$3:$D$102,'TCO TO BE - HW'!$B$5)+SUMIFS('Rozpočet - HW a licencie'!$I$3:$I$102,'Rozpočet - HW a licencie'!$A$3:$A$102,'TCO TO BE - HW'!N$2,'Rozpočet - HW a licencie'!$C$3:$C$102,"SW pre HW",'Rozpočet - HW a licencie'!$G$3:$G$102,'TCO TO BE - HW'!$D8,'Rozpočet - HW a licencie'!$D$3:$D$102,'TCO TO BE - HW'!$B$5),)</f>
        <v>0</v>
      </c>
      <c r="O8" s="576">
        <f>IFERROR(SUMIFS('Rozpočet - HW a licencie'!$I$3:$I$102,'Rozpočet - HW a licencie'!$A$3:$A$102,'TCO TO BE - HW'!O$2,'Rozpočet - HW a licencie'!$C$3:$C$102,"HW",'Rozpočet - HW a licencie'!$G$3:$G$102,'TCO TO BE - HW'!$D8,'Rozpočet - HW a licencie'!$D$3:$D$102,'TCO TO BE - HW'!$B$5)+SUMIFS('Rozpočet - HW a licencie'!$I$3:$I$102,'Rozpočet - HW a licencie'!$A$3:$A$102,'TCO TO BE - HW'!O$2,'Rozpočet - HW a licencie'!$C$3:$C$102,"SW pre HW",'Rozpočet - HW a licencie'!$G$3:$G$102,'TCO TO BE - HW'!$D8,'Rozpočet - HW a licencie'!$D$3:$D$102,'TCO TO BE - HW'!$B$5),)</f>
        <v>0</v>
      </c>
      <c r="P8" s="576">
        <f>IFERROR(SUMIFS('Rozpočet - HW a licencie'!$I$3:$I$102,'Rozpočet - HW a licencie'!$A$3:$A$102,'TCO TO BE - HW'!P$2,'Rozpočet - HW a licencie'!$C$3:$C$102,"HW",'Rozpočet - HW a licencie'!$G$3:$G$102,'TCO TO BE - HW'!$D8,'Rozpočet - HW a licencie'!$D$3:$D$102,'TCO TO BE - HW'!$B$5)+SUMIFS('Rozpočet - HW a licencie'!$I$3:$I$102,'Rozpočet - HW a licencie'!$A$3:$A$102,'TCO TO BE - HW'!P$2,'Rozpočet - HW a licencie'!$C$3:$C$102,"SW pre HW",'Rozpočet - HW a licencie'!$G$3:$G$102,'TCO TO BE - HW'!$D8,'Rozpočet - HW a licencie'!$D$3:$D$102,'TCO TO BE - HW'!$B$5),)</f>
        <v>0</v>
      </c>
      <c r="Q8" s="576">
        <f>IFERROR(SUMIFS('Rozpočet - HW a licencie'!$I$3:$I$102,'Rozpočet - HW a licencie'!$A$3:$A$102,'TCO TO BE - HW'!Q$2,'Rozpočet - HW a licencie'!$C$3:$C$102,"HW",'Rozpočet - HW a licencie'!$G$3:$G$102,'TCO TO BE - HW'!$D8,'Rozpočet - HW a licencie'!$D$3:$D$102,'TCO TO BE - HW'!$B$5)+SUMIFS('Rozpočet - HW a licencie'!$I$3:$I$102,'Rozpočet - HW a licencie'!$A$3:$A$102,'TCO TO BE - HW'!Q$2,'Rozpočet - HW a licencie'!$C$3:$C$102,"SW pre HW",'Rozpočet - HW a licencie'!$G$3:$G$102,'TCO TO BE - HW'!$D8,'Rozpočet - HW a licencie'!$D$3:$D$102,'TCO TO BE - HW'!$B$5),)</f>
        <v>0</v>
      </c>
      <c r="R8" s="576">
        <f>IFERROR(SUMIFS('Rozpočet - HW a licencie'!$I$3:$I$102,'Rozpočet - HW a licencie'!$A$3:$A$102,'TCO TO BE - HW'!R$2,'Rozpočet - HW a licencie'!$C$3:$C$102,"HW",'Rozpočet - HW a licencie'!$G$3:$G$102,'TCO TO BE - HW'!$D8,'Rozpočet - HW a licencie'!$D$3:$D$102,'TCO TO BE - HW'!$B$5)+SUMIFS('Rozpočet - HW a licencie'!$I$3:$I$102,'Rozpočet - HW a licencie'!$A$3:$A$102,'TCO TO BE - HW'!R$2,'Rozpočet - HW a licencie'!$C$3:$C$102,"SW pre HW",'Rozpočet - HW a licencie'!$G$3:$G$102,'TCO TO BE - HW'!$D8,'Rozpočet - HW a licencie'!$D$3:$D$102,'TCO TO BE - HW'!$B$5),)</f>
        <v>0</v>
      </c>
      <c r="S8" s="576">
        <f>IFERROR(SUMIFS('Rozpočet - HW a licencie'!$I$3:$I$102,'Rozpočet - HW a licencie'!$A$3:$A$102,'TCO TO BE - HW'!S$2,'Rozpočet - HW a licencie'!$C$3:$C$102,"HW",'Rozpočet - HW a licencie'!$G$3:$G$102,'TCO TO BE - HW'!$D8,'Rozpočet - HW a licencie'!$D$3:$D$102,'TCO TO BE - HW'!$B$5)+SUMIFS('Rozpočet - HW a licencie'!$I$3:$I$102,'Rozpočet - HW a licencie'!$A$3:$A$102,'TCO TO BE - HW'!S$2,'Rozpočet - HW a licencie'!$C$3:$C$102,"SW pre HW",'Rozpočet - HW a licencie'!$G$3:$G$102,'TCO TO BE - HW'!$D8,'Rozpočet - HW a licencie'!$D$3:$D$102,'TCO TO BE - HW'!$B$5),)</f>
        <v>0</v>
      </c>
      <c r="T8" s="576">
        <f>IFERROR(SUMIFS('Rozpočet - HW a licencie'!$I$3:$I$102,'Rozpočet - HW a licencie'!$A$3:$A$102,'TCO TO BE - HW'!T$2,'Rozpočet - HW a licencie'!$C$3:$C$102,"HW",'Rozpočet - HW a licencie'!$G$3:$G$102,'TCO TO BE - HW'!$D8,'Rozpočet - HW a licencie'!$D$3:$D$102,'TCO TO BE - HW'!$B$5)+SUMIFS('Rozpočet - HW a licencie'!$I$3:$I$102,'Rozpočet - HW a licencie'!$A$3:$A$102,'TCO TO BE - HW'!T$2,'Rozpočet - HW a licencie'!$C$3:$C$102,"SW pre HW",'Rozpočet - HW a licencie'!$G$3:$G$102,'TCO TO BE - HW'!$D8,'Rozpočet - HW a licencie'!$D$3:$D$102,'TCO TO BE - HW'!$B$5),)</f>
        <v>0</v>
      </c>
      <c r="U8" s="576">
        <f>IFERROR(SUMIFS('Rozpočet - HW a licencie'!$I$3:$I$102,'Rozpočet - HW a licencie'!$A$3:$A$102,'TCO TO BE - HW'!U$2,'Rozpočet - HW a licencie'!$C$3:$C$102,"HW",'Rozpočet - HW a licencie'!$G$3:$G$102,'TCO TO BE - HW'!$D8,'Rozpočet - HW a licencie'!$D$3:$D$102,'TCO TO BE - HW'!$B$5)+SUMIFS('Rozpočet - HW a licencie'!$I$3:$I$102,'Rozpočet - HW a licencie'!$A$3:$A$102,'TCO TO BE - HW'!U$2,'Rozpočet - HW a licencie'!$C$3:$C$102,"SW pre HW",'Rozpočet - HW a licencie'!$G$3:$G$102,'TCO TO BE - HW'!$D8,'Rozpočet - HW a licencie'!$D$3:$D$102,'TCO TO BE - HW'!$B$5),)</f>
        <v>0</v>
      </c>
      <c r="V8" s="576">
        <f>IFERROR(SUMIFS('Rozpočet - HW a licencie'!$I$3:$I$102,'Rozpočet - HW a licencie'!$A$3:$A$102,'TCO TO BE - HW'!V$2,'Rozpočet - HW a licencie'!$C$3:$C$102,"HW",'Rozpočet - HW a licencie'!$G$3:$G$102,'TCO TO BE - HW'!$D8,'Rozpočet - HW a licencie'!$D$3:$D$102,'TCO TO BE - HW'!$B$5)+SUMIFS('Rozpočet - HW a licencie'!$I$3:$I$102,'Rozpočet - HW a licencie'!$A$3:$A$102,'TCO TO BE - HW'!V$2,'Rozpočet - HW a licencie'!$C$3:$C$102,"SW pre HW",'Rozpočet - HW a licencie'!$G$3:$G$102,'TCO TO BE - HW'!$D8,'Rozpočet - HW a licencie'!$D$3:$D$102,'TCO TO BE - HW'!$B$5),)</f>
        <v>0</v>
      </c>
      <c r="W8" s="576">
        <f>IFERROR(SUMIFS('Rozpočet - HW a licencie'!$I$3:$I$102,'Rozpočet - HW a licencie'!$A$3:$A$102,'TCO TO BE - HW'!W$2,'Rozpočet - HW a licencie'!$C$3:$C$102,"HW",'Rozpočet - HW a licencie'!$G$3:$G$102,'TCO TO BE - HW'!$D8,'Rozpočet - HW a licencie'!$D$3:$D$102,'TCO TO BE - HW'!$B$5)+SUMIFS('Rozpočet - HW a licencie'!$I$3:$I$102,'Rozpočet - HW a licencie'!$A$3:$A$102,'TCO TO BE - HW'!W$2,'Rozpočet - HW a licencie'!$C$3:$C$102,"SW pre HW",'Rozpočet - HW a licencie'!$G$3:$G$102,'TCO TO BE - HW'!$D8,'Rozpočet - HW a licencie'!$D$3:$D$102,'TCO TO BE - HW'!$B$5),)</f>
        <v>0</v>
      </c>
      <c r="X8" s="576">
        <f>IFERROR(SUMIFS('Rozpočet - HW a licencie'!$I$3:$I$102,'Rozpočet - HW a licencie'!$A$3:$A$102,'TCO TO BE - HW'!X$2,'Rozpočet - HW a licencie'!$C$3:$C$102,"HW",'Rozpočet - HW a licencie'!$G$3:$G$102,'TCO TO BE - HW'!$D8,'Rozpočet - HW a licencie'!$D$3:$D$102,'TCO TO BE - HW'!$B$5)+SUMIFS('Rozpočet - HW a licencie'!$I$3:$I$102,'Rozpočet - HW a licencie'!$A$3:$A$102,'TCO TO BE - HW'!X$2,'Rozpočet - HW a licencie'!$C$3:$C$102,"SW pre HW",'Rozpočet - HW a licencie'!$G$3:$G$102,'TCO TO BE - HW'!$D8,'Rozpočet - HW a licencie'!$D$3:$D$102,'TCO TO BE - HW'!$B$5),)</f>
        <v>0</v>
      </c>
      <c r="Y8" s="576">
        <f>IFERROR(SUMIFS('Rozpočet - HW a licencie'!$I$3:$I$102,'Rozpočet - HW a licencie'!$A$3:$A$102,'TCO TO BE - HW'!Y$2,'Rozpočet - HW a licencie'!$C$3:$C$102,"HW",'Rozpočet - HW a licencie'!$G$3:$G$102,'TCO TO BE - HW'!$D8,'Rozpočet - HW a licencie'!$D$3:$D$102,'TCO TO BE - HW'!$B$5)+SUMIFS('Rozpočet - HW a licencie'!$I$3:$I$102,'Rozpočet - HW a licencie'!$A$3:$A$102,'TCO TO BE - HW'!Y$2,'Rozpočet - HW a licencie'!$C$3:$C$102,"SW pre HW",'Rozpočet - HW a licencie'!$G$3:$G$102,'TCO TO BE - HW'!$D8,'Rozpočet - HW a licencie'!$D$3:$D$102,'TCO TO BE - HW'!$B$5),)</f>
        <v>0</v>
      </c>
      <c r="Z8" s="576">
        <f>IFERROR(SUMIFS('Rozpočet - HW a licencie'!$I$3:$I$102,'Rozpočet - HW a licencie'!$A$3:$A$102,'TCO TO BE - HW'!Z$2,'Rozpočet - HW a licencie'!$C$3:$C$102,"HW",'Rozpočet - HW a licencie'!$G$3:$G$102,'TCO TO BE - HW'!$D8,'Rozpočet - HW a licencie'!$D$3:$D$102,'TCO TO BE - HW'!$B$5)+SUMIFS('Rozpočet - HW a licencie'!$I$3:$I$102,'Rozpočet - HW a licencie'!$A$3:$A$102,'TCO TO BE - HW'!Z$2,'Rozpočet - HW a licencie'!$C$3:$C$102,"SW pre HW",'Rozpočet - HW a licencie'!$G$3:$G$102,'TCO TO BE - HW'!$D8,'Rozpočet - HW a licencie'!$D$3:$D$102,'TCO TO BE - HW'!$B$5),)</f>
        <v>0</v>
      </c>
    </row>
    <row r="9" spans="1:26" outlineLevel="1">
      <c r="A9" s="841"/>
      <c r="B9" s="842"/>
      <c r="C9" s="842"/>
      <c r="D9" s="498">
        <v>5</v>
      </c>
      <c r="E9" s="68">
        <f t="shared" si="2"/>
        <v>0</v>
      </c>
      <c r="F9" s="576">
        <f>IFERROR(SUMIFS('Rozpočet - HW a licencie'!$I$3:$I$102,'Rozpočet - HW a licencie'!$A$3:$A$102,'TCO TO BE - HW'!F$2,'Rozpočet - HW a licencie'!$C$3:$C$102,"HW",'Rozpočet - HW a licencie'!$G$3:$G$102,'TCO TO BE - HW'!$D9,'Rozpočet - HW a licencie'!$D$3:$D$102,'TCO TO BE - HW'!$B$5)+SUMIFS('Rozpočet - HW a licencie'!$I$3:$I$102,'Rozpočet - HW a licencie'!$A$3:$A$102,'TCO TO BE - HW'!F$2,'Rozpočet - HW a licencie'!$C$3:$C$102,"SW pre HW",'Rozpočet - HW a licencie'!$G$3:$G$102,'TCO TO BE - HW'!$D9,'Rozpočet - HW a licencie'!$D$3:$D$102,'TCO TO BE - HW'!$B$5),)</f>
        <v>0</v>
      </c>
      <c r="G9" s="576">
        <f>IFERROR(SUMIFS('Rozpočet - HW a licencie'!$I$3:$I$102,'Rozpočet - HW a licencie'!$A$3:$A$102,'TCO TO BE - HW'!G$2,'Rozpočet - HW a licencie'!$C$3:$C$102,"HW",'Rozpočet - HW a licencie'!$G$3:$G$102,'TCO TO BE - HW'!$D9,'Rozpočet - HW a licencie'!$D$3:$D$102,'TCO TO BE - HW'!$B$5)+SUMIFS('Rozpočet - HW a licencie'!$I$3:$I$102,'Rozpočet - HW a licencie'!$A$3:$A$102,'TCO TO BE - HW'!G$2,'Rozpočet - HW a licencie'!$C$3:$C$102,"SW pre HW",'Rozpočet - HW a licencie'!$G$3:$G$102,'TCO TO BE - HW'!$D9,'Rozpočet - HW a licencie'!$D$3:$D$102,'TCO TO BE - HW'!$B$5),)</f>
        <v>0</v>
      </c>
      <c r="H9" s="576">
        <f>IFERROR(SUMIFS('Rozpočet - HW a licencie'!$I$3:$I$102,'Rozpočet - HW a licencie'!$A$3:$A$102,'TCO TO BE - HW'!H$2,'Rozpočet - HW a licencie'!$C$3:$C$102,"HW",'Rozpočet - HW a licencie'!$G$3:$G$102,'TCO TO BE - HW'!$D9,'Rozpočet - HW a licencie'!$D$3:$D$102,'TCO TO BE - HW'!$B$5)+SUMIFS('Rozpočet - HW a licencie'!$I$3:$I$102,'Rozpočet - HW a licencie'!$A$3:$A$102,'TCO TO BE - HW'!H$2,'Rozpočet - HW a licencie'!$C$3:$C$102,"SW pre HW",'Rozpočet - HW a licencie'!$G$3:$G$102,'TCO TO BE - HW'!$D9,'Rozpočet - HW a licencie'!$D$3:$D$102,'TCO TO BE - HW'!$B$5),)</f>
        <v>0</v>
      </c>
      <c r="I9" s="576">
        <f>IFERROR(SUMIFS('Rozpočet - HW a licencie'!$I$3:$I$102,'Rozpočet - HW a licencie'!$A$3:$A$102,'TCO TO BE - HW'!I$2,'Rozpočet - HW a licencie'!$C$3:$C$102,"HW",'Rozpočet - HW a licencie'!$G$3:$G$102,'TCO TO BE - HW'!$D9,'Rozpočet - HW a licencie'!$D$3:$D$102,'TCO TO BE - HW'!$B$5)+SUMIFS('Rozpočet - HW a licencie'!$I$3:$I$102,'Rozpočet - HW a licencie'!$A$3:$A$102,'TCO TO BE - HW'!I$2,'Rozpočet - HW a licencie'!$C$3:$C$102,"SW pre HW",'Rozpočet - HW a licencie'!$G$3:$G$102,'TCO TO BE - HW'!$D9,'Rozpočet - HW a licencie'!$D$3:$D$102,'TCO TO BE - HW'!$B$5),)</f>
        <v>0</v>
      </c>
      <c r="J9" s="576">
        <f>IFERROR(SUMIFS('Rozpočet - HW a licencie'!$I$3:$I$102,'Rozpočet - HW a licencie'!$A$3:$A$102,'TCO TO BE - HW'!J$2,'Rozpočet - HW a licencie'!$C$3:$C$102,"HW",'Rozpočet - HW a licencie'!$G$3:$G$102,'TCO TO BE - HW'!$D9,'Rozpočet - HW a licencie'!$D$3:$D$102,'TCO TO BE - HW'!$B$5)+SUMIFS('Rozpočet - HW a licencie'!$I$3:$I$102,'Rozpočet - HW a licencie'!$A$3:$A$102,'TCO TO BE - HW'!J$2,'Rozpočet - HW a licencie'!$C$3:$C$102,"SW pre HW",'Rozpočet - HW a licencie'!$G$3:$G$102,'TCO TO BE - HW'!$D9,'Rozpočet - HW a licencie'!$D$3:$D$102,'TCO TO BE - HW'!$B$5),)</f>
        <v>0</v>
      </c>
      <c r="K9" s="576">
        <f>IFERROR(SUMIFS('Rozpočet - HW a licencie'!$I$3:$I$102,'Rozpočet - HW a licencie'!$A$3:$A$102,'TCO TO BE - HW'!K$2,'Rozpočet - HW a licencie'!$C$3:$C$102,"HW",'Rozpočet - HW a licencie'!$G$3:$G$102,'TCO TO BE - HW'!$D9,'Rozpočet - HW a licencie'!$D$3:$D$102,'TCO TO BE - HW'!$B$5)+SUMIFS('Rozpočet - HW a licencie'!$I$3:$I$102,'Rozpočet - HW a licencie'!$A$3:$A$102,'TCO TO BE - HW'!K$2,'Rozpočet - HW a licencie'!$C$3:$C$102,"SW pre HW",'Rozpočet - HW a licencie'!$G$3:$G$102,'TCO TO BE - HW'!$D9,'Rozpočet - HW a licencie'!$D$3:$D$102,'TCO TO BE - HW'!$B$5),)</f>
        <v>0</v>
      </c>
      <c r="L9" s="576">
        <f>IFERROR(SUMIFS('Rozpočet - HW a licencie'!$I$3:$I$102,'Rozpočet - HW a licencie'!$A$3:$A$102,'TCO TO BE - HW'!L$2,'Rozpočet - HW a licencie'!$C$3:$C$102,"HW",'Rozpočet - HW a licencie'!$G$3:$G$102,'TCO TO BE - HW'!$D9,'Rozpočet - HW a licencie'!$D$3:$D$102,'TCO TO BE - HW'!$B$5)+SUMIFS('Rozpočet - HW a licencie'!$I$3:$I$102,'Rozpočet - HW a licencie'!$A$3:$A$102,'TCO TO BE - HW'!L$2,'Rozpočet - HW a licencie'!$C$3:$C$102,"SW pre HW",'Rozpočet - HW a licencie'!$G$3:$G$102,'TCO TO BE - HW'!$D9,'Rozpočet - HW a licencie'!$D$3:$D$102,'TCO TO BE - HW'!$B$5),)</f>
        <v>0</v>
      </c>
      <c r="M9" s="576">
        <f>IFERROR(SUMIFS('Rozpočet - HW a licencie'!$I$3:$I$102,'Rozpočet - HW a licencie'!$A$3:$A$102,'TCO TO BE - HW'!M$2,'Rozpočet - HW a licencie'!$C$3:$C$102,"HW",'Rozpočet - HW a licencie'!$G$3:$G$102,'TCO TO BE - HW'!$D9,'Rozpočet - HW a licencie'!$D$3:$D$102,'TCO TO BE - HW'!$B$5)+SUMIFS('Rozpočet - HW a licencie'!$I$3:$I$102,'Rozpočet - HW a licencie'!$A$3:$A$102,'TCO TO BE - HW'!M$2,'Rozpočet - HW a licencie'!$C$3:$C$102,"SW pre HW",'Rozpočet - HW a licencie'!$G$3:$G$102,'TCO TO BE - HW'!$D9,'Rozpočet - HW a licencie'!$D$3:$D$102,'TCO TO BE - HW'!$B$5),)</f>
        <v>0</v>
      </c>
      <c r="N9" s="576">
        <f>IFERROR(SUMIFS('Rozpočet - HW a licencie'!$I$3:$I$102,'Rozpočet - HW a licencie'!$A$3:$A$102,'TCO TO BE - HW'!N$2,'Rozpočet - HW a licencie'!$C$3:$C$102,"HW",'Rozpočet - HW a licencie'!$G$3:$G$102,'TCO TO BE - HW'!$D9,'Rozpočet - HW a licencie'!$D$3:$D$102,'TCO TO BE - HW'!$B$5)+SUMIFS('Rozpočet - HW a licencie'!$I$3:$I$102,'Rozpočet - HW a licencie'!$A$3:$A$102,'TCO TO BE - HW'!N$2,'Rozpočet - HW a licencie'!$C$3:$C$102,"SW pre HW",'Rozpočet - HW a licencie'!$G$3:$G$102,'TCO TO BE - HW'!$D9,'Rozpočet - HW a licencie'!$D$3:$D$102,'TCO TO BE - HW'!$B$5),)</f>
        <v>0</v>
      </c>
      <c r="O9" s="576">
        <f>IFERROR(SUMIFS('Rozpočet - HW a licencie'!$I$3:$I$102,'Rozpočet - HW a licencie'!$A$3:$A$102,'TCO TO BE - HW'!O$2,'Rozpočet - HW a licencie'!$C$3:$C$102,"HW",'Rozpočet - HW a licencie'!$G$3:$G$102,'TCO TO BE - HW'!$D9,'Rozpočet - HW a licencie'!$D$3:$D$102,'TCO TO BE - HW'!$B$5)+SUMIFS('Rozpočet - HW a licencie'!$I$3:$I$102,'Rozpočet - HW a licencie'!$A$3:$A$102,'TCO TO BE - HW'!O$2,'Rozpočet - HW a licencie'!$C$3:$C$102,"SW pre HW",'Rozpočet - HW a licencie'!$G$3:$G$102,'TCO TO BE - HW'!$D9,'Rozpočet - HW a licencie'!$D$3:$D$102,'TCO TO BE - HW'!$B$5),)</f>
        <v>0</v>
      </c>
      <c r="P9" s="576">
        <f>IFERROR(SUMIFS('Rozpočet - HW a licencie'!$I$3:$I$102,'Rozpočet - HW a licencie'!$A$3:$A$102,'TCO TO BE - HW'!P$2,'Rozpočet - HW a licencie'!$C$3:$C$102,"HW",'Rozpočet - HW a licencie'!$G$3:$G$102,'TCO TO BE - HW'!$D9,'Rozpočet - HW a licencie'!$D$3:$D$102,'TCO TO BE - HW'!$B$5)+SUMIFS('Rozpočet - HW a licencie'!$I$3:$I$102,'Rozpočet - HW a licencie'!$A$3:$A$102,'TCO TO BE - HW'!P$2,'Rozpočet - HW a licencie'!$C$3:$C$102,"SW pre HW",'Rozpočet - HW a licencie'!$G$3:$G$102,'TCO TO BE - HW'!$D9,'Rozpočet - HW a licencie'!$D$3:$D$102,'TCO TO BE - HW'!$B$5),)</f>
        <v>0</v>
      </c>
      <c r="Q9" s="576">
        <f>IFERROR(SUMIFS('Rozpočet - HW a licencie'!$I$3:$I$102,'Rozpočet - HW a licencie'!$A$3:$A$102,'TCO TO BE - HW'!Q$2,'Rozpočet - HW a licencie'!$C$3:$C$102,"HW",'Rozpočet - HW a licencie'!$G$3:$G$102,'TCO TO BE - HW'!$D9,'Rozpočet - HW a licencie'!$D$3:$D$102,'TCO TO BE - HW'!$B$5)+SUMIFS('Rozpočet - HW a licencie'!$I$3:$I$102,'Rozpočet - HW a licencie'!$A$3:$A$102,'TCO TO BE - HW'!Q$2,'Rozpočet - HW a licencie'!$C$3:$C$102,"SW pre HW",'Rozpočet - HW a licencie'!$G$3:$G$102,'TCO TO BE - HW'!$D9,'Rozpočet - HW a licencie'!$D$3:$D$102,'TCO TO BE - HW'!$B$5),)</f>
        <v>0</v>
      </c>
      <c r="R9" s="576">
        <f>IFERROR(SUMIFS('Rozpočet - HW a licencie'!$I$3:$I$102,'Rozpočet - HW a licencie'!$A$3:$A$102,'TCO TO BE - HW'!R$2,'Rozpočet - HW a licencie'!$C$3:$C$102,"HW",'Rozpočet - HW a licencie'!$G$3:$G$102,'TCO TO BE - HW'!$D9,'Rozpočet - HW a licencie'!$D$3:$D$102,'TCO TO BE - HW'!$B$5)+SUMIFS('Rozpočet - HW a licencie'!$I$3:$I$102,'Rozpočet - HW a licencie'!$A$3:$A$102,'TCO TO BE - HW'!R$2,'Rozpočet - HW a licencie'!$C$3:$C$102,"SW pre HW",'Rozpočet - HW a licencie'!$G$3:$G$102,'TCO TO BE - HW'!$D9,'Rozpočet - HW a licencie'!$D$3:$D$102,'TCO TO BE - HW'!$B$5),)</f>
        <v>0</v>
      </c>
      <c r="S9" s="576">
        <f>IFERROR(SUMIFS('Rozpočet - HW a licencie'!$I$3:$I$102,'Rozpočet - HW a licencie'!$A$3:$A$102,'TCO TO BE - HW'!S$2,'Rozpočet - HW a licencie'!$C$3:$C$102,"HW",'Rozpočet - HW a licencie'!$G$3:$G$102,'TCO TO BE - HW'!$D9,'Rozpočet - HW a licencie'!$D$3:$D$102,'TCO TO BE - HW'!$B$5)+SUMIFS('Rozpočet - HW a licencie'!$I$3:$I$102,'Rozpočet - HW a licencie'!$A$3:$A$102,'TCO TO BE - HW'!S$2,'Rozpočet - HW a licencie'!$C$3:$C$102,"SW pre HW",'Rozpočet - HW a licencie'!$G$3:$G$102,'TCO TO BE - HW'!$D9,'Rozpočet - HW a licencie'!$D$3:$D$102,'TCO TO BE - HW'!$B$5),)</f>
        <v>0</v>
      </c>
      <c r="T9" s="576">
        <f>IFERROR(SUMIFS('Rozpočet - HW a licencie'!$I$3:$I$102,'Rozpočet - HW a licencie'!$A$3:$A$102,'TCO TO BE - HW'!T$2,'Rozpočet - HW a licencie'!$C$3:$C$102,"HW",'Rozpočet - HW a licencie'!$G$3:$G$102,'TCO TO BE - HW'!$D9,'Rozpočet - HW a licencie'!$D$3:$D$102,'TCO TO BE - HW'!$B$5)+SUMIFS('Rozpočet - HW a licencie'!$I$3:$I$102,'Rozpočet - HW a licencie'!$A$3:$A$102,'TCO TO BE - HW'!T$2,'Rozpočet - HW a licencie'!$C$3:$C$102,"SW pre HW",'Rozpočet - HW a licencie'!$G$3:$G$102,'TCO TO BE - HW'!$D9,'Rozpočet - HW a licencie'!$D$3:$D$102,'TCO TO BE - HW'!$B$5),)</f>
        <v>0</v>
      </c>
      <c r="U9" s="576">
        <f>IFERROR(SUMIFS('Rozpočet - HW a licencie'!$I$3:$I$102,'Rozpočet - HW a licencie'!$A$3:$A$102,'TCO TO BE - HW'!U$2,'Rozpočet - HW a licencie'!$C$3:$C$102,"HW",'Rozpočet - HW a licencie'!$G$3:$G$102,'TCO TO BE - HW'!$D9,'Rozpočet - HW a licencie'!$D$3:$D$102,'TCO TO BE - HW'!$B$5)+SUMIFS('Rozpočet - HW a licencie'!$I$3:$I$102,'Rozpočet - HW a licencie'!$A$3:$A$102,'TCO TO BE - HW'!U$2,'Rozpočet - HW a licencie'!$C$3:$C$102,"SW pre HW",'Rozpočet - HW a licencie'!$G$3:$G$102,'TCO TO BE - HW'!$D9,'Rozpočet - HW a licencie'!$D$3:$D$102,'TCO TO BE - HW'!$B$5),)</f>
        <v>0</v>
      </c>
      <c r="V9" s="576">
        <f>IFERROR(SUMIFS('Rozpočet - HW a licencie'!$I$3:$I$102,'Rozpočet - HW a licencie'!$A$3:$A$102,'TCO TO BE - HW'!V$2,'Rozpočet - HW a licencie'!$C$3:$C$102,"HW",'Rozpočet - HW a licencie'!$G$3:$G$102,'TCO TO BE - HW'!$D9,'Rozpočet - HW a licencie'!$D$3:$D$102,'TCO TO BE - HW'!$B$5)+SUMIFS('Rozpočet - HW a licencie'!$I$3:$I$102,'Rozpočet - HW a licencie'!$A$3:$A$102,'TCO TO BE - HW'!V$2,'Rozpočet - HW a licencie'!$C$3:$C$102,"SW pre HW",'Rozpočet - HW a licencie'!$G$3:$G$102,'TCO TO BE - HW'!$D9,'Rozpočet - HW a licencie'!$D$3:$D$102,'TCO TO BE - HW'!$B$5),)</f>
        <v>0</v>
      </c>
      <c r="W9" s="576">
        <f>IFERROR(SUMIFS('Rozpočet - HW a licencie'!$I$3:$I$102,'Rozpočet - HW a licencie'!$A$3:$A$102,'TCO TO BE - HW'!W$2,'Rozpočet - HW a licencie'!$C$3:$C$102,"HW",'Rozpočet - HW a licencie'!$G$3:$G$102,'TCO TO BE - HW'!$D9,'Rozpočet - HW a licencie'!$D$3:$D$102,'TCO TO BE - HW'!$B$5)+SUMIFS('Rozpočet - HW a licencie'!$I$3:$I$102,'Rozpočet - HW a licencie'!$A$3:$A$102,'TCO TO BE - HW'!W$2,'Rozpočet - HW a licencie'!$C$3:$C$102,"SW pre HW",'Rozpočet - HW a licencie'!$G$3:$G$102,'TCO TO BE - HW'!$D9,'Rozpočet - HW a licencie'!$D$3:$D$102,'TCO TO BE - HW'!$B$5),)</f>
        <v>0</v>
      </c>
      <c r="X9" s="576">
        <f>IFERROR(SUMIFS('Rozpočet - HW a licencie'!$I$3:$I$102,'Rozpočet - HW a licencie'!$A$3:$A$102,'TCO TO BE - HW'!X$2,'Rozpočet - HW a licencie'!$C$3:$C$102,"HW",'Rozpočet - HW a licencie'!$G$3:$G$102,'TCO TO BE - HW'!$D9,'Rozpočet - HW a licencie'!$D$3:$D$102,'TCO TO BE - HW'!$B$5)+SUMIFS('Rozpočet - HW a licencie'!$I$3:$I$102,'Rozpočet - HW a licencie'!$A$3:$A$102,'TCO TO BE - HW'!X$2,'Rozpočet - HW a licencie'!$C$3:$C$102,"SW pre HW",'Rozpočet - HW a licencie'!$G$3:$G$102,'TCO TO BE - HW'!$D9,'Rozpočet - HW a licencie'!$D$3:$D$102,'TCO TO BE - HW'!$B$5),)</f>
        <v>0</v>
      </c>
      <c r="Y9" s="576">
        <f>IFERROR(SUMIFS('Rozpočet - HW a licencie'!$I$3:$I$102,'Rozpočet - HW a licencie'!$A$3:$A$102,'TCO TO BE - HW'!Y$2,'Rozpočet - HW a licencie'!$C$3:$C$102,"HW",'Rozpočet - HW a licencie'!$G$3:$G$102,'TCO TO BE - HW'!$D9,'Rozpočet - HW a licencie'!$D$3:$D$102,'TCO TO BE - HW'!$B$5)+SUMIFS('Rozpočet - HW a licencie'!$I$3:$I$102,'Rozpočet - HW a licencie'!$A$3:$A$102,'TCO TO BE - HW'!Y$2,'Rozpočet - HW a licencie'!$C$3:$C$102,"SW pre HW",'Rozpočet - HW a licencie'!$G$3:$G$102,'TCO TO BE - HW'!$D9,'Rozpočet - HW a licencie'!$D$3:$D$102,'TCO TO BE - HW'!$B$5),)</f>
        <v>0</v>
      </c>
      <c r="Z9" s="576">
        <f>IFERROR(SUMIFS('Rozpočet - HW a licencie'!$I$3:$I$102,'Rozpočet - HW a licencie'!$A$3:$A$102,'TCO TO BE - HW'!Z$2,'Rozpočet - HW a licencie'!$C$3:$C$102,"HW",'Rozpočet - HW a licencie'!$G$3:$G$102,'TCO TO BE - HW'!$D9,'Rozpočet - HW a licencie'!$D$3:$D$102,'TCO TO BE - HW'!$B$5)+SUMIFS('Rozpočet - HW a licencie'!$I$3:$I$102,'Rozpočet - HW a licencie'!$A$3:$A$102,'TCO TO BE - HW'!Z$2,'Rozpočet - HW a licencie'!$C$3:$C$102,"SW pre HW",'Rozpočet - HW a licencie'!$G$3:$G$102,'TCO TO BE - HW'!$D9,'Rozpočet - HW a licencie'!$D$3:$D$102,'TCO TO BE - HW'!$B$5),)</f>
        <v>0</v>
      </c>
    </row>
    <row r="10" spans="1:26" outlineLevel="1">
      <c r="A10" s="841"/>
      <c r="B10" s="842"/>
      <c r="C10" s="842"/>
      <c r="D10" s="498">
        <v>6</v>
      </c>
      <c r="E10" s="68">
        <f t="shared" si="2"/>
        <v>0</v>
      </c>
      <c r="F10" s="576">
        <f>IFERROR(SUMIFS('Rozpočet - HW a licencie'!$I$3:$I$102,'Rozpočet - HW a licencie'!$A$3:$A$102,'TCO TO BE - HW'!F$2,'Rozpočet - HW a licencie'!$C$3:$C$102,"HW",'Rozpočet - HW a licencie'!$G$3:$G$102,'TCO TO BE - HW'!$D10,'Rozpočet - HW a licencie'!$D$3:$D$102,'TCO TO BE - HW'!$B$5)+SUMIFS('Rozpočet - HW a licencie'!$I$3:$I$102,'Rozpočet - HW a licencie'!$A$3:$A$102,'TCO TO BE - HW'!F$2,'Rozpočet - HW a licencie'!$C$3:$C$102,"SW pre HW",'Rozpočet - HW a licencie'!$G$3:$G$102,'TCO TO BE - HW'!$D10,'Rozpočet - HW a licencie'!$D$3:$D$102,'TCO TO BE - HW'!$B$5),)</f>
        <v>0</v>
      </c>
      <c r="G10" s="576">
        <f>IFERROR(SUMIFS('Rozpočet - HW a licencie'!$I$3:$I$102,'Rozpočet - HW a licencie'!$A$3:$A$102,'TCO TO BE - HW'!G$2,'Rozpočet - HW a licencie'!$C$3:$C$102,"HW",'Rozpočet - HW a licencie'!$G$3:$G$102,'TCO TO BE - HW'!$D10,'Rozpočet - HW a licencie'!$D$3:$D$102,'TCO TO BE - HW'!$B$5)+SUMIFS('Rozpočet - HW a licencie'!$I$3:$I$102,'Rozpočet - HW a licencie'!$A$3:$A$102,'TCO TO BE - HW'!G$2,'Rozpočet - HW a licencie'!$C$3:$C$102,"SW pre HW",'Rozpočet - HW a licencie'!$G$3:$G$102,'TCO TO BE - HW'!$D10,'Rozpočet - HW a licencie'!$D$3:$D$102,'TCO TO BE - HW'!$B$5),)</f>
        <v>0</v>
      </c>
      <c r="H10" s="576">
        <f>IFERROR(SUMIFS('Rozpočet - HW a licencie'!$I$3:$I$102,'Rozpočet - HW a licencie'!$A$3:$A$102,'TCO TO BE - HW'!H$2,'Rozpočet - HW a licencie'!$C$3:$C$102,"HW",'Rozpočet - HW a licencie'!$G$3:$G$102,'TCO TO BE - HW'!$D10,'Rozpočet - HW a licencie'!$D$3:$D$102,'TCO TO BE - HW'!$B$5)+SUMIFS('Rozpočet - HW a licencie'!$I$3:$I$102,'Rozpočet - HW a licencie'!$A$3:$A$102,'TCO TO BE - HW'!H$2,'Rozpočet - HW a licencie'!$C$3:$C$102,"SW pre HW",'Rozpočet - HW a licencie'!$G$3:$G$102,'TCO TO BE - HW'!$D10,'Rozpočet - HW a licencie'!$D$3:$D$102,'TCO TO BE - HW'!$B$5),)</f>
        <v>0</v>
      </c>
      <c r="I10" s="576">
        <f>IFERROR(SUMIFS('Rozpočet - HW a licencie'!$I$3:$I$102,'Rozpočet - HW a licencie'!$A$3:$A$102,'TCO TO BE - HW'!I$2,'Rozpočet - HW a licencie'!$C$3:$C$102,"HW",'Rozpočet - HW a licencie'!$G$3:$G$102,'TCO TO BE - HW'!$D10,'Rozpočet - HW a licencie'!$D$3:$D$102,'TCO TO BE - HW'!$B$5)+SUMIFS('Rozpočet - HW a licencie'!$I$3:$I$102,'Rozpočet - HW a licencie'!$A$3:$A$102,'TCO TO BE - HW'!I$2,'Rozpočet - HW a licencie'!$C$3:$C$102,"SW pre HW",'Rozpočet - HW a licencie'!$G$3:$G$102,'TCO TO BE - HW'!$D10,'Rozpočet - HW a licencie'!$D$3:$D$102,'TCO TO BE - HW'!$B$5),)</f>
        <v>0</v>
      </c>
      <c r="J10" s="576">
        <f>IFERROR(SUMIFS('Rozpočet - HW a licencie'!$I$3:$I$102,'Rozpočet - HW a licencie'!$A$3:$A$102,'TCO TO BE - HW'!J$2,'Rozpočet - HW a licencie'!$C$3:$C$102,"HW",'Rozpočet - HW a licencie'!$G$3:$G$102,'TCO TO BE - HW'!$D10,'Rozpočet - HW a licencie'!$D$3:$D$102,'TCO TO BE - HW'!$B$5)+SUMIFS('Rozpočet - HW a licencie'!$I$3:$I$102,'Rozpočet - HW a licencie'!$A$3:$A$102,'TCO TO BE - HW'!J$2,'Rozpočet - HW a licencie'!$C$3:$C$102,"SW pre HW",'Rozpočet - HW a licencie'!$G$3:$G$102,'TCO TO BE - HW'!$D10,'Rozpočet - HW a licencie'!$D$3:$D$102,'TCO TO BE - HW'!$B$5),)</f>
        <v>0</v>
      </c>
      <c r="K10" s="576">
        <f>IFERROR(SUMIFS('Rozpočet - HW a licencie'!$I$3:$I$102,'Rozpočet - HW a licencie'!$A$3:$A$102,'TCO TO BE - HW'!K$2,'Rozpočet - HW a licencie'!$C$3:$C$102,"HW",'Rozpočet - HW a licencie'!$G$3:$G$102,'TCO TO BE - HW'!$D10,'Rozpočet - HW a licencie'!$D$3:$D$102,'TCO TO BE - HW'!$B$5)+SUMIFS('Rozpočet - HW a licencie'!$I$3:$I$102,'Rozpočet - HW a licencie'!$A$3:$A$102,'TCO TO BE - HW'!K$2,'Rozpočet - HW a licencie'!$C$3:$C$102,"SW pre HW",'Rozpočet - HW a licencie'!$G$3:$G$102,'TCO TO BE - HW'!$D10,'Rozpočet - HW a licencie'!$D$3:$D$102,'TCO TO BE - HW'!$B$5),)</f>
        <v>0</v>
      </c>
      <c r="L10" s="576">
        <f>IFERROR(SUMIFS('Rozpočet - HW a licencie'!$I$3:$I$102,'Rozpočet - HW a licencie'!$A$3:$A$102,'TCO TO BE - HW'!L$2,'Rozpočet - HW a licencie'!$C$3:$C$102,"HW",'Rozpočet - HW a licencie'!$G$3:$G$102,'TCO TO BE - HW'!$D10,'Rozpočet - HW a licencie'!$D$3:$D$102,'TCO TO BE - HW'!$B$5)+SUMIFS('Rozpočet - HW a licencie'!$I$3:$I$102,'Rozpočet - HW a licencie'!$A$3:$A$102,'TCO TO BE - HW'!L$2,'Rozpočet - HW a licencie'!$C$3:$C$102,"SW pre HW",'Rozpočet - HW a licencie'!$G$3:$G$102,'TCO TO BE - HW'!$D10,'Rozpočet - HW a licencie'!$D$3:$D$102,'TCO TO BE - HW'!$B$5),)</f>
        <v>0</v>
      </c>
      <c r="M10" s="576">
        <f>IFERROR(SUMIFS('Rozpočet - HW a licencie'!$I$3:$I$102,'Rozpočet - HW a licencie'!$A$3:$A$102,'TCO TO BE - HW'!M$2,'Rozpočet - HW a licencie'!$C$3:$C$102,"HW",'Rozpočet - HW a licencie'!$G$3:$G$102,'TCO TO BE - HW'!$D10,'Rozpočet - HW a licencie'!$D$3:$D$102,'TCO TO BE - HW'!$B$5)+SUMIFS('Rozpočet - HW a licencie'!$I$3:$I$102,'Rozpočet - HW a licencie'!$A$3:$A$102,'TCO TO BE - HW'!M$2,'Rozpočet - HW a licencie'!$C$3:$C$102,"SW pre HW",'Rozpočet - HW a licencie'!$G$3:$G$102,'TCO TO BE - HW'!$D10,'Rozpočet - HW a licencie'!$D$3:$D$102,'TCO TO BE - HW'!$B$5),)</f>
        <v>0</v>
      </c>
      <c r="N10" s="576">
        <f>IFERROR(SUMIFS('Rozpočet - HW a licencie'!$I$3:$I$102,'Rozpočet - HW a licencie'!$A$3:$A$102,'TCO TO BE - HW'!N$2,'Rozpočet - HW a licencie'!$C$3:$C$102,"HW",'Rozpočet - HW a licencie'!$G$3:$G$102,'TCO TO BE - HW'!$D10,'Rozpočet - HW a licencie'!$D$3:$D$102,'TCO TO BE - HW'!$B$5)+SUMIFS('Rozpočet - HW a licencie'!$I$3:$I$102,'Rozpočet - HW a licencie'!$A$3:$A$102,'TCO TO BE - HW'!N$2,'Rozpočet - HW a licencie'!$C$3:$C$102,"SW pre HW",'Rozpočet - HW a licencie'!$G$3:$G$102,'TCO TO BE - HW'!$D10,'Rozpočet - HW a licencie'!$D$3:$D$102,'TCO TO BE - HW'!$B$5),)</f>
        <v>0</v>
      </c>
      <c r="O10" s="576">
        <f>IFERROR(SUMIFS('Rozpočet - HW a licencie'!$I$3:$I$102,'Rozpočet - HW a licencie'!$A$3:$A$102,'TCO TO BE - HW'!O$2,'Rozpočet - HW a licencie'!$C$3:$C$102,"HW",'Rozpočet - HW a licencie'!$G$3:$G$102,'TCO TO BE - HW'!$D10,'Rozpočet - HW a licencie'!$D$3:$D$102,'TCO TO BE - HW'!$B$5)+SUMIFS('Rozpočet - HW a licencie'!$I$3:$I$102,'Rozpočet - HW a licencie'!$A$3:$A$102,'TCO TO BE - HW'!O$2,'Rozpočet - HW a licencie'!$C$3:$C$102,"SW pre HW",'Rozpočet - HW a licencie'!$G$3:$G$102,'TCO TO BE - HW'!$D10,'Rozpočet - HW a licencie'!$D$3:$D$102,'TCO TO BE - HW'!$B$5),)</f>
        <v>0</v>
      </c>
      <c r="P10" s="576">
        <f>IFERROR(SUMIFS('Rozpočet - HW a licencie'!$I$3:$I$102,'Rozpočet - HW a licencie'!$A$3:$A$102,'TCO TO BE - HW'!P$2,'Rozpočet - HW a licencie'!$C$3:$C$102,"HW",'Rozpočet - HW a licencie'!$G$3:$G$102,'TCO TO BE - HW'!$D10,'Rozpočet - HW a licencie'!$D$3:$D$102,'TCO TO BE - HW'!$B$5)+SUMIFS('Rozpočet - HW a licencie'!$I$3:$I$102,'Rozpočet - HW a licencie'!$A$3:$A$102,'TCO TO BE - HW'!P$2,'Rozpočet - HW a licencie'!$C$3:$C$102,"SW pre HW",'Rozpočet - HW a licencie'!$G$3:$G$102,'TCO TO BE - HW'!$D10,'Rozpočet - HW a licencie'!$D$3:$D$102,'TCO TO BE - HW'!$B$5),)</f>
        <v>0</v>
      </c>
      <c r="Q10" s="576">
        <f>IFERROR(SUMIFS('Rozpočet - HW a licencie'!$I$3:$I$102,'Rozpočet - HW a licencie'!$A$3:$A$102,'TCO TO BE - HW'!Q$2,'Rozpočet - HW a licencie'!$C$3:$C$102,"HW",'Rozpočet - HW a licencie'!$G$3:$G$102,'TCO TO BE - HW'!$D10,'Rozpočet - HW a licencie'!$D$3:$D$102,'TCO TO BE - HW'!$B$5)+SUMIFS('Rozpočet - HW a licencie'!$I$3:$I$102,'Rozpočet - HW a licencie'!$A$3:$A$102,'TCO TO BE - HW'!Q$2,'Rozpočet - HW a licencie'!$C$3:$C$102,"SW pre HW",'Rozpočet - HW a licencie'!$G$3:$G$102,'TCO TO BE - HW'!$D10,'Rozpočet - HW a licencie'!$D$3:$D$102,'TCO TO BE - HW'!$B$5),)</f>
        <v>0</v>
      </c>
      <c r="R10" s="576">
        <f>IFERROR(SUMIFS('Rozpočet - HW a licencie'!$I$3:$I$102,'Rozpočet - HW a licencie'!$A$3:$A$102,'TCO TO BE - HW'!R$2,'Rozpočet - HW a licencie'!$C$3:$C$102,"HW",'Rozpočet - HW a licencie'!$G$3:$G$102,'TCO TO BE - HW'!$D10,'Rozpočet - HW a licencie'!$D$3:$D$102,'TCO TO BE - HW'!$B$5)+SUMIFS('Rozpočet - HW a licencie'!$I$3:$I$102,'Rozpočet - HW a licencie'!$A$3:$A$102,'TCO TO BE - HW'!R$2,'Rozpočet - HW a licencie'!$C$3:$C$102,"SW pre HW",'Rozpočet - HW a licencie'!$G$3:$G$102,'TCO TO BE - HW'!$D10,'Rozpočet - HW a licencie'!$D$3:$D$102,'TCO TO BE - HW'!$B$5),)</f>
        <v>0</v>
      </c>
      <c r="S10" s="576">
        <f>IFERROR(SUMIFS('Rozpočet - HW a licencie'!$I$3:$I$102,'Rozpočet - HW a licencie'!$A$3:$A$102,'TCO TO BE - HW'!S$2,'Rozpočet - HW a licencie'!$C$3:$C$102,"HW",'Rozpočet - HW a licencie'!$G$3:$G$102,'TCO TO BE - HW'!$D10,'Rozpočet - HW a licencie'!$D$3:$D$102,'TCO TO BE - HW'!$B$5)+SUMIFS('Rozpočet - HW a licencie'!$I$3:$I$102,'Rozpočet - HW a licencie'!$A$3:$A$102,'TCO TO BE - HW'!S$2,'Rozpočet - HW a licencie'!$C$3:$C$102,"SW pre HW",'Rozpočet - HW a licencie'!$G$3:$G$102,'TCO TO BE - HW'!$D10,'Rozpočet - HW a licencie'!$D$3:$D$102,'TCO TO BE - HW'!$B$5),)</f>
        <v>0</v>
      </c>
      <c r="T10" s="576">
        <f>IFERROR(SUMIFS('Rozpočet - HW a licencie'!$I$3:$I$102,'Rozpočet - HW a licencie'!$A$3:$A$102,'TCO TO BE - HW'!T$2,'Rozpočet - HW a licencie'!$C$3:$C$102,"HW",'Rozpočet - HW a licencie'!$G$3:$G$102,'TCO TO BE - HW'!$D10,'Rozpočet - HW a licencie'!$D$3:$D$102,'TCO TO BE - HW'!$B$5)+SUMIFS('Rozpočet - HW a licencie'!$I$3:$I$102,'Rozpočet - HW a licencie'!$A$3:$A$102,'TCO TO BE - HW'!T$2,'Rozpočet - HW a licencie'!$C$3:$C$102,"SW pre HW",'Rozpočet - HW a licencie'!$G$3:$G$102,'TCO TO BE - HW'!$D10,'Rozpočet - HW a licencie'!$D$3:$D$102,'TCO TO BE - HW'!$B$5),)</f>
        <v>0</v>
      </c>
      <c r="U10" s="576">
        <f>IFERROR(SUMIFS('Rozpočet - HW a licencie'!$I$3:$I$102,'Rozpočet - HW a licencie'!$A$3:$A$102,'TCO TO BE - HW'!U$2,'Rozpočet - HW a licencie'!$C$3:$C$102,"HW",'Rozpočet - HW a licencie'!$G$3:$G$102,'TCO TO BE - HW'!$D10,'Rozpočet - HW a licencie'!$D$3:$D$102,'TCO TO BE - HW'!$B$5)+SUMIFS('Rozpočet - HW a licencie'!$I$3:$I$102,'Rozpočet - HW a licencie'!$A$3:$A$102,'TCO TO BE - HW'!U$2,'Rozpočet - HW a licencie'!$C$3:$C$102,"SW pre HW",'Rozpočet - HW a licencie'!$G$3:$G$102,'TCO TO BE - HW'!$D10,'Rozpočet - HW a licencie'!$D$3:$D$102,'TCO TO BE - HW'!$B$5),)</f>
        <v>0</v>
      </c>
      <c r="V10" s="576">
        <f>IFERROR(SUMIFS('Rozpočet - HW a licencie'!$I$3:$I$102,'Rozpočet - HW a licencie'!$A$3:$A$102,'TCO TO BE - HW'!V$2,'Rozpočet - HW a licencie'!$C$3:$C$102,"HW",'Rozpočet - HW a licencie'!$G$3:$G$102,'TCO TO BE - HW'!$D10,'Rozpočet - HW a licencie'!$D$3:$D$102,'TCO TO BE - HW'!$B$5)+SUMIFS('Rozpočet - HW a licencie'!$I$3:$I$102,'Rozpočet - HW a licencie'!$A$3:$A$102,'TCO TO BE - HW'!V$2,'Rozpočet - HW a licencie'!$C$3:$C$102,"SW pre HW",'Rozpočet - HW a licencie'!$G$3:$G$102,'TCO TO BE - HW'!$D10,'Rozpočet - HW a licencie'!$D$3:$D$102,'TCO TO BE - HW'!$B$5),)</f>
        <v>0</v>
      </c>
      <c r="W10" s="576">
        <f>IFERROR(SUMIFS('Rozpočet - HW a licencie'!$I$3:$I$102,'Rozpočet - HW a licencie'!$A$3:$A$102,'TCO TO BE - HW'!W$2,'Rozpočet - HW a licencie'!$C$3:$C$102,"HW",'Rozpočet - HW a licencie'!$G$3:$G$102,'TCO TO BE - HW'!$D10,'Rozpočet - HW a licencie'!$D$3:$D$102,'TCO TO BE - HW'!$B$5)+SUMIFS('Rozpočet - HW a licencie'!$I$3:$I$102,'Rozpočet - HW a licencie'!$A$3:$A$102,'TCO TO BE - HW'!W$2,'Rozpočet - HW a licencie'!$C$3:$C$102,"SW pre HW",'Rozpočet - HW a licencie'!$G$3:$G$102,'TCO TO BE - HW'!$D10,'Rozpočet - HW a licencie'!$D$3:$D$102,'TCO TO BE - HW'!$B$5),)</f>
        <v>0</v>
      </c>
      <c r="X10" s="576">
        <f>IFERROR(SUMIFS('Rozpočet - HW a licencie'!$I$3:$I$102,'Rozpočet - HW a licencie'!$A$3:$A$102,'TCO TO BE - HW'!X$2,'Rozpočet - HW a licencie'!$C$3:$C$102,"HW",'Rozpočet - HW a licencie'!$G$3:$G$102,'TCO TO BE - HW'!$D10,'Rozpočet - HW a licencie'!$D$3:$D$102,'TCO TO BE - HW'!$B$5)+SUMIFS('Rozpočet - HW a licencie'!$I$3:$I$102,'Rozpočet - HW a licencie'!$A$3:$A$102,'TCO TO BE - HW'!X$2,'Rozpočet - HW a licencie'!$C$3:$C$102,"SW pre HW",'Rozpočet - HW a licencie'!$G$3:$G$102,'TCO TO BE - HW'!$D10,'Rozpočet - HW a licencie'!$D$3:$D$102,'TCO TO BE - HW'!$B$5),)</f>
        <v>0</v>
      </c>
      <c r="Y10" s="576">
        <f>IFERROR(SUMIFS('Rozpočet - HW a licencie'!$I$3:$I$102,'Rozpočet - HW a licencie'!$A$3:$A$102,'TCO TO BE - HW'!Y$2,'Rozpočet - HW a licencie'!$C$3:$C$102,"HW",'Rozpočet - HW a licencie'!$G$3:$G$102,'TCO TO BE - HW'!$D10,'Rozpočet - HW a licencie'!$D$3:$D$102,'TCO TO BE - HW'!$B$5)+SUMIFS('Rozpočet - HW a licencie'!$I$3:$I$102,'Rozpočet - HW a licencie'!$A$3:$A$102,'TCO TO BE - HW'!Y$2,'Rozpočet - HW a licencie'!$C$3:$C$102,"SW pre HW",'Rozpočet - HW a licencie'!$G$3:$G$102,'TCO TO BE - HW'!$D10,'Rozpočet - HW a licencie'!$D$3:$D$102,'TCO TO BE - HW'!$B$5),)</f>
        <v>0</v>
      </c>
      <c r="Z10" s="576">
        <f>IFERROR(SUMIFS('Rozpočet - HW a licencie'!$I$3:$I$102,'Rozpočet - HW a licencie'!$A$3:$A$102,'TCO TO BE - HW'!Z$2,'Rozpočet - HW a licencie'!$C$3:$C$102,"HW",'Rozpočet - HW a licencie'!$G$3:$G$102,'TCO TO BE - HW'!$D10,'Rozpočet - HW a licencie'!$D$3:$D$102,'TCO TO BE - HW'!$B$5)+SUMIFS('Rozpočet - HW a licencie'!$I$3:$I$102,'Rozpočet - HW a licencie'!$A$3:$A$102,'TCO TO BE - HW'!Z$2,'Rozpočet - HW a licencie'!$C$3:$C$102,"SW pre HW",'Rozpočet - HW a licencie'!$G$3:$G$102,'TCO TO BE - HW'!$D10,'Rozpočet - HW a licencie'!$D$3:$D$102,'TCO TO BE - HW'!$B$5),)</f>
        <v>0</v>
      </c>
    </row>
    <row r="11" spans="1:26" outlineLevel="1">
      <c r="A11" s="841"/>
      <c r="B11" s="842"/>
      <c r="C11" s="842"/>
      <c r="D11" s="498">
        <v>7</v>
      </c>
      <c r="E11" s="68">
        <f t="shared" si="2"/>
        <v>0</v>
      </c>
      <c r="F11" s="576">
        <f>IFERROR(SUMIFS('Rozpočet - HW a licencie'!$I$3:$I$102,'Rozpočet - HW a licencie'!$A$3:$A$102,'TCO TO BE - HW'!F$2,'Rozpočet - HW a licencie'!$C$3:$C$102,"HW",'Rozpočet - HW a licencie'!$G$3:$G$102,'TCO TO BE - HW'!$D11,'Rozpočet - HW a licencie'!$D$3:$D$102,'TCO TO BE - HW'!$B$5)+SUMIFS('Rozpočet - HW a licencie'!$I$3:$I$102,'Rozpočet - HW a licencie'!$A$3:$A$102,'TCO TO BE - HW'!F$2,'Rozpočet - HW a licencie'!$C$3:$C$102,"SW pre HW",'Rozpočet - HW a licencie'!$G$3:$G$102,'TCO TO BE - HW'!$D11,'Rozpočet - HW a licencie'!$D$3:$D$102,'TCO TO BE - HW'!$B$5),)</f>
        <v>0</v>
      </c>
      <c r="G11" s="576">
        <f>IFERROR(SUMIFS('Rozpočet - HW a licencie'!$I$3:$I$102,'Rozpočet - HW a licencie'!$A$3:$A$102,'TCO TO BE - HW'!G$2,'Rozpočet - HW a licencie'!$C$3:$C$102,"HW",'Rozpočet - HW a licencie'!$G$3:$G$102,'TCO TO BE - HW'!$D11,'Rozpočet - HW a licencie'!$D$3:$D$102,'TCO TO BE - HW'!$B$5)+SUMIFS('Rozpočet - HW a licencie'!$I$3:$I$102,'Rozpočet - HW a licencie'!$A$3:$A$102,'TCO TO BE - HW'!G$2,'Rozpočet - HW a licencie'!$C$3:$C$102,"SW pre HW",'Rozpočet - HW a licencie'!$G$3:$G$102,'TCO TO BE - HW'!$D11,'Rozpočet - HW a licencie'!$D$3:$D$102,'TCO TO BE - HW'!$B$5),)</f>
        <v>0</v>
      </c>
      <c r="H11" s="576">
        <f>IFERROR(SUMIFS('Rozpočet - HW a licencie'!$I$3:$I$102,'Rozpočet - HW a licencie'!$A$3:$A$102,'TCO TO BE - HW'!H$2,'Rozpočet - HW a licencie'!$C$3:$C$102,"HW",'Rozpočet - HW a licencie'!$G$3:$G$102,'TCO TO BE - HW'!$D11,'Rozpočet - HW a licencie'!$D$3:$D$102,'TCO TO BE - HW'!$B$5)+SUMIFS('Rozpočet - HW a licencie'!$I$3:$I$102,'Rozpočet - HW a licencie'!$A$3:$A$102,'TCO TO BE - HW'!H$2,'Rozpočet - HW a licencie'!$C$3:$C$102,"SW pre HW",'Rozpočet - HW a licencie'!$G$3:$G$102,'TCO TO BE - HW'!$D11,'Rozpočet - HW a licencie'!$D$3:$D$102,'TCO TO BE - HW'!$B$5),)</f>
        <v>0</v>
      </c>
      <c r="I11" s="576">
        <f>IFERROR(SUMIFS('Rozpočet - HW a licencie'!$I$3:$I$102,'Rozpočet - HW a licencie'!$A$3:$A$102,'TCO TO BE - HW'!I$2,'Rozpočet - HW a licencie'!$C$3:$C$102,"HW",'Rozpočet - HW a licencie'!$G$3:$G$102,'TCO TO BE - HW'!$D11,'Rozpočet - HW a licencie'!$D$3:$D$102,'TCO TO BE - HW'!$B$5)+SUMIFS('Rozpočet - HW a licencie'!$I$3:$I$102,'Rozpočet - HW a licencie'!$A$3:$A$102,'TCO TO BE - HW'!I$2,'Rozpočet - HW a licencie'!$C$3:$C$102,"SW pre HW",'Rozpočet - HW a licencie'!$G$3:$G$102,'TCO TO BE - HW'!$D11,'Rozpočet - HW a licencie'!$D$3:$D$102,'TCO TO BE - HW'!$B$5),)</f>
        <v>0</v>
      </c>
      <c r="J11" s="576">
        <f>IFERROR(SUMIFS('Rozpočet - HW a licencie'!$I$3:$I$102,'Rozpočet - HW a licencie'!$A$3:$A$102,'TCO TO BE - HW'!J$2,'Rozpočet - HW a licencie'!$C$3:$C$102,"HW",'Rozpočet - HW a licencie'!$G$3:$G$102,'TCO TO BE - HW'!$D11,'Rozpočet - HW a licencie'!$D$3:$D$102,'TCO TO BE - HW'!$B$5)+SUMIFS('Rozpočet - HW a licencie'!$I$3:$I$102,'Rozpočet - HW a licencie'!$A$3:$A$102,'TCO TO BE - HW'!J$2,'Rozpočet - HW a licencie'!$C$3:$C$102,"SW pre HW",'Rozpočet - HW a licencie'!$G$3:$G$102,'TCO TO BE - HW'!$D11,'Rozpočet - HW a licencie'!$D$3:$D$102,'TCO TO BE - HW'!$B$5),)</f>
        <v>0</v>
      </c>
      <c r="K11" s="576">
        <f>IFERROR(SUMIFS('Rozpočet - HW a licencie'!$I$3:$I$102,'Rozpočet - HW a licencie'!$A$3:$A$102,'TCO TO BE - HW'!K$2,'Rozpočet - HW a licencie'!$C$3:$C$102,"HW",'Rozpočet - HW a licencie'!$G$3:$G$102,'TCO TO BE - HW'!$D11,'Rozpočet - HW a licencie'!$D$3:$D$102,'TCO TO BE - HW'!$B$5)+SUMIFS('Rozpočet - HW a licencie'!$I$3:$I$102,'Rozpočet - HW a licencie'!$A$3:$A$102,'TCO TO BE - HW'!K$2,'Rozpočet - HW a licencie'!$C$3:$C$102,"SW pre HW",'Rozpočet - HW a licencie'!$G$3:$G$102,'TCO TO BE - HW'!$D11,'Rozpočet - HW a licencie'!$D$3:$D$102,'TCO TO BE - HW'!$B$5),)</f>
        <v>0</v>
      </c>
      <c r="L11" s="576">
        <f>IFERROR(SUMIFS('Rozpočet - HW a licencie'!$I$3:$I$102,'Rozpočet - HW a licencie'!$A$3:$A$102,'TCO TO BE - HW'!L$2,'Rozpočet - HW a licencie'!$C$3:$C$102,"HW",'Rozpočet - HW a licencie'!$G$3:$G$102,'TCO TO BE - HW'!$D11,'Rozpočet - HW a licencie'!$D$3:$D$102,'TCO TO BE - HW'!$B$5)+SUMIFS('Rozpočet - HW a licencie'!$I$3:$I$102,'Rozpočet - HW a licencie'!$A$3:$A$102,'TCO TO BE - HW'!L$2,'Rozpočet - HW a licencie'!$C$3:$C$102,"SW pre HW",'Rozpočet - HW a licencie'!$G$3:$G$102,'TCO TO BE - HW'!$D11,'Rozpočet - HW a licencie'!$D$3:$D$102,'TCO TO BE - HW'!$B$5),)</f>
        <v>0</v>
      </c>
      <c r="M11" s="576">
        <f>IFERROR(SUMIFS('Rozpočet - HW a licencie'!$I$3:$I$102,'Rozpočet - HW a licencie'!$A$3:$A$102,'TCO TO BE - HW'!M$2,'Rozpočet - HW a licencie'!$C$3:$C$102,"HW",'Rozpočet - HW a licencie'!$G$3:$G$102,'TCO TO BE - HW'!$D11,'Rozpočet - HW a licencie'!$D$3:$D$102,'TCO TO BE - HW'!$B$5)+SUMIFS('Rozpočet - HW a licencie'!$I$3:$I$102,'Rozpočet - HW a licencie'!$A$3:$A$102,'TCO TO BE - HW'!M$2,'Rozpočet - HW a licencie'!$C$3:$C$102,"SW pre HW",'Rozpočet - HW a licencie'!$G$3:$G$102,'TCO TO BE - HW'!$D11,'Rozpočet - HW a licencie'!$D$3:$D$102,'TCO TO BE - HW'!$B$5),)</f>
        <v>0</v>
      </c>
      <c r="N11" s="576">
        <f>IFERROR(SUMIFS('Rozpočet - HW a licencie'!$I$3:$I$102,'Rozpočet - HW a licencie'!$A$3:$A$102,'TCO TO BE - HW'!N$2,'Rozpočet - HW a licencie'!$C$3:$C$102,"HW",'Rozpočet - HW a licencie'!$G$3:$G$102,'TCO TO BE - HW'!$D11,'Rozpočet - HW a licencie'!$D$3:$D$102,'TCO TO BE - HW'!$B$5)+SUMIFS('Rozpočet - HW a licencie'!$I$3:$I$102,'Rozpočet - HW a licencie'!$A$3:$A$102,'TCO TO BE - HW'!N$2,'Rozpočet - HW a licencie'!$C$3:$C$102,"SW pre HW",'Rozpočet - HW a licencie'!$G$3:$G$102,'TCO TO BE - HW'!$D11,'Rozpočet - HW a licencie'!$D$3:$D$102,'TCO TO BE - HW'!$B$5),)</f>
        <v>0</v>
      </c>
      <c r="O11" s="576">
        <f>IFERROR(SUMIFS('Rozpočet - HW a licencie'!$I$3:$I$102,'Rozpočet - HW a licencie'!$A$3:$A$102,'TCO TO BE - HW'!O$2,'Rozpočet - HW a licencie'!$C$3:$C$102,"HW",'Rozpočet - HW a licencie'!$G$3:$G$102,'TCO TO BE - HW'!$D11,'Rozpočet - HW a licencie'!$D$3:$D$102,'TCO TO BE - HW'!$B$5)+SUMIFS('Rozpočet - HW a licencie'!$I$3:$I$102,'Rozpočet - HW a licencie'!$A$3:$A$102,'TCO TO BE - HW'!O$2,'Rozpočet - HW a licencie'!$C$3:$C$102,"SW pre HW",'Rozpočet - HW a licencie'!$G$3:$G$102,'TCO TO BE - HW'!$D11,'Rozpočet - HW a licencie'!$D$3:$D$102,'TCO TO BE - HW'!$B$5),)</f>
        <v>0</v>
      </c>
      <c r="P11" s="576">
        <f>IFERROR(SUMIFS('Rozpočet - HW a licencie'!$I$3:$I$102,'Rozpočet - HW a licencie'!$A$3:$A$102,'TCO TO BE - HW'!P$2,'Rozpočet - HW a licencie'!$C$3:$C$102,"HW",'Rozpočet - HW a licencie'!$G$3:$G$102,'TCO TO BE - HW'!$D11,'Rozpočet - HW a licencie'!$D$3:$D$102,'TCO TO BE - HW'!$B$5)+SUMIFS('Rozpočet - HW a licencie'!$I$3:$I$102,'Rozpočet - HW a licencie'!$A$3:$A$102,'TCO TO BE - HW'!P$2,'Rozpočet - HW a licencie'!$C$3:$C$102,"SW pre HW",'Rozpočet - HW a licencie'!$G$3:$G$102,'TCO TO BE - HW'!$D11,'Rozpočet - HW a licencie'!$D$3:$D$102,'TCO TO BE - HW'!$B$5),)</f>
        <v>0</v>
      </c>
      <c r="Q11" s="576">
        <f>IFERROR(SUMIFS('Rozpočet - HW a licencie'!$I$3:$I$102,'Rozpočet - HW a licencie'!$A$3:$A$102,'TCO TO BE - HW'!Q$2,'Rozpočet - HW a licencie'!$C$3:$C$102,"HW",'Rozpočet - HW a licencie'!$G$3:$G$102,'TCO TO BE - HW'!$D11,'Rozpočet - HW a licencie'!$D$3:$D$102,'TCO TO BE - HW'!$B$5)+SUMIFS('Rozpočet - HW a licencie'!$I$3:$I$102,'Rozpočet - HW a licencie'!$A$3:$A$102,'TCO TO BE - HW'!Q$2,'Rozpočet - HW a licencie'!$C$3:$C$102,"SW pre HW",'Rozpočet - HW a licencie'!$G$3:$G$102,'TCO TO BE - HW'!$D11,'Rozpočet - HW a licencie'!$D$3:$D$102,'TCO TO BE - HW'!$B$5),)</f>
        <v>0</v>
      </c>
      <c r="R11" s="576">
        <f>IFERROR(SUMIFS('Rozpočet - HW a licencie'!$I$3:$I$102,'Rozpočet - HW a licencie'!$A$3:$A$102,'TCO TO BE - HW'!R$2,'Rozpočet - HW a licencie'!$C$3:$C$102,"HW",'Rozpočet - HW a licencie'!$G$3:$G$102,'TCO TO BE - HW'!$D11,'Rozpočet - HW a licencie'!$D$3:$D$102,'TCO TO BE - HW'!$B$5)+SUMIFS('Rozpočet - HW a licencie'!$I$3:$I$102,'Rozpočet - HW a licencie'!$A$3:$A$102,'TCO TO BE - HW'!R$2,'Rozpočet - HW a licencie'!$C$3:$C$102,"SW pre HW",'Rozpočet - HW a licencie'!$G$3:$G$102,'TCO TO BE - HW'!$D11,'Rozpočet - HW a licencie'!$D$3:$D$102,'TCO TO BE - HW'!$B$5),)</f>
        <v>0</v>
      </c>
      <c r="S11" s="576">
        <f>IFERROR(SUMIFS('Rozpočet - HW a licencie'!$I$3:$I$102,'Rozpočet - HW a licencie'!$A$3:$A$102,'TCO TO BE - HW'!S$2,'Rozpočet - HW a licencie'!$C$3:$C$102,"HW",'Rozpočet - HW a licencie'!$G$3:$G$102,'TCO TO BE - HW'!$D11,'Rozpočet - HW a licencie'!$D$3:$D$102,'TCO TO BE - HW'!$B$5)+SUMIFS('Rozpočet - HW a licencie'!$I$3:$I$102,'Rozpočet - HW a licencie'!$A$3:$A$102,'TCO TO BE - HW'!S$2,'Rozpočet - HW a licencie'!$C$3:$C$102,"SW pre HW",'Rozpočet - HW a licencie'!$G$3:$G$102,'TCO TO BE - HW'!$D11,'Rozpočet - HW a licencie'!$D$3:$D$102,'TCO TO BE - HW'!$B$5),)</f>
        <v>0</v>
      </c>
      <c r="T11" s="576">
        <f>IFERROR(SUMIFS('Rozpočet - HW a licencie'!$I$3:$I$102,'Rozpočet - HW a licencie'!$A$3:$A$102,'TCO TO BE - HW'!T$2,'Rozpočet - HW a licencie'!$C$3:$C$102,"HW",'Rozpočet - HW a licencie'!$G$3:$G$102,'TCO TO BE - HW'!$D11,'Rozpočet - HW a licencie'!$D$3:$D$102,'TCO TO BE - HW'!$B$5)+SUMIFS('Rozpočet - HW a licencie'!$I$3:$I$102,'Rozpočet - HW a licencie'!$A$3:$A$102,'TCO TO BE - HW'!T$2,'Rozpočet - HW a licencie'!$C$3:$C$102,"SW pre HW",'Rozpočet - HW a licencie'!$G$3:$G$102,'TCO TO BE - HW'!$D11,'Rozpočet - HW a licencie'!$D$3:$D$102,'TCO TO BE - HW'!$B$5),)</f>
        <v>0</v>
      </c>
      <c r="U11" s="576">
        <f>IFERROR(SUMIFS('Rozpočet - HW a licencie'!$I$3:$I$102,'Rozpočet - HW a licencie'!$A$3:$A$102,'TCO TO BE - HW'!U$2,'Rozpočet - HW a licencie'!$C$3:$C$102,"HW",'Rozpočet - HW a licencie'!$G$3:$G$102,'TCO TO BE - HW'!$D11,'Rozpočet - HW a licencie'!$D$3:$D$102,'TCO TO BE - HW'!$B$5)+SUMIFS('Rozpočet - HW a licencie'!$I$3:$I$102,'Rozpočet - HW a licencie'!$A$3:$A$102,'TCO TO BE - HW'!U$2,'Rozpočet - HW a licencie'!$C$3:$C$102,"SW pre HW",'Rozpočet - HW a licencie'!$G$3:$G$102,'TCO TO BE - HW'!$D11,'Rozpočet - HW a licencie'!$D$3:$D$102,'TCO TO BE - HW'!$B$5),)</f>
        <v>0</v>
      </c>
      <c r="V11" s="576">
        <f>IFERROR(SUMIFS('Rozpočet - HW a licencie'!$I$3:$I$102,'Rozpočet - HW a licencie'!$A$3:$A$102,'TCO TO BE - HW'!V$2,'Rozpočet - HW a licencie'!$C$3:$C$102,"HW",'Rozpočet - HW a licencie'!$G$3:$G$102,'TCO TO BE - HW'!$D11,'Rozpočet - HW a licencie'!$D$3:$D$102,'TCO TO BE - HW'!$B$5)+SUMIFS('Rozpočet - HW a licencie'!$I$3:$I$102,'Rozpočet - HW a licencie'!$A$3:$A$102,'TCO TO BE - HW'!V$2,'Rozpočet - HW a licencie'!$C$3:$C$102,"SW pre HW",'Rozpočet - HW a licencie'!$G$3:$G$102,'TCO TO BE - HW'!$D11,'Rozpočet - HW a licencie'!$D$3:$D$102,'TCO TO BE - HW'!$B$5),)</f>
        <v>0</v>
      </c>
      <c r="W11" s="576">
        <f>IFERROR(SUMIFS('Rozpočet - HW a licencie'!$I$3:$I$102,'Rozpočet - HW a licencie'!$A$3:$A$102,'TCO TO BE - HW'!W$2,'Rozpočet - HW a licencie'!$C$3:$C$102,"HW",'Rozpočet - HW a licencie'!$G$3:$G$102,'TCO TO BE - HW'!$D11,'Rozpočet - HW a licencie'!$D$3:$D$102,'TCO TO BE - HW'!$B$5)+SUMIFS('Rozpočet - HW a licencie'!$I$3:$I$102,'Rozpočet - HW a licencie'!$A$3:$A$102,'TCO TO BE - HW'!W$2,'Rozpočet - HW a licencie'!$C$3:$C$102,"SW pre HW",'Rozpočet - HW a licencie'!$G$3:$G$102,'TCO TO BE - HW'!$D11,'Rozpočet - HW a licencie'!$D$3:$D$102,'TCO TO BE - HW'!$B$5),)</f>
        <v>0</v>
      </c>
      <c r="X11" s="576">
        <f>IFERROR(SUMIFS('Rozpočet - HW a licencie'!$I$3:$I$102,'Rozpočet - HW a licencie'!$A$3:$A$102,'TCO TO BE - HW'!X$2,'Rozpočet - HW a licencie'!$C$3:$C$102,"HW",'Rozpočet - HW a licencie'!$G$3:$G$102,'TCO TO BE - HW'!$D11,'Rozpočet - HW a licencie'!$D$3:$D$102,'TCO TO BE - HW'!$B$5)+SUMIFS('Rozpočet - HW a licencie'!$I$3:$I$102,'Rozpočet - HW a licencie'!$A$3:$A$102,'TCO TO BE - HW'!X$2,'Rozpočet - HW a licencie'!$C$3:$C$102,"SW pre HW",'Rozpočet - HW a licencie'!$G$3:$G$102,'TCO TO BE - HW'!$D11,'Rozpočet - HW a licencie'!$D$3:$D$102,'TCO TO BE - HW'!$B$5),)</f>
        <v>0</v>
      </c>
      <c r="Y11" s="576">
        <f>IFERROR(SUMIFS('Rozpočet - HW a licencie'!$I$3:$I$102,'Rozpočet - HW a licencie'!$A$3:$A$102,'TCO TO BE - HW'!Y$2,'Rozpočet - HW a licencie'!$C$3:$C$102,"HW",'Rozpočet - HW a licencie'!$G$3:$G$102,'TCO TO BE - HW'!$D11,'Rozpočet - HW a licencie'!$D$3:$D$102,'TCO TO BE - HW'!$B$5)+SUMIFS('Rozpočet - HW a licencie'!$I$3:$I$102,'Rozpočet - HW a licencie'!$A$3:$A$102,'TCO TO BE - HW'!Y$2,'Rozpočet - HW a licencie'!$C$3:$C$102,"SW pre HW",'Rozpočet - HW a licencie'!$G$3:$G$102,'TCO TO BE - HW'!$D11,'Rozpočet - HW a licencie'!$D$3:$D$102,'TCO TO BE - HW'!$B$5),)</f>
        <v>0</v>
      </c>
      <c r="Z11" s="576">
        <f>IFERROR(SUMIFS('Rozpočet - HW a licencie'!$I$3:$I$102,'Rozpočet - HW a licencie'!$A$3:$A$102,'TCO TO BE - HW'!Z$2,'Rozpočet - HW a licencie'!$C$3:$C$102,"HW",'Rozpočet - HW a licencie'!$G$3:$G$102,'TCO TO BE - HW'!$D11,'Rozpočet - HW a licencie'!$D$3:$D$102,'TCO TO BE - HW'!$B$5)+SUMIFS('Rozpočet - HW a licencie'!$I$3:$I$102,'Rozpočet - HW a licencie'!$A$3:$A$102,'TCO TO BE - HW'!Z$2,'Rozpočet - HW a licencie'!$C$3:$C$102,"SW pre HW",'Rozpočet - HW a licencie'!$G$3:$G$102,'TCO TO BE - HW'!$D11,'Rozpočet - HW a licencie'!$D$3:$D$102,'TCO TO BE - HW'!$B$5),)</f>
        <v>0</v>
      </c>
    </row>
    <row r="12" spans="1:26" outlineLevel="1">
      <c r="A12" s="841"/>
      <c r="B12" s="842"/>
      <c r="C12" s="842"/>
      <c r="D12" s="498">
        <v>8</v>
      </c>
      <c r="E12" s="68">
        <f t="shared" si="2"/>
        <v>0</v>
      </c>
      <c r="F12" s="576">
        <f>IFERROR(SUMIFS('Rozpočet - HW a licencie'!$I$3:$I$102,'Rozpočet - HW a licencie'!$A$3:$A$102,'TCO TO BE - HW'!F$2,'Rozpočet - HW a licencie'!$C$3:$C$102,"HW",'Rozpočet - HW a licencie'!$G$3:$G$102,'TCO TO BE - HW'!$D12,'Rozpočet - HW a licencie'!$D$3:$D$102,'TCO TO BE - HW'!$B$5)+SUMIFS('Rozpočet - HW a licencie'!$I$3:$I$102,'Rozpočet - HW a licencie'!$A$3:$A$102,'TCO TO BE - HW'!F$2,'Rozpočet - HW a licencie'!$C$3:$C$102,"SW pre HW",'Rozpočet - HW a licencie'!$G$3:$G$102,'TCO TO BE - HW'!$D12,'Rozpočet - HW a licencie'!$D$3:$D$102,'TCO TO BE - HW'!$B$5),)</f>
        <v>0</v>
      </c>
      <c r="G12" s="576">
        <f>IFERROR(SUMIFS('Rozpočet - HW a licencie'!$I$3:$I$102,'Rozpočet - HW a licencie'!$A$3:$A$102,'TCO TO BE - HW'!G$2,'Rozpočet - HW a licencie'!$C$3:$C$102,"HW",'Rozpočet - HW a licencie'!$G$3:$G$102,'TCO TO BE - HW'!$D12,'Rozpočet - HW a licencie'!$D$3:$D$102,'TCO TO BE - HW'!$B$5)+SUMIFS('Rozpočet - HW a licencie'!$I$3:$I$102,'Rozpočet - HW a licencie'!$A$3:$A$102,'TCO TO BE - HW'!G$2,'Rozpočet - HW a licencie'!$C$3:$C$102,"SW pre HW",'Rozpočet - HW a licencie'!$G$3:$G$102,'TCO TO BE - HW'!$D12,'Rozpočet - HW a licencie'!$D$3:$D$102,'TCO TO BE - HW'!$B$5),)</f>
        <v>0</v>
      </c>
      <c r="H12" s="576">
        <f>IFERROR(SUMIFS('Rozpočet - HW a licencie'!$I$3:$I$102,'Rozpočet - HW a licencie'!$A$3:$A$102,'TCO TO BE - HW'!H$2,'Rozpočet - HW a licencie'!$C$3:$C$102,"HW",'Rozpočet - HW a licencie'!$G$3:$G$102,'TCO TO BE - HW'!$D12,'Rozpočet - HW a licencie'!$D$3:$D$102,'TCO TO BE - HW'!$B$5)+SUMIFS('Rozpočet - HW a licencie'!$I$3:$I$102,'Rozpočet - HW a licencie'!$A$3:$A$102,'TCO TO BE - HW'!H$2,'Rozpočet - HW a licencie'!$C$3:$C$102,"SW pre HW",'Rozpočet - HW a licencie'!$G$3:$G$102,'TCO TO BE - HW'!$D12,'Rozpočet - HW a licencie'!$D$3:$D$102,'TCO TO BE - HW'!$B$5),)</f>
        <v>0</v>
      </c>
      <c r="I12" s="576">
        <f>IFERROR(SUMIFS('Rozpočet - HW a licencie'!$I$3:$I$102,'Rozpočet - HW a licencie'!$A$3:$A$102,'TCO TO BE - HW'!I$2,'Rozpočet - HW a licencie'!$C$3:$C$102,"HW",'Rozpočet - HW a licencie'!$G$3:$G$102,'TCO TO BE - HW'!$D12,'Rozpočet - HW a licencie'!$D$3:$D$102,'TCO TO BE - HW'!$B$5)+SUMIFS('Rozpočet - HW a licencie'!$I$3:$I$102,'Rozpočet - HW a licencie'!$A$3:$A$102,'TCO TO BE - HW'!I$2,'Rozpočet - HW a licencie'!$C$3:$C$102,"SW pre HW",'Rozpočet - HW a licencie'!$G$3:$G$102,'TCO TO BE - HW'!$D12,'Rozpočet - HW a licencie'!$D$3:$D$102,'TCO TO BE - HW'!$B$5),)</f>
        <v>0</v>
      </c>
      <c r="J12" s="576">
        <f>IFERROR(SUMIFS('Rozpočet - HW a licencie'!$I$3:$I$102,'Rozpočet - HW a licencie'!$A$3:$A$102,'TCO TO BE - HW'!J$2,'Rozpočet - HW a licencie'!$C$3:$C$102,"HW",'Rozpočet - HW a licencie'!$G$3:$G$102,'TCO TO BE - HW'!$D12,'Rozpočet - HW a licencie'!$D$3:$D$102,'TCO TO BE - HW'!$B$5)+SUMIFS('Rozpočet - HW a licencie'!$I$3:$I$102,'Rozpočet - HW a licencie'!$A$3:$A$102,'TCO TO BE - HW'!J$2,'Rozpočet - HW a licencie'!$C$3:$C$102,"SW pre HW",'Rozpočet - HW a licencie'!$G$3:$G$102,'TCO TO BE - HW'!$D12,'Rozpočet - HW a licencie'!$D$3:$D$102,'TCO TO BE - HW'!$B$5),)</f>
        <v>0</v>
      </c>
      <c r="K12" s="576">
        <f>IFERROR(SUMIFS('Rozpočet - HW a licencie'!$I$3:$I$102,'Rozpočet - HW a licencie'!$A$3:$A$102,'TCO TO BE - HW'!K$2,'Rozpočet - HW a licencie'!$C$3:$C$102,"HW",'Rozpočet - HW a licencie'!$G$3:$G$102,'TCO TO BE - HW'!$D12,'Rozpočet - HW a licencie'!$D$3:$D$102,'TCO TO BE - HW'!$B$5)+SUMIFS('Rozpočet - HW a licencie'!$I$3:$I$102,'Rozpočet - HW a licencie'!$A$3:$A$102,'TCO TO BE - HW'!K$2,'Rozpočet - HW a licencie'!$C$3:$C$102,"SW pre HW",'Rozpočet - HW a licencie'!$G$3:$G$102,'TCO TO BE - HW'!$D12,'Rozpočet - HW a licencie'!$D$3:$D$102,'TCO TO BE - HW'!$B$5),)</f>
        <v>0</v>
      </c>
      <c r="L12" s="576">
        <f>IFERROR(SUMIFS('Rozpočet - HW a licencie'!$I$3:$I$102,'Rozpočet - HW a licencie'!$A$3:$A$102,'TCO TO BE - HW'!L$2,'Rozpočet - HW a licencie'!$C$3:$C$102,"HW",'Rozpočet - HW a licencie'!$G$3:$G$102,'TCO TO BE - HW'!$D12,'Rozpočet - HW a licencie'!$D$3:$D$102,'TCO TO BE - HW'!$B$5)+SUMIFS('Rozpočet - HW a licencie'!$I$3:$I$102,'Rozpočet - HW a licencie'!$A$3:$A$102,'TCO TO BE - HW'!L$2,'Rozpočet - HW a licencie'!$C$3:$C$102,"SW pre HW",'Rozpočet - HW a licencie'!$G$3:$G$102,'TCO TO BE - HW'!$D12,'Rozpočet - HW a licencie'!$D$3:$D$102,'TCO TO BE - HW'!$B$5),)</f>
        <v>0</v>
      </c>
      <c r="M12" s="576">
        <f>IFERROR(SUMIFS('Rozpočet - HW a licencie'!$I$3:$I$102,'Rozpočet - HW a licencie'!$A$3:$A$102,'TCO TO BE - HW'!M$2,'Rozpočet - HW a licencie'!$C$3:$C$102,"HW",'Rozpočet - HW a licencie'!$G$3:$G$102,'TCO TO BE - HW'!$D12,'Rozpočet - HW a licencie'!$D$3:$D$102,'TCO TO BE - HW'!$B$5)+SUMIFS('Rozpočet - HW a licencie'!$I$3:$I$102,'Rozpočet - HW a licencie'!$A$3:$A$102,'TCO TO BE - HW'!M$2,'Rozpočet - HW a licencie'!$C$3:$C$102,"SW pre HW",'Rozpočet - HW a licencie'!$G$3:$G$102,'TCO TO BE - HW'!$D12,'Rozpočet - HW a licencie'!$D$3:$D$102,'TCO TO BE - HW'!$B$5),)</f>
        <v>0</v>
      </c>
      <c r="N12" s="576">
        <f>IFERROR(SUMIFS('Rozpočet - HW a licencie'!$I$3:$I$102,'Rozpočet - HW a licencie'!$A$3:$A$102,'TCO TO BE - HW'!N$2,'Rozpočet - HW a licencie'!$C$3:$C$102,"HW",'Rozpočet - HW a licencie'!$G$3:$G$102,'TCO TO BE - HW'!$D12,'Rozpočet - HW a licencie'!$D$3:$D$102,'TCO TO BE - HW'!$B$5)+SUMIFS('Rozpočet - HW a licencie'!$I$3:$I$102,'Rozpočet - HW a licencie'!$A$3:$A$102,'TCO TO BE - HW'!N$2,'Rozpočet - HW a licencie'!$C$3:$C$102,"SW pre HW",'Rozpočet - HW a licencie'!$G$3:$G$102,'TCO TO BE - HW'!$D12,'Rozpočet - HW a licencie'!$D$3:$D$102,'TCO TO BE - HW'!$B$5),)</f>
        <v>0</v>
      </c>
      <c r="O12" s="576">
        <f>IFERROR(SUMIFS('Rozpočet - HW a licencie'!$I$3:$I$102,'Rozpočet - HW a licencie'!$A$3:$A$102,'TCO TO BE - HW'!O$2,'Rozpočet - HW a licencie'!$C$3:$C$102,"HW",'Rozpočet - HW a licencie'!$G$3:$G$102,'TCO TO BE - HW'!$D12,'Rozpočet - HW a licencie'!$D$3:$D$102,'TCO TO BE - HW'!$B$5)+SUMIFS('Rozpočet - HW a licencie'!$I$3:$I$102,'Rozpočet - HW a licencie'!$A$3:$A$102,'TCO TO BE - HW'!O$2,'Rozpočet - HW a licencie'!$C$3:$C$102,"SW pre HW",'Rozpočet - HW a licencie'!$G$3:$G$102,'TCO TO BE - HW'!$D12,'Rozpočet - HW a licencie'!$D$3:$D$102,'TCO TO BE - HW'!$B$5),)</f>
        <v>0</v>
      </c>
      <c r="P12" s="576">
        <f>IFERROR(SUMIFS('Rozpočet - HW a licencie'!$I$3:$I$102,'Rozpočet - HW a licencie'!$A$3:$A$102,'TCO TO BE - HW'!P$2,'Rozpočet - HW a licencie'!$C$3:$C$102,"HW",'Rozpočet - HW a licencie'!$G$3:$G$102,'TCO TO BE - HW'!$D12,'Rozpočet - HW a licencie'!$D$3:$D$102,'TCO TO BE - HW'!$B$5)+SUMIFS('Rozpočet - HW a licencie'!$I$3:$I$102,'Rozpočet - HW a licencie'!$A$3:$A$102,'TCO TO BE - HW'!P$2,'Rozpočet - HW a licencie'!$C$3:$C$102,"SW pre HW",'Rozpočet - HW a licencie'!$G$3:$G$102,'TCO TO BE - HW'!$D12,'Rozpočet - HW a licencie'!$D$3:$D$102,'TCO TO BE - HW'!$B$5),)</f>
        <v>0</v>
      </c>
      <c r="Q12" s="576">
        <f>IFERROR(SUMIFS('Rozpočet - HW a licencie'!$I$3:$I$102,'Rozpočet - HW a licencie'!$A$3:$A$102,'TCO TO BE - HW'!Q$2,'Rozpočet - HW a licencie'!$C$3:$C$102,"HW",'Rozpočet - HW a licencie'!$G$3:$G$102,'TCO TO BE - HW'!$D12,'Rozpočet - HW a licencie'!$D$3:$D$102,'TCO TO BE - HW'!$B$5)+SUMIFS('Rozpočet - HW a licencie'!$I$3:$I$102,'Rozpočet - HW a licencie'!$A$3:$A$102,'TCO TO BE - HW'!Q$2,'Rozpočet - HW a licencie'!$C$3:$C$102,"SW pre HW",'Rozpočet - HW a licencie'!$G$3:$G$102,'TCO TO BE - HW'!$D12,'Rozpočet - HW a licencie'!$D$3:$D$102,'TCO TO BE - HW'!$B$5),)</f>
        <v>0</v>
      </c>
      <c r="R12" s="576">
        <f>IFERROR(SUMIFS('Rozpočet - HW a licencie'!$I$3:$I$102,'Rozpočet - HW a licencie'!$A$3:$A$102,'TCO TO BE - HW'!R$2,'Rozpočet - HW a licencie'!$C$3:$C$102,"HW",'Rozpočet - HW a licencie'!$G$3:$G$102,'TCO TO BE - HW'!$D12,'Rozpočet - HW a licencie'!$D$3:$D$102,'TCO TO BE - HW'!$B$5)+SUMIFS('Rozpočet - HW a licencie'!$I$3:$I$102,'Rozpočet - HW a licencie'!$A$3:$A$102,'TCO TO BE - HW'!R$2,'Rozpočet - HW a licencie'!$C$3:$C$102,"SW pre HW",'Rozpočet - HW a licencie'!$G$3:$G$102,'TCO TO BE - HW'!$D12,'Rozpočet - HW a licencie'!$D$3:$D$102,'TCO TO BE - HW'!$B$5),)</f>
        <v>0</v>
      </c>
      <c r="S12" s="576">
        <f>IFERROR(SUMIFS('Rozpočet - HW a licencie'!$I$3:$I$102,'Rozpočet - HW a licencie'!$A$3:$A$102,'TCO TO BE - HW'!S$2,'Rozpočet - HW a licencie'!$C$3:$C$102,"HW",'Rozpočet - HW a licencie'!$G$3:$G$102,'TCO TO BE - HW'!$D12,'Rozpočet - HW a licencie'!$D$3:$D$102,'TCO TO BE - HW'!$B$5)+SUMIFS('Rozpočet - HW a licencie'!$I$3:$I$102,'Rozpočet - HW a licencie'!$A$3:$A$102,'TCO TO BE - HW'!S$2,'Rozpočet - HW a licencie'!$C$3:$C$102,"SW pre HW",'Rozpočet - HW a licencie'!$G$3:$G$102,'TCO TO BE - HW'!$D12,'Rozpočet - HW a licencie'!$D$3:$D$102,'TCO TO BE - HW'!$B$5),)</f>
        <v>0</v>
      </c>
      <c r="T12" s="576">
        <f>IFERROR(SUMIFS('Rozpočet - HW a licencie'!$I$3:$I$102,'Rozpočet - HW a licencie'!$A$3:$A$102,'TCO TO BE - HW'!T$2,'Rozpočet - HW a licencie'!$C$3:$C$102,"HW",'Rozpočet - HW a licencie'!$G$3:$G$102,'TCO TO BE - HW'!$D12,'Rozpočet - HW a licencie'!$D$3:$D$102,'TCO TO BE - HW'!$B$5)+SUMIFS('Rozpočet - HW a licencie'!$I$3:$I$102,'Rozpočet - HW a licencie'!$A$3:$A$102,'TCO TO BE - HW'!T$2,'Rozpočet - HW a licencie'!$C$3:$C$102,"SW pre HW",'Rozpočet - HW a licencie'!$G$3:$G$102,'TCO TO BE - HW'!$D12,'Rozpočet - HW a licencie'!$D$3:$D$102,'TCO TO BE - HW'!$B$5),)</f>
        <v>0</v>
      </c>
      <c r="U12" s="576">
        <f>IFERROR(SUMIFS('Rozpočet - HW a licencie'!$I$3:$I$102,'Rozpočet - HW a licencie'!$A$3:$A$102,'TCO TO BE - HW'!U$2,'Rozpočet - HW a licencie'!$C$3:$C$102,"HW",'Rozpočet - HW a licencie'!$G$3:$G$102,'TCO TO BE - HW'!$D12,'Rozpočet - HW a licencie'!$D$3:$D$102,'TCO TO BE - HW'!$B$5)+SUMIFS('Rozpočet - HW a licencie'!$I$3:$I$102,'Rozpočet - HW a licencie'!$A$3:$A$102,'TCO TO BE - HW'!U$2,'Rozpočet - HW a licencie'!$C$3:$C$102,"SW pre HW",'Rozpočet - HW a licencie'!$G$3:$G$102,'TCO TO BE - HW'!$D12,'Rozpočet - HW a licencie'!$D$3:$D$102,'TCO TO BE - HW'!$B$5),)</f>
        <v>0</v>
      </c>
      <c r="V12" s="576">
        <f>IFERROR(SUMIFS('Rozpočet - HW a licencie'!$I$3:$I$102,'Rozpočet - HW a licencie'!$A$3:$A$102,'TCO TO BE - HW'!V$2,'Rozpočet - HW a licencie'!$C$3:$C$102,"HW",'Rozpočet - HW a licencie'!$G$3:$G$102,'TCO TO BE - HW'!$D12,'Rozpočet - HW a licencie'!$D$3:$D$102,'TCO TO BE - HW'!$B$5)+SUMIFS('Rozpočet - HW a licencie'!$I$3:$I$102,'Rozpočet - HW a licencie'!$A$3:$A$102,'TCO TO BE - HW'!V$2,'Rozpočet - HW a licencie'!$C$3:$C$102,"SW pre HW",'Rozpočet - HW a licencie'!$G$3:$G$102,'TCO TO BE - HW'!$D12,'Rozpočet - HW a licencie'!$D$3:$D$102,'TCO TO BE - HW'!$B$5),)</f>
        <v>0</v>
      </c>
      <c r="W12" s="576">
        <f>IFERROR(SUMIFS('Rozpočet - HW a licencie'!$I$3:$I$102,'Rozpočet - HW a licencie'!$A$3:$A$102,'TCO TO BE - HW'!W$2,'Rozpočet - HW a licencie'!$C$3:$C$102,"HW",'Rozpočet - HW a licencie'!$G$3:$G$102,'TCO TO BE - HW'!$D12,'Rozpočet - HW a licencie'!$D$3:$D$102,'TCO TO BE - HW'!$B$5)+SUMIFS('Rozpočet - HW a licencie'!$I$3:$I$102,'Rozpočet - HW a licencie'!$A$3:$A$102,'TCO TO BE - HW'!W$2,'Rozpočet - HW a licencie'!$C$3:$C$102,"SW pre HW",'Rozpočet - HW a licencie'!$G$3:$G$102,'TCO TO BE - HW'!$D12,'Rozpočet - HW a licencie'!$D$3:$D$102,'TCO TO BE - HW'!$B$5),)</f>
        <v>0</v>
      </c>
      <c r="X12" s="576">
        <f>IFERROR(SUMIFS('Rozpočet - HW a licencie'!$I$3:$I$102,'Rozpočet - HW a licencie'!$A$3:$A$102,'TCO TO BE - HW'!X$2,'Rozpočet - HW a licencie'!$C$3:$C$102,"HW",'Rozpočet - HW a licencie'!$G$3:$G$102,'TCO TO BE - HW'!$D12,'Rozpočet - HW a licencie'!$D$3:$D$102,'TCO TO BE - HW'!$B$5)+SUMIFS('Rozpočet - HW a licencie'!$I$3:$I$102,'Rozpočet - HW a licencie'!$A$3:$A$102,'TCO TO BE - HW'!X$2,'Rozpočet - HW a licencie'!$C$3:$C$102,"SW pre HW",'Rozpočet - HW a licencie'!$G$3:$G$102,'TCO TO BE - HW'!$D12,'Rozpočet - HW a licencie'!$D$3:$D$102,'TCO TO BE - HW'!$B$5),)</f>
        <v>0</v>
      </c>
      <c r="Y12" s="576">
        <f>IFERROR(SUMIFS('Rozpočet - HW a licencie'!$I$3:$I$102,'Rozpočet - HW a licencie'!$A$3:$A$102,'TCO TO BE - HW'!Y$2,'Rozpočet - HW a licencie'!$C$3:$C$102,"HW",'Rozpočet - HW a licencie'!$G$3:$G$102,'TCO TO BE - HW'!$D12,'Rozpočet - HW a licencie'!$D$3:$D$102,'TCO TO BE - HW'!$B$5)+SUMIFS('Rozpočet - HW a licencie'!$I$3:$I$102,'Rozpočet - HW a licencie'!$A$3:$A$102,'TCO TO BE - HW'!Y$2,'Rozpočet - HW a licencie'!$C$3:$C$102,"SW pre HW",'Rozpočet - HW a licencie'!$G$3:$G$102,'TCO TO BE - HW'!$D12,'Rozpočet - HW a licencie'!$D$3:$D$102,'TCO TO BE - HW'!$B$5),)</f>
        <v>0</v>
      </c>
      <c r="Z12" s="576">
        <f>IFERROR(SUMIFS('Rozpočet - HW a licencie'!$I$3:$I$102,'Rozpočet - HW a licencie'!$A$3:$A$102,'TCO TO BE - HW'!Z$2,'Rozpočet - HW a licencie'!$C$3:$C$102,"HW",'Rozpočet - HW a licencie'!$G$3:$G$102,'TCO TO BE - HW'!$D12,'Rozpočet - HW a licencie'!$D$3:$D$102,'TCO TO BE - HW'!$B$5)+SUMIFS('Rozpočet - HW a licencie'!$I$3:$I$102,'Rozpočet - HW a licencie'!$A$3:$A$102,'TCO TO BE - HW'!Z$2,'Rozpočet - HW a licencie'!$C$3:$C$102,"SW pre HW",'Rozpočet - HW a licencie'!$G$3:$G$102,'TCO TO BE - HW'!$D12,'Rozpočet - HW a licencie'!$D$3:$D$102,'TCO TO BE - HW'!$B$5),)</f>
        <v>0</v>
      </c>
    </row>
    <row r="13" spans="1:26" outlineLevel="1">
      <c r="A13" s="841"/>
      <c r="B13" s="842"/>
      <c r="C13" s="842"/>
      <c r="D13" s="498">
        <v>9</v>
      </c>
      <c r="E13" s="68">
        <f t="shared" si="2"/>
        <v>0</v>
      </c>
      <c r="F13" s="576">
        <f>IFERROR(SUMIFS('Rozpočet - HW a licencie'!$I$3:$I$102,'Rozpočet - HW a licencie'!$A$3:$A$102,'TCO TO BE - HW'!F$2,'Rozpočet - HW a licencie'!$C$3:$C$102,"HW",'Rozpočet - HW a licencie'!$G$3:$G$102,'TCO TO BE - HW'!$D13,'Rozpočet - HW a licencie'!$D$3:$D$102,'TCO TO BE - HW'!$B$5)+SUMIFS('Rozpočet - HW a licencie'!$I$3:$I$102,'Rozpočet - HW a licencie'!$A$3:$A$102,'TCO TO BE - HW'!F$2,'Rozpočet - HW a licencie'!$C$3:$C$102,"SW pre HW",'Rozpočet - HW a licencie'!$G$3:$G$102,'TCO TO BE - HW'!$D13,'Rozpočet - HW a licencie'!$D$3:$D$102,'TCO TO BE - HW'!$B$5),)</f>
        <v>0</v>
      </c>
      <c r="G13" s="576">
        <f>IFERROR(SUMIFS('Rozpočet - HW a licencie'!$I$3:$I$102,'Rozpočet - HW a licencie'!$A$3:$A$102,'TCO TO BE - HW'!G$2,'Rozpočet - HW a licencie'!$C$3:$C$102,"HW",'Rozpočet - HW a licencie'!$G$3:$G$102,'TCO TO BE - HW'!$D13,'Rozpočet - HW a licencie'!$D$3:$D$102,'TCO TO BE - HW'!$B$5)+SUMIFS('Rozpočet - HW a licencie'!$I$3:$I$102,'Rozpočet - HW a licencie'!$A$3:$A$102,'TCO TO BE - HW'!G$2,'Rozpočet - HW a licencie'!$C$3:$C$102,"SW pre HW",'Rozpočet - HW a licencie'!$G$3:$G$102,'TCO TO BE - HW'!$D13,'Rozpočet - HW a licencie'!$D$3:$D$102,'TCO TO BE - HW'!$B$5),)</f>
        <v>0</v>
      </c>
      <c r="H13" s="576">
        <f>IFERROR(SUMIFS('Rozpočet - HW a licencie'!$I$3:$I$102,'Rozpočet - HW a licencie'!$A$3:$A$102,'TCO TO BE - HW'!H$2,'Rozpočet - HW a licencie'!$C$3:$C$102,"HW",'Rozpočet - HW a licencie'!$G$3:$G$102,'TCO TO BE - HW'!$D13,'Rozpočet - HW a licencie'!$D$3:$D$102,'TCO TO BE - HW'!$B$5)+SUMIFS('Rozpočet - HW a licencie'!$I$3:$I$102,'Rozpočet - HW a licencie'!$A$3:$A$102,'TCO TO BE - HW'!H$2,'Rozpočet - HW a licencie'!$C$3:$C$102,"SW pre HW",'Rozpočet - HW a licencie'!$G$3:$G$102,'TCO TO BE - HW'!$D13,'Rozpočet - HW a licencie'!$D$3:$D$102,'TCO TO BE - HW'!$B$5),)</f>
        <v>0</v>
      </c>
      <c r="I13" s="576">
        <f>IFERROR(SUMIFS('Rozpočet - HW a licencie'!$I$3:$I$102,'Rozpočet - HW a licencie'!$A$3:$A$102,'TCO TO BE - HW'!I$2,'Rozpočet - HW a licencie'!$C$3:$C$102,"HW",'Rozpočet - HW a licencie'!$G$3:$G$102,'TCO TO BE - HW'!$D13,'Rozpočet - HW a licencie'!$D$3:$D$102,'TCO TO BE - HW'!$B$5)+SUMIFS('Rozpočet - HW a licencie'!$I$3:$I$102,'Rozpočet - HW a licencie'!$A$3:$A$102,'TCO TO BE - HW'!I$2,'Rozpočet - HW a licencie'!$C$3:$C$102,"SW pre HW",'Rozpočet - HW a licencie'!$G$3:$G$102,'TCO TO BE - HW'!$D13,'Rozpočet - HW a licencie'!$D$3:$D$102,'TCO TO BE - HW'!$B$5),)</f>
        <v>0</v>
      </c>
      <c r="J13" s="576">
        <f>IFERROR(SUMIFS('Rozpočet - HW a licencie'!$I$3:$I$102,'Rozpočet - HW a licencie'!$A$3:$A$102,'TCO TO BE - HW'!J$2,'Rozpočet - HW a licencie'!$C$3:$C$102,"HW",'Rozpočet - HW a licencie'!$G$3:$G$102,'TCO TO BE - HW'!$D13,'Rozpočet - HW a licencie'!$D$3:$D$102,'TCO TO BE - HW'!$B$5)+SUMIFS('Rozpočet - HW a licencie'!$I$3:$I$102,'Rozpočet - HW a licencie'!$A$3:$A$102,'TCO TO BE - HW'!J$2,'Rozpočet - HW a licencie'!$C$3:$C$102,"SW pre HW",'Rozpočet - HW a licencie'!$G$3:$G$102,'TCO TO BE - HW'!$D13,'Rozpočet - HW a licencie'!$D$3:$D$102,'TCO TO BE - HW'!$B$5),)</f>
        <v>0</v>
      </c>
      <c r="K13" s="576">
        <f>IFERROR(SUMIFS('Rozpočet - HW a licencie'!$I$3:$I$102,'Rozpočet - HW a licencie'!$A$3:$A$102,'TCO TO BE - HW'!K$2,'Rozpočet - HW a licencie'!$C$3:$C$102,"HW",'Rozpočet - HW a licencie'!$G$3:$G$102,'TCO TO BE - HW'!$D13,'Rozpočet - HW a licencie'!$D$3:$D$102,'TCO TO BE - HW'!$B$5)+SUMIFS('Rozpočet - HW a licencie'!$I$3:$I$102,'Rozpočet - HW a licencie'!$A$3:$A$102,'TCO TO BE - HW'!K$2,'Rozpočet - HW a licencie'!$C$3:$C$102,"SW pre HW",'Rozpočet - HW a licencie'!$G$3:$G$102,'TCO TO BE - HW'!$D13,'Rozpočet - HW a licencie'!$D$3:$D$102,'TCO TO BE - HW'!$B$5),)</f>
        <v>0</v>
      </c>
      <c r="L13" s="576">
        <f>IFERROR(SUMIFS('Rozpočet - HW a licencie'!$I$3:$I$102,'Rozpočet - HW a licencie'!$A$3:$A$102,'TCO TO BE - HW'!L$2,'Rozpočet - HW a licencie'!$C$3:$C$102,"HW",'Rozpočet - HW a licencie'!$G$3:$G$102,'TCO TO BE - HW'!$D13,'Rozpočet - HW a licencie'!$D$3:$D$102,'TCO TO BE - HW'!$B$5)+SUMIFS('Rozpočet - HW a licencie'!$I$3:$I$102,'Rozpočet - HW a licencie'!$A$3:$A$102,'TCO TO BE - HW'!L$2,'Rozpočet - HW a licencie'!$C$3:$C$102,"SW pre HW",'Rozpočet - HW a licencie'!$G$3:$G$102,'TCO TO BE - HW'!$D13,'Rozpočet - HW a licencie'!$D$3:$D$102,'TCO TO BE - HW'!$B$5),)</f>
        <v>0</v>
      </c>
      <c r="M13" s="576">
        <f>IFERROR(SUMIFS('Rozpočet - HW a licencie'!$I$3:$I$102,'Rozpočet - HW a licencie'!$A$3:$A$102,'TCO TO BE - HW'!M$2,'Rozpočet - HW a licencie'!$C$3:$C$102,"HW",'Rozpočet - HW a licencie'!$G$3:$G$102,'TCO TO BE - HW'!$D13,'Rozpočet - HW a licencie'!$D$3:$D$102,'TCO TO BE - HW'!$B$5)+SUMIFS('Rozpočet - HW a licencie'!$I$3:$I$102,'Rozpočet - HW a licencie'!$A$3:$A$102,'TCO TO BE - HW'!M$2,'Rozpočet - HW a licencie'!$C$3:$C$102,"SW pre HW",'Rozpočet - HW a licencie'!$G$3:$G$102,'TCO TO BE - HW'!$D13,'Rozpočet - HW a licencie'!$D$3:$D$102,'TCO TO BE - HW'!$B$5),)</f>
        <v>0</v>
      </c>
      <c r="N13" s="576">
        <f>IFERROR(SUMIFS('Rozpočet - HW a licencie'!$I$3:$I$102,'Rozpočet - HW a licencie'!$A$3:$A$102,'TCO TO BE - HW'!N$2,'Rozpočet - HW a licencie'!$C$3:$C$102,"HW",'Rozpočet - HW a licencie'!$G$3:$G$102,'TCO TO BE - HW'!$D13,'Rozpočet - HW a licencie'!$D$3:$D$102,'TCO TO BE - HW'!$B$5)+SUMIFS('Rozpočet - HW a licencie'!$I$3:$I$102,'Rozpočet - HW a licencie'!$A$3:$A$102,'TCO TO BE - HW'!N$2,'Rozpočet - HW a licencie'!$C$3:$C$102,"SW pre HW",'Rozpočet - HW a licencie'!$G$3:$G$102,'TCO TO BE - HW'!$D13,'Rozpočet - HW a licencie'!$D$3:$D$102,'TCO TO BE - HW'!$B$5),)</f>
        <v>0</v>
      </c>
      <c r="O13" s="576">
        <f>IFERROR(SUMIFS('Rozpočet - HW a licencie'!$I$3:$I$102,'Rozpočet - HW a licencie'!$A$3:$A$102,'TCO TO BE - HW'!O$2,'Rozpočet - HW a licencie'!$C$3:$C$102,"HW",'Rozpočet - HW a licencie'!$G$3:$G$102,'TCO TO BE - HW'!$D13,'Rozpočet - HW a licencie'!$D$3:$D$102,'TCO TO BE - HW'!$B$5)+SUMIFS('Rozpočet - HW a licencie'!$I$3:$I$102,'Rozpočet - HW a licencie'!$A$3:$A$102,'TCO TO BE - HW'!O$2,'Rozpočet - HW a licencie'!$C$3:$C$102,"SW pre HW",'Rozpočet - HW a licencie'!$G$3:$G$102,'TCO TO BE - HW'!$D13,'Rozpočet - HW a licencie'!$D$3:$D$102,'TCO TO BE - HW'!$B$5),)</f>
        <v>0</v>
      </c>
      <c r="P13" s="576">
        <f>IFERROR(SUMIFS('Rozpočet - HW a licencie'!$I$3:$I$102,'Rozpočet - HW a licencie'!$A$3:$A$102,'TCO TO BE - HW'!P$2,'Rozpočet - HW a licencie'!$C$3:$C$102,"HW",'Rozpočet - HW a licencie'!$G$3:$G$102,'TCO TO BE - HW'!$D13,'Rozpočet - HW a licencie'!$D$3:$D$102,'TCO TO BE - HW'!$B$5)+SUMIFS('Rozpočet - HW a licencie'!$I$3:$I$102,'Rozpočet - HW a licencie'!$A$3:$A$102,'TCO TO BE - HW'!P$2,'Rozpočet - HW a licencie'!$C$3:$C$102,"SW pre HW",'Rozpočet - HW a licencie'!$G$3:$G$102,'TCO TO BE - HW'!$D13,'Rozpočet - HW a licencie'!$D$3:$D$102,'TCO TO BE - HW'!$B$5),)</f>
        <v>0</v>
      </c>
      <c r="Q13" s="576">
        <f>IFERROR(SUMIFS('Rozpočet - HW a licencie'!$I$3:$I$102,'Rozpočet - HW a licencie'!$A$3:$A$102,'TCO TO BE - HW'!Q$2,'Rozpočet - HW a licencie'!$C$3:$C$102,"HW",'Rozpočet - HW a licencie'!$G$3:$G$102,'TCO TO BE - HW'!$D13,'Rozpočet - HW a licencie'!$D$3:$D$102,'TCO TO BE - HW'!$B$5)+SUMIFS('Rozpočet - HW a licencie'!$I$3:$I$102,'Rozpočet - HW a licencie'!$A$3:$A$102,'TCO TO BE - HW'!Q$2,'Rozpočet - HW a licencie'!$C$3:$C$102,"SW pre HW",'Rozpočet - HW a licencie'!$G$3:$G$102,'TCO TO BE - HW'!$D13,'Rozpočet - HW a licencie'!$D$3:$D$102,'TCO TO BE - HW'!$B$5),)</f>
        <v>0</v>
      </c>
      <c r="R13" s="576">
        <f>IFERROR(SUMIFS('Rozpočet - HW a licencie'!$I$3:$I$102,'Rozpočet - HW a licencie'!$A$3:$A$102,'TCO TO BE - HW'!R$2,'Rozpočet - HW a licencie'!$C$3:$C$102,"HW",'Rozpočet - HW a licencie'!$G$3:$G$102,'TCO TO BE - HW'!$D13,'Rozpočet - HW a licencie'!$D$3:$D$102,'TCO TO BE - HW'!$B$5)+SUMIFS('Rozpočet - HW a licencie'!$I$3:$I$102,'Rozpočet - HW a licencie'!$A$3:$A$102,'TCO TO BE - HW'!R$2,'Rozpočet - HW a licencie'!$C$3:$C$102,"SW pre HW",'Rozpočet - HW a licencie'!$G$3:$G$102,'TCO TO BE - HW'!$D13,'Rozpočet - HW a licencie'!$D$3:$D$102,'TCO TO BE - HW'!$B$5),)</f>
        <v>0</v>
      </c>
      <c r="S13" s="576">
        <f>IFERROR(SUMIFS('Rozpočet - HW a licencie'!$I$3:$I$102,'Rozpočet - HW a licencie'!$A$3:$A$102,'TCO TO BE - HW'!S$2,'Rozpočet - HW a licencie'!$C$3:$C$102,"HW",'Rozpočet - HW a licencie'!$G$3:$G$102,'TCO TO BE - HW'!$D13,'Rozpočet - HW a licencie'!$D$3:$D$102,'TCO TO BE - HW'!$B$5)+SUMIFS('Rozpočet - HW a licencie'!$I$3:$I$102,'Rozpočet - HW a licencie'!$A$3:$A$102,'TCO TO BE - HW'!S$2,'Rozpočet - HW a licencie'!$C$3:$C$102,"SW pre HW",'Rozpočet - HW a licencie'!$G$3:$G$102,'TCO TO BE - HW'!$D13,'Rozpočet - HW a licencie'!$D$3:$D$102,'TCO TO BE - HW'!$B$5),)</f>
        <v>0</v>
      </c>
      <c r="T13" s="576">
        <f>IFERROR(SUMIFS('Rozpočet - HW a licencie'!$I$3:$I$102,'Rozpočet - HW a licencie'!$A$3:$A$102,'TCO TO BE - HW'!T$2,'Rozpočet - HW a licencie'!$C$3:$C$102,"HW",'Rozpočet - HW a licencie'!$G$3:$G$102,'TCO TO BE - HW'!$D13,'Rozpočet - HW a licencie'!$D$3:$D$102,'TCO TO BE - HW'!$B$5)+SUMIFS('Rozpočet - HW a licencie'!$I$3:$I$102,'Rozpočet - HW a licencie'!$A$3:$A$102,'TCO TO BE - HW'!T$2,'Rozpočet - HW a licencie'!$C$3:$C$102,"SW pre HW",'Rozpočet - HW a licencie'!$G$3:$G$102,'TCO TO BE - HW'!$D13,'Rozpočet - HW a licencie'!$D$3:$D$102,'TCO TO BE - HW'!$B$5),)</f>
        <v>0</v>
      </c>
      <c r="U13" s="576">
        <f>IFERROR(SUMIFS('Rozpočet - HW a licencie'!$I$3:$I$102,'Rozpočet - HW a licencie'!$A$3:$A$102,'TCO TO BE - HW'!U$2,'Rozpočet - HW a licencie'!$C$3:$C$102,"HW",'Rozpočet - HW a licencie'!$G$3:$G$102,'TCO TO BE - HW'!$D13,'Rozpočet - HW a licencie'!$D$3:$D$102,'TCO TO BE - HW'!$B$5)+SUMIFS('Rozpočet - HW a licencie'!$I$3:$I$102,'Rozpočet - HW a licencie'!$A$3:$A$102,'TCO TO BE - HW'!U$2,'Rozpočet - HW a licencie'!$C$3:$C$102,"SW pre HW",'Rozpočet - HW a licencie'!$G$3:$G$102,'TCO TO BE - HW'!$D13,'Rozpočet - HW a licencie'!$D$3:$D$102,'TCO TO BE - HW'!$B$5),)</f>
        <v>0</v>
      </c>
      <c r="V13" s="576">
        <f>IFERROR(SUMIFS('Rozpočet - HW a licencie'!$I$3:$I$102,'Rozpočet - HW a licencie'!$A$3:$A$102,'TCO TO BE - HW'!V$2,'Rozpočet - HW a licencie'!$C$3:$C$102,"HW",'Rozpočet - HW a licencie'!$G$3:$G$102,'TCO TO BE - HW'!$D13,'Rozpočet - HW a licencie'!$D$3:$D$102,'TCO TO BE - HW'!$B$5)+SUMIFS('Rozpočet - HW a licencie'!$I$3:$I$102,'Rozpočet - HW a licencie'!$A$3:$A$102,'TCO TO BE - HW'!V$2,'Rozpočet - HW a licencie'!$C$3:$C$102,"SW pre HW",'Rozpočet - HW a licencie'!$G$3:$G$102,'TCO TO BE - HW'!$D13,'Rozpočet - HW a licencie'!$D$3:$D$102,'TCO TO BE - HW'!$B$5),)</f>
        <v>0</v>
      </c>
      <c r="W13" s="576">
        <f>IFERROR(SUMIFS('Rozpočet - HW a licencie'!$I$3:$I$102,'Rozpočet - HW a licencie'!$A$3:$A$102,'TCO TO BE - HW'!W$2,'Rozpočet - HW a licencie'!$C$3:$C$102,"HW",'Rozpočet - HW a licencie'!$G$3:$G$102,'TCO TO BE - HW'!$D13,'Rozpočet - HW a licencie'!$D$3:$D$102,'TCO TO BE - HW'!$B$5)+SUMIFS('Rozpočet - HW a licencie'!$I$3:$I$102,'Rozpočet - HW a licencie'!$A$3:$A$102,'TCO TO BE - HW'!W$2,'Rozpočet - HW a licencie'!$C$3:$C$102,"SW pre HW",'Rozpočet - HW a licencie'!$G$3:$G$102,'TCO TO BE - HW'!$D13,'Rozpočet - HW a licencie'!$D$3:$D$102,'TCO TO BE - HW'!$B$5),)</f>
        <v>0</v>
      </c>
      <c r="X13" s="576">
        <f>IFERROR(SUMIFS('Rozpočet - HW a licencie'!$I$3:$I$102,'Rozpočet - HW a licencie'!$A$3:$A$102,'TCO TO BE - HW'!X$2,'Rozpočet - HW a licencie'!$C$3:$C$102,"HW",'Rozpočet - HW a licencie'!$G$3:$G$102,'TCO TO BE - HW'!$D13,'Rozpočet - HW a licencie'!$D$3:$D$102,'TCO TO BE - HW'!$B$5)+SUMIFS('Rozpočet - HW a licencie'!$I$3:$I$102,'Rozpočet - HW a licencie'!$A$3:$A$102,'TCO TO BE - HW'!X$2,'Rozpočet - HW a licencie'!$C$3:$C$102,"SW pre HW",'Rozpočet - HW a licencie'!$G$3:$G$102,'TCO TO BE - HW'!$D13,'Rozpočet - HW a licencie'!$D$3:$D$102,'TCO TO BE - HW'!$B$5),)</f>
        <v>0</v>
      </c>
      <c r="Y13" s="576">
        <f>IFERROR(SUMIFS('Rozpočet - HW a licencie'!$I$3:$I$102,'Rozpočet - HW a licencie'!$A$3:$A$102,'TCO TO BE - HW'!Y$2,'Rozpočet - HW a licencie'!$C$3:$C$102,"HW",'Rozpočet - HW a licencie'!$G$3:$G$102,'TCO TO BE - HW'!$D13,'Rozpočet - HW a licencie'!$D$3:$D$102,'TCO TO BE - HW'!$B$5)+SUMIFS('Rozpočet - HW a licencie'!$I$3:$I$102,'Rozpočet - HW a licencie'!$A$3:$A$102,'TCO TO BE - HW'!Y$2,'Rozpočet - HW a licencie'!$C$3:$C$102,"SW pre HW",'Rozpočet - HW a licencie'!$G$3:$G$102,'TCO TO BE - HW'!$D13,'Rozpočet - HW a licencie'!$D$3:$D$102,'TCO TO BE - HW'!$B$5),)</f>
        <v>0</v>
      </c>
      <c r="Z13" s="576">
        <f>IFERROR(SUMIFS('Rozpočet - HW a licencie'!$I$3:$I$102,'Rozpočet - HW a licencie'!$A$3:$A$102,'TCO TO BE - HW'!Z$2,'Rozpočet - HW a licencie'!$C$3:$C$102,"HW",'Rozpočet - HW a licencie'!$G$3:$G$102,'TCO TO BE - HW'!$D13,'Rozpočet - HW a licencie'!$D$3:$D$102,'TCO TO BE - HW'!$B$5)+SUMIFS('Rozpočet - HW a licencie'!$I$3:$I$102,'Rozpočet - HW a licencie'!$A$3:$A$102,'TCO TO BE - HW'!Z$2,'Rozpočet - HW a licencie'!$C$3:$C$102,"SW pre HW",'Rozpočet - HW a licencie'!$G$3:$G$102,'TCO TO BE - HW'!$D13,'Rozpočet - HW a licencie'!$D$3:$D$102,'TCO TO BE - HW'!$B$5),)</f>
        <v>0</v>
      </c>
    </row>
    <row r="14" spans="1:26" ht="15" outlineLevel="1" thickBot="1">
      <c r="A14" s="841"/>
      <c r="B14" s="842"/>
      <c r="C14" s="842"/>
      <c r="D14" s="499">
        <v>10</v>
      </c>
      <c r="E14" s="69">
        <f t="shared" si="2"/>
        <v>0</v>
      </c>
      <c r="F14" s="576">
        <f>IFERROR(SUMIFS('Rozpočet - HW a licencie'!$I$3:$I$102,'Rozpočet - HW a licencie'!$A$3:$A$102,'TCO TO BE - HW'!F$2,'Rozpočet - HW a licencie'!$C$3:$C$102,"HW",'Rozpočet - HW a licencie'!$G$3:$G$102,'TCO TO BE - HW'!$D14,'Rozpočet - HW a licencie'!$D$3:$D$102,'TCO TO BE - HW'!$B$5)+SUMIFS('Rozpočet - HW a licencie'!$I$3:$I$102,'Rozpočet - HW a licencie'!$A$3:$A$102,'TCO TO BE - HW'!F$2,'Rozpočet - HW a licencie'!$C$3:$C$102,"SW pre HW",'Rozpočet - HW a licencie'!$G$3:$G$102,'TCO TO BE - HW'!$D14,'Rozpočet - HW a licencie'!$D$3:$D$102,'TCO TO BE - HW'!$B$5),)</f>
        <v>0</v>
      </c>
      <c r="G14" s="576">
        <f>IFERROR(SUMIFS('Rozpočet - HW a licencie'!$I$3:$I$102,'Rozpočet - HW a licencie'!$A$3:$A$102,'TCO TO BE - HW'!G$2,'Rozpočet - HW a licencie'!$C$3:$C$102,"HW",'Rozpočet - HW a licencie'!$G$3:$G$102,'TCO TO BE - HW'!$D14,'Rozpočet - HW a licencie'!$D$3:$D$102,'TCO TO BE - HW'!$B$5)+SUMIFS('Rozpočet - HW a licencie'!$I$3:$I$102,'Rozpočet - HW a licencie'!$A$3:$A$102,'TCO TO BE - HW'!G$2,'Rozpočet - HW a licencie'!$C$3:$C$102,"SW pre HW",'Rozpočet - HW a licencie'!$G$3:$G$102,'TCO TO BE - HW'!$D14,'Rozpočet - HW a licencie'!$D$3:$D$102,'TCO TO BE - HW'!$B$5),)</f>
        <v>0</v>
      </c>
      <c r="H14" s="576">
        <f>IFERROR(SUMIFS('Rozpočet - HW a licencie'!$I$3:$I$102,'Rozpočet - HW a licencie'!$A$3:$A$102,'TCO TO BE - HW'!H$2,'Rozpočet - HW a licencie'!$C$3:$C$102,"HW",'Rozpočet - HW a licencie'!$G$3:$G$102,'TCO TO BE - HW'!$D14,'Rozpočet - HW a licencie'!$D$3:$D$102,'TCO TO BE - HW'!$B$5)+SUMIFS('Rozpočet - HW a licencie'!$I$3:$I$102,'Rozpočet - HW a licencie'!$A$3:$A$102,'TCO TO BE - HW'!H$2,'Rozpočet - HW a licencie'!$C$3:$C$102,"SW pre HW",'Rozpočet - HW a licencie'!$G$3:$G$102,'TCO TO BE - HW'!$D14,'Rozpočet - HW a licencie'!$D$3:$D$102,'TCO TO BE - HW'!$B$5),)</f>
        <v>0</v>
      </c>
      <c r="I14" s="576">
        <f>IFERROR(SUMIFS('Rozpočet - HW a licencie'!$I$3:$I$102,'Rozpočet - HW a licencie'!$A$3:$A$102,'TCO TO BE - HW'!I$2,'Rozpočet - HW a licencie'!$C$3:$C$102,"HW",'Rozpočet - HW a licencie'!$G$3:$G$102,'TCO TO BE - HW'!$D14,'Rozpočet - HW a licencie'!$D$3:$D$102,'TCO TO BE - HW'!$B$5)+SUMIFS('Rozpočet - HW a licencie'!$I$3:$I$102,'Rozpočet - HW a licencie'!$A$3:$A$102,'TCO TO BE - HW'!I$2,'Rozpočet - HW a licencie'!$C$3:$C$102,"SW pre HW",'Rozpočet - HW a licencie'!$G$3:$G$102,'TCO TO BE - HW'!$D14,'Rozpočet - HW a licencie'!$D$3:$D$102,'TCO TO BE - HW'!$B$5),)</f>
        <v>0</v>
      </c>
      <c r="J14" s="576">
        <f>IFERROR(SUMIFS('Rozpočet - HW a licencie'!$I$3:$I$102,'Rozpočet - HW a licencie'!$A$3:$A$102,'TCO TO BE - HW'!J$2,'Rozpočet - HW a licencie'!$C$3:$C$102,"HW",'Rozpočet - HW a licencie'!$G$3:$G$102,'TCO TO BE - HW'!$D14,'Rozpočet - HW a licencie'!$D$3:$D$102,'TCO TO BE - HW'!$B$5)+SUMIFS('Rozpočet - HW a licencie'!$I$3:$I$102,'Rozpočet - HW a licencie'!$A$3:$A$102,'TCO TO BE - HW'!J$2,'Rozpočet - HW a licencie'!$C$3:$C$102,"SW pre HW",'Rozpočet - HW a licencie'!$G$3:$G$102,'TCO TO BE - HW'!$D14,'Rozpočet - HW a licencie'!$D$3:$D$102,'TCO TO BE - HW'!$B$5),)</f>
        <v>0</v>
      </c>
      <c r="K14" s="576">
        <f>IFERROR(SUMIFS('Rozpočet - HW a licencie'!$I$3:$I$102,'Rozpočet - HW a licencie'!$A$3:$A$102,'TCO TO BE - HW'!K$2,'Rozpočet - HW a licencie'!$C$3:$C$102,"HW",'Rozpočet - HW a licencie'!$G$3:$G$102,'TCO TO BE - HW'!$D14,'Rozpočet - HW a licencie'!$D$3:$D$102,'TCO TO BE - HW'!$B$5)+SUMIFS('Rozpočet - HW a licencie'!$I$3:$I$102,'Rozpočet - HW a licencie'!$A$3:$A$102,'TCO TO BE - HW'!K$2,'Rozpočet - HW a licencie'!$C$3:$C$102,"SW pre HW",'Rozpočet - HW a licencie'!$G$3:$G$102,'TCO TO BE - HW'!$D14,'Rozpočet - HW a licencie'!$D$3:$D$102,'TCO TO BE - HW'!$B$5),)</f>
        <v>0</v>
      </c>
      <c r="L14" s="576">
        <f>IFERROR(SUMIFS('Rozpočet - HW a licencie'!$I$3:$I$102,'Rozpočet - HW a licencie'!$A$3:$A$102,'TCO TO BE - HW'!L$2,'Rozpočet - HW a licencie'!$C$3:$C$102,"HW",'Rozpočet - HW a licencie'!$G$3:$G$102,'TCO TO BE - HW'!$D14,'Rozpočet - HW a licencie'!$D$3:$D$102,'TCO TO BE - HW'!$B$5)+SUMIFS('Rozpočet - HW a licencie'!$I$3:$I$102,'Rozpočet - HW a licencie'!$A$3:$A$102,'TCO TO BE - HW'!L$2,'Rozpočet - HW a licencie'!$C$3:$C$102,"SW pre HW",'Rozpočet - HW a licencie'!$G$3:$G$102,'TCO TO BE - HW'!$D14,'Rozpočet - HW a licencie'!$D$3:$D$102,'TCO TO BE - HW'!$B$5),)</f>
        <v>0</v>
      </c>
      <c r="M14" s="576">
        <f>IFERROR(SUMIFS('Rozpočet - HW a licencie'!$I$3:$I$102,'Rozpočet - HW a licencie'!$A$3:$A$102,'TCO TO BE - HW'!M$2,'Rozpočet - HW a licencie'!$C$3:$C$102,"HW",'Rozpočet - HW a licencie'!$G$3:$G$102,'TCO TO BE - HW'!$D14,'Rozpočet - HW a licencie'!$D$3:$D$102,'TCO TO BE - HW'!$B$5)+SUMIFS('Rozpočet - HW a licencie'!$I$3:$I$102,'Rozpočet - HW a licencie'!$A$3:$A$102,'TCO TO BE - HW'!M$2,'Rozpočet - HW a licencie'!$C$3:$C$102,"SW pre HW",'Rozpočet - HW a licencie'!$G$3:$G$102,'TCO TO BE - HW'!$D14,'Rozpočet - HW a licencie'!$D$3:$D$102,'TCO TO BE - HW'!$B$5),)</f>
        <v>0</v>
      </c>
      <c r="N14" s="576">
        <f>IFERROR(SUMIFS('Rozpočet - HW a licencie'!$I$3:$I$102,'Rozpočet - HW a licencie'!$A$3:$A$102,'TCO TO BE - HW'!N$2,'Rozpočet - HW a licencie'!$C$3:$C$102,"HW",'Rozpočet - HW a licencie'!$G$3:$G$102,'TCO TO BE - HW'!$D14,'Rozpočet - HW a licencie'!$D$3:$D$102,'TCO TO BE - HW'!$B$5)+SUMIFS('Rozpočet - HW a licencie'!$I$3:$I$102,'Rozpočet - HW a licencie'!$A$3:$A$102,'TCO TO BE - HW'!N$2,'Rozpočet - HW a licencie'!$C$3:$C$102,"SW pre HW",'Rozpočet - HW a licencie'!$G$3:$G$102,'TCO TO BE - HW'!$D14,'Rozpočet - HW a licencie'!$D$3:$D$102,'TCO TO BE - HW'!$B$5),)</f>
        <v>0</v>
      </c>
      <c r="O14" s="576">
        <f>IFERROR(SUMIFS('Rozpočet - HW a licencie'!$I$3:$I$102,'Rozpočet - HW a licencie'!$A$3:$A$102,'TCO TO BE - HW'!O$2,'Rozpočet - HW a licencie'!$C$3:$C$102,"HW",'Rozpočet - HW a licencie'!$G$3:$G$102,'TCO TO BE - HW'!$D14,'Rozpočet - HW a licencie'!$D$3:$D$102,'TCO TO BE - HW'!$B$5)+SUMIFS('Rozpočet - HW a licencie'!$I$3:$I$102,'Rozpočet - HW a licencie'!$A$3:$A$102,'TCO TO BE - HW'!O$2,'Rozpočet - HW a licencie'!$C$3:$C$102,"SW pre HW",'Rozpočet - HW a licencie'!$G$3:$G$102,'TCO TO BE - HW'!$D14,'Rozpočet - HW a licencie'!$D$3:$D$102,'TCO TO BE - HW'!$B$5),)</f>
        <v>0</v>
      </c>
      <c r="P14" s="576">
        <f>IFERROR(SUMIFS('Rozpočet - HW a licencie'!$I$3:$I$102,'Rozpočet - HW a licencie'!$A$3:$A$102,'TCO TO BE - HW'!P$2,'Rozpočet - HW a licencie'!$C$3:$C$102,"HW",'Rozpočet - HW a licencie'!$G$3:$G$102,'TCO TO BE - HW'!$D14,'Rozpočet - HW a licencie'!$D$3:$D$102,'TCO TO BE - HW'!$B$5)+SUMIFS('Rozpočet - HW a licencie'!$I$3:$I$102,'Rozpočet - HW a licencie'!$A$3:$A$102,'TCO TO BE - HW'!P$2,'Rozpočet - HW a licencie'!$C$3:$C$102,"SW pre HW",'Rozpočet - HW a licencie'!$G$3:$G$102,'TCO TO BE - HW'!$D14,'Rozpočet - HW a licencie'!$D$3:$D$102,'TCO TO BE - HW'!$B$5),)</f>
        <v>0</v>
      </c>
      <c r="Q14" s="576">
        <f>IFERROR(SUMIFS('Rozpočet - HW a licencie'!$I$3:$I$102,'Rozpočet - HW a licencie'!$A$3:$A$102,'TCO TO BE - HW'!Q$2,'Rozpočet - HW a licencie'!$C$3:$C$102,"HW",'Rozpočet - HW a licencie'!$G$3:$G$102,'TCO TO BE - HW'!$D14,'Rozpočet - HW a licencie'!$D$3:$D$102,'TCO TO BE - HW'!$B$5)+SUMIFS('Rozpočet - HW a licencie'!$I$3:$I$102,'Rozpočet - HW a licencie'!$A$3:$A$102,'TCO TO BE - HW'!Q$2,'Rozpočet - HW a licencie'!$C$3:$C$102,"SW pre HW",'Rozpočet - HW a licencie'!$G$3:$G$102,'TCO TO BE - HW'!$D14,'Rozpočet - HW a licencie'!$D$3:$D$102,'TCO TO BE - HW'!$B$5),)</f>
        <v>0</v>
      </c>
      <c r="R14" s="576">
        <f>IFERROR(SUMIFS('Rozpočet - HW a licencie'!$I$3:$I$102,'Rozpočet - HW a licencie'!$A$3:$A$102,'TCO TO BE - HW'!R$2,'Rozpočet - HW a licencie'!$C$3:$C$102,"HW",'Rozpočet - HW a licencie'!$G$3:$G$102,'TCO TO BE - HW'!$D14,'Rozpočet - HW a licencie'!$D$3:$D$102,'TCO TO BE - HW'!$B$5)+SUMIFS('Rozpočet - HW a licencie'!$I$3:$I$102,'Rozpočet - HW a licencie'!$A$3:$A$102,'TCO TO BE - HW'!R$2,'Rozpočet - HW a licencie'!$C$3:$C$102,"SW pre HW",'Rozpočet - HW a licencie'!$G$3:$G$102,'TCO TO BE - HW'!$D14,'Rozpočet - HW a licencie'!$D$3:$D$102,'TCO TO BE - HW'!$B$5),)</f>
        <v>0</v>
      </c>
      <c r="S14" s="576">
        <f>IFERROR(SUMIFS('Rozpočet - HW a licencie'!$I$3:$I$102,'Rozpočet - HW a licencie'!$A$3:$A$102,'TCO TO BE - HW'!S$2,'Rozpočet - HW a licencie'!$C$3:$C$102,"HW",'Rozpočet - HW a licencie'!$G$3:$G$102,'TCO TO BE - HW'!$D14,'Rozpočet - HW a licencie'!$D$3:$D$102,'TCO TO BE - HW'!$B$5)+SUMIFS('Rozpočet - HW a licencie'!$I$3:$I$102,'Rozpočet - HW a licencie'!$A$3:$A$102,'TCO TO BE - HW'!S$2,'Rozpočet - HW a licencie'!$C$3:$C$102,"SW pre HW",'Rozpočet - HW a licencie'!$G$3:$G$102,'TCO TO BE - HW'!$D14,'Rozpočet - HW a licencie'!$D$3:$D$102,'TCO TO BE - HW'!$B$5),)</f>
        <v>0</v>
      </c>
      <c r="T14" s="576">
        <f>IFERROR(SUMIFS('Rozpočet - HW a licencie'!$I$3:$I$102,'Rozpočet - HW a licencie'!$A$3:$A$102,'TCO TO BE - HW'!T$2,'Rozpočet - HW a licencie'!$C$3:$C$102,"HW",'Rozpočet - HW a licencie'!$G$3:$G$102,'TCO TO BE - HW'!$D14,'Rozpočet - HW a licencie'!$D$3:$D$102,'TCO TO BE - HW'!$B$5)+SUMIFS('Rozpočet - HW a licencie'!$I$3:$I$102,'Rozpočet - HW a licencie'!$A$3:$A$102,'TCO TO BE - HW'!T$2,'Rozpočet - HW a licencie'!$C$3:$C$102,"SW pre HW",'Rozpočet - HW a licencie'!$G$3:$G$102,'TCO TO BE - HW'!$D14,'Rozpočet - HW a licencie'!$D$3:$D$102,'TCO TO BE - HW'!$B$5),)</f>
        <v>0</v>
      </c>
      <c r="U14" s="576">
        <f>IFERROR(SUMIFS('Rozpočet - HW a licencie'!$I$3:$I$102,'Rozpočet - HW a licencie'!$A$3:$A$102,'TCO TO BE - HW'!U$2,'Rozpočet - HW a licencie'!$C$3:$C$102,"HW",'Rozpočet - HW a licencie'!$G$3:$G$102,'TCO TO BE - HW'!$D14,'Rozpočet - HW a licencie'!$D$3:$D$102,'TCO TO BE - HW'!$B$5)+SUMIFS('Rozpočet - HW a licencie'!$I$3:$I$102,'Rozpočet - HW a licencie'!$A$3:$A$102,'TCO TO BE - HW'!U$2,'Rozpočet - HW a licencie'!$C$3:$C$102,"SW pre HW",'Rozpočet - HW a licencie'!$G$3:$G$102,'TCO TO BE - HW'!$D14,'Rozpočet - HW a licencie'!$D$3:$D$102,'TCO TO BE - HW'!$B$5),)</f>
        <v>0</v>
      </c>
      <c r="V14" s="576">
        <f>IFERROR(SUMIFS('Rozpočet - HW a licencie'!$I$3:$I$102,'Rozpočet - HW a licencie'!$A$3:$A$102,'TCO TO BE - HW'!V$2,'Rozpočet - HW a licencie'!$C$3:$C$102,"HW",'Rozpočet - HW a licencie'!$G$3:$G$102,'TCO TO BE - HW'!$D14,'Rozpočet - HW a licencie'!$D$3:$D$102,'TCO TO BE - HW'!$B$5)+SUMIFS('Rozpočet - HW a licencie'!$I$3:$I$102,'Rozpočet - HW a licencie'!$A$3:$A$102,'TCO TO BE - HW'!V$2,'Rozpočet - HW a licencie'!$C$3:$C$102,"SW pre HW",'Rozpočet - HW a licencie'!$G$3:$G$102,'TCO TO BE - HW'!$D14,'Rozpočet - HW a licencie'!$D$3:$D$102,'TCO TO BE - HW'!$B$5),)</f>
        <v>0</v>
      </c>
      <c r="W14" s="576">
        <f>IFERROR(SUMIFS('Rozpočet - HW a licencie'!$I$3:$I$102,'Rozpočet - HW a licencie'!$A$3:$A$102,'TCO TO BE - HW'!W$2,'Rozpočet - HW a licencie'!$C$3:$C$102,"HW",'Rozpočet - HW a licencie'!$G$3:$G$102,'TCO TO BE - HW'!$D14,'Rozpočet - HW a licencie'!$D$3:$D$102,'TCO TO BE - HW'!$B$5)+SUMIFS('Rozpočet - HW a licencie'!$I$3:$I$102,'Rozpočet - HW a licencie'!$A$3:$A$102,'TCO TO BE - HW'!W$2,'Rozpočet - HW a licencie'!$C$3:$C$102,"SW pre HW",'Rozpočet - HW a licencie'!$G$3:$G$102,'TCO TO BE - HW'!$D14,'Rozpočet - HW a licencie'!$D$3:$D$102,'TCO TO BE - HW'!$B$5),)</f>
        <v>0</v>
      </c>
      <c r="X14" s="576">
        <f>IFERROR(SUMIFS('Rozpočet - HW a licencie'!$I$3:$I$102,'Rozpočet - HW a licencie'!$A$3:$A$102,'TCO TO BE - HW'!X$2,'Rozpočet - HW a licencie'!$C$3:$C$102,"HW",'Rozpočet - HW a licencie'!$G$3:$G$102,'TCO TO BE - HW'!$D14,'Rozpočet - HW a licencie'!$D$3:$D$102,'TCO TO BE - HW'!$B$5)+SUMIFS('Rozpočet - HW a licencie'!$I$3:$I$102,'Rozpočet - HW a licencie'!$A$3:$A$102,'TCO TO BE - HW'!X$2,'Rozpočet - HW a licencie'!$C$3:$C$102,"SW pre HW",'Rozpočet - HW a licencie'!$G$3:$G$102,'TCO TO BE - HW'!$D14,'Rozpočet - HW a licencie'!$D$3:$D$102,'TCO TO BE - HW'!$B$5),)</f>
        <v>0</v>
      </c>
      <c r="Y14" s="576">
        <f>IFERROR(SUMIFS('Rozpočet - HW a licencie'!$I$3:$I$102,'Rozpočet - HW a licencie'!$A$3:$A$102,'TCO TO BE - HW'!Y$2,'Rozpočet - HW a licencie'!$C$3:$C$102,"HW",'Rozpočet - HW a licencie'!$G$3:$G$102,'TCO TO BE - HW'!$D14,'Rozpočet - HW a licencie'!$D$3:$D$102,'TCO TO BE - HW'!$B$5)+SUMIFS('Rozpočet - HW a licencie'!$I$3:$I$102,'Rozpočet - HW a licencie'!$A$3:$A$102,'TCO TO BE - HW'!Y$2,'Rozpočet - HW a licencie'!$C$3:$C$102,"SW pre HW",'Rozpočet - HW a licencie'!$G$3:$G$102,'TCO TO BE - HW'!$D14,'Rozpočet - HW a licencie'!$D$3:$D$102,'TCO TO BE - HW'!$B$5),)</f>
        <v>0</v>
      </c>
      <c r="Z14" s="576">
        <f>IFERROR(SUMIFS('Rozpočet - HW a licencie'!$I$3:$I$102,'Rozpočet - HW a licencie'!$A$3:$A$102,'TCO TO BE - HW'!Z$2,'Rozpočet - HW a licencie'!$C$3:$C$102,"HW",'Rozpočet - HW a licencie'!$G$3:$G$102,'TCO TO BE - HW'!$D14,'Rozpočet - HW a licencie'!$D$3:$D$102,'TCO TO BE - HW'!$B$5)+SUMIFS('Rozpočet - HW a licencie'!$I$3:$I$102,'Rozpočet - HW a licencie'!$A$3:$A$102,'TCO TO BE - HW'!Z$2,'Rozpočet - HW a licencie'!$C$3:$C$102,"SW pre HW",'Rozpočet - HW a licencie'!$G$3:$G$102,'TCO TO BE - HW'!$D14,'Rozpočet - HW a licencie'!$D$3:$D$102,'TCO TO BE - HW'!$B$5),)</f>
        <v>0</v>
      </c>
    </row>
    <row r="15" spans="1:26" ht="15" customHeight="1" outlineLevel="1">
      <c r="A15" s="841" t="s">
        <v>2142</v>
      </c>
      <c r="B15" s="841" t="s">
        <v>2143</v>
      </c>
      <c r="C15" s="842">
        <v>633002</v>
      </c>
      <c r="D15" s="497">
        <v>1</v>
      </c>
      <c r="E15" s="68">
        <f t="shared" si="2"/>
        <v>0</v>
      </c>
      <c r="F15" s="575">
        <f>IFERROR(SUMIFS('Rozpočet - HW a licencie'!$I$3:$I$102,'Rozpočet - HW a licencie'!$A$3:$A$102,'TCO TO BE - HW'!F$2,'Rozpočet - HW a licencie'!$C$3:$C$102,"HW",'Rozpočet - HW a licencie'!$G$3:$G$102,'TCO TO BE - HW'!$D5,'Rozpočet - HW a licencie'!$D$3:$D$102,'TCO TO BE - HW'!$B$15)+SUMIFS('Rozpočet - HW a licencie'!$I$3:$I$102,'Rozpočet - HW a licencie'!$A$3:$A$102,'TCO TO BE - HW'!F$2,'Rozpočet - HW a licencie'!$C$3:$C$102,"SW pre HW",'Rozpočet - HW a licencie'!$G$3:$G$102,'TCO TO BE - HW'!$D5,'Rozpočet - HW a licencie'!$D$3:$D$102,'TCO TO BE - HW'!$B$15),)</f>
        <v>0</v>
      </c>
      <c r="G15" s="575">
        <f>IFERROR(SUMIFS('Rozpočet - HW a licencie'!$I$3:$I$102,'Rozpočet - HW a licencie'!$A$3:$A$102,'TCO TO BE - HW'!G$2,'Rozpočet - HW a licencie'!$C$3:$C$102,"HW",'Rozpočet - HW a licencie'!$G$3:$G$102,'TCO TO BE - HW'!$D5,'Rozpočet - HW a licencie'!$D$3:$D$102,'TCO TO BE - HW'!$B$15)+SUMIFS('Rozpočet - HW a licencie'!$I$3:$I$102,'Rozpočet - HW a licencie'!$A$3:$A$102,'TCO TO BE - HW'!G$2,'Rozpočet - HW a licencie'!$C$3:$C$102,"SW pre HW",'Rozpočet - HW a licencie'!$G$3:$G$102,'TCO TO BE - HW'!$D5,'Rozpočet - HW a licencie'!$D$3:$D$102,'TCO TO BE - HW'!$B$15),)</f>
        <v>0</v>
      </c>
      <c r="H15" s="575">
        <f>IFERROR(SUMIFS('Rozpočet - HW a licencie'!$I$3:$I$102,'Rozpočet - HW a licencie'!$A$3:$A$102,'TCO TO BE - HW'!H$2,'Rozpočet - HW a licencie'!$C$3:$C$102,"HW",'Rozpočet - HW a licencie'!$G$3:$G$102,'TCO TO BE - HW'!$D5,'Rozpočet - HW a licencie'!$D$3:$D$102,'TCO TO BE - HW'!$B$15)+SUMIFS('Rozpočet - HW a licencie'!$I$3:$I$102,'Rozpočet - HW a licencie'!$A$3:$A$102,'TCO TO BE - HW'!H$2,'Rozpočet - HW a licencie'!$C$3:$C$102,"SW pre HW",'Rozpočet - HW a licencie'!$G$3:$G$102,'TCO TO BE - HW'!$D5,'Rozpočet - HW a licencie'!$D$3:$D$102,'TCO TO BE - HW'!$B$15),)</f>
        <v>0</v>
      </c>
      <c r="I15" s="575">
        <f>IFERROR(SUMIFS('Rozpočet - HW a licencie'!$I$3:$I$102,'Rozpočet - HW a licencie'!$A$3:$A$102,'TCO TO BE - HW'!I$2,'Rozpočet - HW a licencie'!$C$3:$C$102,"HW",'Rozpočet - HW a licencie'!$G$3:$G$102,'TCO TO BE - HW'!$D5,'Rozpočet - HW a licencie'!$D$3:$D$102,'TCO TO BE - HW'!$B$15)+SUMIFS('Rozpočet - HW a licencie'!$I$3:$I$102,'Rozpočet - HW a licencie'!$A$3:$A$102,'TCO TO BE - HW'!I$2,'Rozpočet - HW a licencie'!$C$3:$C$102,"SW pre HW",'Rozpočet - HW a licencie'!$G$3:$G$102,'TCO TO BE - HW'!$D5,'Rozpočet - HW a licencie'!$D$3:$D$102,'TCO TO BE - HW'!$B$15),)</f>
        <v>0</v>
      </c>
      <c r="J15" s="575">
        <f>IFERROR(SUMIFS('Rozpočet - HW a licencie'!$I$3:$I$102,'Rozpočet - HW a licencie'!$A$3:$A$102,'TCO TO BE - HW'!J$2,'Rozpočet - HW a licencie'!$C$3:$C$102,"HW",'Rozpočet - HW a licencie'!$G$3:$G$102,'TCO TO BE - HW'!$D5,'Rozpočet - HW a licencie'!$D$3:$D$102,'TCO TO BE - HW'!$B$15)+SUMIFS('Rozpočet - HW a licencie'!$I$3:$I$102,'Rozpočet - HW a licencie'!$A$3:$A$102,'TCO TO BE - HW'!J$2,'Rozpočet - HW a licencie'!$C$3:$C$102,"SW pre HW",'Rozpočet - HW a licencie'!$G$3:$G$102,'TCO TO BE - HW'!$D5,'Rozpočet - HW a licencie'!$D$3:$D$102,'TCO TO BE - HW'!$B$15),)</f>
        <v>0</v>
      </c>
      <c r="K15" s="575">
        <f>IFERROR(SUMIFS('Rozpočet - HW a licencie'!$I$3:$I$102,'Rozpočet - HW a licencie'!$A$3:$A$102,'TCO TO BE - HW'!K$2,'Rozpočet - HW a licencie'!$C$3:$C$102,"HW",'Rozpočet - HW a licencie'!$G$3:$G$102,'TCO TO BE - HW'!$D5,'Rozpočet - HW a licencie'!$D$3:$D$102,'TCO TO BE - HW'!$B$15)+SUMIFS('Rozpočet - HW a licencie'!$I$3:$I$102,'Rozpočet - HW a licencie'!$A$3:$A$102,'TCO TO BE - HW'!K$2,'Rozpočet - HW a licencie'!$C$3:$C$102,"SW pre HW",'Rozpočet - HW a licencie'!$G$3:$G$102,'TCO TO BE - HW'!$D5,'Rozpočet - HW a licencie'!$D$3:$D$102,'TCO TO BE - HW'!$B$15),)</f>
        <v>0</v>
      </c>
      <c r="L15" s="575">
        <f>IFERROR(SUMIFS('Rozpočet - HW a licencie'!$I$3:$I$102,'Rozpočet - HW a licencie'!$A$3:$A$102,'TCO TO BE - HW'!L$2,'Rozpočet - HW a licencie'!$C$3:$C$102,"HW",'Rozpočet - HW a licencie'!$G$3:$G$102,'TCO TO BE - HW'!$D5,'Rozpočet - HW a licencie'!$D$3:$D$102,'TCO TO BE - HW'!$B$15)+SUMIFS('Rozpočet - HW a licencie'!$I$3:$I$102,'Rozpočet - HW a licencie'!$A$3:$A$102,'TCO TO BE - HW'!L$2,'Rozpočet - HW a licencie'!$C$3:$C$102,"SW pre HW",'Rozpočet - HW a licencie'!$G$3:$G$102,'TCO TO BE - HW'!$D5,'Rozpočet - HW a licencie'!$D$3:$D$102,'TCO TO BE - HW'!$B$15),)</f>
        <v>0</v>
      </c>
      <c r="M15" s="575">
        <f>IFERROR(SUMIFS('Rozpočet - HW a licencie'!$I$3:$I$102,'Rozpočet - HW a licencie'!$A$3:$A$102,'TCO TO BE - HW'!M$2,'Rozpočet - HW a licencie'!$C$3:$C$102,"HW",'Rozpočet - HW a licencie'!$G$3:$G$102,'TCO TO BE - HW'!$D5,'Rozpočet - HW a licencie'!$D$3:$D$102,'TCO TO BE - HW'!$B$15)+SUMIFS('Rozpočet - HW a licencie'!$I$3:$I$102,'Rozpočet - HW a licencie'!$A$3:$A$102,'TCO TO BE - HW'!M$2,'Rozpočet - HW a licencie'!$C$3:$C$102,"SW pre HW",'Rozpočet - HW a licencie'!$G$3:$G$102,'TCO TO BE - HW'!$D5,'Rozpočet - HW a licencie'!$D$3:$D$102,'TCO TO BE - HW'!$B$15),)</f>
        <v>0</v>
      </c>
      <c r="N15" s="575">
        <f>IFERROR(SUMIFS('Rozpočet - HW a licencie'!$I$3:$I$102,'Rozpočet - HW a licencie'!$A$3:$A$102,'TCO TO BE - HW'!N$2,'Rozpočet - HW a licencie'!$C$3:$C$102,"HW",'Rozpočet - HW a licencie'!$G$3:$G$102,'TCO TO BE - HW'!$D5,'Rozpočet - HW a licencie'!$D$3:$D$102,'TCO TO BE - HW'!$B$15)+SUMIFS('Rozpočet - HW a licencie'!$I$3:$I$102,'Rozpočet - HW a licencie'!$A$3:$A$102,'TCO TO BE - HW'!N$2,'Rozpočet - HW a licencie'!$C$3:$C$102,"SW pre HW",'Rozpočet - HW a licencie'!$G$3:$G$102,'TCO TO BE - HW'!$D5,'Rozpočet - HW a licencie'!$D$3:$D$102,'TCO TO BE - HW'!$B$15),)</f>
        <v>0</v>
      </c>
      <c r="O15" s="575">
        <f>IFERROR(SUMIFS('Rozpočet - HW a licencie'!$I$3:$I$102,'Rozpočet - HW a licencie'!$A$3:$A$102,'TCO TO BE - HW'!O$2,'Rozpočet - HW a licencie'!$C$3:$C$102,"HW",'Rozpočet - HW a licencie'!$G$3:$G$102,'TCO TO BE - HW'!$D5,'Rozpočet - HW a licencie'!$D$3:$D$102,'TCO TO BE - HW'!$B$15)+SUMIFS('Rozpočet - HW a licencie'!$I$3:$I$102,'Rozpočet - HW a licencie'!$A$3:$A$102,'TCO TO BE - HW'!O$2,'Rozpočet - HW a licencie'!$C$3:$C$102,"SW pre HW",'Rozpočet - HW a licencie'!$G$3:$G$102,'TCO TO BE - HW'!$D5,'Rozpočet - HW a licencie'!$D$3:$D$102,'TCO TO BE - HW'!$B$15),)</f>
        <v>0</v>
      </c>
      <c r="P15" s="575">
        <f>IFERROR(SUMIFS('Rozpočet - HW a licencie'!$I$3:$I$102,'Rozpočet - HW a licencie'!$A$3:$A$102,'TCO TO BE - HW'!P$2,'Rozpočet - HW a licencie'!$C$3:$C$102,"HW",'Rozpočet - HW a licencie'!$G$3:$G$102,'TCO TO BE - HW'!$D5,'Rozpočet - HW a licencie'!$D$3:$D$102,'TCO TO BE - HW'!$B$15)+SUMIFS('Rozpočet - HW a licencie'!$I$3:$I$102,'Rozpočet - HW a licencie'!$A$3:$A$102,'TCO TO BE - HW'!P$2,'Rozpočet - HW a licencie'!$C$3:$C$102,"SW pre HW",'Rozpočet - HW a licencie'!$G$3:$G$102,'TCO TO BE - HW'!$D5,'Rozpočet - HW a licencie'!$D$3:$D$102,'TCO TO BE - HW'!$B$15),)</f>
        <v>0</v>
      </c>
      <c r="Q15" s="575">
        <f>IFERROR(SUMIFS('Rozpočet - HW a licencie'!$I$3:$I$102,'Rozpočet - HW a licencie'!$A$3:$A$102,'TCO TO BE - HW'!Q$2,'Rozpočet - HW a licencie'!$C$3:$C$102,"HW",'Rozpočet - HW a licencie'!$G$3:$G$102,'TCO TO BE - HW'!$D5,'Rozpočet - HW a licencie'!$D$3:$D$102,'TCO TO BE - HW'!$B$15)+SUMIFS('Rozpočet - HW a licencie'!$I$3:$I$102,'Rozpočet - HW a licencie'!$A$3:$A$102,'TCO TO BE - HW'!Q$2,'Rozpočet - HW a licencie'!$C$3:$C$102,"SW pre HW",'Rozpočet - HW a licencie'!$G$3:$G$102,'TCO TO BE - HW'!$D5,'Rozpočet - HW a licencie'!$D$3:$D$102,'TCO TO BE - HW'!$B$15),)</f>
        <v>0</v>
      </c>
      <c r="R15" s="575">
        <f>IFERROR(SUMIFS('Rozpočet - HW a licencie'!$I$3:$I$102,'Rozpočet - HW a licencie'!$A$3:$A$102,'TCO TO BE - HW'!R$2,'Rozpočet - HW a licencie'!$C$3:$C$102,"HW",'Rozpočet - HW a licencie'!$G$3:$G$102,'TCO TO BE - HW'!$D5,'Rozpočet - HW a licencie'!$D$3:$D$102,'TCO TO BE - HW'!$B$15)+SUMIFS('Rozpočet - HW a licencie'!$I$3:$I$102,'Rozpočet - HW a licencie'!$A$3:$A$102,'TCO TO BE - HW'!R$2,'Rozpočet - HW a licencie'!$C$3:$C$102,"SW pre HW",'Rozpočet - HW a licencie'!$G$3:$G$102,'TCO TO BE - HW'!$D5,'Rozpočet - HW a licencie'!$D$3:$D$102,'TCO TO BE - HW'!$B$15),)</f>
        <v>0</v>
      </c>
      <c r="S15" s="575">
        <f>IFERROR(SUMIFS('Rozpočet - HW a licencie'!$I$3:$I$102,'Rozpočet - HW a licencie'!$A$3:$A$102,'TCO TO BE - HW'!S$2,'Rozpočet - HW a licencie'!$C$3:$C$102,"HW",'Rozpočet - HW a licencie'!$G$3:$G$102,'TCO TO BE - HW'!$D5,'Rozpočet - HW a licencie'!$D$3:$D$102,'TCO TO BE - HW'!$B$15)+SUMIFS('Rozpočet - HW a licencie'!$I$3:$I$102,'Rozpočet - HW a licencie'!$A$3:$A$102,'TCO TO BE - HW'!S$2,'Rozpočet - HW a licencie'!$C$3:$C$102,"SW pre HW",'Rozpočet - HW a licencie'!$G$3:$G$102,'TCO TO BE - HW'!$D5,'Rozpočet - HW a licencie'!$D$3:$D$102,'TCO TO BE - HW'!$B$15),)</f>
        <v>0</v>
      </c>
      <c r="T15" s="575">
        <f>IFERROR(SUMIFS('Rozpočet - HW a licencie'!$I$3:$I$102,'Rozpočet - HW a licencie'!$A$3:$A$102,'TCO TO BE - HW'!T$2,'Rozpočet - HW a licencie'!$C$3:$C$102,"HW",'Rozpočet - HW a licencie'!$G$3:$G$102,'TCO TO BE - HW'!$D5,'Rozpočet - HW a licencie'!$D$3:$D$102,'TCO TO BE - HW'!$B$15)+SUMIFS('Rozpočet - HW a licencie'!$I$3:$I$102,'Rozpočet - HW a licencie'!$A$3:$A$102,'TCO TO BE - HW'!T$2,'Rozpočet - HW a licencie'!$C$3:$C$102,"SW pre HW",'Rozpočet - HW a licencie'!$G$3:$G$102,'TCO TO BE - HW'!$D5,'Rozpočet - HW a licencie'!$D$3:$D$102,'TCO TO BE - HW'!$B$15),)</f>
        <v>0</v>
      </c>
      <c r="U15" s="575">
        <f>IFERROR(SUMIFS('Rozpočet - HW a licencie'!$I$3:$I$102,'Rozpočet - HW a licencie'!$A$3:$A$102,'TCO TO BE - HW'!U$2,'Rozpočet - HW a licencie'!$C$3:$C$102,"HW",'Rozpočet - HW a licencie'!$G$3:$G$102,'TCO TO BE - HW'!$D5,'Rozpočet - HW a licencie'!$D$3:$D$102,'TCO TO BE - HW'!$B$15)+SUMIFS('Rozpočet - HW a licencie'!$I$3:$I$102,'Rozpočet - HW a licencie'!$A$3:$A$102,'TCO TO BE - HW'!U$2,'Rozpočet - HW a licencie'!$C$3:$C$102,"SW pre HW",'Rozpočet - HW a licencie'!$G$3:$G$102,'TCO TO BE - HW'!$D5,'Rozpočet - HW a licencie'!$D$3:$D$102,'TCO TO BE - HW'!$B$15),)</f>
        <v>0</v>
      </c>
      <c r="V15" s="575">
        <f>IFERROR(SUMIFS('Rozpočet - HW a licencie'!$I$3:$I$102,'Rozpočet - HW a licencie'!$A$3:$A$102,'TCO TO BE - HW'!V$2,'Rozpočet - HW a licencie'!$C$3:$C$102,"HW",'Rozpočet - HW a licencie'!$G$3:$G$102,'TCO TO BE - HW'!$D5,'Rozpočet - HW a licencie'!$D$3:$D$102,'TCO TO BE - HW'!$B$15)+SUMIFS('Rozpočet - HW a licencie'!$I$3:$I$102,'Rozpočet - HW a licencie'!$A$3:$A$102,'TCO TO BE - HW'!V$2,'Rozpočet - HW a licencie'!$C$3:$C$102,"SW pre HW",'Rozpočet - HW a licencie'!$G$3:$G$102,'TCO TO BE - HW'!$D5,'Rozpočet - HW a licencie'!$D$3:$D$102,'TCO TO BE - HW'!$B$15),)</f>
        <v>0</v>
      </c>
      <c r="W15" s="575">
        <f>IFERROR(SUMIFS('Rozpočet - HW a licencie'!$I$3:$I$102,'Rozpočet - HW a licencie'!$A$3:$A$102,'TCO TO BE - HW'!W$2,'Rozpočet - HW a licencie'!$C$3:$C$102,"HW",'Rozpočet - HW a licencie'!$G$3:$G$102,'TCO TO BE - HW'!$D5,'Rozpočet - HW a licencie'!$D$3:$D$102,'TCO TO BE - HW'!$B$15)+SUMIFS('Rozpočet - HW a licencie'!$I$3:$I$102,'Rozpočet - HW a licencie'!$A$3:$A$102,'TCO TO BE - HW'!W$2,'Rozpočet - HW a licencie'!$C$3:$C$102,"SW pre HW",'Rozpočet - HW a licencie'!$G$3:$G$102,'TCO TO BE - HW'!$D5,'Rozpočet - HW a licencie'!$D$3:$D$102,'TCO TO BE - HW'!$B$15),)</f>
        <v>0</v>
      </c>
      <c r="X15" s="575">
        <f>IFERROR(SUMIFS('Rozpočet - HW a licencie'!$I$3:$I$102,'Rozpočet - HW a licencie'!$A$3:$A$102,'TCO TO BE - HW'!X$2,'Rozpočet - HW a licencie'!$C$3:$C$102,"HW",'Rozpočet - HW a licencie'!$G$3:$G$102,'TCO TO BE - HW'!$D5,'Rozpočet - HW a licencie'!$D$3:$D$102,'TCO TO BE - HW'!$B$15)+SUMIFS('Rozpočet - HW a licencie'!$I$3:$I$102,'Rozpočet - HW a licencie'!$A$3:$A$102,'TCO TO BE - HW'!X$2,'Rozpočet - HW a licencie'!$C$3:$C$102,"SW pre HW",'Rozpočet - HW a licencie'!$G$3:$G$102,'TCO TO BE - HW'!$D5,'Rozpočet - HW a licencie'!$D$3:$D$102,'TCO TO BE - HW'!$B$15),)</f>
        <v>0</v>
      </c>
      <c r="Y15" s="575">
        <f>IFERROR(SUMIFS('Rozpočet - HW a licencie'!$I$3:$I$102,'Rozpočet - HW a licencie'!$A$3:$A$102,'TCO TO BE - HW'!Y$2,'Rozpočet - HW a licencie'!$C$3:$C$102,"HW",'Rozpočet - HW a licencie'!$G$3:$G$102,'TCO TO BE - HW'!$D5,'Rozpočet - HW a licencie'!$D$3:$D$102,'TCO TO BE - HW'!$B$15)+SUMIFS('Rozpočet - HW a licencie'!$I$3:$I$102,'Rozpočet - HW a licencie'!$A$3:$A$102,'TCO TO BE - HW'!Y$2,'Rozpočet - HW a licencie'!$C$3:$C$102,"SW pre HW",'Rozpočet - HW a licencie'!$G$3:$G$102,'TCO TO BE - HW'!$D5,'Rozpočet - HW a licencie'!$D$3:$D$102,'TCO TO BE - HW'!$B$15),)</f>
        <v>0</v>
      </c>
      <c r="Z15" s="575">
        <f>IFERROR(SUMIFS('Rozpočet - HW a licencie'!$I$3:$I$102,'Rozpočet - HW a licencie'!$A$3:$A$102,'TCO TO BE - HW'!Z$2,'Rozpočet - HW a licencie'!$C$3:$C$102,"HW",'Rozpočet - HW a licencie'!$G$3:$G$102,'TCO TO BE - HW'!$D5,'Rozpočet - HW a licencie'!$D$3:$D$102,'TCO TO BE - HW'!$B$15)+SUMIFS('Rozpočet - HW a licencie'!$I$3:$I$102,'Rozpočet - HW a licencie'!$A$3:$A$102,'TCO TO BE - HW'!Z$2,'Rozpočet - HW a licencie'!$C$3:$C$102,"SW pre HW",'Rozpočet - HW a licencie'!$G$3:$G$102,'TCO TO BE - HW'!$D5,'Rozpočet - HW a licencie'!$D$3:$D$102,'TCO TO BE - HW'!$B$15),)</f>
        <v>0</v>
      </c>
    </row>
    <row r="16" spans="1:26" outlineLevel="1">
      <c r="A16" s="841"/>
      <c r="B16" s="842"/>
      <c r="C16" s="842"/>
      <c r="D16" s="498">
        <v>2</v>
      </c>
      <c r="E16" s="68">
        <f t="shared" si="2"/>
        <v>0</v>
      </c>
      <c r="F16" s="576">
        <f>IFERROR(SUMIFS('Rozpočet - HW a licencie'!$I$3:$I$102,'Rozpočet - HW a licencie'!$A$3:$A$102,'TCO TO BE - HW'!F$2,'Rozpočet - HW a licencie'!$C$3:$C$102,"HW",'Rozpočet - HW a licencie'!$G$3:$G$102,'TCO TO BE - HW'!$D6,'Rozpočet - HW a licencie'!$D$3:$D$102,'TCO TO BE - HW'!$B$15)+SUMIFS('Rozpočet - HW a licencie'!$I$3:$I$102,'Rozpočet - HW a licencie'!$A$3:$A$102,'TCO TO BE - HW'!F$2,'Rozpočet - HW a licencie'!$C$3:$C$102,"SW pre HW",'Rozpočet - HW a licencie'!$G$3:$G$102,'TCO TO BE - HW'!$D6,'Rozpočet - HW a licencie'!$D$3:$D$102,'TCO TO BE - HW'!$B$15),)</f>
        <v>0</v>
      </c>
      <c r="G16" s="576">
        <f>IFERROR(SUMIFS('Rozpočet - HW a licencie'!$I$3:$I$102,'Rozpočet - HW a licencie'!$A$3:$A$102,'TCO TO BE - HW'!G$2,'Rozpočet - HW a licencie'!$C$3:$C$102,"HW",'Rozpočet - HW a licencie'!$G$3:$G$102,'TCO TO BE - HW'!$D6,'Rozpočet - HW a licencie'!$D$3:$D$102,'TCO TO BE - HW'!$B$15)+SUMIFS('Rozpočet - HW a licencie'!$I$3:$I$102,'Rozpočet - HW a licencie'!$A$3:$A$102,'TCO TO BE - HW'!G$2,'Rozpočet - HW a licencie'!$C$3:$C$102,"SW pre HW",'Rozpočet - HW a licencie'!$G$3:$G$102,'TCO TO BE - HW'!$D6,'Rozpočet - HW a licencie'!$D$3:$D$102,'TCO TO BE - HW'!$B$15),)</f>
        <v>0</v>
      </c>
      <c r="H16" s="576">
        <f>IFERROR(SUMIFS('Rozpočet - HW a licencie'!$I$3:$I$102,'Rozpočet - HW a licencie'!$A$3:$A$102,'TCO TO BE - HW'!H$2,'Rozpočet - HW a licencie'!$C$3:$C$102,"HW",'Rozpočet - HW a licencie'!$G$3:$G$102,'TCO TO BE - HW'!$D6,'Rozpočet - HW a licencie'!$D$3:$D$102,'TCO TO BE - HW'!$B$15)+SUMIFS('Rozpočet - HW a licencie'!$I$3:$I$102,'Rozpočet - HW a licencie'!$A$3:$A$102,'TCO TO BE - HW'!H$2,'Rozpočet - HW a licencie'!$C$3:$C$102,"SW pre HW",'Rozpočet - HW a licencie'!$G$3:$G$102,'TCO TO BE - HW'!$D6,'Rozpočet - HW a licencie'!$D$3:$D$102,'TCO TO BE - HW'!$B$15),)</f>
        <v>0</v>
      </c>
      <c r="I16" s="576">
        <f>IFERROR(SUMIFS('Rozpočet - HW a licencie'!$I$3:$I$102,'Rozpočet - HW a licencie'!$A$3:$A$102,'TCO TO BE - HW'!I$2,'Rozpočet - HW a licencie'!$C$3:$C$102,"HW",'Rozpočet - HW a licencie'!$G$3:$G$102,'TCO TO BE - HW'!$D6,'Rozpočet - HW a licencie'!$D$3:$D$102,'TCO TO BE - HW'!$B$15)+SUMIFS('Rozpočet - HW a licencie'!$I$3:$I$102,'Rozpočet - HW a licencie'!$A$3:$A$102,'TCO TO BE - HW'!I$2,'Rozpočet - HW a licencie'!$C$3:$C$102,"SW pre HW",'Rozpočet - HW a licencie'!$G$3:$G$102,'TCO TO BE - HW'!$D6,'Rozpočet - HW a licencie'!$D$3:$D$102,'TCO TO BE - HW'!$B$15),)</f>
        <v>0</v>
      </c>
      <c r="J16" s="576">
        <f>IFERROR(SUMIFS('Rozpočet - HW a licencie'!$I$3:$I$102,'Rozpočet - HW a licencie'!$A$3:$A$102,'TCO TO BE - HW'!J$2,'Rozpočet - HW a licencie'!$C$3:$C$102,"HW",'Rozpočet - HW a licencie'!$G$3:$G$102,'TCO TO BE - HW'!$D6,'Rozpočet - HW a licencie'!$D$3:$D$102,'TCO TO BE - HW'!$B$15)+SUMIFS('Rozpočet - HW a licencie'!$I$3:$I$102,'Rozpočet - HW a licencie'!$A$3:$A$102,'TCO TO BE - HW'!J$2,'Rozpočet - HW a licencie'!$C$3:$C$102,"SW pre HW",'Rozpočet - HW a licencie'!$G$3:$G$102,'TCO TO BE - HW'!$D6,'Rozpočet - HW a licencie'!$D$3:$D$102,'TCO TO BE - HW'!$B$15),)</f>
        <v>0</v>
      </c>
      <c r="K16" s="576">
        <f>IFERROR(SUMIFS('Rozpočet - HW a licencie'!$I$3:$I$102,'Rozpočet - HW a licencie'!$A$3:$A$102,'TCO TO BE - HW'!K$2,'Rozpočet - HW a licencie'!$C$3:$C$102,"HW",'Rozpočet - HW a licencie'!$G$3:$G$102,'TCO TO BE - HW'!$D6,'Rozpočet - HW a licencie'!$D$3:$D$102,'TCO TO BE - HW'!$B$15)+SUMIFS('Rozpočet - HW a licencie'!$I$3:$I$102,'Rozpočet - HW a licencie'!$A$3:$A$102,'TCO TO BE - HW'!K$2,'Rozpočet - HW a licencie'!$C$3:$C$102,"SW pre HW",'Rozpočet - HW a licencie'!$G$3:$G$102,'TCO TO BE - HW'!$D6,'Rozpočet - HW a licencie'!$D$3:$D$102,'TCO TO BE - HW'!$B$15),)</f>
        <v>0</v>
      </c>
      <c r="L16" s="576">
        <f>IFERROR(SUMIFS('Rozpočet - HW a licencie'!$I$3:$I$102,'Rozpočet - HW a licencie'!$A$3:$A$102,'TCO TO BE - HW'!L$2,'Rozpočet - HW a licencie'!$C$3:$C$102,"HW",'Rozpočet - HW a licencie'!$G$3:$G$102,'TCO TO BE - HW'!$D6,'Rozpočet - HW a licencie'!$D$3:$D$102,'TCO TO BE - HW'!$B$15)+SUMIFS('Rozpočet - HW a licencie'!$I$3:$I$102,'Rozpočet - HW a licencie'!$A$3:$A$102,'TCO TO BE - HW'!L$2,'Rozpočet - HW a licencie'!$C$3:$C$102,"SW pre HW",'Rozpočet - HW a licencie'!$G$3:$G$102,'TCO TO BE - HW'!$D6,'Rozpočet - HW a licencie'!$D$3:$D$102,'TCO TO BE - HW'!$B$15),)</f>
        <v>0</v>
      </c>
      <c r="M16" s="576">
        <f>IFERROR(SUMIFS('Rozpočet - HW a licencie'!$I$3:$I$102,'Rozpočet - HW a licencie'!$A$3:$A$102,'TCO TO BE - HW'!M$2,'Rozpočet - HW a licencie'!$C$3:$C$102,"HW",'Rozpočet - HW a licencie'!$G$3:$G$102,'TCO TO BE - HW'!$D6,'Rozpočet - HW a licencie'!$D$3:$D$102,'TCO TO BE - HW'!$B$15)+SUMIFS('Rozpočet - HW a licencie'!$I$3:$I$102,'Rozpočet - HW a licencie'!$A$3:$A$102,'TCO TO BE - HW'!M$2,'Rozpočet - HW a licencie'!$C$3:$C$102,"SW pre HW",'Rozpočet - HW a licencie'!$G$3:$G$102,'TCO TO BE - HW'!$D6,'Rozpočet - HW a licencie'!$D$3:$D$102,'TCO TO BE - HW'!$B$15),)</f>
        <v>0</v>
      </c>
      <c r="N16" s="576">
        <f>IFERROR(SUMIFS('Rozpočet - HW a licencie'!$I$3:$I$102,'Rozpočet - HW a licencie'!$A$3:$A$102,'TCO TO BE - HW'!N$2,'Rozpočet - HW a licencie'!$C$3:$C$102,"HW",'Rozpočet - HW a licencie'!$G$3:$G$102,'TCO TO BE - HW'!$D6,'Rozpočet - HW a licencie'!$D$3:$D$102,'TCO TO BE - HW'!$B$15)+SUMIFS('Rozpočet - HW a licencie'!$I$3:$I$102,'Rozpočet - HW a licencie'!$A$3:$A$102,'TCO TO BE - HW'!N$2,'Rozpočet - HW a licencie'!$C$3:$C$102,"SW pre HW",'Rozpočet - HW a licencie'!$G$3:$G$102,'TCO TO BE - HW'!$D6,'Rozpočet - HW a licencie'!$D$3:$D$102,'TCO TO BE - HW'!$B$15),)</f>
        <v>0</v>
      </c>
      <c r="O16" s="576">
        <f>IFERROR(SUMIFS('Rozpočet - HW a licencie'!$I$3:$I$102,'Rozpočet - HW a licencie'!$A$3:$A$102,'TCO TO BE - HW'!O$2,'Rozpočet - HW a licencie'!$C$3:$C$102,"HW",'Rozpočet - HW a licencie'!$G$3:$G$102,'TCO TO BE - HW'!$D6,'Rozpočet - HW a licencie'!$D$3:$D$102,'TCO TO BE - HW'!$B$15)+SUMIFS('Rozpočet - HW a licencie'!$I$3:$I$102,'Rozpočet - HW a licencie'!$A$3:$A$102,'TCO TO BE - HW'!O$2,'Rozpočet - HW a licencie'!$C$3:$C$102,"SW pre HW",'Rozpočet - HW a licencie'!$G$3:$G$102,'TCO TO BE - HW'!$D6,'Rozpočet - HW a licencie'!$D$3:$D$102,'TCO TO BE - HW'!$B$15),)</f>
        <v>0</v>
      </c>
      <c r="P16" s="576">
        <f>IFERROR(SUMIFS('Rozpočet - HW a licencie'!$I$3:$I$102,'Rozpočet - HW a licencie'!$A$3:$A$102,'TCO TO BE - HW'!P$2,'Rozpočet - HW a licencie'!$C$3:$C$102,"HW",'Rozpočet - HW a licencie'!$G$3:$G$102,'TCO TO BE - HW'!$D6,'Rozpočet - HW a licencie'!$D$3:$D$102,'TCO TO BE - HW'!$B$15)+SUMIFS('Rozpočet - HW a licencie'!$I$3:$I$102,'Rozpočet - HW a licencie'!$A$3:$A$102,'TCO TO BE - HW'!P$2,'Rozpočet - HW a licencie'!$C$3:$C$102,"SW pre HW",'Rozpočet - HW a licencie'!$G$3:$G$102,'TCO TO BE - HW'!$D6,'Rozpočet - HW a licencie'!$D$3:$D$102,'TCO TO BE - HW'!$B$15),)</f>
        <v>0</v>
      </c>
      <c r="Q16" s="576">
        <f>IFERROR(SUMIFS('Rozpočet - HW a licencie'!$I$3:$I$102,'Rozpočet - HW a licencie'!$A$3:$A$102,'TCO TO BE - HW'!Q$2,'Rozpočet - HW a licencie'!$C$3:$C$102,"HW",'Rozpočet - HW a licencie'!$G$3:$G$102,'TCO TO BE - HW'!$D6,'Rozpočet - HW a licencie'!$D$3:$D$102,'TCO TO BE - HW'!$B$15)+SUMIFS('Rozpočet - HW a licencie'!$I$3:$I$102,'Rozpočet - HW a licencie'!$A$3:$A$102,'TCO TO BE - HW'!Q$2,'Rozpočet - HW a licencie'!$C$3:$C$102,"SW pre HW",'Rozpočet - HW a licencie'!$G$3:$G$102,'TCO TO BE - HW'!$D6,'Rozpočet - HW a licencie'!$D$3:$D$102,'TCO TO BE - HW'!$B$15),)</f>
        <v>0</v>
      </c>
      <c r="R16" s="576">
        <f>IFERROR(SUMIFS('Rozpočet - HW a licencie'!$I$3:$I$102,'Rozpočet - HW a licencie'!$A$3:$A$102,'TCO TO BE - HW'!R$2,'Rozpočet - HW a licencie'!$C$3:$C$102,"HW",'Rozpočet - HW a licencie'!$G$3:$G$102,'TCO TO BE - HW'!$D6,'Rozpočet - HW a licencie'!$D$3:$D$102,'TCO TO BE - HW'!$B$15)+SUMIFS('Rozpočet - HW a licencie'!$I$3:$I$102,'Rozpočet - HW a licencie'!$A$3:$A$102,'TCO TO BE - HW'!R$2,'Rozpočet - HW a licencie'!$C$3:$C$102,"SW pre HW",'Rozpočet - HW a licencie'!$G$3:$G$102,'TCO TO BE - HW'!$D6,'Rozpočet - HW a licencie'!$D$3:$D$102,'TCO TO BE - HW'!$B$15),)</f>
        <v>0</v>
      </c>
      <c r="S16" s="576">
        <f>IFERROR(SUMIFS('Rozpočet - HW a licencie'!$I$3:$I$102,'Rozpočet - HW a licencie'!$A$3:$A$102,'TCO TO BE - HW'!S$2,'Rozpočet - HW a licencie'!$C$3:$C$102,"HW",'Rozpočet - HW a licencie'!$G$3:$G$102,'TCO TO BE - HW'!$D6,'Rozpočet - HW a licencie'!$D$3:$D$102,'TCO TO BE - HW'!$B$15)+SUMIFS('Rozpočet - HW a licencie'!$I$3:$I$102,'Rozpočet - HW a licencie'!$A$3:$A$102,'TCO TO BE - HW'!S$2,'Rozpočet - HW a licencie'!$C$3:$C$102,"SW pre HW",'Rozpočet - HW a licencie'!$G$3:$G$102,'TCO TO BE - HW'!$D6,'Rozpočet - HW a licencie'!$D$3:$D$102,'TCO TO BE - HW'!$B$15),)</f>
        <v>0</v>
      </c>
      <c r="T16" s="576">
        <f>IFERROR(SUMIFS('Rozpočet - HW a licencie'!$I$3:$I$102,'Rozpočet - HW a licencie'!$A$3:$A$102,'TCO TO BE - HW'!T$2,'Rozpočet - HW a licencie'!$C$3:$C$102,"HW",'Rozpočet - HW a licencie'!$G$3:$G$102,'TCO TO BE - HW'!$D6,'Rozpočet - HW a licencie'!$D$3:$D$102,'TCO TO BE - HW'!$B$15)+SUMIFS('Rozpočet - HW a licencie'!$I$3:$I$102,'Rozpočet - HW a licencie'!$A$3:$A$102,'TCO TO BE - HW'!T$2,'Rozpočet - HW a licencie'!$C$3:$C$102,"SW pre HW",'Rozpočet - HW a licencie'!$G$3:$G$102,'TCO TO BE - HW'!$D6,'Rozpočet - HW a licencie'!$D$3:$D$102,'TCO TO BE - HW'!$B$15),)</f>
        <v>0</v>
      </c>
      <c r="U16" s="576">
        <f>IFERROR(SUMIFS('Rozpočet - HW a licencie'!$I$3:$I$102,'Rozpočet - HW a licencie'!$A$3:$A$102,'TCO TO BE - HW'!U$2,'Rozpočet - HW a licencie'!$C$3:$C$102,"HW",'Rozpočet - HW a licencie'!$G$3:$G$102,'TCO TO BE - HW'!$D6,'Rozpočet - HW a licencie'!$D$3:$D$102,'TCO TO BE - HW'!$B$15)+SUMIFS('Rozpočet - HW a licencie'!$I$3:$I$102,'Rozpočet - HW a licencie'!$A$3:$A$102,'TCO TO BE - HW'!U$2,'Rozpočet - HW a licencie'!$C$3:$C$102,"SW pre HW",'Rozpočet - HW a licencie'!$G$3:$G$102,'TCO TO BE - HW'!$D6,'Rozpočet - HW a licencie'!$D$3:$D$102,'TCO TO BE - HW'!$B$15),)</f>
        <v>0</v>
      </c>
      <c r="V16" s="576">
        <f>IFERROR(SUMIFS('Rozpočet - HW a licencie'!$I$3:$I$102,'Rozpočet - HW a licencie'!$A$3:$A$102,'TCO TO BE - HW'!V$2,'Rozpočet - HW a licencie'!$C$3:$C$102,"HW",'Rozpočet - HW a licencie'!$G$3:$G$102,'TCO TO BE - HW'!$D6,'Rozpočet - HW a licencie'!$D$3:$D$102,'TCO TO BE - HW'!$B$15)+SUMIFS('Rozpočet - HW a licencie'!$I$3:$I$102,'Rozpočet - HW a licencie'!$A$3:$A$102,'TCO TO BE - HW'!V$2,'Rozpočet - HW a licencie'!$C$3:$C$102,"SW pre HW",'Rozpočet - HW a licencie'!$G$3:$G$102,'TCO TO BE - HW'!$D6,'Rozpočet - HW a licencie'!$D$3:$D$102,'TCO TO BE - HW'!$B$15),)</f>
        <v>0</v>
      </c>
      <c r="W16" s="576">
        <f>IFERROR(SUMIFS('Rozpočet - HW a licencie'!$I$3:$I$102,'Rozpočet - HW a licencie'!$A$3:$A$102,'TCO TO BE - HW'!W$2,'Rozpočet - HW a licencie'!$C$3:$C$102,"HW",'Rozpočet - HW a licencie'!$G$3:$G$102,'TCO TO BE - HW'!$D6,'Rozpočet - HW a licencie'!$D$3:$D$102,'TCO TO BE - HW'!$B$15)+SUMIFS('Rozpočet - HW a licencie'!$I$3:$I$102,'Rozpočet - HW a licencie'!$A$3:$A$102,'TCO TO BE - HW'!W$2,'Rozpočet - HW a licencie'!$C$3:$C$102,"SW pre HW",'Rozpočet - HW a licencie'!$G$3:$G$102,'TCO TO BE - HW'!$D6,'Rozpočet - HW a licencie'!$D$3:$D$102,'TCO TO BE - HW'!$B$15),)</f>
        <v>0</v>
      </c>
      <c r="X16" s="576">
        <f>IFERROR(SUMIFS('Rozpočet - HW a licencie'!$I$3:$I$102,'Rozpočet - HW a licencie'!$A$3:$A$102,'TCO TO BE - HW'!X$2,'Rozpočet - HW a licencie'!$C$3:$C$102,"HW",'Rozpočet - HW a licencie'!$G$3:$G$102,'TCO TO BE - HW'!$D6,'Rozpočet - HW a licencie'!$D$3:$D$102,'TCO TO BE - HW'!$B$15)+SUMIFS('Rozpočet - HW a licencie'!$I$3:$I$102,'Rozpočet - HW a licencie'!$A$3:$A$102,'TCO TO BE - HW'!X$2,'Rozpočet - HW a licencie'!$C$3:$C$102,"SW pre HW",'Rozpočet - HW a licencie'!$G$3:$G$102,'TCO TO BE - HW'!$D6,'Rozpočet - HW a licencie'!$D$3:$D$102,'TCO TO BE - HW'!$B$15),)</f>
        <v>0</v>
      </c>
      <c r="Y16" s="576">
        <f>IFERROR(SUMIFS('Rozpočet - HW a licencie'!$I$3:$I$102,'Rozpočet - HW a licencie'!$A$3:$A$102,'TCO TO BE - HW'!Y$2,'Rozpočet - HW a licencie'!$C$3:$C$102,"HW",'Rozpočet - HW a licencie'!$G$3:$G$102,'TCO TO BE - HW'!$D6,'Rozpočet - HW a licencie'!$D$3:$D$102,'TCO TO BE - HW'!$B$15)+SUMIFS('Rozpočet - HW a licencie'!$I$3:$I$102,'Rozpočet - HW a licencie'!$A$3:$A$102,'TCO TO BE - HW'!Y$2,'Rozpočet - HW a licencie'!$C$3:$C$102,"SW pre HW",'Rozpočet - HW a licencie'!$G$3:$G$102,'TCO TO BE - HW'!$D6,'Rozpočet - HW a licencie'!$D$3:$D$102,'TCO TO BE - HW'!$B$15),)</f>
        <v>0</v>
      </c>
      <c r="Z16" s="576">
        <f>IFERROR(SUMIFS('Rozpočet - HW a licencie'!$I$3:$I$102,'Rozpočet - HW a licencie'!$A$3:$A$102,'TCO TO BE - HW'!Z$2,'Rozpočet - HW a licencie'!$C$3:$C$102,"HW",'Rozpočet - HW a licencie'!$G$3:$G$102,'TCO TO BE - HW'!$D6,'Rozpočet - HW a licencie'!$D$3:$D$102,'TCO TO BE - HW'!$B$15)+SUMIFS('Rozpočet - HW a licencie'!$I$3:$I$102,'Rozpočet - HW a licencie'!$A$3:$A$102,'TCO TO BE - HW'!Z$2,'Rozpočet - HW a licencie'!$C$3:$C$102,"SW pre HW",'Rozpočet - HW a licencie'!$G$3:$G$102,'TCO TO BE - HW'!$D6,'Rozpočet - HW a licencie'!$D$3:$D$102,'TCO TO BE - HW'!$B$15),)</f>
        <v>0</v>
      </c>
    </row>
    <row r="17" spans="1:26" outlineLevel="1">
      <c r="A17" s="841"/>
      <c r="B17" s="842"/>
      <c r="C17" s="842"/>
      <c r="D17" s="498">
        <v>3</v>
      </c>
      <c r="E17" s="68">
        <f t="shared" si="2"/>
        <v>0</v>
      </c>
      <c r="F17" s="576">
        <f>IFERROR(SUMIFS('Rozpočet - HW a licencie'!$I$3:$I$102,'Rozpočet - HW a licencie'!$A$3:$A$102,'TCO TO BE - HW'!F$2,'Rozpočet - HW a licencie'!$C$3:$C$102,"HW",'Rozpočet - HW a licencie'!$G$3:$G$102,'TCO TO BE - HW'!$D7,'Rozpočet - HW a licencie'!$D$3:$D$102,'TCO TO BE - HW'!$B$15)+SUMIFS('Rozpočet - HW a licencie'!$I$3:$I$102,'Rozpočet - HW a licencie'!$A$3:$A$102,'TCO TO BE - HW'!F$2,'Rozpočet - HW a licencie'!$C$3:$C$102,"SW pre HW",'Rozpočet - HW a licencie'!$G$3:$G$102,'TCO TO BE - HW'!$D7,'Rozpočet - HW a licencie'!$D$3:$D$102,'TCO TO BE - HW'!$B$15),)</f>
        <v>0</v>
      </c>
      <c r="G17" s="576">
        <f>IFERROR(SUMIFS('Rozpočet - HW a licencie'!$I$3:$I$102,'Rozpočet - HW a licencie'!$A$3:$A$102,'TCO TO BE - HW'!G$2,'Rozpočet - HW a licencie'!$C$3:$C$102,"HW",'Rozpočet - HW a licencie'!$G$3:$G$102,'TCO TO BE - HW'!$D7,'Rozpočet - HW a licencie'!$D$3:$D$102,'TCO TO BE - HW'!$B$15)+SUMIFS('Rozpočet - HW a licencie'!$I$3:$I$102,'Rozpočet - HW a licencie'!$A$3:$A$102,'TCO TO BE - HW'!G$2,'Rozpočet - HW a licencie'!$C$3:$C$102,"SW pre HW",'Rozpočet - HW a licencie'!$G$3:$G$102,'TCO TO BE - HW'!$D7,'Rozpočet - HW a licencie'!$D$3:$D$102,'TCO TO BE - HW'!$B$15),)</f>
        <v>0</v>
      </c>
      <c r="H17" s="576">
        <f>IFERROR(SUMIFS('Rozpočet - HW a licencie'!$I$3:$I$102,'Rozpočet - HW a licencie'!$A$3:$A$102,'TCO TO BE - HW'!H$2,'Rozpočet - HW a licencie'!$C$3:$C$102,"HW",'Rozpočet - HW a licencie'!$G$3:$G$102,'TCO TO BE - HW'!$D7,'Rozpočet - HW a licencie'!$D$3:$D$102,'TCO TO BE - HW'!$B$15)+SUMIFS('Rozpočet - HW a licencie'!$I$3:$I$102,'Rozpočet - HW a licencie'!$A$3:$A$102,'TCO TO BE - HW'!H$2,'Rozpočet - HW a licencie'!$C$3:$C$102,"SW pre HW",'Rozpočet - HW a licencie'!$G$3:$G$102,'TCO TO BE - HW'!$D7,'Rozpočet - HW a licencie'!$D$3:$D$102,'TCO TO BE - HW'!$B$15),)</f>
        <v>0</v>
      </c>
      <c r="I17" s="576">
        <f>IFERROR(SUMIFS('Rozpočet - HW a licencie'!$I$3:$I$102,'Rozpočet - HW a licencie'!$A$3:$A$102,'TCO TO BE - HW'!I$2,'Rozpočet - HW a licencie'!$C$3:$C$102,"HW",'Rozpočet - HW a licencie'!$G$3:$G$102,'TCO TO BE - HW'!$D7,'Rozpočet - HW a licencie'!$D$3:$D$102,'TCO TO BE - HW'!$B$15)+SUMIFS('Rozpočet - HW a licencie'!$I$3:$I$102,'Rozpočet - HW a licencie'!$A$3:$A$102,'TCO TO BE - HW'!I$2,'Rozpočet - HW a licencie'!$C$3:$C$102,"SW pre HW",'Rozpočet - HW a licencie'!$G$3:$G$102,'TCO TO BE - HW'!$D7,'Rozpočet - HW a licencie'!$D$3:$D$102,'TCO TO BE - HW'!$B$15),)</f>
        <v>0</v>
      </c>
      <c r="J17" s="576">
        <f>IFERROR(SUMIFS('Rozpočet - HW a licencie'!$I$3:$I$102,'Rozpočet - HW a licencie'!$A$3:$A$102,'TCO TO BE - HW'!J$2,'Rozpočet - HW a licencie'!$C$3:$C$102,"HW",'Rozpočet - HW a licencie'!$G$3:$G$102,'TCO TO BE - HW'!$D7,'Rozpočet - HW a licencie'!$D$3:$D$102,'TCO TO BE - HW'!$B$15)+SUMIFS('Rozpočet - HW a licencie'!$I$3:$I$102,'Rozpočet - HW a licencie'!$A$3:$A$102,'TCO TO BE - HW'!J$2,'Rozpočet - HW a licencie'!$C$3:$C$102,"SW pre HW",'Rozpočet - HW a licencie'!$G$3:$G$102,'TCO TO BE - HW'!$D7,'Rozpočet - HW a licencie'!$D$3:$D$102,'TCO TO BE - HW'!$B$15),)</f>
        <v>0</v>
      </c>
      <c r="K17" s="576">
        <f>IFERROR(SUMIFS('Rozpočet - HW a licencie'!$I$3:$I$102,'Rozpočet - HW a licencie'!$A$3:$A$102,'TCO TO BE - HW'!K$2,'Rozpočet - HW a licencie'!$C$3:$C$102,"HW",'Rozpočet - HW a licencie'!$G$3:$G$102,'TCO TO BE - HW'!$D7,'Rozpočet - HW a licencie'!$D$3:$D$102,'TCO TO BE - HW'!$B$15)+SUMIFS('Rozpočet - HW a licencie'!$I$3:$I$102,'Rozpočet - HW a licencie'!$A$3:$A$102,'TCO TO BE - HW'!K$2,'Rozpočet - HW a licencie'!$C$3:$C$102,"SW pre HW",'Rozpočet - HW a licencie'!$G$3:$G$102,'TCO TO BE - HW'!$D7,'Rozpočet - HW a licencie'!$D$3:$D$102,'TCO TO BE - HW'!$B$15),)</f>
        <v>0</v>
      </c>
      <c r="L17" s="576">
        <f>IFERROR(SUMIFS('Rozpočet - HW a licencie'!$I$3:$I$102,'Rozpočet - HW a licencie'!$A$3:$A$102,'TCO TO BE - HW'!L$2,'Rozpočet - HW a licencie'!$C$3:$C$102,"HW",'Rozpočet - HW a licencie'!$G$3:$G$102,'TCO TO BE - HW'!$D7,'Rozpočet - HW a licencie'!$D$3:$D$102,'TCO TO BE - HW'!$B$15)+SUMIFS('Rozpočet - HW a licencie'!$I$3:$I$102,'Rozpočet - HW a licencie'!$A$3:$A$102,'TCO TO BE - HW'!L$2,'Rozpočet - HW a licencie'!$C$3:$C$102,"SW pre HW",'Rozpočet - HW a licencie'!$G$3:$G$102,'TCO TO BE - HW'!$D7,'Rozpočet - HW a licencie'!$D$3:$D$102,'TCO TO BE - HW'!$B$15),)</f>
        <v>0</v>
      </c>
      <c r="M17" s="576">
        <f>IFERROR(SUMIFS('Rozpočet - HW a licencie'!$I$3:$I$102,'Rozpočet - HW a licencie'!$A$3:$A$102,'TCO TO BE - HW'!M$2,'Rozpočet - HW a licencie'!$C$3:$C$102,"HW",'Rozpočet - HW a licencie'!$G$3:$G$102,'TCO TO BE - HW'!$D7,'Rozpočet - HW a licencie'!$D$3:$D$102,'TCO TO BE - HW'!$B$15)+SUMIFS('Rozpočet - HW a licencie'!$I$3:$I$102,'Rozpočet - HW a licencie'!$A$3:$A$102,'TCO TO BE - HW'!M$2,'Rozpočet - HW a licencie'!$C$3:$C$102,"SW pre HW",'Rozpočet - HW a licencie'!$G$3:$G$102,'TCO TO BE - HW'!$D7,'Rozpočet - HW a licencie'!$D$3:$D$102,'TCO TO BE - HW'!$B$15),)</f>
        <v>0</v>
      </c>
      <c r="N17" s="576">
        <f>IFERROR(SUMIFS('Rozpočet - HW a licencie'!$I$3:$I$102,'Rozpočet - HW a licencie'!$A$3:$A$102,'TCO TO BE - HW'!N$2,'Rozpočet - HW a licencie'!$C$3:$C$102,"HW",'Rozpočet - HW a licencie'!$G$3:$G$102,'TCO TO BE - HW'!$D7,'Rozpočet - HW a licencie'!$D$3:$D$102,'TCO TO BE - HW'!$B$15)+SUMIFS('Rozpočet - HW a licencie'!$I$3:$I$102,'Rozpočet - HW a licencie'!$A$3:$A$102,'TCO TO BE - HW'!N$2,'Rozpočet - HW a licencie'!$C$3:$C$102,"SW pre HW",'Rozpočet - HW a licencie'!$G$3:$G$102,'TCO TO BE - HW'!$D7,'Rozpočet - HW a licencie'!$D$3:$D$102,'TCO TO BE - HW'!$B$15),)</f>
        <v>0</v>
      </c>
      <c r="O17" s="576">
        <f>IFERROR(SUMIFS('Rozpočet - HW a licencie'!$I$3:$I$102,'Rozpočet - HW a licencie'!$A$3:$A$102,'TCO TO BE - HW'!O$2,'Rozpočet - HW a licencie'!$C$3:$C$102,"HW",'Rozpočet - HW a licencie'!$G$3:$G$102,'TCO TO BE - HW'!$D7,'Rozpočet - HW a licencie'!$D$3:$D$102,'TCO TO BE - HW'!$B$15)+SUMIFS('Rozpočet - HW a licencie'!$I$3:$I$102,'Rozpočet - HW a licencie'!$A$3:$A$102,'TCO TO BE - HW'!O$2,'Rozpočet - HW a licencie'!$C$3:$C$102,"SW pre HW",'Rozpočet - HW a licencie'!$G$3:$G$102,'TCO TO BE - HW'!$D7,'Rozpočet - HW a licencie'!$D$3:$D$102,'TCO TO BE - HW'!$B$15),)</f>
        <v>0</v>
      </c>
      <c r="P17" s="576">
        <f>IFERROR(SUMIFS('Rozpočet - HW a licencie'!$I$3:$I$102,'Rozpočet - HW a licencie'!$A$3:$A$102,'TCO TO BE - HW'!P$2,'Rozpočet - HW a licencie'!$C$3:$C$102,"HW",'Rozpočet - HW a licencie'!$G$3:$G$102,'TCO TO BE - HW'!$D7,'Rozpočet - HW a licencie'!$D$3:$D$102,'TCO TO BE - HW'!$B$15)+SUMIFS('Rozpočet - HW a licencie'!$I$3:$I$102,'Rozpočet - HW a licencie'!$A$3:$A$102,'TCO TO BE - HW'!P$2,'Rozpočet - HW a licencie'!$C$3:$C$102,"SW pre HW",'Rozpočet - HW a licencie'!$G$3:$G$102,'TCO TO BE - HW'!$D7,'Rozpočet - HW a licencie'!$D$3:$D$102,'TCO TO BE - HW'!$B$15),)</f>
        <v>0</v>
      </c>
      <c r="Q17" s="576">
        <f>IFERROR(SUMIFS('Rozpočet - HW a licencie'!$I$3:$I$102,'Rozpočet - HW a licencie'!$A$3:$A$102,'TCO TO BE - HW'!Q$2,'Rozpočet - HW a licencie'!$C$3:$C$102,"HW",'Rozpočet - HW a licencie'!$G$3:$G$102,'TCO TO BE - HW'!$D7,'Rozpočet - HW a licencie'!$D$3:$D$102,'TCO TO BE - HW'!$B$15)+SUMIFS('Rozpočet - HW a licencie'!$I$3:$I$102,'Rozpočet - HW a licencie'!$A$3:$A$102,'TCO TO BE - HW'!Q$2,'Rozpočet - HW a licencie'!$C$3:$C$102,"SW pre HW",'Rozpočet - HW a licencie'!$G$3:$G$102,'TCO TO BE - HW'!$D7,'Rozpočet - HW a licencie'!$D$3:$D$102,'TCO TO BE - HW'!$B$15),)</f>
        <v>0</v>
      </c>
      <c r="R17" s="576">
        <f>IFERROR(SUMIFS('Rozpočet - HW a licencie'!$I$3:$I$102,'Rozpočet - HW a licencie'!$A$3:$A$102,'TCO TO BE - HW'!R$2,'Rozpočet - HW a licencie'!$C$3:$C$102,"HW",'Rozpočet - HW a licencie'!$G$3:$G$102,'TCO TO BE - HW'!$D7,'Rozpočet - HW a licencie'!$D$3:$D$102,'TCO TO BE - HW'!$B$15)+SUMIFS('Rozpočet - HW a licencie'!$I$3:$I$102,'Rozpočet - HW a licencie'!$A$3:$A$102,'TCO TO BE - HW'!R$2,'Rozpočet - HW a licencie'!$C$3:$C$102,"SW pre HW",'Rozpočet - HW a licencie'!$G$3:$G$102,'TCO TO BE - HW'!$D7,'Rozpočet - HW a licencie'!$D$3:$D$102,'TCO TO BE - HW'!$B$15),)</f>
        <v>0</v>
      </c>
      <c r="S17" s="576">
        <f>IFERROR(SUMIFS('Rozpočet - HW a licencie'!$I$3:$I$102,'Rozpočet - HW a licencie'!$A$3:$A$102,'TCO TO BE - HW'!S$2,'Rozpočet - HW a licencie'!$C$3:$C$102,"HW",'Rozpočet - HW a licencie'!$G$3:$G$102,'TCO TO BE - HW'!$D7,'Rozpočet - HW a licencie'!$D$3:$D$102,'TCO TO BE - HW'!$B$15)+SUMIFS('Rozpočet - HW a licencie'!$I$3:$I$102,'Rozpočet - HW a licencie'!$A$3:$A$102,'TCO TO BE - HW'!S$2,'Rozpočet - HW a licencie'!$C$3:$C$102,"SW pre HW",'Rozpočet - HW a licencie'!$G$3:$G$102,'TCO TO BE - HW'!$D7,'Rozpočet - HW a licencie'!$D$3:$D$102,'TCO TO BE - HW'!$B$15),)</f>
        <v>0</v>
      </c>
      <c r="T17" s="576">
        <f>IFERROR(SUMIFS('Rozpočet - HW a licencie'!$I$3:$I$102,'Rozpočet - HW a licencie'!$A$3:$A$102,'TCO TO BE - HW'!T$2,'Rozpočet - HW a licencie'!$C$3:$C$102,"HW",'Rozpočet - HW a licencie'!$G$3:$G$102,'TCO TO BE - HW'!$D7,'Rozpočet - HW a licencie'!$D$3:$D$102,'TCO TO BE - HW'!$B$15)+SUMIFS('Rozpočet - HW a licencie'!$I$3:$I$102,'Rozpočet - HW a licencie'!$A$3:$A$102,'TCO TO BE - HW'!T$2,'Rozpočet - HW a licencie'!$C$3:$C$102,"SW pre HW",'Rozpočet - HW a licencie'!$G$3:$G$102,'TCO TO BE - HW'!$D7,'Rozpočet - HW a licencie'!$D$3:$D$102,'TCO TO BE - HW'!$B$15),)</f>
        <v>0</v>
      </c>
      <c r="U17" s="576">
        <f>IFERROR(SUMIFS('Rozpočet - HW a licencie'!$I$3:$I$102,'Rozpočet - HW a licencie'!$A$3:$A$102,'TCO TO BE - HW'!U$2,'Rozpočet - HW a licencie'!$C$3:$C$102,"HW",'Rozpočet - HW a licencie'!$G$3:$G$102,'TCO TO BE - HW'!$D7,'Rozpočet - HW a licencie'!$D$3:$D$102,'TCO TO BE - HW'!$B$15)+SUMIFS('Rozpočet - HW a licencie'!$I$3:$I$102,'Rozpočet - HW a licencie'!$A$3:$A$102,'TCO TO BE - HW'!U$2,'Rozpočet - HW a licencie'!$C$3:$C$102,"SW pre HW",'Rozpočet - HW a licencie'!$G$3:$G$102,'TCO TO BE - HW'!$D7,'Rozpočet - HW a licencie'!$D$3:$D$102,'TCO TO BE - HW'!$B$15),)</f>
        <v>0</v>
      </c>
      <c r="V17" s="576">
        <f>IFERROR(SUMIFS('Rozpočet - HW a licencie'!$I$3:$I$102,'Rozpočet - HW a licencie'!$A$3:$A$102,'TCO TO BE - HW'!V$2,'Rozpočet - HW a licencie'!$C$3:$C$102,"HW",'Rozpočet - HW a licencie'!$G$3:$G$102,'TCO TO BE - HW'!$D7,'Rozpočet - HW a licencie'!$D$3:$D$102,'TCO TO BE - HW'!$B$15)+SUMIFS('Rozpočet - HW a licencie'!$I$3:$I$102,'Rozpočet - HW a licencie'!$A$3:$A$102,'TCO TO BE - HW'!V$2,'Rozpočet - HW a licencie'!$C$3:$C$102,"SW pre HW",'Rozpočet - HW a licencie'!$G$3:$G$102,'TCO TO BE - HW'!$D7,'Rozpočet - HW a licencie'!$D$3:$D$102,'TCO TO BE - HW'!$B$15),)</f>
        <v>0</v>
      </c>
      <c r="W17" s="576">
        <f>IFERROR(SUMIFS('Rozpočet - HW a licencie'!$I$3:$I$102,'Rozpočet - HW a licencie'!$A$3:$A$102,'TCO TO BE - HW'!W$2,'Rozpočet - HW a licencie'!$C$3:$C$102,"HW",'Rozpočet - HW a licencie'!$G$3:$G$102,'TCO TO BE - HW'!$D7,'Rozpočet - HW a licencie'!$D$3:$D$102,'TCO TO BE - HW'!$B$15)+SUMIFS('Rozpočet - HW a licencie'!$I$3:$I$102,'Rozpočet - HW a licencie'!$A$3:$A$102,'TCO TO BE - HW'!W$2,'Rozpočet - HW a licencie'!$C$3:$C$102,"SW pre HW",'Rozpočet - HW a licencie'!$G$3:$G$102,'TCO TO BE - HW'!$D7,'Rozpočet - HW a licencie'!$D$3:$D$102,'TCO TO BE - HW'!$B$15),)</f>
        <v>0</v>
      </c>
      <c r="X17" s="576">
        <f>IFERROR(SUMIFS('Rozpočet - HW a licencie'!$I$3:$I$102,'Rozpočet - HW a licencie'!$A$3:$A$102,'TCO TO BE - HW'!X$2,'Rozpočet - HW a licencie'!$C$3:$C$102,"HW",'Rozpočet - HW a licencie'!$G$3:$G$102,'TCO TO BE - HW'!$D7,'Rozpočet - HW a licencie'!$D$3:$D$102,'TCO TO BE - HW'!$B$15)+SUMIFS('Rozpočet - HW a licencie'!$I$3:$I$102,'Rozpočet - HW a licencie'!$A$3:$A$102,'TCO TO BE - HW'!X$2,'Rozpočet - HW a licencie'!$C$3:$C$102,"SW pre HW",'Rozpočet - HW a licencie'!$G$3:$G$102,'TCO TO BE - HW'!$D7,'Rozpočet - HW a licencie'!$D$3:$D$102,'TCO TO BE - HW'!$B$15),)</f>
        <v>0</v>
      </c>
      <c r="Y17" s="576">
        <f>IFERROR(SUMIFS('Rozpočet - HW a licencie'!$I$3:$I$102,'Rozpočet - HW a licencie'!$A$3:$A$102,'TCO TO BE - HW'!Y$2,'Rozpočet - HW a licencie'!$C$3:$C$102,"HW",'Rozpočet - HW a licencie'!$G$3:$G$102,'TCO TO BE - HW'!$D7,'Rozpočet - HW a licencie'!$D$3:$D$102,'TCO TO BE - HW'!$B$15)+SUMIFS('Rozpočet - HW a licencie'!$I$3:$I$102,'Rozpočet - HW a licencie'!$A$3:$A$102,'TCO TO BE - HW'!Y$2,'Rozpočet - HW a licencie'!$C$3:$C$102,"SW pre HW",'Rozpočet - HW a licencie'!$G$3:$G$102,'TCO TO BE - HW'!$D7,'Rozpočet - HW a licencie'!$D$3:$D$102,'TCO TO BE - HW'!$B$15),)</f>
        <v>0</v>
      </c>
      <c r="Z17" s="576">
        <f>IFERROR(SUMIFS('Rozpočet - HW a licencie'!$I$3:$I$102,'Rozpočet - HW a licencie'!$A$3:$A$102,'TCO TO BE - HW'!Z$2,'Rozpočet - HW a licencie'!$C$3:$C$102,"HW",'Rozpočet - HW a licencie'!$G$3:$G$102,'TCO TO BE - HW'!$D7,'Rozpočet - HW a licencie'!$D$3:$D$102,'TCO TO BE - HW'!$B$15)+SUMIFS('Rozpočet - HW a licencie'!$I$3:$I$102,'Rozpočet - HW a licencie'!$A$3:$A$102,'TCO TO BE - HW'!Z$2,'Rozpočet - HW a licencie'!$C$3:$C$102,"SW pre HW",'Rozpočet - HW a licencie'!$G$3:$G$102,'TCO TO BE - HW'!$D7,'Rozpočet - HW a licencie'!$D$3:$D$102,'TCO TO BE - HW'!$B$15),)</f>
        <v>0</v>
      </c>
    </row>
    <row r="18" spans="1:26" outlineLevel="1">
      <c r="A18" s="841"/>
      <c r="B18" s="842"/>
      <c r="C18" s="842"/>
      <c r="D18" s="498">
        <v>4</v>
      </c>
      <c r="E18" s="68">
        <f t="shared" si="2"/>
        <v>0</v>
      </c>
      <c r="F18" s="576">
        <f>IFERROR(SUMIFS('Rozpočet - HW a licencie'!$I$3:$I$102,'Rozpočet - HW a licencie'!$A$3:$A$102,'TCO TO BE - HW'!F$2,'Rozpočet - HW a licencie'!$C$3:$C$102,"HW",'Rozpočet - HW a licencie'!$G$3:$G$102,'TCO TO BE - HW'!$D8,'Rozpočet - HW a licencie'!$D$3:$D$102,'TCO TO BE - HW'!$B$15)+SUMIFS('Rozpočet - HW a licencie'!$I$3:$I$102,'Rozpočet - HW a licencie'!$A$3:$A$102,'TCO TO BE - HW'!F$2,'Rozpočet - HW a licencie'!$C$3:$C$102,"SW pre HW",'Rozpočet - HW a licencie'!$G$3:$G$102,'TCO TO BE - HW'!$D8,'Rozpočet - HW a licencie'!$D$3:$D$102,'TCO TO BE - HW'!$B$15),)</f>
        <v>0</v>
      </c>
      <c r="G18" s="576">
        <f>IFERROR(SUMIFS('Rozpočet - HW a licencie'!$I$3:$I$102,'Rozpočet - HW a licencie'!$A$3:$A$102,'TCO TO BE - HW'!G$2,'Rozpočet - HW a licencie'!$C$3:$C$102,"HW",'Rozpočet - HW a licencie'!$G$3:$G$102,'TCO TO BE - HW'!$D8,'Rozpočet - HW a licencie'!$D$3:$D$102,'TCO TO BE - HW'!$B$15)+SUMIFS('Rozpočet - HW a licencie'!$I$3:$I$102,'Rozpočet - HW a licencie'!$A$3:$A$102,'TCO TO BE - HW'!G$2,'Rozpočet - HW a licencie'!$C$3:$C$102,"SW pre HW",'Rozpočet - HW a licencie'!$G$3:$G$102,'TCO TO BE - HW'!$D8,'Rozpočet - HW a licencie'!$D$3:$D$102,'TCO TO BE - HW'!$B$15),)</f>
        <v>0</v>
      </c>
      <c r="H18" s="576">
        <f>IFERROR(SUMIFS('Rozpočet - HW a licencie'!$I$3:$I$102,'Rozpočet - HW a licencie'!$A$3:$A$102,'TCO TO BE - HW'!H$2,'Rozpočet - HW a licencie'!$C$3:$C$102,"HW",'Rozpočet - HW a licencie'!$G$3:$G$102,'TCO TO BE - HW'!$D8,'Rozpočet - HW a licencie'!$D$3:$D$102,'TCO TO BE - HW'!$B$15)+SUMIFS('Rozpočet - HW a licencie'!$I$3:$I$102,'Rozpočet - HW a licencie'!$A$3:$A$102,'TCO TO BE - HW'!H$2,'Rozpočet - HW a licencie'!$C$3:$C$102,"SW pre HW",'Rozpočet - HW a licencie'!$G$3:$G$102,'TCO TO BE - HW'!$D8,'Rozpočet - HW a licencie'!$D$3:$D$102,'TCO TO BE - HW'!$B$15),)</f>
        <v>0</v>
      </c>
      <c r="I18" s="576">
        <f>IFERROR(SUMIFS('Rozpočet - HW a licencie'!$I$3:$I$102,'Rozpočet - HW a licencie'!$A$3:$A$102,'TCO TO BE - HW'!I$2,'Rozpočet - HW a licencie'!$C$3:$C$102,"HW",'Rozpočet - HW a licencie'!$G$3:$G$102,'TCO TO BE - HW'!$D8,'Rozpočet - HW a licencie'!$D$3:$D$102,'TCO TO BE - HW'!$B$15)+SUMIFS('Rozpočet - HW a licencie'!$I$3:$I$102,'Rozpočet - HW a licencie'!$A$3:$A$102,'TCO TO BE - HW'!I$2,'Rozpočet - HW a licencie'!$C$3:$C$102,"SW pre HW",'Rozpočet - HW a licencie'!$G$3:$G$102,'TCO TO BE - HW'!$D8,'Rozpočet - HW a licencie'!$D$3:$D$102,'TCO TO BE - HW'!$B$15),)</f>
        <v>0</v>
      </c>
      <c r="J18" s="576">
        <f>IFERROR(SUMIFS('Rozpočet - HW a licencie'!$I$3:$I$102,'Rozpočet - HW a licencie'!$A$3:$A$102,'TCO TO BE - HW'!J$2,'Rozpočet - HW a licencie'!$C$3:$C$102,"HW",'Rozpočet - HW a licencie'!$G$3:$G$102,'TCO TO BE - HW'!$D8,'Rozpočet - HW a licencie'!$D$3:$D$102,'TCO TO BE - HW'!$B$15)+SUMIFS('Rozpočet - HW a licencie'!$I$3:$I$102,'Rozpočet - HW a licencie'!$A$3:$A$102,'TCO TO BE - HW'!J$2,'Rozpočet - HW a licencie'!$C$3:$C$102,"SW pre HW",'Rozpočet - HW a licencie'!$G$3:$G$102,'TCO TO BE - HW'!$D8,'Rozpočet - HW a licencie'!$D$3:$D$102,'TCO TO BE - HW'!$B$15),)</f>
        <v>0</v>
      </c>
      <c r="K18" s="576">
        <f>IFERROR(SUMIFS('Rozpočet - HW a licencie'!$I$3:$I$102,'Rozpočet - HW a licencie'!$A$3:$A$102,'TCO TO BE - HW'!K$2,'Rozpočet - HW a licencie'!$C$3:$C$102,"HW",'Rozpočet - HW a licencie'!$G$3:$G$102,'TCO TO BE - HW'!$D8,'Rozpočet - HW a licencie'!$D$3:$D$102,'TCO TO BE - HW'!$B$15)+SUMIFS('Rozpočet - HW a licencie'!$I$3:$I$102,'Rozpočet - HW a licencie'!$A$3:$A$102,'TCO TO BE - HW'!K$2,'Rozpočet - HW a licencie'!$C$3:$C$102,"SW pre HW",'Rozpočet - HW a licencie'!$G$3:$G$102,'TCO TO BE - HW'!$D8,'Rozpočet - HW a licencie'!$D$3:$D$102,'TCO TO BE - HW'!$B$15),)</f>
        <v>0</v>
      </c>
      <c r="L18" s="576">
        <f>IFERROR(SUMIFS('Rozpočet - HW a licencie'!$I$3:$I$102,'Rozpočet - HW a licencie'!$A$3:$A$102,'TCO TO BE - HW'!L$2,'Rozpočet - HW a licencie'!$C$3:$C$102,"HW",'Rozpočet - HW a licencie'!$G$3:$G$102,'TCO TO BE - HW'!$D8,'Rozpočet - HW a licencie'!$D$3:$D$102,'TCO TO BE - HW'!$B$15)+SUMIFS('Rozpočet - HW a licencie'!$I$3:$I$102,'Rozpočet - HW a licencie'!$A$3:$A$102,'TCO TO BE - HW'!L$2,'Rozpočet - HW a licencie'!$C$3:$C$102,"SW pre HW",'Rozpočet - HW a licencie'!$G$3:$G$102,'TCO TO BE - HW'!$D8,'Rozpočet - HW a licencie'!$D$3:$D$102,'TCO TO BE - HW'!$B$15),)</f>
        <v>0</v>
      </c>
      <c r="M18" s="576">
        <f>IFERROR(SUMIFS('Rozpočet - HW a licencie'!$I$3:$I$102,'Rozpočet - HW a licencie'!$A$3:$A$102,'TCO TO BE - HW'!M$2,'Rozpočet - HW a licencie'!$C$3:$C$102,"HW",'Rozpočet - HW a licencie'!$G$3:$G$102,'TCO TO BE - HW'!$D8,'Rozpočet - HW a licencie'!$D$3:$D$102,'TCO TO BE - HW'!$B$15)+SUMIFS('Rozpočet - HW a licencie'!$I$3:$I$102,'Rozpočet - HW a licencie'!$A$3:$A$102,'TCO TO BE - HW'!M$2,'Rozpočet - HW a licencie'!$C$3:$C$102,"SW pre HW",'Rozpočet - HW a licencie'!$G$3:$G$102,'TCO TO BE - HW'!$D8,'Rozpočet - HW a licencie'!$D$3:$D$102,'TCO TO BE - HW'!$B$15),)</f>
        <v>0</v>
      </c>
      <c r="N18" s="576">
        <f>IFERROR(SUMIFS('Rozpočet - HW a licencie'!$I$3:$I$102,'Rozpočet - HW a licencie'!$A$3:$A$102,'TCO TO BE - HW'!N$2,'Rozpočet - HW a licencie'!$C$3:$C$102,"HW",'Rozpočet - HW a licencie'!$G$3:$G$102,'TCO TO BE - HW'!$D8,'Rozpočet - HW a licencie'!$D$3:$D$102,'TCO TO BE - HW'!$B$15)+SUMIFS('Rozpočet - HW a licencie'!$I$3:$I$102,'Rozpočet - HW a licencie'!$A$3:$A$102,'TCO TO BE - HW'!N$2,'Rozpočet - HW a licencie'!$C$3:$C$102,"SW pre HW",'Rozpočet - HW a licencie'!$G$3:$G$102,'TCO TO BE - HW'!$D8,'Rozpočet - HW a licencie'!$D$3:$D$102,'TCO TO BE - HW'!$B$15),)</f>
        <v>0</v>
      </c>
      <c r="O18" s="576">
        <f>IFERROR(SUMIFS('Rozpočet - HW a licencie'!$I$3:$I$102,'Rozpočet - HW a licencie'!$A$3:$A$102,'TCO TO BE - HW'!O$2,'Rozpočet - HW a licencie'!$C$3:$C$102,"HW",'Rozpočet - HW a licencie'!$G$3:$G$102,'TCO TO BE - HW'!$D8,'Rozpočet - HW a licencie'!$D$3:$D$102,'TCO TO BE - HW'!$B$15)+SUMIFS('Rozpočet - HW a licencie'!$I$3:$I$102,'Rozpočet - HW a licencie'!$A$3:$A$102,'TCO TO BE - HW'!O$2,'Rozpočet - HW a licencie'!$C$3:$C$102,"SW pre HW",'Rozpočet - HW a licencie'!$G$3:$G$102,'TCO TO BE - HW'!$D8,'Rozpočet - HW a licencie'!$D$3:$D$102,'TCO TO BE - HW'!$B$15),)</f>
        <v>0</v>
      </c>
      <c r="P18" s="576">
        <f>IFERROR(SUMIFS('Rozpočet - HW a licencie'!$I$3:$I$102,'Rozpočet - HW a licencie'!$A$3:$A$102,'TCO TO BE - HW'!P$2,'Rozpočet - HW a licencie'!$C$3:$C$102,"HW",'Rozpočet - HW a licencie'!$G$3:$G$102,'TCO TO BE - HW'!$D8,'Rozpočet - HW a licencie'!$D$3:$D$102,'TCO TO BE - HW'!$B$15)+SUMIFS('Rozpočet - HW a licencie'!$I$3:$I$102,'Rozpočet - HW a licencie'!$A$3:$A$102,'TCO TO BE - HW'!P$2,'Rozpočet - HW a licencie'!$C$3:$C$102,"SW pre HW",'Rozpočet - HW a licencie'!$G$3:$G$102,'TCO TO BE - HW'!$D8,'Rozpočet - HW a licencie'!$D$3:$D$102,'TCO TO BE - HW'!$B$15),)</f>
        <v>0</v>
      </c>
      <c r="Q18" s="576">
        <f>IFERROR(SUMIFS('Rozpočet - HW a licencie'!$I$3:$I$102,'Rozpočet - HW a licencie'!$A$3:$A$102,'TCO TO BE - HW'!Q$2,'Rozpočet - HW a licencie'!$C$3:$C$102,"HW",'Rozpočet - HW a licencie'!$G$3:$G$102,'TCO TO BE - HW'!$D8,'Rozpočet - HW a licencie'!$D$3:$D$102,'TCO TO BE - HW'!$B$15)+SUMIFS('Rozpočet - HW a licencie'!$I$3:$I$102,'Rozpočet - HW a licencie'!$A$3:$A$102,'TCO TO BE - HW'!Q$2,'Rozpočet - HW a licencie'!$C$3:$C$102,"SW pre HW",'Rozpočet - HW a licencie'!$G$3:$G$102,'TCO TO BE - HW'!$D8,'Rozpočet - HW a licencie'!$D$3:$D$102,'TCO TO BE - HW'!$B$15),)</f>
        <v>0</v>
      </c>
      <c r="R18" s="576">
        <f>IFERROR(SUMIFS('Rozpočet - HW a licencie'!$I$3:$I$102,'Rozpočet - HW a licencie'!$A$3:$A$102,'TCO TO BE - HW'!R$2,'Rozpočet - HW a licencie'!$C$3:$C$102,"HW",'Rozpočet - HW a licencie'!$G$3:$G$102,'TCO TO BE - HW'!$D8,'Rozpočet - HW a licencie'!$D$3:$D$102,'TCO TO BE - HW'!$B$15)+SUMIFS('Rozpočet - HW a licencie'!$I$3:$I$102,'Rozpočet - HW a licencie'!$A$3:$A$102,'TCO TO BE - HW'!R$2,'Rozpočet - HW a licencie'!$C$3:$C$102,"SW pre HW",'Rozpočet - HW a licencie'!$G$3:$G$102,'TCO TO BE - HW'!$D8,'Rozpočet - HW a licencie'!$D$3:$D$102,'TCO TO BE - HW'!$B$15),)</f>
        <v>0</v>
      </c>
      <c r="S18" s="576">
        <f>IFERROR(SUMIFS('Rozpočet - HW a licencie'!$I$3:$I$102,'Rozpočet - HW a licencie'!$A$3:$A$102,'TCO TO BE - HW'!S$2,'Rozpočet - HW a licencie'!$C$3:$C$102,"HW",'Rozpočet - HW a licencie'!$G$3:$G$102,'TCO TO BE - HW'!$D8,'Rozpočet - HW a licencie'!$D$3:$D$102,'TCO TO BE - HW'!$B$15)+SUMIFS('Rozpočet - HW a licencie'!$I$3:$I$102,'Rozpočet - HW a licencie'!$A$3:$A$102,'TCO TO BE - HW'!S$2,'Rozpočet - HW a licencie'!$C$3:$C$102,"SW pre HW",'Rozpočet - HW a licencie'!$G$3:$G$102,'TCO TO BE - HW'!$D8,'Rozpočet - HW a licencie'!$D$3:$D$102,'TCO TO BE - HW'!$B$15),)</f>
        <v>0</v>
      </c>
      <c r="T18" s="576">
        <f>IFERROR(SUMIFS('Rozpočet - HW a licencie'!$I$3:$I$102,'Rozpočet - HW a licencie'!$A$3:$A$102,'TCO TO BE - HW'!T$2,'Rozpočet - HW a licencie'!$C$3:$C$102,"HW",'Rozpočet - HW a licencie'!$G$3:$G$102,'TCO TO BE - HW'!$D8,'Rozpočet - HW a licencie'!$D$3:$D$102,'TCO TO BE - HW'!$B$15)+SUMIFS('Rozpočet - HW a licencie'!$I$3:$I$102,'Rozpočet - HW a licencie'!$A$3:$A$102,'TCO TO BE - HW'!T$2,'Rozpočet - HW a licencie'!$C$3:$C$102,"SW pre HW",'Rozpočet - HW a licencie'!$G$3:$G$102,'TCO TO BE - HW'!$D8,'Rozpočet - HW a licencie'!$D$3:$D$102,'TCO TO BE - HW'!$B$15),)</f>
        <v>0</v>
      </c>
      <c r="U18" s="576">
        <f>IFERROR(SUMIFS('Rozpočet - HW a licencie'!$I$3:$I$102,'Rozpočet - HW a licencie'!$A$3:$A$102,'TCO TO BE - HW'!U$2,'Rozpočet - HW a licencie'!$C$3:$C$102,"HW",'Rozpočet - HW a licencie'!$G$3:$G$102,'TCO TO BE - HW'!$D8,'Rozpočet - HW a licencie'!$D$3:$D$102,'TCO TO BE - HW'!$B$15)+SUMIFS('Rozpočet - HW a licencie'!$I$3:$I$102,'Rozpočet - HW a licencie'!$A$3:$A$102,'TCO TO BE - HW'!U$2,'Rozpočet - HW a licencie'!$C$3:$C$102,"SW pre HW",'Rozpočet - HW a licencie'!$G$3:$G$102,'TCO TO BE - HW'!$D8,'Rozpočet - HW a licencie'!$D$3:$D$102,'TCO TO BE - HW'!$B$15),)</f>
        <v>0</v>
      </c>
      <c r="V18" s="576">
        <f>IFERROR(SUMIFS('Rozpočet - HW a licencie'!$I$3:$I$102,'Rozpočet - HW a licencie'!$A$3:$A$102,'TCO TO BE - HW'!V$2,'Rozpočet - HW a licencie'!$C$3:$C$102,"HW",'Rozpočet - HW a licencie'!$G$3:$G$102,'TCO TO BE - HW'!$D8,'Rozpočet - HW a licencie'!$D$3:$D$102,'TCO TO BE - HW'!$B$15)+SUMIFS('Rozpočet - HW a licencie'!$I$3:$I$102,'Rozpočet - HW a licencie'!$A$3:$A$102,'TCO TO BE - HW'!V$2,'Rozpočet - HW a licencie'!$C$3:$C$102,"SW pre HW",'Rozpočet - HW a licencie'!$G$3:$G$102,'TCO TO BE - HW'!$D8,'Rozpočet - HW a licencie'!$D$3:$D$102,'TCO TO BE - HW'!$B$15),)</f>
        <v>0</v>
      </c>
      <c r="W18" s="576">
        <f>IFERROR(SUMIFS('Rozpočet - HW a licencie'!$I$3:$I$102,'Rozpočet - HW a licencie'!$A$3:$A$102,'TCO TO BE - HW'!W$2,'Rozpočet - HW a licencie'!$C$3:$C$102,"HW",'Rozpočet - HW a licencie'!$G$3:$G$102,'TCO TO BE - HW'!$D8,'Rozpočet - HW a licencie'!$D$3:$D$102,'TCO TO BE - HW'!$B$15)+SUMIFS('Rozpočet - HW a licencie'!$I$3:$I$102,'Rozpočet - HW a licencie'!$A$3:$A$102,'TCO TO BE - HW'!W$2,'Rozpočet - HW a licencie'!$C$3:$C$102,"SW pre HW",'Rozpočet - HW a licencie'!$G$3:$G$102,'TCO TO BE - HW'!$D8,'Rozpočet - HW a licencie'!$D$3:$D$102,'TCO TO BE - HW'!$B$15),)</f>
        <v>0</v>
      </c>
      <c r="X18" s="576">
        <f>IFERROR(SUMIFS('Rozpočet - HW a licencie'!$I$3:$I$102,'Rozpočet - HW a licencie'!$A$3:$A$102,'TCO TO BE - HW'!X$2,'Rozpočet - HW a licencie'!$C$3:$C$102,"HW",'Rozpočet - HW a licencie'!$G$3:$G$102,'TCO TO BE - HW'!$D8,'Rozpočet - HW a licencie'!$D$3:$D$102,'TCO TO BE - HW'!$B$15)+SUMIFS('Rozpočet - HW a licencie'!$I$3:$I$102,'Rozpočet - HW a licencie'!$A$3:$A$102,'TCO TO BE - HW'!X$2,'Rozpočet - HW a licencie'!$C$3:$C$102,"SW pre HW",'Rozpočet - HW a licencie'!$G$3:$G$102,'TCO TO BE - HW'!$D8,'Rozpočet - HW a licencie'!$D$3:$D$102,'TCO TO BE - HW'!$B$15),)</f>
        <v>0</v>
      </c>
      <c r="Y18" s="576">
        <f>IFERROR(SUMIFS('Rozpočet - HW a licencie'!$I$3:$I$102,'Rozpočet - HW a licencie'!$A$3:$A$102,'TCO TO BE - HW'!Y$2,'Rozpočet - HW a licencie'!$C$3:$C$102,"HW",'Rozpočet - HW a licencie'!$G$3:$G$102,'TCO TO BE - HW'!$D8,'Rozpočet - HW a licencie'!$D$3:$D$102,'TCO TO BE - HW'!$B$15)+SUMIFS('Rozpočet - HW a licencie'!$I$3:$I$102,'Rozpočet - HW a licencie'!$A$3:$A$102,'TCO TO BE - HW'!Y$2,'Rozpočet - HW a licencie'!$C$3:$C$102,"SW pre HW",'Rozpočet - HW a licencie'!$G$3:$G$102,'TCO TO BE - HW'!$D8,'Rozpočet - HW a licencie'!$D$3:$D$102,'TCO TO BE - HW'!$B$15),)</f>
        <v>0</v>
      </c>
      <c r="Z18" s="576">
        <f>IFERROR(SUMIFS('Rozpočet - HW a licencie'!$I$3:$I$102,'Rozpočet - HW a licencie'!$A$3:$A$102,'TCO TO BE - HW'!Z$2,'Rozpočet - HW a licencie'!$C$3:$C$102,"HW",'Rozpočet - HW a licencie'!$G$3:$G$102,'TCO TO BE - HW'!$D8,'Rozpočet - HW a licencie'!$D$3:$D$102,'TCO TO BE - HW'!$B$15)+SUMIFS('Rozpočet - HW a licencie'!$I$3:$I$102,'Rozpočet - HW a licencie'!$A$3:$A$102,'TCO TO BE - HW'!Z$2,'Rozpočet - HW a licencie'!$C$3:$C$102,"SW pre HW",'Rozpočet - HW a licencie'!$G$3:$G$102,'TCO TO BE - HW'!$D8,'Rozpočet - HW a licencie'!$D$3:$D$102,'TCO TO BE - HW'!$B$15),)</f>
        <v>0</v>
      </c>
    </row>
    <row r="19" spans="1:26" outlineLevel="1">
      <c r="A19" s="841"/>
      <c r="B19" s="842"/>
      <c r="C19" s="842"/>
      <c r="D19" s="498">
        <v>5</v>
      </c>
      <c r="E19" s="68">
        <f t="shared" si="2"/>
        <v>0</v>
      </c>
      <c r="F19" s="576">
        <f>IFERROR(SUMIFS('Rozpočet - HW a licencie'!$I$3:$I$102,'Rozpočet - HW a licencie'!$A$3:$A$102,'TCO TO BE - HW'!F$2,'Rozpočet - HW a licencie'!$C$3:$C$102,"HW",'Rozpočet - HW a licencie'!$G$3:$G$102,'TCO TO BE - HW'!$D9,'Rozpočet - HW a licencie'!$D$3:$D$102,'TCO TO BE - HW'!$B$15)+SUMIFS('Rozpočet - HW a licencie'!$I$3:$I$102,'Rozpočet - HW a licencie'!$A$3:$A$102,'TCO TO BE - HW'!F$2,'Rozpočet - HW a licencie'!$C$3:$C$102,"SW pre HW",'Rozpočet - HW a licencie'!$G$3:$G$102,'TCO TO BE - HW'!$D9,'Rozpočet - HW a licencie'!$D$3:$D$102,'TCO TO BE - HW'!$B$15),)</f>
        <v>0</v>
      </c>
      <c r="G19" s="576">
        <f>IFERROR(SUMIFS('Rozpočet - HW a licencie'!$I$3:$I$102,'Rozpočet - HW a licencie'!$A$3:$A$102,'TCO TO BE - HW'!G$2,'Rozpočet - HW a licencie'!$C$3:$C$102,"HW",'Rozpočet - HW a licencie'!$G$3:$G$102,'TCO TO BE - HW'!$D9,'Rozpočet - HW a licencie'!$D$3:$D$102,'TCO TO BE - HW'!$B$15)+SUMIFS('Rozpočet - HW a licencie'!$I$3:$I$102,'Rozpočet - HW a licencie'!$A$3:$A$102,'TCO TO BE - HW'!G$2,'Rozpočet - HW a licencie'!$C$3:$C$102,"SW pre HW",'Rozpočet - HW a licencie'!$G$3:$G$102,'TCO TO BE - HW'!$D9,'Rozpočet - HW a licencie'!$D$3:$D$102,'TCO TO BE - HW'!$B$15),)</f>
        <v>0</v>
      </c>
      <c r="H19" s="576">
        <f>IFERROR(SUMIFS('Rozpočet - HW a licencie'!$I$3:$I$102,'Rozpočet - HW a licencie'!$A$3:$A$102,'TCO TO BE - HW'!H$2,'Rozpočet - HW a licencie'!$C$3:$C$102,"HW",'Rozpočet - HW a licencie'!$G$3:$G$102,'TCO TO BE - HW'!$D9,'Rozpočet - HW a licencie'!$D$3:$D$102,'TCO TO BE - HW'!$B$15)+SUMIFS('Rozpočet - HW a licencie'!$I$3:$I$102,'Rozpočet - HW a licencie'!$A$3:$A$102,'TCO TO BE - HW'!H$2,'Rozpočet - HW a licencie'!$C$3:$C$102,"SW pre HW",'Rozpočet - HW a licencie'!$G$3:$G$102,'TCO TO BE - HW'!$D9,'Rozpočet - HW a licencie'!$D$3:$D$102,'TCO TO BE - HW'!$B$15),)</f>
        <v>0</v>
      </c>
      <c r="I19" s="576">
        <f>IFERROR(SUMIFS('Rozpočet - HW a licencie'!$I$3:$I$102,'Rozpočet - HW a licencie'!$A$3:$A$102,'TCO TO BE - HW'!I$2,'Rozpočet - HW a licencie'!$C$3:$C$102,"HW",'Rozpočet - HW a licencie'!$G$3:$G$102,'TCO TO BE - HW'!$D9,'Rozpočet - HW a licencie'!$D$3:$D$102,'TCO TO BE - HW'!$B$15)+SUMIFS('Rozpočet - HW a licencie'!$I$3:$I$102,'Rozpočet - HW a licencie'!$A$3:$A$102,'TCO TO BE - HW'!I$2,'Rozpočet - HW a licencie'!$C$3:$C$102,"SW pre HW",'Rozpočet - HW a licencie'!$G$3:$G$102,'TCO TO BE - HW'!$D9,'Rozpočet - HW a licencie'!$D$3:$D$102,'TCO TO BE - HW'!$B$15),)</f>
        <v>0</v>
      </c>
      <c r="J19" s="576">
        <f>IFERROR(SUMIFS('Rozpočet - HW a licencie'!$I$3:$I$102,'Rozpočet - HW a licencie'!$A$3:$A$102,'TCO TO BE - HW'!J$2,'Rozpočet - HW a licencie'!$C$3:$C$102,"HW",'Rozpočet - HW a licencie'!$G$3:$G$102,'TCO TO BE - HW'!$D9,'Rozpočet - HW a licencie'!$D$3:$D$102,'TCO TO BE - HW'!$B$15)+SUMIFS('Rozpočet - HW a licencie'!$I$3:$I$102,'Rozpočet - HW a licencie'!$A$3:$A$102,'TCO TO BE - HW'!J$2,'Rozpočet - HW a licencie'!$C$3:$C$102,"SW pre HW",'Rozpočet - HW a licencie'!$G$3:$G$102,'TCO TO BE - HW'!$D9,'Rozpočet - HW a licencie'!$D$3:$D$102,'TCO TO BE - HW'!$B$15),)</f>
        <v>0</v>
      </c>
      <c r="K19" s="576">
        <f>IFERROR(SUMIFS('Rozpočet - HW a licencie'!$I$3:$I$102,'Rozpočet - HW a licencie'!$A$3:$A$102,'TCO TO BE - HW'!K$2,'Rozpočet - HW a licencie'!$C$3:$C$102,"HW",'Rozpočet - HW a licencie'!$G$3:$G$102,'TCO TO BE - HW'!$D9,'Rozpočet - HW a licencie'!$D$3:$D$102,'TCO TO BE - HW'!$B$15)+SUMIFS('Rozpočet - HW a licencie'!$I$3:$I$102,'Rozpočet - HW a licencie'!$A$3:$A$102,'TCO TO BE - HW'!K$2,'Rozpočet - HW a licencie'!$C$3:$C$102,"SW pre HW",'Rozpočet - HW a licencie'!$G$3:$G$102,'TCO TO BE - HW'!$D9,'Rozpočet - HW a licencie'!$D$3:$D$102,'TCO TO BE - HW'!$B$15),)</f>
        <v>0</v>
      </c>
      <c r="L19" s="576">
        <f>IFERROR(SUMIFS('Rozpočet - HW a licencie'!$I$3:$I$102,'Rozpočet - HW a licencie'!$A$3:$A$102,'TCO TO BE - HW'!L$2,'Rozpočet - HW a licencie'!$C$3:$C$102,"HW",'Rozpočet - HW a licencie'!$G$3:$G$102,'TCO TO BE - HW'!$D9,'Rozpočet - HW a licencie'!$D$3:$D$102,'TCO TO BE - HW'!$B$15)+SUMIFS('Rozpočet - HW a licencie'!$I$3:$I$102,'Rozpočet - HW a licencie'!$A$3:$A$102,'TCO TO BE - HW'!L$2,'Rozpočet - HW a licencie'!$C$3:$C$102,"SW pre HW",'Rozpočet - HW a licencie'!$G$3:$G$102,'TCO TO BE - HW'!$D9,'Rozpočet - HW a licencie'!$D$3:$D$102,'TCO TO BE - HW'!$B$15),)</f>
        <v>0</v>
      </c>
      <c r="M19" s="576">
        <f>IFERROR(SUMIFS('Rozpočet - HW a licencie'!$I$3:$I$102,'Rozpočet - HW a licencie'!$A$3:$A$102,'TCO TO BE - HW'!M$2,'Rozpočet - HW a licencie'!$C$3:$C$102,"HW",'Rozpočet - HW a licencie'!$G$3:$G$102,'TCO TO BE - HW'!$D9,'Rozpočet - HW a licencie'!$D$3:$D$102,'TCO TO BE - HW'!$B$15)+SUMIFS('Rozpočet - HW a licencie'!$I$3:$I$102,'Rozpočet - HW a licencie'!$A$3:$A$102,'TCO TO BE - HW'!M$2,'Rozpočet - HW a licencie'!$C$3:$C$102,"SW pre HW",'Rozpočet - HW a licencie'!$G$3:$G$102,'TCO TO BE - HW'!$D9,'Rozpočet - HW a licencie'!$D$3:$D$102,'TCO TO BE - HW'!$B$15),)</f>
        <v>0</v>
      </c>
      <c r="N19" s="576">
        <f>IFERROR(SUMIFS('Rozpočet - HW a licencie'!$I$3:$I$102,'Rozpočet - HW a licencie'!$A$3:$A$102,'TCO TO BE - HW'!N$2,'Rozpočet - HW a licencie'!$C$3:$C$102,"HW",'Rozpočet - HW a licencie'!$G$3:$G$102,'TCO TO BE - HW'!$D9,'Rozpočet - HW a licencie'!$D$3:$D$102,'TCO TO BE - HW'!$B$15)+SUMIFS('Rozpočet - HW a licencie'!$I$3:$I$102,'Rozpočet - HW a licencie'!$A$3:$A$102,'TCO TO BE - HW'!N$2,'Rozpočet - HW a licencie'!$C$3:$C$102,"SW pre HW",'Rozpočet - HW a licencie'!$G$3:$G$102,'TCO TO BE - HW'!$D9,'Rozpočet - HW a licencie'!$D$3:$D$102,'TCO TO BE - HW'!$B$15),)</f>
        <v>0</v>
      </c>
      <c r="O19" s="576">
        <f>IFERROR(SUMIFS('Rozpočet - HW a licencie'!$I$3:$I$102,'Rozpočet - HW a licencie'!$A$3:$A$102,'TCO TO BE - HW'!O$2,'Rozpočet - HW a licencie'!$C$3:$C$102,"HW",'Rozpočet - HW a licencie'!$G$3:$G$102,'TCO TO BE - HW'!$D9,'Rozpočet - HW a licencie'!$D$3:$D$102,'TCO TO BE - HW'!$B$15)+SUMIFS('Rozpočet - HW a licencie'!$I$3:$I$102,'Rozpočet - HW a licencie'!$A$3:$A$102,'TCO TO BE - HW'!O$2,'Rozpočet - HW a licencie'!$C$3:$C$102,"SW pre HW",'Rozpočet - HW a licencie'!$G$3:$G$102,'TCO TO BE - HW'!$D9,'Rozpočet - HW a licencie'!$D$3:$D$102,'TCO TO BE - HW'!$B$15),)</f>
        <v>0</v>
      </c>
      <c r="P19" s="576">
        <f>IFERROR(SUMIFS('Rozpočet - HW a licencie'!$I$3:$I$102,'Rozpočet - HW a licencie'!$A$3:$A$102,'TCO TO BE - HW'!P$2,'Rozpočet - HW a licencie'!$C$3:$C$102,"HW",'Rozpočet - HW a licencie'!$G$3:$G$102,'TCO TO BE - HW'!$D9,'Rozpočet - HW a licencie'!$D$3:$D$102,'TCO TO BE - HW'!$B$15)+SUMIFS('Rozpočet - HW a licencie'!$I$3:$I$102,'Rozpočet - HW a licencie'!$A$3:$A$102,'TCO TO BE - HW'!P$2,'Rozpočet - HW a licencie'!$C$3:$C$102,"SW pre HW",'Rozpočet - HW a licencie'!$G$3:$G$102,'TCO TO BE - HW'!$D9,'Rozpočet - HW a licencie'!$D$3:$D$102,'TCO TO BE - HW'!$B$15),)</f>
        <v>0</v>
      </c>
      <c r="Q19" s="576">
        <f>IFERROR(SUMIFS('Rozpočet - HW a licencie'!$I$3:$I$102,'Rozpočet - HW a licencie'!$A$3:$A$102,'TCO TO BE - HW'!Q$2,'Rozpočet - HW a licencie'!$C$3:$C$102,"HW",'Rozpočet - HW a licencie'!$G$3:$G$102,'TCO TO BE - HW'!$D9,'Rozpočet - HW a licencie'!$D$3:$D$102,'TCO TO BE - HW'!$B$15)+SUMIFS('Rozpočet - HW a licencie'!$I$3:$I$102,'Rozpočet - HW a licencie'!$A$3:$A$102,'TCO TO BE - HW'!Q$2,'Rozpočet - HW a licencie'!$C$3:$C$102,"SW pre HW",'Rozpočet - HW a licencie'!$G$3:$G$102,'TCO TO BE - HW'!$D9,'Rozpočet - HW a licencie'!$D$3:$D$102,'TCO TO BE - HW'!$B$15),)</f>
        <v>0</v>
      </c>
      <c r="R19" s="576">
        <f>IFERROR(SUMIFS('Rozpočet - HW a licencie'!$I$3:$I$102,'Rozpočet - HW a licencie'!$A$3:$A$102,'TCO TO BE - HW'!R$2,'Rozpočet - HW a licencie'!$C$3:$C$102,"HW",'Rozpočet - HW a licencie'!$G$3:$G$102,'TCO TO BE - HW'!$D9,'Rozpočet - HW a licencie'!$D$3:$D$102,'TCO TO BE - HW'!$B$15)+SUMIFS('Rozpočet - HW a licencie'!$I$3:$I$102,'Rozpočet - HW a licencie'!$A$3:$A$102,'TCO TO BE - HW'!R$2,'Rozpočet - HW a licencie'!$C$3:$C$102,"SW pre HW",'Rozpočet - HW a licencie'!$G$3:$G$102,'TCO TO BE - HW'!$D9,'Rozpočet - HW a licencie'!$D$3:$D$102,'TCO TO BE - HW'!$B$15),)</f>
        <v>0</v>
      </c>
      <c r="S19" s="576">
        <f>IFERROR(SUMIFS('Rozpočet - HW a licencie'!$I$3:$I$102,'Rozpočet - HW a licencie'!$A$3:$A$102,'TCO TO BE - HW'!S$2,'Rozpočet - HW a licencie'!$C$3:$C$102,"HW",'Rozpočet - HW a licencie'!$G$3:$G$102,'TCO TO BE - HW'!$D9,'Rozpočet - HW a licencie'!$D$3:$D$102,'TCO TO BE - HW'!$B$15)+SUMIFS('Rozpočet - HW a licencie'!$I$3:$I$102,'Rozpočet - HW a licencie'!$A$3:$A$102,'TCO TO BE - HW'!S$2,'Rozpočet - HW a licencie'!$C$3:$C$102,"SW pre HW",'Rozpočet - HW a licencie'!$G$3:$G$102,'TCO TO BE - HW'!$D9,'Rozpočet - HW a licencie'!$D$3:$D$102,'TCO TO BE - HW'!$B$15),)</f>
        <v>0</v>
      </c>
      <c r="T19" s="576">
        <f>IFERROR(SUMIFS('Rozpočet - HW a licencie'!$I$3:$I$102,'Rozpočet - HW a licencie'!$A$3:$A$102,'TCO TO BE - HW'!T$2,'Rozpočet - HW a licencie'!$C$3:$C$102,"HW",'Rozpočet - HW a licencie'!$G$3:$G$102,'TCO TO BE - HW'!$D9,'Rozpočet - HW a licencie'!$D$3:$D$102,'TCO TO BE - HW'!$B$15)+SUMIFS('Rozpočet - HW a licencie'!$I$3:$I$102,'Rozpočet - HW a licencie'!$A$3:$A$102,'TCO TO BE - HW'!T$2,'Rozpočet - HW a licencie'!$C$3:$C$102,"SW pre HW",'Rozpočet - HW a licencie'!$G$3:$G$102,'TCO TO BE - HW'!$D9,'Rozpočet - HW a licencie'!$D$3:$D$102,'TCO TO BE - HW'!$B$15),)</f>
        <v>0</v>
      </c>
      <c r="U19" s="576">
        <f>IFERROR(SUMIFS('Rozpočet - HW a licencie'!$I$3:$I$102,'Rozpočet - HW a licencie'!$A$3:$A$102,'TCO TO BE - HW'!U$2,'Rozpočet - HW a licencie'!$C$3:$C$102,"HW",'Rozpočet - HW a licencie'!$G$3:$G$102,'TCO TO BE - HW'!$D9,'Rozpočet - HW a licencie'!$D$3:$D$102,'TCO TO BE - HW'!$B$15)+SUMIFS('Rozpočet - HW a licencie'!$I$3:$I$102,'Rozpočet - HW a licencie'!$A$3:$A$102,'TCO TO BE - HW'!U$2,'Rozpočet - HW a licencie'!$C$3:$C$102,"SW pre HW",'Rozpočet - HW a licencie'!$G$3:$G$102,'TCO TO BE - HW'!$D9,'Rozpočet - HW a licencie'!$D$3:$D$102,'TCO TO BE - HW'!$B$15),)</f>
        <v>0</v>
      </c>
      <c r="V19" s="576">
        <f>IFERROR(SUMIFS('Rozpočet - HW a licencie'!$I$3:$I$102,'Rozpočet - HW a licencie'!$A$3:$A$102,'TCO TO BE - HW'!V$2,'Rozpočet - HW a licencie'!$C$3:$C$102,"HW",'Rozpočet - HW a licencie'!$G$3:$G$102,'TCO TO BE - HW'!$D9,'Rozpočet - HW a licencie'!$D$3:$D$102,'TCO TO BE - HW'!$B$15)+SUMIFS('Rozpočet - HW a licencie'!$I$3:$I$102,'Rozpočet - HW a licencie'!$A$3:$A$102,'TCO TO BE - HW'!V$2,'Rozpočet - HW a licencie'!$C$3:$C$102,"SW pre HW",'Rozpočet - HW a licencie'!$G$3:$G$102,'TCO TO BE - HW'!$D9,'Rozpočet - HW a licencie'!$D$3:$D$102,'TCO TO BE - HW'!$B$15),)</f>
        <v>0</v>
      </c>
      <c r="W19" s="576">
        <f>IFERROR(SUMIFS('Rozpočet - HW a licencie'!$I$3:$I$102,'Rozpočet - HW a licencie'!$A$3:$A$102,'TCO TO BE - HW'!W$2,'Rozpočet - HW a licencie'!$C$3:$C$102,"HW",'Rozpočet - HW a licencie'!$G$3:$G$102,'TCO TO BE - HW'!$D9,'Rozpočet - HW a licencie'!$D$3:$D$102,'TCO TO BE - HW'!$B$15)+SUMIFS('Rozpočet - HW a licencie'!$I$3:$I$102,'Rozpočet - HW a licencie'!$A$3:$A$102,'TCO TO BE - HW'!W$2,'Rozpočet - HW a licencie'!$C$3:$C$102,"SW pre HW",'Rozpočet - HW a licencie'!$G$3:$G$102,'TCO TO BE - HW'!$D9,'Rozpočet - HW a licencie'!$D$3:$D$102,'TCO TO BE - HW'!$B$15),)</f>
        <v>0</v>
      </c>
      <c r="X19" s="576">
        <f>IFERROR(SUMIFS('Rozpočet - HW a licencie'!$I$3:$I$102,'Rozpočet - HW a licencie'!$A$3:$A$102,'TCO TO BE - HW'!X$2,'Rozpočet - HW a licencie'!$C$3:$C$102,"HW",'Rozpočet - HW a licencie'!$G$3:$G$102,'TCO TO BE - HW'!$D9,'Rozpočet - HW a licencie'!$D$3:$D$102,'TCO TO BE - HW'!$B$15)+SUMIFS('Rozpočet - HW a licencie'!$I$3:$I$102,'Rozpočet - HW a licencie'!$A$3:$A$102,'TCO TO BE - HW'!X$2,'Rozpočet - HW a licencie'!$C$3:$C$102,"SW pre HW",'Rozpočet - HW a licencie'!$G$3:$G$102,'TCO TO BE - HW'!$D9,'Rozpočet - HW a licencie'!$D$3:$D$102,'TCO TO BE - HW'!$B$15),)</f>
        <v>0</v>
      </c>
      <c r="Y19" s="576">
        <f>IFERROR(SUMIFS('Rozpočet - HW a licencie'!$I$3:$I$102,'Rozpočet - HW a licencie'!$A$3:$A$102,'TCO TO BE - HW'!Y$2,'Rozpočet - HW a licencie'!$C$3:$C$102,"HW",'Rozpočet - HW a licencie'!$G$3:$G$102,'TCO TO BE - HW'!$D9,'Rozpočet - HW a licencie'!$D$3:$D$102,'TCO TO BE - HW'!$B$15)+SUMIFS('Rozpočet - HW a licencie'!$I$3:$I$102,'Rozpočet - HW a licencie'!$A$3:$A$102,'TCO TO BE - HW'!Y$2,'Rozpočet - HW a licencie'!$C$3:$C$102,"SW pre HW",'Rozpočet - HW a licencie'!$G$3:$G$102,'TCO TO BE - HW'!$D9,'Rozpočet - HW a licencie'!$D$3:$D$102,'TCO TO BE - HW'!$B$15),)</f>
        <v>0</v>
      </c>
      <c r="Z19" s="576">
        <f>IFERROR(SUMIFS('Rozpočet - HW a licencie'!$I$3:$I$102,'Rozpočet - HW a licencie'!$A$3:$A$102,'TCO TO BE - HW'!Z$2,'Rozpočet - HW a licencie'!$C$3:$C$102,"HW",'Rozpočet - HW a licencie'!$G$3:$G$102,'TCO TO BE - HW'!$D9,'Rozpočet - HW a licencie'!$D$3:$D$102,'TCO TO BE - HW'!$B$15)+SUMIFS('Rozpočet - HW a licencie'!$I$3:$I$102,'Rozpočet - HW a licencie'!$A$3:$A$102,'TCO TO BE - HW'!Z$2,'Rozpočet - HW a licencie'!$C$3:$C$102,"SW pre HW",'Rozpočet - HW a licencie'!$G$3:$G$102,'TCO TO BE - HW'!$D9,'Rozpočet - HW a licencie'!$D$3:$D$102,'TCO TO BE - HW'!$B$15),)</f>
        <v>0</v>
      </c>
    </row>
    <row r="20" spans="1:26" outlineLevel="1">
      <c r="A20" s="841"/>
      <c r="B20" s="842"/>
      <c r="C20" s="842"/>
      <c r="D20" s="498">
        <v>6</v>
      </c>
      <c r="E20" s="68">
        <f t="shared" si="2"/>
        <v>0</v>
      </c>
      <c r="F20" s="576">
        <f>IFERROR(SUMIFS('Rozpočet - HW a licencie'!$I$3:$I$102,'Rozpočet - HW a licencie'!$A$3:$A$102,'TCO TO BE - HW'!F$2,'Rozpočet - HW a licencie'!$C$3:$C$102,"HW",'Rozpočet - HW a licencie'!$G$3:$G$102,'TCO TO BE - HW'!$D10,'Rozpočet - HW a licencie'!$D$3:$D$102,'TCO TO BE - HW'!$B$15)+SUMIFS('Rozpočet - HW a licencie'!$I$3:$I$102,'Rozpočet - HW a licencie'!$A$3:$A$102,'TCO TO BE - HW'!F$2,'Rozpočet - HW a licencie'!$C$3:$C$102,"SW pre HW",'Rozpočet - HW a licencie'!$G$3:$G$102,'TCO TO BE - HW'!$D10,'Rozpočet - HW a licencie'!$D$3:$D$102,'TCO TO BE - HW'!$B$15),)</f>
        <v>0</v>
      </c>
      <c r="G20" s="576">
        <f>IFERROR(SUMIFS('Rozpočet - HW a licencie'!$I$3:$I$102,'Rozpočet - HW a licencie'!$A$3:$A$102,'TCO TO BE - HW'!G$2,'Rozpočet - HW a licencie'!$C$3:$C$102,"HW",'Rozpočet - HW a licencie'!$G$3:$G$102,'TCO TO BE - HW'!$D10,'Rozpočet - HW a licencie'!$D$3:$D$102,'TCO TO BE - HW'!$B$15)+SUMIFS('Rozpočet - HW a licencie'!$I$3:$I$102,'Rozpočet - HW a licencie'!$A$3:$A$102,'TCO TO BE - HW'!G$2,'Rozpočet - HW a licencie'!$C$3:$C$102,"SW pre HW",'Rozpočet - HW a licencie'!$G$3:$G$102,'TCO TO BE - HW'!$D10,'Rozpočet - HW a licencie'!$D$3:$D$102,'TCO TO BE - HW'!$B$15),)</f>
        <v>0</v>
      </c>
      <c r="H20" s="576">
        <f>IFERROR(SUMIFS('Rozpočet - HW a licencie'!$I$3:$I$102,'Rozpočet - HW a licencie'!$A$3:$A$102,'TCO TO BE - HW'!H$2,'Rozpočet - HW a licencie'!$C$3:$C$102,"HW",'Rozpočet - HW a licencie'!$G$3:$G$102,'TCO TO BE - HW'!$D10,'Rozpočet - HW a licencie'!$D$3:$D$102,'TCO TO BE - HW'!$B$15)+SUMIFS('Rozpočet - HW a licencie'!$I$3:$I$102,'Rozpočet - HW a licencie'!$A$3:$A$102,'TCO TO BE - HW'!H$2,'Rozpočet - HW a licencie'!$C$3:$C$102,"SW pre HW",'Rozpočet - HW a licencie'!$G$3:$G$102,'TCO TO BE - HW'!$D10,'Rozpočet - HW a licencie'!$D$3:$D$102,'TCO TO BE - HW'!$B$15),)</f>
        <v>0</v>
      </c>
      <c r="I20" s="576">
        <f>IFERROR(SUMIFS('Rozpočet - HW a licencie'!$I$3:$I$102,'Rozpočet - HW a licencie'!$A$3:$A$102,'TCO TO BE - HW'!I$2,'Rozpočet - HW a licencie'!$C$3:$C$102,"HW",'Rozpočet - HW a licencie'!$G$3:$G$102,'TCO TO BE - HW'!$D10,'Rozpočet - HW a licencie'!$D$3:$D$102,'TCO TO BE - HW'!$B$15)+SUMIFS('Rozpočet - HW a licencie'!$I$3:$I$102,'Rozpočet - HW a licencie'!$A$3:$A$102,'TCO TO BE - HW'!I$2,'Rozpočet - HW a licencie'!$C$3:$C$102,"SW pre HW",'Rozpočet - HW a licencie'!$G$3:$G$102,'TCO TO BE - HW'!$D10,'Rozpočet - HW a licencie'!$D$3:$D$102,'TCO TO BE - HW'!$B$15),)</f>
        <v>0</v>
      </c>
      <c r="J20" s="576">
        <f>IFERROR(SUMIFS('Rozpočet - HW a licencie'!$I$3:$I$102,'Rozpočet - HW a licencie'!$A$3:$A$102,'TCO TO BE - HW'!J$2,'Rozpočet - HW a licencie'!$C$3:$C$102,"HW",'Rozpočet - HW a licencie'!$G$3:$G$102,'TCO TO BE - HW'!$D10,'Rozpočet - HW a licencie'!$D$3:$D$102,'TCO TO BE - HW'!$B$15)+SUMIFS('Rozpočet - HW a licencie'!$I$3:$I$102,'Rozpočet - HW a licencie'!$A$3:$A$102,'TCO TO BE - HW'!J$2,'Rozpočet - HW a licencie'!$C$3:$C$102,"SW pre HW",'Rozpočet - HW a licencie'!$G$3:$G$102,'TCO TO BE - HW'!$D10,'Rozpočet - HW a licencie'!$D$3:$D$102,'TCO TO BE - HW'!$B$15),)</f>
        <v>0</v>
      </c>
      <c r="K20" s="576">
        <f>IFERROR(SUMIFS('Rozpočet - HW a licencie'!$I$3:$I$102,'Rozpočet - HW a licencie'!$A$3:$A$102,'TCO TO BE - HW'!K$2,'Rozpočet - HW a licencie'!$C$3:$C$102,"HW",'Rozpočet - HW a licencie'!$G$3:$G$102,'TCO TO BE - HW'!$D10,'Rozpočet - HW a licencie'!$D$3:$D$102,'TCO TO BE - HW'!$B$15)+SUMIFS('Rozpočet - HW a licencie'!$I$3:$I$102,'Rozpočet - HW a licencie'!$A$3:$A$102,'TCO TO BE - HW'!K$2,'Rozpočet - HW a licencie'!$C$3:$C$102,"SW pre HW",'Rozpočet - HW a licencie'!$G$3:$G$102,'TCO TO BE - HW'!$D10,'Rozpočet - HW a licencie'!$D$3:$D$102,'TCO TO BE - HW'!$B$15),)</f>
        <v>0</v>
      </c>
      <c r="L20" s="576">
        <f>IFERROR(SUMIFS('Rozpočet - HW a licencie'!$I$3:$I$102,'Rozpočet - HW a licencie'!$A$3:$A$102,'TCO TO BE - HW'!L$2,'Rozpočet - HW a licencie'!$C$3:$C$102,"HW",'Rozpočet - HW a licencie'!$G$3:$G$102,'TCO TO BE - HW'!$D10,'Rozpočet - HW a licencie'!$D$3:$D$102,'TCO TO BE - HW'!$B$15)+SUMIFS('Rozpočet - HW a licencie'!$I$3:$I$102,'Rozpočet - HW a licencie'!$A$3:$A$102,'TCO TO BE - HW'!L$2,'Rozpočet - HW a licencie'!$C$3:$C$102,"SW pre HW",'Rozpočet - HW a licencie'!$G$3:$G$102,'TCO TO BE - HW'!$D10,'Rozpočet - HW a licencie'!$D$3:$D$102,'TCO TO BE - HW'!$B$15),)</f>
        <v>0</v>
      </c>
      <c r="M20" s="576">
        <f>IFERROR(SUMIFS('Rozpočet - HW a licencie'!$I$3:$I$102,'Rozpočet - HW a licencie'!$A$3:$A$102,'TCO TO BE - HW'!M$2,'Rozpočet - HW a licencie'!$C$3:$C$102,"HW",'Rozpočet - HW a licencie'!$G$3:$G$102,'TCO TO BE - HW'!$D10,'Rozpočet - HW a licencie'!$D$3:$D$102,'TCO TO BE - HW'!$B$15)+SUMIFS('Rozpočet - HW a licencie'!$I$3:$I$102,'Rozpočet - HW a licencie'!$A$3:$A$102,'TCO TO BE - HW'!M$2,'Rozpočet - HW a licencie'!$C$3:$C$102,"SW pre HW",'Rozpočet - HW a licencie'!$G$3:$G$102,'TCO TO BE - HW'!$D10,'Rozpočet - HW a licencie'!$D$3:$D$102,'TCO TO BE - HW'!$B$15),)</f>
        <v>0</v>
      </c>
      <c r="N20" s="576">
        <f>IFERROR(SUMIFS('Rozpočet - HW a licencie'!$I$3:$I$102,'Rozpočet - HW a licencie'!$A$3:$A$102,'TCO TO BE - HW'!N$2,'Rozpočet - HW a licencie'!$C$3:$C$102,"HW",'Rozpočet - HW a licencie'!$G$3:$G$102,'TCO TO BE - HW'!$D10,'Rozpočet - HW a licencie'!$D$3:$D$102,'TCO TO BE - HW'!$B$15)+SUMIFS('Rozpočet - HW a licencie'!$I$3:$I$102,'Rozpočet - HW a licencie'!$A$3:$A$102,'TCO TO BE - HW'!N$2,'Rozpočet - HW a licencie'!$C$3:$C$102,"SW pre HW",'Rozpočet - HW a licencie'!$G$3:$G$102,'TCO TO BE - HW'!$D10,'Rozpočet - HW a licencie'!$D$3:$D$102,'TCO TO BE - HW'!$B$15),)</f>
        <v>0</v>
      </c>
      <c r="O20" s="576">
        <f>IFERROR(SUMIFS('Rozpočet - HW a licencie'!$I$3:$I$102,'Rozpočet - HW a licencie'!$A$3:$A$102,'TCO TO BE - HW'!O$2,'Rozpočet - HW a licencie'!$C$3:$C$102,"HW",'Rozpočet - HW a licencie'!$G$3:$G$102,'TCO TO BE - HW'!$D10,'Rozpočet - HW a licencie'!$D$3:$D$102,'TCO TO BE - HW'!$B$15)+SUMIFS('Rozpočet - HW a licencie'!$I$3:$I$102,'Rozpočet - HW a licencie'!$A$3:$A$102,'TCO TO BE - HW'!O$2,'Rozpočet - HW a licencie'!$C$3:$C$102,"SW pre HW",'Rozpočet - HW a licencie'!$G$3:$G$102,'TCO TO BE - HW'!$D10,'Rozpočet - HW a licencie'!$D$3:$D$102,'TCO TO BE - HW'!$B$15),)</f>
        <v>0</v>
      </c>
      <c r="P20" s="576">
        <f>IFERROR(SUMIFS('Rozpočet - HW a licencie'!$I$3:$I$102,'Rozpočet - HW a licencie'!$A$3:$A$102,'TCO TO BE - HW'!P$2,'Rozpočet - HW a licencie'!$C$3:$C$102,"HW",'Rozpočet - HW a licencie'!$G$3:$G$102,'TCO TO BE - HW'!$D10,'Rozpočet - HW a licencie'!$D$3:$D$102,'TCO TO BE - HW'!$B$15)+SUMIFS('Rozpočet - HW a licencie'!$I$3:$I$102,'Rozpočet - HW a licencie'!$A$3:$A$102,'TCO TO BE - HW'!P$2,'Rozpočet - HW a licencie'!$C$3:$C$102,"SW pre HW",'Rozpočet - HW a licencie'!$G$3:$G$102,'TCO TO BE - HW'!$D10,'Rozpočet - HW a licencie'!$D$3:$D$102,'TCO TO BE - HW'!$B$15),)</f>
        <v>0</v>
      </c>
      <c r="Q20" s="576">
        <f>IFERROR(SUMIFS('Rozpočet - HW a licencie'!$I$3:$I$102,'Rozpočet - HW a licencie'!$A$3:$A$102,'TCO TO BE - HW'!Q$2,'Rozpočet - HW a licencie'!$C$3:$C$102,"HW",'Rozpočet - HW a licencie'!$G$3:$G$102,'TCO TO BE - HW'!$D10,'Rozpočet - HW a licencie'!$D$3:$D$102,'TCO TO BE - HW'!$B$15)+SUMIFS('Rozpočet - HW a licencie'!$I$3:$I$102,'Rozpočet - HW a licencie'!$A$3:$A$102,'TCO TO BE - HW'!Q$2,'Rozpočet - HW a licencie'!$C$3:$C$102,"SW pre HW",'Rozpočet - HW a licencie'!$G$3:$G$102,'TCO TO BE - HW'!$D10,'Rozpočet - HW a licencie'!$D$3:$D$102,'TCO TO BE - HW'!$B$15),)</f>
        <v>0</v>
      </c>
      <c r="R20" s="576">
        <f>IFERROR(SUMIFS('Rozpočet - HW a licencie'!$I$3:$I$102,'Rozpočet - HW a licencie'!$A$3:$A$102,'TCO TO BE - HW'!R$2,'Rozpočet - HW a licencie'!$C$3:$C$102,"HW",'Rozpočet - HW a licencie'!$G$3:$G$102,'TCO TO BE - HW'!$D10,'Rozpočet - HW a licencie'!$D$3:$D$102,'TCO TO BE - HW'!$B$15)+SUMIFS('Rozpočet - HW a licencie'!$I$3:$I$102,'Rozpočet - HW a licencie'!$A$3:$A$102,'TCO TO BE - HW'!R$2,'Rozpočet - HW a licencie'!$C$3:$C$102,"SW pre HW",'Rozpočet - HW a licencie'!$G$3:$G$102,'TCO TO BE - HW'!$D10,'Rozpočet - HW a licencie'!$D$3:$D$102,'TCO TO BE - HW'!$B$15),)</f>
        <v>0</v>
      </c>
      <c r="S20" s="576">
        <f>IFERROR(SUMIFS('Rozpočet - HW a licencie'!$I$3:$I$102,'Rozpočet - HW a licencie'!$A$3:$A$102,'TCO TO BE - HW'!S$2,'Rozpočet - HW a licencie'!$C$3:$C$102,"HW",'Rozpočet - HW a licencie'!$G$3:$G$102,'TCO TO BE - HW'!$D10,'Rozpočet - HW a licencie'!$D$3:$D$102,'TCO TO BE - HW'!$B$15)+SUMIFS('Rozpočet - HW a licencie'!$I$3:$I$102,'Rozpočet - HW a licencie'!$A$3:$A$102,'TCO TO BE - HW'!S$2,'Rozpočet - HW a licencie'!$C$3:$C$102,"SW pre HW",'Rozpočet - HW a licencie'!$G$3:$G$102,'TCO TO BE - HW'!$D10,'Rozpočet - HW a licencie'!$D$3:$D$102,'TCO TO BE - HW'!$B$15),)</f>
        <v>0</v>
      </c>
      <c r="T20" s="576">
        <f>IFERROR(SUMIFS('Rozpočet - HW a licencie'!$I$3:$I$102,'Rozpočet - HW a licencie'!$A$3:$A$102,'TCO TO BE - HW'!T$2,'Rozpočet - HW a licencie'!$C$3:$C$102,"HW",'Rozpočet - HW a licencie'!$G$3:$G$102,'TCO TO BE - HW'!$D10,'Rozpočet - HW a licencie'!$D$3:$D$102,'TCO TO BE - HW'!$B$15)+SUMIFS('Rozpočet - HW a licencie'!$I$3:$I$102,'Rozpočet - HW a licencie'!$A$3:$A$102,'TCO TO BE - HW'!T$2,'Rozpočet - HW a licencie'!$C$3:$C$102,"SW pre HW",'Rozpočet - HW a licencie'!$G$3:$G$102,'TCO TO BE - HW'!$D10,'Rozpočet - HW a licencie'!$D$3:$D$102,'TCO TO BE - HW'!$B$15),)</f>
        <v>0</v>
      </c>
      <c r="U20" s="576">
        <f>IFERROR(SUMIFS('Rozpočet - HW a licencie'!$I$3:$I$102,'Rozpočet - HW a licencie'!$A$3:$A$102,'TCO TO BE - HW'!U$2,'Rozpočet - HW a licencie'!$C$3:$C$102,"HW",'Rozpočet - HW a licencie'!$G$3:$G$102,'TCO TO BE - HW'!$D10,'Rozpočet - HW a licencie'!$D$3:$D$102,'TCO TO BE - HW'!$B$15)+SUMIFS('Rozpočet - HW a licencie'!$I$3:$I$102,'Rozpočet - HW a licencie'!$A$3:$A$102,'TCO TO BE - HW'!U$2,'Rozpočet - HW a licencie'!$C$3:$C$102,"SW pre HW",'Rozpočet - HW a licencie'!$G$3:$G$102,'TCO TO BE - HW'!$D10,'Rozpočet - HW a licencie'!$D$3:$D$102,'TCO TO BE - HW'!$B$15),)</f>
        <v>0</v>
      </c>
      <c r="V20" s="576">
        <f>IFERROR(SUMIFS('Rozpočet - HW a licencie'!$I$3:$I$102,'Rozpočet - HW a licencie'!$A$3:$A$102,'TCO TO BE - HW'!V$2,'Rozpočet - HW a licencie'!$C$3:$C$102,"HW",'Rozpočet - HW a licencie'!$G$3:$G$102,'TCO TO BE - HW'!$D10,'Rozpočet - HW a licencie'!$D$3:$D$102,'TCO TO BE - HW'!$B$15)+SUMIFS('Rozpočet - HW a licencie'!$I$3:$I$102,'Rozpočet - HW a licencie'!$A$3:$A$102,'TCO TO BE - HW'!V$2,'Rozpočet - HW a licencie'!$C$3:$C$102,"SW pre HW",'Rozpočet - HW a licencie'!$G$3:$G$102,'TCO TO BE - HW'!$D10,'Rozpočet - HW a licencie'!$D$3:$D$102,'TCO TO BE - HW'!$B$15),)</f>
        <v>0</v>
      </c>
      <c r="W20" s="576">
        <f>IFERROR(SUMIFS('Rozpočet - HW a licencie'!$I$3:$I$102,'Rozpočet - HW a licencie'!$A$3:$A$102,'TCO TO BE - HW'!W$2,'Rozpočet - HW a licencie'!$C$3:$C$102,"HW",'Rozpočet - HW a licencie'!$G$3:$G$102,'TCO TO BE - HW'!$D10,'Rozpočet - HW a licencie'!$D$3:$D$102,'TCO TO BE - HW'!$B$15)+SUMIFS('Rozpočet - HW a licencie'!$I$3:$I$102,'Rozpočet - HW a licencie'!$A$3:$A$102,'TCO TO BE - HW'!W$2,'Rozpočet - HW a licencie'!$C$3:$C$102,"SW pre HW",'Rozpočet - HW a licencie'!$G$3:$G$102,'TCO TO BE - HW'!$D10,'Rozpočet - HW a licencie'!$D$3:$D$102,'TCO TO BE - HW'!$B$15),)</f>
        <v>0</v>
      </c>
      <c r="X20" s="576">
        <f>IFERROR(SUMIFS('Rozpočet - HW a licencie'!$I$3:$I$102,'Rozpočet - HW a licencie'!$A$3:$A$102,'TCO TO BE - HW'!X$2,'Rozpočet - HW a licencie'!$C$3:$C$102,"HW",'Rozpočet - HW a licencie'!$G$3:$G$102,'TCO TO BE - HW'!$D10,'Rozpočet - HW a licencie'!$D$3:$D$102,'TCO TO BE - HW'!$B$15)+SUMIFS('Rozpočet - HW a licencie'!$I$3:$I$102,'Rozpočet - HW a licencie'!$A$3:$A$102,'TCO TO BE - HW'!X$2,'Rozpočet - HW a licencie'!$C$3:$C$102,"SW pre HW",'Rozpočet - HW a licencie'!$G$3:$G$102,'TCO TO BE - HW'!$D10,'Rozpočet - HW a licencie'!$D$3:$D$102,'TCO TO BE - HW'!$B$15),)</f>
        <v>0</v>
      </c>
      <c r="Y20" s="576">
        <f>IFERROR(SUMIFS('Rozpočet - HW a licencie'!$I$3:$I$102,'Rozpočet - HW a licencie'!$A$3:$A$102,'TCO TO BE - HW'!Y$2,'Rozpočet - HW a licencie'!$C$3:$C$102,"HW",'Rozpočet - HW a licencie'!$G$3:$G$102,'TCO TO BE - HW'!$D10,'Rozpočet - HW a licencie'!$D$3:$D$102,'TCO TO BE - HW'!$B$15)+SUMIFS('Rozpočet - HW a licencie'!$I$3:$I$102,'Rozpočet - HW a licencie'!$A$3:$A$102,'TCO TO BE - HW'!Y$2,'Rozpočet - HW a licencie'!$C$3:$C$102,"SW pre HW",'Rozpočet - HW a licencie'!$G$3:$G$102,'TCO TO BE - HW'!$D10,'Rozpočet - HW a licencie'!$D$3:$D$102,'TCO TO BE - HW'!$B$15),)</f>
        <v>0</v>
      </c>
      <c r="Z20" s="576">
        <f>IFERROR(SUMIFS('Rozpočet - HW a licencie'!$I$3:$I$102,'Rozpočet - HW a licencie'!$A$3:$A$102,'TCO TO BE - HW'!Z$2,'Rozpočet - HW a licencie'!$C$3:$C$102,"HW",'Rozpočet - HW a licencie'!$G$3:$G$102,'TCO TO BE - HW'!$D10,'Rozpočet - HW a licencie'!$D$3:$D$102,'TCO TO BE - HW'!$B$15)+SUMIFS('Rozpočet - HW a licencie'!$I$3:$I$102,'Rozpočet - HW a licencie'!$A$3:$A$102,'TCO TO BE - HW'!Z$2,'Rozpočet - HW a licencie'!$C$3:$C$102,"SW pre HW",'Rozpočet - HW a licencie'!$G$3:$G$102,'TCO TO BE - HW'!$D10,'Rozpočet - HW a licencie'!$D$3:$D$102,'TCO TO BE - HW'!$B$15),)</f>
        <v>0</v>
      </c>
    </row>
    <row r="21" spans="1:26" outlineLevel="1">
      <c r="A21" s="841"/>
      <c r="B21" s="842"/>
      <c r="C21" s="842"/>
      <c r="D21" s="498">
        <v>7</v>
      </c>
      <c r="E21" s="68">
        <f t="shared" si="2"/>
        <v>0</v>
      </c>
      <c r="F21" s="576">
        <f>IFERROR(SUMIFS('Rozpočet - HW a licencie'!$I$3:$I$102,'Rozpočet - HW a licencie'!$A$3:$A$102,'TCO TO BE - HW'!F$2,'Rozpočet - HW a licencie'!$C$3:$C$102,"HW",'Rozpočet - HW a licencie'!$G$3:$G$102,'TCO TO BE - HW'!$D11,'Rozpočet - HW a licencie'!$D$3:$D$102,'TCO TO BE - HW'!$B$15)+SUMIFS('Rozpočet - HW a licencie'!$I$3:$I$102,'Rozpočet - HW a licencie'!$A$3:$A$102,'TCO TO BE - HW'!F$2,'Rozpočet - HW a licencie'!$C$3:$C$102,"SW pre HW",'Rozpočet - HW a licencie'!$G$3:$G$102,'TCO TO BE - HW'!$D11,'Rozpočet - HW a licencie'!$D$3:$D$102,'TCO TO BE - HW'!$B$15),)</f>
        <v>0</v>
      </c>
      <c r="G21" s="576">
        <f>IFERROR(SUMIFS('Rozpočet - HW a licencie'!$I$3:$I$102,'Rozpočet - HW a licencie'!$A$3:$A$102,'TCO TO BE - HW'!G$2,'Rozpočet - HW a licencie'!$C$3:$C$102,"HW",'Rozpočet - HW a licencie'!$G$3:$G$102,'TCO TO BE - HW'!$D11,'Rozpočet - HW a licencie'!$D$3:$D$102,'TCO TO BE - HW'!$B$15)+SUMIFS('Rozpočet - HW a licencie'!$I$3:$I$102,'Rozpočet - HW a licencie'!$A$3:$A$102,'TCO TO BE - HW'!G$2,'Rozpočet - HW a licencie'!$C$3:$C$102,"SW pre HW",'Rozpočet - HW a licencie'!$G$3:$G$102,'TCO TO BE - HW'!$D11,'Rozpočet - HW a licencie'!$D$3:$D$102,'TCO TO BE - HW'!$B$15),)</f>
        <v>0</v>
      </c>
      <c r="H21" s="576">
        <f>IFERROR(SUMIFS('Rozpočet - HW a licencie'!$I$3:$I$102,'Rozpočet - HW a licencie'!$A$3:$A$102,'TCO TO BE - HW'!H$2,'Rozpočet - HW a licencie'!$C$3:$C$102,"HW",'Rozpočet - HW a licencie'!$G$3:$G$102,'TCO TO BE - HW'!$D11,'Rozpočet - HW a licencie'!$D$3:$D$102,'TCO TO BE - HW'!$B$15)+SUMIFS('Rozpočet - HW a licencie'!$I$3:$I$102,'Rozpočet - HW a licencie'!$A$3:$A$102,'TCO TO BE - HW'!H$2,'Rozpočet - HW a licencie'!$C$3:$C$102,"SW pre HW",'Rozpočet - HW a licencie'!$G$3:$G$102,'TCO TO BE - HW'!$D11,'Rozpočet - HW a licencie'!$D$3:$D$102,'TCO TO BE - HW'!$B$15),)</f>
        <v>0</v>
      </c>
      <c r="I21" s="576">
        <f>IFERROR(SUMIFS('Rozpočet - HW a licencie'!$I$3:$I$102,'Rozpočet - HW a licencie'!$A$3:$A$102,'TCO TO BE - HW'!I$2,'Rozpočet - HW a licencie'!$C$3:$C$102,"HW",'Rozpočet - HW a licencie'!$G$3:$G$102,'TCO TO BE - HW'!$D11,'Rozpočet - HW a licencie'!$D$3:$D$102,'TCO TO BE - HW'!$B$15)+SUMIFS('Rozpočet - HW a licencie'!$I$3:$I$102,'Rozpočet - HW a licencie'!$A$3:$A$102,'TCO TO BE - HW'!I$2,'Rozpočet - HW a licencie'!$C$3:$C$102,"SW pre HW",'Rozpočet - HW a licencie'!$G$3:$G$102,'TCO TO BE - HW'!$D11,'Rozpočet - HW a licencie'!$D$3:$D$102,'TCO TO BE - HW'!$B$15),)</f>
        <v>0</v>
      </c>
      <c r="J21" s="576">
        <f>IFERROR(SUMIFS('Rozpočet - HW a licencie'!$I$3:$I$102,'Rozpočet - HW a licencie'!$A$3:$A$102,'TCO TO BE - HW'!J$2,'Rozpočet - HW a licencie'!$C$3:$C$102,"HW",'Rozpočet - HW a licencie'!$G$3:$G$102,'TCO TO BE - HW'!$D11,'Rozpočet - HW a licencie'!$D$3:$D$102,'TCO TO BE - HW'!$B$15)+SUMIFS('Rozpočet - HW a licencie'!$I$3:$I$102,'Rozpočet - HW a licencie'!$A$3:$A$102,'TCO TO BE - HW'!J$2,'Rozpočet - HW a licencie'!$C$3:$C$102,"SW pre HW",'Rozpočet - HW a licencie'!$G$3:$G$102,'TCO TO BE - HW'!$D11,'Rozpočet - HW a licencie'!$D$3:$D$102,'TCO TO BE - HW'!$B$15),)</f>
        <v>0</v>
      </c>
      <c r="K21" s="576">
        <f>IFERROR(SUMIFS('Rozpočet - HW a licencie'!$I$3:$I$102,'Rozpočet - HW a licencie'!$A$3:$A$102,'TCO TO BE - HW'!K$2,'Rozpočet - HW a licencie'!$C$3:$C$102,"HW",'Rozpočet - HW a licencie'!$G$3:$G$102,'TCO TO BE - HW'!$D11,'Rozpočet - HW a licencie'!$D$3:$D$102,'TCO TO BE - HW'!$B$15)+SUMIFS('Rozpočet - HW a licencie'!$I$3:$I$102,'Rozpočet - HW a licencie'!$A$3:$A$102,'TCO TO BE - HW'!K$2,'Rozpočet - HW a licencie'!$C$3:$C$102,"SW pre HW",'Rozpočet - HW a licencie'!$G$3:$G$102,'TCO TO BE - HW'!$D11,'Rozpočet - HW a licencie'!$D$3:$D$102,'TCO TO BE - HW'!$B$15),)</f>
        <v>0</v>
      </c>
      <c r="L21" s="576">
        <f>IFERROR(SUMIFS('Rozpočet - HW a licencie'!$I$3:$I$102,'Rozpočet - HW a licencie'!$A$3:$A$102,'TCO TO BE - HW'!L$2,'Rozpočet - HW a licencie'!$C$3:$C$102,"HW",'Rozpočet - HW a licencie'!$G$3:$G$102,'TCO TO BE - HW'!$D11,'Rozpočet - HW a licencie'!$D$3:$D$102,'TCO TO BE - HW'!$B$15)+SUMIFS('Rozpočet - HW a licencie'!$I$3:$I$102,'Rozpočet - HW a licencie'!$A$3:$A$102,'TCO TO BE - HW'!L$2,'Rozpočet - HW a licencie'!$C$3:$C$102,"SW pre HW",'Rozpočet - HW a licencie'!$G$3:$G$102,'TCO TO BE - HW'!$D11,'Rozpočet - HW a licencie'!$D$3:$D$102,'TCO TO BE - HW'!$B$15),)</f>
        <v>0</v>
      </c>
      <c r="M21" s="576">
        <f>IFERROR(SUMIFS('Rozpočet - HW a licencie'!$I$3:$I$102,'Rozpočet - HW a licencie'!$A$3:$A$102,'TCO TO BE - HW'!M$2,'Rozpočet - HW a licencie'!$C$3:$C$102,"HW",'Rozpočet - HW a licencie'!$G$3:$G$102,'TCO TO BE - HW'!$D11,'Rozpočet - HW a licencie'!$D$3:$D$102,'TCO TO BE - HW'!$B$15)+SUMIFS('Rozpočet - HW a licencie'!$I$3:$I$102,'Rozpočet - HW a licencie'!$A$3:$A$102,'TCO TO BE - HW'!M$2,'Rozpočet - HW a licencie'!$C$3:$C$102,"SW pre HW",'Rozpočet - HW a licencie'!$G$3:$G$102,'TCO TO BE - HW'!$D11,'Rozpočet - HW a licencie'!$D$3:$D$102,'TCO TO BE - HW'!$B$15),)</f>
        <v>0</v>
      </c>
      <c r="N21" s="576">
        <f>IFERROR(SUMIFS('Rozpočet - HW a licencie'!$I$3:$I$102,'Rozpočet - HW a licencie'!$A$3:$A$102,'TCO TO BE - HW'!N$2,'Rozpočet - HW a licencie'!$C$3:$C$102,"HW",'Rozpočet - HW a licencie'!$G$3:$G$102,'TCO TO BE - HW'!$D11,'Rozpočet - HW a licencie'!$D$3:$D$102,'TCO TO BE - HW'!$B$15)+SUMIFS('Rozpočet - HW a licencie'!$I$3:$I$102,'Rozpočet - HW a licencie'!$A$3:$A$102,'TCO TO BE - HW'!N$2,'Rozpočet - HW a licencie'!$C$3:$C$102,"SW pre HW",'Rozpočet - HW a licencie'!$G$3:$G$102,'TCO TO BE - HW'!$D11,'Rozpočet - HW a licencie'!$D$3:$D$102,'TCO TO BE - HW'!$B$15),)</f>
        <v>0</v>
      </c>
      <c r="O21" s="576">
        <f>IFERROR(SUMIFS('Rozpočet - HW a licencie'!$I$3:$I$102,'Rozpočet - HW a licencie'!$A$3:$A$102,'TCO TO BE - HW'!O$2,'Rozpočet - HW a licencie'!$C$3:$C$102,"HW",'Rozpočet - HW a licencie'!$G$3:$G$102,'TCO TO BE - HW'!$D11,'Rozpočet - HW a licencie'!$D$3:$D$102,'TCO TO BE - HW'!$B$15)+SUMIFS('Rozpočet - HW a licencie'!$I$3:$I$102,'Rozpočet - HW a licencie'!$A$3:$A$102,'TCO TO BE - HW'!O$2,'Rozpočet - HW a licencie'!$C$3:$C$102,"SW pre HW",'Rozpočet - HW a licencie'!$G$3:$G$102,'TCO TO BE - HW'!$D11,'Rozpočet - HW a licencie'!$D$3:$D$102,'TCO TO BE - HW'!$B$15),)</f>
        <v>0</v>
      </c>
      <c r="P21" s="576">
        <f>IFERROR(SUMIFS('Rozpočet - HW a licencie'!$I$3:$I$102,'Rozpočet - HW a licencie'!$A$3:$A$102,'TCO TO BE - HW'!P$2,'Rozpočet - HW a licencie'!$C$3:$C$102,"HW",'Rozpočet - HW a licencie'!$G$3:$G$102,'TCO TO BE - HW'!$D11,'Rozpočet - HW a licencie'!$D$3:$D$102,'TCO TO BE - HW'!$B$15)+SUMIFS('Rozpočet - HW a licencie'!$I$3:$I$102,'Rozpočet - HW a licencie'!$A$3:$A$102,'TCO TO BE - HW'!P$2,'Rozpočet - HW a licencie'!$C$3:$C$102,"SW pre HW",'Rozpočet - HW a licencie'!$G$3:$G$102,'TCO TO BE - HW'!$D11,'Rozpočet - HW a licencie'!$D$3:$D$102,'TCO TO BE - HW'!$B$15),)</f>
        <v>0</v>
      </c>
      <c r="Q21" s="576">
        <f>IFERROR(SUMIFS('Rozpočet - HW a licencie'!$I$3:$I$102,'Rozpočet - HW a licencie'!$A$3:$A$102,'TCO TO BE - HW'!Q$2,'Rozpočet - HW a licencie'!$C$3:$C$102,"HW",'Rozpočet - HW a licencie'!$G$3:$G$102,'TCO TO BE - HW'!$D11,'Rozpočet - HW a licencie'!$D$3:$D$102,'TCO TO BE - HW'!$B$15)+SUMIFS('Rozpočet - HW a licencie'!$I$3:$I$102,'Rozpočet - HW a licencie'!$A$3:$A$102,'TCO TO BE - HW'!Q$2,'Rozpočet - HW a licencie'!$C$3:$C$102,"SW pre HW",'Rozpočet - HW a licencie'!$G$3:$G$102,'TCO TO BE - HW'!$D11,'Rozpočet - HW a licencie'!$D$3:$D$102,'TCO TO BE - HW'!$B$15),)</f>
        <v>0</v>
      </c>
      <c r="R21" s="576">
        <f>IFERROR(SUMIFS('Rozpočet - HW a licencie'!$I$3:$I$102,'Rozpočet - HW a licencie'!$A$3:$A$102,'TCO TO BE - HW'!R$2,'Rozpočet - HW a licencie'!$C$3:$C$102,"HW",'Rozpočet - HW a licencie'!$G$3:$G$102,'TCO TO BE - HW'!$D11,'Rozpočet - HW a licencie'!$D$3:$D$102,'TCO TO BE - HW'!$B$15)+SUMIFS('Rozpočet - HW a licencie'!$I$3:$I$102,'Rozpočet - HW a licencie'!$A$3:$A$102,'TCO TO BE - HW'!R$2,'Rozpočet - HW a licencie'!$C$3:$C$102,"SW pre HW",'Rozpočet - HW a licencie'!$G$3:$G$102,'TCO TO BE - HW'!$D11,'Rozpočet - HW a licencie'!$D$3:$D$102,'TCO TO BE - HW'!$B$15),)</f>
        <v>0</v>
      </c>
      <c r="S21" s="576">
        <f>IFERROR(SUMIFS('Rozpočet - HW a licencie'!$I$3:$I$102,'Rozpočet - HW a licencie'!$A$3:$A$102,'TCO TO BE - HW'!S$2,'Rozpočet - HW a licencie'!$C$3:$C$102,"HW",'Rozpočet - HW a licencie'!$G$3:$G$102,'TCO TO BE - HW'!$D11,'Rozpočet - HW a licencie'!$D$3:$D$102,'TCO TO BE - HW'!$B$15)+SUMIFS('Rozpočet - HW a licencie'!$I$3:$I$102,'Rozpočet - HW a licencie'!$A$3:$A$102,'TCO TO BE - HW'!S$2,'Rozpočet - HW a licencie'!$C$3:$C$102,"SW pre HW",'Rozpočet - HW a licencie'!$G$3:$G$102,'TCO TO BE - HW'!$D11,'Rozpočet - HW a licencie'!$D$3:$D$102,'TCO TO BE - HW'!$B$15),)</f>
        <v>0</v>
      </c>
      <c r="T21" s="576">
        <f>IFERROR(SUMIFS('Rozpočet - HW a licencie'!$I$3:$I$102,'Rozpočet - HW a licencie'!$A$3:$A$102,'TCO TO BE - HW'!T$2,'Rozpočet - HW a licencie'!$C$3:$C$102,"HW",'Rozpočet - HW a licencie'!$G$3:$G$102,'TCO TO BE - HW'!$D11,'Rozpočet - HW a licencie'!$D$3:$D$102,'TCO TO BE - HW'!$B$15)+SUMIFS('Rozpočet - HW a licencie'!$I$3:$I$102,'Rozpočet - HW a licencie'!$A$3:$A$102,'TCO TO BE - HW'!T$2,'Rozpočet - HW a licencie'!$C$3:$C$102,"SW pre HW",'Rozpočet - HW a licencie'!$G$3:$G$102,'TCO TO BE - HW'!$D11,'Rozpočet - HW a licencie'!$D$3:$D$102,'TCO TO BE - HW'!$B$15),)</f>
        <v>0</v>
      </c>
      <c r="U21" s="576">
        <f>IFERROR(SUMIFS('Rozpočet - HW a licencie'!$I$3:$I$102,'Rozpočet - HW a licencie'!$A$3:$A$102,'TCO TO BE - HW'!U$2,'Rozpočet - HW a licencie'!$C$3:$C$102,"HW",'Rozpočet - HW a licencie'!$G$3:$G$102,'TCO TO BE - HW'!$D11,'Rozpočet - HW a licencie'!$D$3:$D$102,'TCO TO BE - HW'!$B$15)+SUMIFS('Rozpočet - HW a licencie'!$I$3:$I$102,'Rozpočet - HW a licencie'!$A$3:$A$102,'TCO TO BE - HW'!U$2,'Rozpočet - HW a licencie'!$C$3:$C$102,"SW pre HW",'Rozpočet - HW a licencie'!$G$3:$G$102,'TCO TO BE - HW'!$D11,'Rozpočet - HW a licencie'!$D$3:$D$102,'TCO TO BE - HW'!$B$15),)</f>
        <v>0</v>
      </c>
      <c r="V21" s="576">
        <f>IFERROR(SUMIFS('Rozpočet - HW a licencie'!$I$3:$I$102,'Rozpočet - HW a licencie'!$A$3:$A$102,'TCO TO BE - HW'!V$2,'Rozpočet - HW a licencie'!$C$3:$C$102,"HW",'Rozpočet - HW a licencie'!$G$3:$G$102,'TCO TO BE - HW'!$D11,'Rozpočet - HW a licencie'!$D$3:$D$102,'TCO TO BE - HW'!$B$15)+SUMIFS('Rozpočet - HW a licencie'!$I$3:$I$102,'Rozpočet - HW a licencie'!$A$3:$A$102,'TCO TO BE - HW'!V$2,'Rozpočet - HW a licencie'!$C$3:$C$102,"SW pre HW",'Rozpočet - HW a licencie'!$G$3:$G$102,'TCO TO BE - HW'!$D11,'Rozpočet - HW a licencie'!$D$3:$D$102,'TCO TO BE - HW'!$B$15),)</f>
        <v>0</v>
      </c>
      <c r="W21" s="576">
        <f>IFERROR(SUMIFS('Rozpočet - HW a licencie'!$I$3:$I$102,'Rozpočet - HW a licencie'!$A$3:$A$102,'TCO TO BE - HW'!W$2,'Rozpočet - HW a licencie'!$C$3:$C$102,"HW",'Rozpočet - HW a licencie'!$G$3:$G$102,'TCO TO BE - HW'!$D11,'Rozpočet - HW a licencie'!$D$3:$D$102,'TCO TO BE - HW'!$B$15)+SUMIFS('Rozpočet - HW a licencie'!$I$3:$I$102,'Rozpočet - HW a licencie'!$A$3:$A$102,'TCO TO BE - HW'!W$2,'Rozpočet - HW a licencie'!$C$3:$C$102,"SW pre HW",'Rozpočet - HW a licencie'!$G$3:$G$102,'TCO TO BE - HW'!$D11,'Rozpočet - HW a licencie'!$D$3:$D$102,'TCO TO BE - HW'!$B$15),)</f>
        <v>0</v>
      </c>
      <c r="X21" s="576">
        <f>IFERROR(SUMIFS('Rozpočet - HW a licencie'!$I$3:$I$102,'Rozpočet - HW a licencie'!$A$3:$A$102,'TCO TO BE - HW'!X$2,'Rozpočet - HW a licencie'!$C$3:$C$102,"HW",'Rozpočet - HW a licencie'!$G$3:$G$102,'TCO TO BE - HW'!$D11,'Rozpočet - HW a licencie'!$D$3:$D$102,'TCO TO BE - HW'!$B$15)+SUMIFS('Rozpočet - HW a licencie'!$I$3:$I$102,'Rozpočet - HW a licencie'!$A$3:$A$102,'TCO TO BE - HW'!X$2,'Rozpočet - HW a licencie'!$C$3:$C$102,"SW pre HW",'Rozpočet - HW a licencie'!$G$3:$G$102,'TCO TO BE - HW'!$D11,'Rozpočet - HW a licencie'!$D$3:$D$102,'TCO TO BE - HW'!$B$15),)</f>
        <v>0</v>
      </c>
      <c r="Y21" s="576">
        <f>IFERROR(SUMIFS('Rozpočet - HW a licencie'!$I$3:$I$102,'Rozpočet - HW a licencie'!$A$3:$A$102,'TCO TO BE - HW'!Y$2,'Rozpočet - HW a licencie'!$C$3:$C$102,"HW",'Rozpočet - HW a licencie'!$G$3:$G$102,'TCO TO BE - HW'!$D11,'Rozpočet - HW a licencie'!$D$3:$D$102,'TCO TO BE - HW'!$B$15)+SUMIFS('Rozpočet - HW a licencie'!$I$3:$I$102,'Rozpočet - HW a licencie'!$A$3:$A$102,'TCO TO BE - HW'!Y$2,'Rozpočet - HW a licencie'!$C$3:$C$102,"SW pre HW",'Rozpočet - HW a licencie'!$G$3:$G$102,'TCO TO BE - HW'!$D11,'Rozpočet - HW a licencie'!$D$3:$D$102,'TCO TO BE - HW'!$B$15),)</f>
        <v>0</v>
      </c>
      <c r="Z21" s="576">
        <f>IFERROR(SUMIFS('Rozpočet - HW a licencie'!$I$3:$I$102,'Rozpočet - HW a licencie'!$A$3:$A$102,'TCO TO BE - HW'!Z$2,'Rozpočet - HW a licencie'!$C$3:$C$102,"HW",'Rozpočet - HW a licencie'!$G$3:$G$102,'TCO TO BE - HW'!$D11,'Rozpočet - HW a licencie'!$D$3:$D$102,'TCO TO BE - HW'!$B$15)+SUMIFS('Rozpočet - HW a licencie'!$I$3:$I$102,'Rozpočet - HW a licencie'!$A$3:$A$102,'TCO TO BE - HW'!Z$2,'Rozpočet - HW a licencie'!$C$3:$C$102,"SW pre HW",'Rozpočet - HW a licencie'!$G$3:$G$102,'TCO TO BE - HW'!$D11,'Rozpočet - HW a licencie'!$D$3:$D$102,'TCO TO BE - HW'!$B$15),)</f>
        <v>0</v>
      </c>
    </row>
    <row r="22" spans="1:26" outlineLevel="1">
      <c r="A22" s="841"/>
      <c r="B22" s="842"/>
      <c r="C22" s="842"/>
      <c r="D22" s="498">
        <v>8</v>
      </c>
      <c r="E22" s="68">
        <f t="shared" si="2"/>
        <v>0</v>
      </c>
      <c r="F22" s="576">
        <f>IFERROR(SUMIFS('Rozpočet - HW a licencie'!$I$3:$I$102,'Rozpočet - HW a licencie'!$A$3:$A$102,'TCO TO BE - HW'!F$2,'Rozpočet - HW a licencie'!$C$3:$C$102,"HW",'Rozpočet - HW a licencie'!$G$3:$G$102,'TCO TO BE - HW'!$D12,'Rozpočet - HW a licencie'!$D$3:$D$102,'TCO TO BE - HW'!$B$15)+SUMIFS('Rozpočet - HW a licencie'!$I$3:$I$102,'Rozpočet - HW a licencie'!$A$3:$A$102,'TCO TO BE - HW'!F$2,'Rozpočet - HW a licencie'!$C$3:$C$102,"SW pre HW",'Rozpočet - HW a licencie'!$G$3:$G$102,'TCO TO BE - HW'!$D12,'Rozpočet - HW a licencie'!$D$3:$D$102,'TCO TO BE - HW'!$B$15),)</f>
        <v>0</v>
      </c>
      <c r="G22" s="576">
        <f>IFERROR(SUMIFS('Rozpočet - HW a licencie'!$I$3:$I$102,'Rozpočet - HW a licencie'!$A$3:$A$102,'TCO TO BE - HW'!G$2,'Rozpočet - HW a licencie'!$C$3:$C$102,"HW",'Rozpočet - HW a licencie'!$G$3:$G$102,'TCO TO BE - HW'!$D12,'Rozpočet - HW a licencie'!$D$3:$D$102,'TCO TO BE - HW'!$B$15)+SUMIFS('Rozpočet - HW a licencie'!$I$3:$I$102,'Rozpočet - HW a licencie'!$A$3:$A$102,'TCO TO BE - HW'!G$2,'Rozpočet - HW a licencie'!$C$3:$C$102,"SW pre HW",'Rozpočet - HW a licencie'!$G$3:$G$102,'TCO TO BE - HW'!$D12,'Rozpočet - HW a licencie'!$D$3:$D$102,'TCO TO BE - HW'!$B$15),)</f>
        <v>0</v>
      </c>
      <c r="H22" s="576">
        <f>IFERROR(SUMIFS('Rozpočet - HW a licencie'!$I$3:$I$102,'Rozpočet - HW a licencie'!$A$3:$A$102,'TCO TO BE - HW'!H$2,'Rozpočet - HW a licencie'!$C$3:$C$102,"HW",'Rozpočet - HW a licencie'!$G$3:$G$102,'TCO TO BE - HW'!$D12,'Rozpočet - HW a licencie'!$D$3:$D$102,'TCO TO BE - HW'!$B$15)+SUMIFS('Rozpočet - HW a licencie'!$I$3:$I$102,'Rozpočet - HW a licencie'!$A$3:$A$102,'TCO TO BE - HW'!H$2,'Rozpočet - HW a licencie'!$C$3:$C$102,"SW pre HW",'Rozpočet - HW a licencie'!$G$3:$G$102,'TCO TO BE - HW'!$D12,'Rozpočet - HW a licencie'!$D$3:$D$102,'TCO TO BE - HW'!$B$15),)</f>
        <v>0</v>
      </c>
      <c r="I22" s="576">
        <f>IFERROR(SUMIFS('Rozpočet - HW a licencie'!$I$3:$I$102,'Rozpočet - HW a licencie'!$A$3:$A$102,'TCO TO BE - HW'!I$2,'Rozpočet - HW a licencie'!$C$3:$C$102,"HW",'Rozpočet - HW a licencie'!$G$3:$G$102,'TCO TO BE - HW'!$D12,'Rozpočet - HW a licencie'!$D$3:$D$102,'TCO TO BE - HW'!$B$15)+SUMIFS('Rozpočet - HW a licencie'!$I$3:$I$102,'Rozpočet - HW a licencie'!$A$3:$A$102,'TCO TO BE - HW'!I$2,'Rozpočet - HW a licencie'!$C$3:$C$102,"SW pre HW",'Rozpočet - HW a licencie'!$G$3:$G$102,'TCO TO BE - HW'!$D12,'Rozpočet - HW a licencie'!$D$3:$D$102,'TCO TO BE - HW'!$B$15),)</f>
        <v>0</v>
      </c>
      <c r="J22" s="576">
        <f>IFERROR(SUMIFS('Rozpočet - HW a licencie'!$I$3:$I$102,'Rozpočet - HW a licencie'!$A$3:$A$102,'TCO TO BE - HW'!J$2,'Rozpočet - HW a licencie'!$C$3:$C$102,"HW",'Rozpočet - HW a licencie'!$G$3:$G$102,'TCO TO BE - HW'!$D12,'Rozpočet - HW a licencie'!$D$3:$D$102,'TCO TO BE - HW'!$B$15)+SUMIFS('Rozpočet - HW a licencie'!$I$3:$I$102,'Rozpočet - HW a licencie'!$A$3:$A$102,'TCO TO BE - HW'!J$2,'Rozpočet - HW a licencie'!$C$3:$C$102,"SW pre HW",'Rozpočet - HW a licencie'!$G$3:$G$102,'TCO TO BE - HW'!$D12,'Rozpočet - HW a licencie'!$D$3:$D$102,'TCO TO BE - HW'!$B$15),)</f>
        <v>0</v>
      </c>
      <c r="K22" s="576">
        <f>IFERROR(SUMIFS('Rozpočet - HW a licencie'!$I$3:$I$102,'Rozpočet - HW a licencie'!$A$3:$A$102,'TCO TO BE - HW'!K$2,'Rozpočet - HW a licencie'!$C$3:$C$102,"HW",'Rozpočet - HW a licencie'!$G$3:$G$102,'TCO TO BE - HW'!$D12,'Rozpočet - HW a licencie'!$D$3:$D$102,'TCO TO BE - HW'!$B$15)+SUMIFS('Rozpočet - HW a licencie'!$I$3:$I$102,'Rozpočet - HW a licencie'!$A$3:$A$102,'TCO TO BE - HW'!K$2,'Rozpočet - HW a licencie'!$C$3:$C$102,"SW pre HW",'Rozpočet - HW a licencie'!$G$3:$G$102,'TCO TO BE - HW'!$D12,'Rozpočet - HW a licencie'!$D$3:$D$102,'TCO TO BE - HW'!$B$15),)</f>
        <v>0</v>
      </c>
      <c r="L22" s="576">
        <f>IFERROR(SUMIFS('Rozpočet - HW a licencie'!$I$3:$I$102,'Rozpočet - HW a licencie'!$A$3:$A$102,'TCO TO BE - HW'!L$2,'Rozpočet - HW a licencie'!$C$3:$C$102,"HW",'Rozpočet - HW a licencie'!$G$3:$G$102,'TCO TO BE - HW'!$D12,'Rozpočet - HW a licencie'!$D$3:$D$102,'TCO TO BE - HW'!$B$15)+SUMIFS('Rozpočet - HW a licencie'!$I$3:$I$102,'Rozpočet - HW a licencie'!$A$3:$A$102,'TCO TO BE - HW'!L$2,'Rozpočet - HW a licencie'!$C$3:$C$102,"SW pre HW",'Rozpočet - HW a licencie'!$G$3:$G$102,'TCO TO BE - HW'!$D12,'Rozpočet - HW a licencie'!$D$3:$D$102,'TCO TO BE - HW'!$B$15),)</f>
        <v>0</v>
      </c>
      <c r="M22" s="576">
        <f>IFERROR(SUMIFS('Rozpočet - HW a licencie'!$I$3:$I$102,'Rozpočet - HW a licencie'!$A$3:$A$102,'TCO TO BE - HW'!M$2,'Rozpočet - HW a licencie'!$C$3:$C$102,"HW",'Rozpočet - HW a licencie'!$G$3:$G$102,'TCO TO BE - HW'!$D12,'Rozpočet - HW a licencie'!$D$3:$D$102,'TCO TO BE - HW'!$B$15)+SUMIFS('Rozpočet - HW a licencie'!$I$3:$I$102,'Rozpočet - HW a licencie'!$A$3:$A$102,'TCO TO BE - HW'!M$2,'Rozpočet - HW a licencie'!$C$3:$C$102,"SW pre HW",'Rozpočet - HW a licencie'!$G$3:$G$102,'TCO TO BE - HW'!$D12,'Rozpočet - HW a licencie'!$D$3:$D$102,'TCO TO BE - HW'!$B$15),)</f>
        <v>0</v>
      </c>
      <c r="N22" s="576">
        <f>IFERROR(SUMIFS('Rozpočet - HW a licencie'!$I$3:$I$102,'Rozpočet - HW a licencie'!$A$3:$A$102,'TCO TO BE - HW'!N$2,'Rozpočet - HW a licencie'!$C$3:$C$102,"HW",'Rozpočet - HW a licencie'!$G$3:$G$102,'TCO TO BE - HW'!$D12,'Rozpočet - HW a licencie'!$D$3:$D$102,'TCO TO BE - HW'!$B$15)+SUMIFS('Rozpočet - HW a licencie'!$I$3:$I$102,'Rozpočet - HW a licencie'!$A$3:$A$102,'TCO TO BE - HW'!N$2,'Rozpočet - HW a licencie'!$C$3:$C$102,"SW pre HW",'Rozpočet - HW a licencie'!$G$3:$G$102,'TCO TO BE - HW'!$D12,'Rozpočet - HW a licencie'!$D$3:$D$102,'TCO TO BE - HW'!$B$15),)</f>
        <v>0</v>
      </c>
      <c r="O22" s="576">
        <f>IFERROR(SUMIFS('Rozpočet - HW a licencie'!$I$3:$I$102,'Rozpočet - HW a licencie'!$A$3:$A$102,'TCO TO BE - HW'!O$2,'Rozpočet - HW a licencie'!$C$3:$C$102,"HW",'Rozpočet - HW a licencie'!$G$3:$G$102,'TCO TO BE - HW'!$D12,'Rozpočet - HW a licencie'!$D$3:$D$102,'TCO TO BE - HW'!$B$15)+SUMIFS('Rozpočet - HW a licencie'!$I$3:$I$102,'Rozpočet - HW a licencie'!$A$3:$A$102,'TCO TO BE - HW'!O$2,'Rozpočet - HW a licencie'!$C$3:$C$102,"SW pre HW",'Rozpočet - HW a licencie'!$G$3:$G$102,'TCO TO BE - HW'!$D12,'Rozpočet - HW a licencie'!$D$3:$D$102,'TCO TO BE - HW'!$B$15),)</f>
        <v>0</v>
      </c>
      <c r="P22" s="576">
        <f>IFERROR(SUMIFS('Rozpočet - HW a licencie'!$I$3:$I$102,'Rozpočet - HW a licencie'!$A$3:$A$102,'TCO TO BE - HW'!P$2,'Rozpočet - HW a licencie'!$C$3:$C$102,"HW",'Rozpočet - HW a licencie'!$G$3:$G$102,'TCO TO BE - HW'!$D12,'Rozpočet - HW a licencie'!$D$3:$D$102,'TCO TO BE - HW'!$B$15)+SUMIFS('Rozpočet - HW a licencie'!$I$3:$I$102,'Rozpočet - HW a licencie'!$A$3:$A$102,'TCO TO BE - HW'!P$2,'Rozpočet - HW a licencie'!$C$3:$C$102,"SW pre HW",'Rozpočet - HW a licencie'!$G$3:$G$102,'TCO TO BE - HW'!$D12,'Rozpočet - HW a licencie'!$D$3:$D$102,'TCO TO BE - HW'!$B$15),)</f>
        <v>0</v>
      </c>
      <c r="Q22" s="576">
        <f>IFERROR(SUMIFS('Rozpočet - HW a licencie'!$I$3:$I$102,'Rozpočet - HW a licencie'!$A$3:$A$102,'TCO TO BE - HW'!Q$2,'Rozpočet - HW a licencie'!$C$3:$C$102,"HW",'Rozpočet - HW a licencie'!$G$3:$G$102,'TCO TO BE - HW'!$D12,'Rozpočet - HW a licencie'!$D$3:$D$102,'TCO TO BE - HW'!$B$15)+SUMIFS('Rozpočet - HW a licencie'!$I$3:$I$102,'Rozpočet - HW a licencie'!$A$3:$A$102,'TCO TO BE - HW'!Q$2,'Rozpočet - HW a licencie'!$C$3:$C$102,"SW pre HW",'Rozpočet - HW a licencie'!$G$3:$G$102,'TCO TO BE - HW'!$D12,'Rozpočet - HW a licencie'!$D$3:$D$102,'TCO TO BE - HW'!$B$15),)</f>
        <v>0</v>
      </c>
      <c r="R22" s="576">
        <f>IFERROR(SUMIFS('Rozpočet - HW a licencie'!$I$3:$I$102,'Rozpočet - HW a licencie'!$A$3:$A$102,'TCO TO BE - HW'!R$2,'Rozpočet - HW a licencie'!$C$3:$C$102,"HW",'Rozpočet - HW a licencie'!$G$3:$G$102,'TCO TO BE - HW'!$D12,'Rozpočet - HW a licencie'!$D$3:$D$102,'TCO TO BE - HW'!$B$15)+SUMIFS('Rozpočet - HW a licencie'!$I$3:$I$102,'Rozpočet - HW a licencie'!$A$3:$A$102,'TCO TO BE - HW'!R$2,'Rozpočet - HW a licencie'!$C$3:$C$102,"SW pre HW",'Rozpočet - HW a licencie'!$G$3:$G$102,'TCO TO BE - HW'!$D12,'Rozpočet - HW a licencie'!$D$3:$D$102,'TCO TO BE - HW'!$B$15),)</f>
        <v>0</v>
      </c>
      <c r="S22" s="576">
        <f>IFERROR(SUMIFS('Rozpočet - HW a licencie'!$I$3:$I$102,'Rozpočet - HW a licencie'!$A$3:$A$102,'TCO TO BE - HW'!S$2,'Rozpočet - HW a licencie'!$C$3:$C$102,"HW",'Rozpočet - HW a licencie'!$G$3:$G$102,'TCO TO BE - HW'!$D12,'Rozpočet - HW a licencie'!$D$3:$D$102,'TCO TO BE - HW'!$B$15)+SUMIFS('Rozpočet - HW a licencie'!$I$3:$I$102,'Rozpočet - HW a licencie'!$A$3:$A$102,'TCO TO BE - HW'!S$2,'Rozpočet - HW a licencie'!$C$3:$C$102,"SW pre HW",'Rozpočet - HW a licencie'!$G$3:$G$102,'TCO TO BE - HW'!$D12,'Rozpočet - HW a licencie'!$D$3:$D$102,'TCO TO BE - HW'!$B$15),)</f>
        <v>0</v>
      </c>
      <c r="T22" s="576">
        <f>IFERROR(SUMIFS('Rozpočet - HW a licencie'!$I$3:$I$102,'Rozpočet - HW a licencie'!$A$3:$A$102,'TCO TO BE - HW'!T$2,'Rozpočet - HW a licencie'!$C$3:$C$102,"HW",'Rozpočet - HW a licencie'!$G$3:$G$102,'TCO TO BE - HW'!$D12,'Rozpočet - HW a licencie'!$D$3:$D$102,'TCO TO BE - HW'!$B$15)+SUMIFS('Rozpočet - HW a licencie'!$I$3:$I$102,'Rozpočet - HW a licencie'!$A$3:$A$102,'TCO TO BE - HW'!T$2,'Rozpočet - HW a licencie'!$C$3:$C$102,"SW pre HW",'Rozpočet - HW a licencie'!$G$3:$G$102,'TCO TO BE - HW'!$D12,'Rozpočet - HW a licencie'!$D$3:$D$102,'TCO TO BE - HW'!$B$15),)</f>
        <v>0</v>
      </c>
      <c r="U22" s="576">
        <f>IFERROR(SUMIFS('Rozpočet - HW a licencie'!$I$3:$I$102,'Rozpočet - HW a licencie'!$A$3:$A$102,'TCO TO BE - HW'!U$2,'Rozpočet - HW a licencie'!$C$3:$C$102,"HW",'Rozpočet - HW a licencie'!$G$3:$G$102,'TCO TO BE - HW'!$D12,'Rozpočet - HW a licencie'!$D$3:$D$102,'TCO TO BE - HW'!$B$15)+SUMIFS('Rozpočet - HW a licencie'!$I$3:$I$102,'Rozpočet - HW a licencie'!$A$3:$A$102,'TCO TO BE - HW'!U$2,'Rozpočet - HW a licencie'!$C$3:$C$102,"SW pre HW",'Rozpočet - HW a licencie'!$G$3:$G$102,'TCO TO BE - HW'!$D12,'Rozpočet - HW a licencie'!$D$3:$D$102,'TCO TO BE - HW'!$B$15),)</f>
        <v>0</v>
      </c>
      <c r="V22" s="576">
        <f>IFERROR(SUMIFS('Rozpočet - HW a licencie'!$I$3:$I$102,'Rozpočet - HW a licencie'!$A$3:$A$102,'TCO TO BE - HW'!V$2,'Rozpočet - HW a licencie'!$C$3:$C$102,"HW",'Rozpočet - HW a licencie'!$G$3:$G$102,'TCO TO BE - HW'!$D12,'Rozpočet - HW a licencie'!$D$3:$D$102,'TCO TO BE - HW'!$B$15)+SUMIFS('Rozpočet - HW a licencie'!$I$3:$I$102,'Rozpočet - HW a licencie'!$A$3:$A$102,'TCO TO BE - HW'!V$2,'Rozpočet - HW a licencie'!$C$3:$C$102,"SW pre HW",'Rozpočet - HW a licencie'!$G$3:$G$102,'TCO TO BE - HW'!$D12,'Rozpočet - HW a licencie'!$D$3:$D$102,'TCO TO BE - HW'!$B$15),)</f>
        <v>0</v>
      </c>
      <c r="W22" s="576">
        <f>IFERROR(SUMIFS('Rozpočet - HW a licencie'!$I$3:$I$102,'Rozpočet - HW a licencie'!$A$3:$A$102,'TCO TO BE - HW'!W$2,'Rozpočet - HW a licencie'!$C$3:$C$102,"HW",'Rozpočet - HW a licencie'!$G$3:$G$102,'TCO TO BE - HW'!$D12,'Rozpočet - HW a licencie'!$D$3:$D$102,'TCO TO BE - HW'!$B$15)+SUMIFS('Rozpočet - HW a licencie'!$I$3:$I$102,'Rozpočet - HW a licencie'!$A$3:$A$102,'TCO TO BE - HW'!W$2,'Rozpočet - HW a licencie'!$C$3:$C$102,"SW pre HW",'Rozpočet - HW a licencie'!$G$3:$G$102,'TCO TO BE - HW'!$D12,'Rozpočet - HW a licencie'!$D$3:$D$102,'TCO TO BE - HW'!$B$15),)</f>
        <v>0</v>
      </c>
      <c r="X22" s="576">
        <f>IFERROR(SUMIFS('Rozpočet - HW a licencie'!$I$3:$I$102,'Rozpočet - HW a licencie'!$A$3:$A$102,'TCO TO BE - HW'!X$2,'Rozpočet - HW a licencie'!$C$3:$C$102,"HW",'Rozpočet - HW a licencie'!$G$3:$G$102,'TCO TO BE - HW'!$D12,'Rozpočet - HW a licencie'!$D$3:$D$102,'TCO TO BE - HW'!$B$15)+SUMIFS('Rozpočet - HW a licencie'!$I$3:$I$102,'Rozpočet - HW a licencie'!$A$3:$A$102,'TCO TO BE - HW'!X$2,'Rozpočet - HW a licencie'!$C$3:$C$102,"SW pre HW",'Rozpočet - HW a licencie'!$G$3:$G$102,'TCO TO BE - HW'!$D12,'Rozpočet - HW a licencie'!$D$3:$D$102,'TCO TO BE - HW'!$B$15),)</f>
        <v>0</v>
      </c>
      <c r="Y22" s="576">
        <f>IFERROR(SUMIFS('Rozpočet - HW a licencie'!$I$3:$I$102,'Rozpočet - HW a licencie'!$A$3:$A$102,'TCO TO BE - HW'!Y$2,'Rozpočet - HW a licencie'!$C$3:$C$102,"HW",'Rozpočet - HW a licencie'!$G$3:$G$102,'TCO TO BE - HW'!$D12,'Rozpočet - HW a licencie'!$D$3:$D$102,'TCO TO BE - HW'!$B$15)+SUMIFS('Rozpočet - HW a licencie'!$I$3:$I$102,'Rozpočet - HW a licencie'!$A$3:$A$102,'TCO TO BE - HW'!Y$2,'Rozpočet - HW a licencie'!$C$3:$C$102,"SW pre HW",'Rozpočet - HW a licencie'!$G$3:$G$102,'TCO TO BE - HW'!$D12,'Rozpočet - HW a licencie'!$D$3:$D$102,'TCO TO BE - HW'!$B$15),)</f>
        <v>0</v>
      </c>
      <c r="Z22" s="576">
        <f>IFERROR(SUMIFS('Rozpočet - HW a licencie'!$I$3:$I$102,'Rozpočet - HW a licencie'!$A$3:$A$102,'TCO TO BE - HW'!Z$2,'Rozpočet - HW a licencie'!$C$3:$C$102,"HW",'Rozpočet - HW a licencie'!$G$3:$G$102,'TCO TO BE - HW'!$D12,'Rozpočet - HW a licencie'!$D$3:$D$102,'TCO TO BE - HW'!$B$15)+SUMIFS('Rozpočet - HW a licencie'!$I$3:$I$102,'Rozpočet - HW a licencie'!$A$3:$A$102,'TCO TO BE - HW'!Z$2,'Rozpočet - HW a licencie'!$C$3:$C$102,"SW pre HW",'Rozpočet - HW a licencie'!$G$3:$G$102,'TCO TO BE - HW'!$D12,'Rozpočet - HW a licencie'!$D$3:$D$102,'TCO TO BE - HW'!$B$15),)</f>
        <v>0</v>
      </c>
    </row>
    <row r="23" spans="1:26" outlineLevel="1">
      <c r="A23" s="841"/>
      <c r="B23" s="842"/>
      <c r="C23" s="842"/>
      <c r="D23" s="498">
        <v>9</v>
      </c>
      <c r="E23" s="68">
        <f t="shared" si="2"/>
        <v>0</v>
      </c>
      <c r="F23" s="576">
        <f>IFERROR(SUMIFS('Rozpočet - HW a licencie'!$I$3:$I$102,'Rozpočet - HW a licencie'!$A$3:$A$102,'TCO TO BE - HW'!F$2,'Rozpočet - HW a licencie'!$C$3:$C$102,"HW",'Rozpočet - HW a licencie'!$G$3:$G$102,'TCO TO BE - HW'!$D13,'Rozpočet - HW a licencie'!$D$3:$D$102,'TCO TO BE - HW'!$B$15)+SUMIFS('Rozpočet - HW a licencie'!$I$3:$I$102,'Rozpočet - HW a licencie'!$A$3:$A$102,'TCO TO BE - HW'!F$2,'Rozpočet - HW a licencie'!$C$3:$C$102,"SW pre HW",'Rozpočet - HW a licencie'!$G$3:$G$102,'TCO TO BE - HW'!$D13,'Rozpočet - HW a licencie'!$D$3:$D$102,'TCO TO BE - HW'!$B$15),)</f>
        <v>0</v>
      </c>
      <c r="G23" s="576">
        <f>IFERROR(SUMIFS('Rozpočet - HW a licencie'!$I$3:$I$102,'Rozpočet - HW a licencie'!$A$3:$A$102,'TCO TO BE - HW'!G$2,'Rozpočet - HW a licencie'!$C$3:$C$102,"HW",'Rozpočet - HW a licencie'!$G$3:$G$102,'TCO TO BE - HW'!$D13,'Rozpočet - HW a licencie'!$D$3:$D$102,'TCO TO BE - HW'!$B$15)+SUMIFS('Rozpočet - HW a licencie'!$I$3:$I$102,'Rozpočet - HW a licencie'!$A$3:$A$102,'TCO TO BE - HW'!G$2,'Rozpočet - HW a licencie'!$C$3:$C$102,"SW pre HW",'Rozpočet - HW a licencie'!$G$3:$G$102,'TCO TO BE - HW'!$D13,'Rozpočet - HW a licencie'!$D$3:$D$102,'TCO TO BE - HW'!$B$15),)</f>
        <v>0</v>
      </c>
      <c r="H23" s="576">
        <f>IFERROR(SUMIFS('Rozpočet - HW a licencie'!$I$3:$I$102,'Rozpočet - HW a licencie'!$A$3:$A$102,'TCO TO BE - HW'!H$2,'Rozpočet - HW a licencie'!$C$3:$C$102,"HW",'Rozpočet - HW a licencie'!$G$3:$G$102,'TCO TO BE - HW'!$D13,'Rozpočet - HW a licencie'!$D$3:$D$102,'TCO TO BE - HW'!$B$15)+SUMIFS('Rozpočet - HW a licencie'!$I$3:$I$102,'Rozpočet - HW a licencie'!$A$3:$A$102,'TCO TO BE - HW'!H$2,'Rozpočet - HW a licencie'!$C$3:$C$102,"SW pre HW",'Rozpočet - HW a licencie'!$G$3:$G$102,'TCO TO BE - HW'!$D13,'Rozpočet - HW a licencie'!$D$3:$D$102,'TCO TO BE - HW'!$B$15),)</f>
        <v>0</v>
      </c>
      <c r="I23" s="576">
        <f>IFERROR(SUMIFS('Rozpočet - HW a licencie'!$I$3:$I$102,'Rozpočet - HW a licencie'!$A$3:$A$102,'TCO TO BE - HW'!I$2,'Rozpočet - HW a licencie'!$C$3:$C$102,"HW",'Rozpočet - HW a licencie'!$G$3:$G$102,'TCO TO BE - HW'!$D13,'Rozpočet - HW a licencie'!$D$3:$D$102,'TCO TO BE - HW'!$B$15)+SUMIFS('Rozpočet - HW a licencie'!$I$3:$I$102,'Rozpočet - HW a licencie'!$A$3:$A$102,'TCO TO BE - HW'!I$2,'Rozpočet - HW a licencie'!$C$3:$C$102,"SW pre HW",'Rozpočet - HW a licencie'!$G$3:$G$102,'TCO TO BE - HW'!$D13,'Rozpočet - HW a licencie'!$D$3:$D$102,'TCO TO BE - HW'!$B$15),)</f>
        <v>0</v>
      </c>
      <c r="J23" s="576">
        <f>IFERROR(SUMIFS('Rozpočet - HW a licencie'!$I$3:$I$102,'Rozpočet - HW a licencie'!$A$3:$A$102,'TCO TO BE - HW'!J$2,'Rozpočet - HW a licencie'!$C$3:$C$102,"HW",'Rozpočet - HW a licencie'!$G$3:$G$102,'TCO TO BE - HW'!$D13,'Rozpočet - HW a licencie'!$D$3:$D$102,'TCO TO BE - HW'!$B$15)+SUMIFS('Rozpočet - HW a licencie'!$I$3:$I$102,'Rozpočet - HW a licencie'!$A$3:$A$102,'TCO TO BE - HW'!J$2,'Rozpočet - HW a licencie'!$C$3:$C$102,"SW pre HW",'Rozpočet - HW a licencie'!$G$3:$G$102,'TCO TO BE - HW'!$D13,'Rozpočet - HW a licencie'!$D$3:$D$102,'TCO TO BE - HW'!$B$15),)</f>
        <v>0</v>
      </c>
      <c r="K23" s="576">
        <f>IFERROR(SUMIFS('Rozpočet - HW a licencie'!$I$3:$I$102,'Rozpočet - HW a licencie'!$A$3:$A$102,'TCO TO BE - HW'!K$2,'Rozpočet - HW a licencie'!$C$3:$C$102,"HW",'Rozpočet - HW a licencie'!$G$3:$G$102,'TCO TO BE - HW'!$D13,'Rozpočet - HW a licencie'!$D$3:$D$102,'TCO TO BE - HW'!$B$15)+SUMIFS('Rozpočet - HW a licencie'!$I$3:$I$102,'Rozpočet - HW a licencie'!$A$3:$A$102,'TCO TO BE - HW'!K$2,'Rozpočet - HW a licencie'!$C$3:$C$102,"SW pre HW",'Rozpočet - HW a licencie'!$G$3:$G$102,'TCO TO BE - HW'!$D13,'Rozpočet - HW a licencie'!$D$3:$D$102,'TCO TO BE - HW'!$B$15),)</f>
        <v>0</v>
      </c>
      <c r="L23" s="576">
        <f>IFERROR(SUMIFS('Rozpočet - HW a licencie'!$I$3:$I$102,'Rozpočet - HW a licencie'!$A$3:$A$102,'TCO TO BE - HW'!L$2,'Rozpočet - HW a licencie'!$C$3:$C$102,"HW",'Rozpočet - HW a licencie'!$G$3:$G$102,'TCO TO BE - HW'!$D13,'Rozpočet - HW a licencie'!$D$3:$D$102,'TCO TO BE - HW'!$B$15)+SUMIFS('Rozpočet - HW a licencie'!$I$3:$I$102,'Rozpočet - HW a licencie'!$A$3:$A$102,'TCO TO BE - HW'!L$2,'Rozpočet - HW a licencie'!$C$3:$C$102,"SW pre HW",'Rozpočet - HW a licencie'!$G$3:$G$102,'TCO TO BE - HW'!$D13,'Rozpočet - HW a licencie'!$D$3:$D$102,'TCO TO BE - HW'!$B$15),)</f>
        <v>0</v>
      </c>
      <c r="M23" s="576">
        <f>IFERROR(SUMIFS('Rozpočet - HW a licencie'!$I$3:$I$102,'Rozpočet - HW a licencie'!$A$3:$A$102,'TCO TO BE - HW'!M$2,'Rozpočet - HW a licencie'!$C$3:$C$102,"HW",'Rozpočet - HW a licencie'!$G$3:$G$102,'TCO TO BE - HW'!$D13,'Rozpočet - HW a licencie'!$D$3:$D$102,'TCO TO BE - HW'!$B$15)+SUMIFS('Rozpočet - HW a licencie'!$I$3:$I$102,'Rozpočet - HW a licencie'!$A$3:$A$102,'TCO TO BE - HW'!M$2,'Rozpočet - HW a licencie'!$C$3:$C$102,"SW pre HW",'Rozpočet - HW a licencie'!$G$3:$G$102,'TCO TO BE - HW'!$D13,'Rozpočet - HW a licencie'!$D$3:$D$102,'TCO TO BE - HW'!$B$15),)</f>
        <v>0</v>
      </c>
      <c r="N23" s="576">
        <f>IFERROR(SUMIFS('Rozpočet - HW a licencie'!$I$3:$I$102,'Rozpočet - HW a licencie'!$A$3:$A$102,'TCO TO BE - HW'!N$2,'Rozpočet - HW a licencie'!$C$3:$C$102,"HW",'Rozpočet - HW a licencie'!$G$3:$G$102,'TCO TO BE - HW'!$D13,'Rozpočet - HW a licencie'!$D$3:$D$102,'TCO TO BE - HW'!$B$15)+SUMIFS('Rozpočet - HW a licencie'!$I$3:$I$102,'Rozpočet - HW a licencie'!$A$3:$A$102,'TCO TO BE - HW'!N$2,'Rozpočet - HW a licencie'!$C$3:$C$102,"SW pre HW",'Rozpočet - HW a licencie'!$G$3:$G$102,'TCO TO BE - HW'!$D13,'Rozpočet - HW a licencie'!$D$3:$D$102,'TCO TO BE - HW'!$B$15),)</f>
        <v>0</v>
      </c>
      <c r="O23" s="576">
        <f>IFERROR(SUMIFS('Rozpočet - HW a licencie'!$I$3:$I$102,'Rozpočet - HW a licencie'!$A$3:$A$102,'TCO TO BE - HW'!O$2,'Rozpočet - HW a licencie'!$C$3:$C$102,"HW",'Rozpočet - HW a licencie'!$G$3:$G$102,'TCO TO BE - HW'!$D13,'Rozpočet - HW a licencie'!$D$3:$D$102,'TCO TO BE - HW'!$B$15)+SUMIFS('Rozpočet - HW a licencie'!$I$3:$I$102,'Rozpočet - HW a licencie'!$A$3:$A$102,'TCO TO BE - HW'!O$2,'Rozpočet - HW a licencie'!$C$3:$C$102,"SW pre HW",'Rozpočet - HW a licencie'!$G$3:$G$102,'TCO TO BE - HW'!$D13,'Rozpočet - HW a licencie'!$D$3:$D$102,'TCO TO BE - HW'!$B$15),)</f>
        <v>0</v>
      </c>
      <c r="P23" s="576">
        <f>IFERROR(SUMIFS('Rozpočet - HW a licencie'!$I$3:$I$102,'Rozpočet - HW a licencie'!$A$3:$A$102,'TCO TO BE - HW'!P$2,'Rozpočet - HW a licencie'!$C$3:$C$102,"HW",'Rozpočet - HW a licencie'!$G$3:$G$102,'TCO TO BE - HW'!$D13,'Rozpočet - HW a licencie'!$D$3:$D$102,'TCO TO BE - HW'!$B$15)+SUMIFS('Rozpočet - HW a licencie'!$I$3:$I$102,'Rozpočet - HW a licencie'!$A$3:$A$102,'TCO TO BE - HW'!P$2,'Rozpočet - HW a licencie'!$C$3:$C$102,"SW pre HW",'Rozpočet - HW a licencie'!$G$3:$G$102,'TCO TO BE - HW'!$D13,'Rozpočet - HW a licencie'!$D$3:$D$102,'TCO TO BE - HW'!$B$15),)</f>
        <v>0</v>
      </c>
      <c r="Q23" s="576">
        <f>IFERROR(SUMIFS('Rozpočet - HW a licencie'!$I$3:$I$102,'Rozpočet - HW a licencie'!$A$3:$A$102,'TCO TO BE - HW'!Q$2,'Rozpočet - HW a licencie'!$C$3:$C$102,"HW",'Rozpočet - HW a licencie'!$G$3:$G$102,'TCO TO BE - HW'!$D13,'Rozpočet - HW a licencie'!$D$3:$D$102,'TCO TO BE - HW'!$B$15)+SUMIFS('Rozpočet - HW a licencie'!$I$3:$I$102,'Rozpočet - HW a licencie'!$A$3:$A$102,'TCO TO BE - HW'!Q$2,'Rozpočet - HW a licencie'!$C$3:$C$102,"SW pre HW",'Rozpočet - HW a licencie'!$G$3:$G$102,'TCO TO BE - HW'!$D13,'Rozpočet - HW a licencie'!$D$3:$D$102,'TCO TO BE - HW'!$B$15),)</f>
        <v>0</v>
      </c>
      <c r="R23" s="576">
        <f>IFERROR(SUMIFS('Rozpočet - HW a licencie'!$I$3:$I$102,'Rozpočet - HW a licencie'!$A$3:$A$102,'TCO TO BE - HW'!R$2,'Rozpočet - HW a licencie'!$C$3:$C$102,"HW",'Rozpočet - HW a licencie'!$G$3:$G$102,'TCO TO BE - HW'!$D13,'Rozpočet - HW a licencie'!$D$3:$D$102,'TCO TO BE - HW'!$B$15)+SUMIFS('Rozpočet - HW a licencie'!$I$3:$I$102,'Rozpočet - HW a licencie'!$A$3:$A$102,'TCO TO BE - HW'!R$2,'Rozpočet - HW a licencie'!$C$3:$C$102,"SW pre HW",'Rozpočet - HW a licencie'!$G$3:$G$102,'TCO TO BE - HW'!$D13,'Rozpočet - HW a licencie'!$D$3:$D$102,'TCO TO BE - HW'!$B$15),)</f>
        <v>0</v>
      </c>
      <c r="S23" s="576">
        <f>IFERROR(SUMIFS('Rozpočet - HW a licencie'!$I$3:$I$102,'Rozpočet - HW a licencie'!$A$3:$A$102,'TCO TO BE - HW'!S$2,'Rozpočet - HW a licencie'!$C$3:$C$102,"HW",'Rozpočet - HW a licencie'!$G$3:$G$102,'TCO TO BE - HW'!$D13,'Rozpočet - HW a licencie'!$D$3:$D$102,'TCO TO BE - HW'!$B$15)+SUMIFS('Rozpočet - HW a licencie'!$I$3:$I$102,'Rozpočet - HW a licencie'!$A$3:$A$102,'TCO TO BE - HW'!S$2,'Rozpočet - HW a licencie'!$C$3:$C$102,"SW pre HW",'Rozpočet - HW a licencie'!$G$3:$G$102,'TCO TO BE - HW'!$D13,'Rozpočet - HW a licencie'!$D$3:$D$102,'TCO TO BE - HW'!$B$15),)</f>
        <v>0</v>
      </c>
      <c r="T23" s="576">
        <f>IFERROR(SUMIFS('Rozpočet - HW a licencie'!$I$3:$I$102,'Rozpočet - HW a licencie'!$A$3:$A$102,'TCO TO BE - HW'!T$2,'Rozpočet - HW a licencie'!$C$3:$C$102,"HW",'Rozpočet - HW a licencie'!$G$3:$G$102,'TCO TO BE - HW'!$D13,'Rozpočet - HW a licencie'!$D$3:$D$102,'TCO TO BE - HW'!$B$15)+SUMIFS('Rozpočet - HW a licencie'!$I$3:$I$102,'Rozpočet - HW a licencie'!$A$3:$A$102,'TCO TO BE - HW'!T$2,'Rozpočet - HW a licencie'!$C$3:$C$102,"SW pre HW",'Rozpočet - HW a licencie'!$G$3:$G$102,'TCO TO BE - HW'!$D13,'Rozpočet - HW a licencie'!$D$3:$D$102,'TCO TO BE - HW'!$B$15),)</f>
        <v>0</v>
      </c>
      <c r="U23" s="576">
        <f>IFERROR(SUMIFS('Rozpočet - HW a licencie'!$I$3:$I$102,'Rozpočet - HW a licencie'!$A$3:$A$102,'TCO TO BE - HW'!U$2,'Rozpočet - HW a licencie'!$C$3:$C$102,"HW",'Rozpočet - HW a licencie'!$G$3:$G$102,'TCO TO BE - HW'!$D13,'Rozpočet - HW a licencie'!$D$3:$D$102,'TCO TO BE - HW'!$B$15)+SUMIFS('Rozpočet - HW a licencie'!$I$3:$I$102,'Rozpočet - HW a licencie'!$A$3:$A$102,'TCO TO BE - HW'!U$2,'Rozpočet - HW a licencie'!$C$3:$C$102,"SW pre HW",'Rozpočet - HW a licencie'!$G$3:$G$102,'TCO TO BE - HW'!$D13,'Rozpočet - HW a licencie'!$D$3:$D$102,'TCO TO BE - HW'!$B$15),)</f>
        <v>0</v>
      </c>
      <c r="V23" s="576">
        <f>IFERROR(SUMIFS('Rozpočet - HW a licencie'!$I$3:$I$102,'Rozpočet - HW a licencie'!$A$3:$A$102,'TCO TO BE - HW'!V$2,'Rozpočet - HW a licencie'!$C$3:$C$102,"HW",'Rozpočet - HW a licencie'!$G$3:$G$102,'TCO TO BE - HW'!$D13,'Rozpočet - HW a licencie'!$D$3:$D$102,'TCO TO BE - HW'!$B$15)+SUMIFS('Rozpočet - HW a licencie'!$I$3:$I$102,'Rozpočet - HW a licencie'!$A$3:$A$102,'TCO TO BE - HW'!V$2,'Rozpočet - HW a licencie'!$C$3:$C$102,"SW pre HW",'Rozpočet - HW a licencie'!$G$3:$G$102,'TCO TO BE - HW'!$D13,'Rozpočet - HW a licencie'!$D$3:$D$102,'TCO TO BE - HW'!$B$15),)</f>
        <v>0</v>
      </c>
      <c r="W23" s="576">
        <f>IFERROR(SUMIFS('Rozpočet - HW a licencie'!$I$3:$I$102,'Rozpočet - HW a licencie'!$A$3:$A$102,'TCO TO BE - HW'!W$2,'Rozpočet - HW a licencie'!$C$3:$C$102,"HW",'Rozpočet - HW a licencie'!$G$3:$G$102,'TCO TO BE - HW'!$D13,'Rozpočet - HW a licencie'!$D$3:$D$102,'TCO TO BE - HW'!$B$15)+SUMIFS('Rozpočet - HW a licencie'!$I$3:$I$102,'Rozpočet - HW a licencie'!$A$3:$A$102,'TCO TO BE - HW'!W$2,'Rozpočet - HW a licencie'!$C$3:$C$102,"SW pre HW",'Rozpočet - HW a licencie'!$G$3:$G$102,'TCO TO BE - HW'!$D13,'Rozpočet - HW a licencie'!$D$3:$D$102,'TCO TO BE - HW'!$B$15),)</f>
        <v>0</v>
      </c>
      <c r="X23" s="576">
        <f>IFERROR(SUMIFS('Rozpočet - HW a licencie'!$I$3:$I$102,'Rozpočet - HW a licencie'!$A$3:$A$102,'TCO TO BE - HW'!X$2,'Rozpočet - HW a licencie'!$C$3:$C$102,"HW",'Rozpočet - HW a licencie'!$G$3:$G$102,'TCO TO BE - HW'!$D13,'Rozpočet - HW a licencie'!$D$3:$D$102,'TCO TO BE - HW'!$B$15)+SUMIFS('Rozpočet - HW a licencie'!$I$3:$I$102,'Rozpočet - HW a licencie'!$A$3:$A$102,'TCO TO BE - HW'!X$2,'Rozpočet - HW a licencie'!$C$3:$C$102,"SW pre HW",'Rozpočet - HW a licencie'!$G$3:$G$102,'TCO TO BE - HW'!$D13,'Rozpočet - HW a licencie'!$D$3:$D$102,'TCO TO BE - HW'!$B$15),)</f>
        <v>0</v>
      </c>
      <c r="Y23" s="576">
        <f>IFERROR(SUMIFS('Rozpočet - HW a licencie'!$I$3:$I$102,'Rozpočet - HW a licencie'!$A$3:$A$102,'TCO TO BE - HW'!Y$2,'Rozpočet - HW a licencie'!$C$3:$C$102,"HW",'Rozpočet - HW a licencie'!$G$3:$G$102,'TCO TO BE - HW'!$D13,'Rozpočet - HW a licencie'!$D$3:$D$102,'TCO TO BE - HW'!$B$15)+SUMIFS('Rozpočet - HW a licencie'!$I$3:$I$102,'Rozpočet - HW a licencie'!$A$3:$A$102,'TCO TO BE - HW'!Y$2,'Rozpočet - HW a licencie'!$C$3:$C$102,"SW pre HW",'Rozpočet - HW a licencie'!$G$3:$G$102,'TCO TO BE - HW'!$D13,'Rozpočet - HW a licencie'!$D$3:$D$102,'TCO TO BE - HW'!$B$15),)</f>
        <v>0</v>
      </c>
      <c r="Z23" s="576">
        <f>IFERROR(SUMIFS('Rozpočet - HW a licencie'!$I$3:$I$102,'Rozpočet - HW a licencie'!$A$3:$A$102,'TCO TO BE - HW'!Z$2,'Rozpočet - HW a licencie'!$C$3:$C$102,"HW",'Rozpočet - HW a licencie'!$G$3:$G$102,'TCO TO BE - HW'!$D13,'Rozpočet - HW a licencie'!$D$3:$D$102,'TCO TO BE - HW'!$B$15)+SUMIFS('Rozpočet - HW a licencie'!$I$3:$I$102,'Rozpočet - HW a licencie'!$A$3:$A$102,'TCO TO BE - HW'!Z$2,'Rozpočet - HW a licencie'!$C$3:$C$102,"SW pre HW",'Rozpočet - HW a licencie'!$G$3:$G$102,'TCO TO BE - HW'!$D13,'Rozpočet - HW a licencie'!$D$3:$D$102,'TCO TO BE - HW'!$B$15),)</f>
        <v>0</v>
      </c>
    </row>
    <row r="24" spans="1:26" ht="15" outlineLevel="1" thickBot="1">
      <c r="A24" s="841"/>
      <c r="B24" s="842"/>
      <c r="C24" s="842"/>
      <c r="D24" s="499">
        <v>10</v>
      </c>
      <c r="E24" s="69">
        <f t="shared" si="2"/>
        <v>0</v>
      </c>
      <c r="F24" s="576">
        <f>IFERROR(SUMIFS('Rozpočet - HW a licencie'!$I$3:$I$102,'Rozpočet - HW a licencie'!$A$3:$A$102,'TCO TO BE - HW'!F$2,'Rozpočet - HW a licencie'!$C$3:$C$102,"HW",'Rozpočet - HW a licencie'!$G$3:$G$102,'TCO TO BE - HW'!$D14,'Rozpočet - HW a licencie'!$D$3:$D$102,'TCO TO BE - HW'!$B$15)+SUMIFS('Rozpočet - HW a licencie'!$I$3:$I$102,'Rozpočet - HW a licencie'!$A$3:$A$102,'TCO TO BE - HW'!F$2,'Rozpočet - HW a licencie'!$C$3:$C$102,"SW pre HW",'Rozpočet - HW a licencie'!$G$3:$G$102,'TCO TO BE - HW'!$D14,'Rozpočet - HW a licencie'!$D$3:$D$102,'TCO TO BE - HW'!$B$15),)</f>
        <v>0</v>
      </c>
      <c r="G24" s="577">
        <f>IFERROR(SUMIFS('Rozpočet - HW a licencie'!$I$3:$I$102,'Rozpočet - HW a licencie'!$A$3:$A$102,'TCO TO BE - HW'!G$2,'Rozpočet - HW a licencie'!$C$3:$C$102,"HW",'Rozpočet - HW a licencie'!$G$3:$G$102,'TCO TO BE - HW'!$D14,'Rozpočet - HW a licencie'!$D$3:$D$102,'TCO TO BE - HW'!$B$15)+SUMIFS('Rozpočet - HW a licencie'!$I$3:$I$102,'Rozpočet - HW a licencie'!$A$3:$A$102,'TCO TO BE - HW'!G$2,'Rozpočet - HW a licencie'!$C$3:$C$102,"SW pre HW",'Rozpočet - HW a licencie'!$G$3:$G$102,'TCO TO BE - HW'!$D14,'Rozpočet - HW a licencie'!$D$3:$D$102,'TCO TO BE - HW'!$B$15),)</f>
        <v>0</v>
      </c>
      <c r="H24" s="577">
        <f>IFERROR(SUMIFS('Rozpočet - HW a licencie'!$I$3:$I$102,'Rozpočet - HW a licencie'!$A$3:$A$102,'TCO TO BE - HW'!H$2,'Rozpočet - HW a licencie'!$C$3:$C$102,"HW",'Rozpočet - HW a licencie'!$G$3:$G$102,'TCO TO BE - HW'!$D14,'Rozpočet - HW a licencie'!$D$3:$D$102,'TCO TO BE - HW'!$B$15)+SUMIFS('Rozpočet - HW a licencie'!$I$3:$I$102,'Rozpočet - HW a licencie'!$A$3:$A$102,'TCO TO BE - HW'!H$2,'Rozpočet - HW a licencie'!$C$3:$C$102,"SW pre HW",'Rozpočet - HW a licencie'!$G$3:$G$102,'TCO TO BE - HW'!$D14,'Rozpočet - HW a licencie'!$D$3:$D$102,'TCO TO BE - HW'!$B$15),)</f>
        <v>0</v>
      </c>
      <c r="I24" s="577">
        <f>IFERROR(SUMIFS('Rozpočet - HW a licencie'!$I$3:$I$102,'Rozpočet - HW a licencie'!$A$3:$A$102,'TCO TO BE - HW'!I$2,'Rozpočet - HW a licencie'!$C$3:$C$102,"HW",'Rozpočet - HW a licencie'!$G$3:$G$102,'TCO TO BE - HW'!$D14,'Rozpočet - HW a licencie'!$D$3:$D$102,'TCO TO BE - HW'!$B$15)+SUMIFS('Rozpočet - HW a licencie'!$I$3:$I$102,'Rozpočet - HW a licencie'!$A$3:$A$102,'TCO TO BE - HW'!I$2,'Rozpočet - HW a licencie'!$C$3:$C$102,"SW pre HW",'Rozpočet - HW a licencie'!$G$3:$G$102,'TCO TO BE - HW'!$D14,'Rozpočet - HW a licencie'!$D$3:$D$102,'TCO TO BE - HW'!$B$15),)</f>
        <v>0</v>
      </c>
      <c r="J24" s="577">
        <f>IFERROR(SUMIFS('Rozpočet - HW a licencie'!$I$3:$I$102,'Rozpočet - HW a licencie'!$A$3:$A$102,'TCO TO BE - HW'!J$2,'Rozpočet - HW a licencie'!$C$3:$C$102,"HW",'Rozpočet - HW a licencie'!$G$3:$G$102,'TCO TO BE - HW'!$D14,'Rozpočet - HW a licencie'!$D$3:$D$102,'TCO TO BE - HW'!$B$15)+SUMIFS('Rozpočet - HW a licencie'!$I$3:$I$102,'Rozpočet - HW a licencie'!$A$3:$A$102,'TCO TO BE - HW'!J$2,'Rozpočet - HW a licencie'!$C$3:$C$102,"SW pre HW",'Rozpočet - HW a licencie'!$G$3:$G$102,'TCO TO BE - HW'!$D14,'Rozpočet - HW a licencie'!$D$3:$D$102,'TCO TO BE - HW'!$B$15),)</f>
        <v>0</v>
      </c>
      <c r="K24" s="577">
        <f>IFERROR(SUMIFS('Rozpočet - HW a licencie'!$I$3:$I$102,'Rozpočet - HW a licencie'!$A$3:$A$102,'TCO TO BE - HW'!K$2,'Rozpočet - HW a licencie'!$C$3:$C$102,"HW",'Rozpočet - HW a licencie'!$G$3:$G$102,'TCO TO BE - HW'!$D14,'Rozpočet - HW a licencie'!$D$3:$D$102,'TCO TO BE - HW'!$B$15)+SUMIFS('Rozpočet - HW a licencie'!$I$3:$I$102,'Rozpočet - HW a licencie'!$A$3:$A$102,'TCO TO BE - HW'!K$2,'Rozpočet - HW a licencie'!$C$3:$C$102,"SW pre HW",'Rozpočet - HW a licencie'!$G$3:$G$102,'TCO TO BE - HW'!$D14,'Rozpočet - HW a licencie'!$D$3:$D$102,'TCO TO BE - HW'!$B$15),)</f>
        <v>0</v>
      </c>
      <c r="L24" s="577">
        <f>IFERROR(SUMIFS('Rozpočet - HW a licencie'!$I$3:$I$102,'Rozpočet - HW a licencie'!$A$3:$A$102,'TCO TO BE - HW'!L$2,'Rozpočet - HW a licencie'!$C$3:$C$102,"HW",'Rozpočet - HW a licencie'!$G$3:$G$102,'TCO TO BE - HW'!$D14,'Rozpočet - HW a licencie'!$D$3:$D$102,'TCO TO BE - HW'!$B$15)+SUMIFS('Rozpočet - HW a licencie'!$I$3:$I$102,'Rozpočet - HW a licencie'!$A$3:$A$102,'TCO TO BE - HW'!L$2,'Rozpočet - HW a licencie'!$C$3:$C$102,"SW pre HW",'Rozpočet - HW a licencie'!$G$3:$G$102,'TCO TO BE - HW'!$D14,'Rozpočet - HW a licencie'!$D$3:$D$102,'TCO TO BE - HW'!$B$15),)</f>
        <v>0</v>
      </c>
      <c r="M24" s="577">
        <f>IFERROR(SUMIFS('Rozpočet - HW a licencie'!$I$3:$I$102,'Rozpočet - HW a licencie'!$A$3:$A$102,'TCO TO BE - HW'!M$2,'Rozpočet - HW a licencie'!$C$3:$C$102,"HW",'Rozpočet - HW a licencie'!$G$3:$G$102,'TCO TO BE - HW'!$D14,'Rozpočet - HW a licencie'!$D$3:$D$102,'TCO TO BE - HW'!$B$15)+SUMIFS('Rozpočet - HW a licencie'!$I$3:$I$102,'Rozpočet - HW a licencie'!$A$3:$A$102,'TCO TO BE - HW'!M$2,'Rozpočet - HW a licencie'!$C$3:$C$102,"SW pre HW",'Rozpočet - HW a licencie'!$G$3:$G$102,'TCO TO BE - HW'!$D14,'Rozpočet - HW a licencie'!$D$3:$D$102,'TCO TO BE - HW'!$B$15),)</f>
        <v>0</v>
      </c>
      <c r="N24" s="577">
        <f>IFERROR(SUMIFS('Rozpočet - HW a licencie'!$I$3:$I$102,'Rozpočet - HW a licencie'!$A$3:$A$102,'TCO TO BE - HW'!N$2,'Rozpočet - HW a licencie'!$C$3:$C$102,"HW",'Rozpočet - HW a licencie'!$G$3:$G$102,'TCO TO BE - HW'!$D14,'Rozpočet - HW a licencie'!$D$3:$D$102,'TCO TO BE - HW'!$B$15)+SUMIFS('Rozpočet - HW a licencie'!$I$3:$I$102,'Rozpočet - HW a licencie'!$A$3:$A$102,'TCO TO BE - HW'!N$2,'Rozpočet - HW a licencie'!$C$3:$C$102,"SW pre HW",'Rozpočet - HW a licencie'!$G$3:$G$102,'TCO TO BE - HW'!$D14,'Rozpočet - HW a licencie'!$D$3:$D$102,'TCO TO BE - HW'!$B$15),)</f>
        <v>0</v>
      </c>
      <c r="O24" s="577">
        <f>IFERROR(SUMIFS('Rozpočet - HW a licencie'!$I$3:$I$102,'Rozpočet - HW a licencie'!$A$3:$A$102,'TCO TO BE - HW'!O$2,'Rozpočet - HW a licencie'!$C$3:$C$102,"HW",'Rozpočet - HW a licencie'!$G$3:$G$102,'TCO TO BE - HW'!$D14,'Rozpočet - HW a licencie'!$D$3:$D$102,'TCO TO BE - HW'!$B$15)+SUMIFS('Rozpočet - HW a licencie'!$I$3:$I$102,'Rozpočet - HW a licencie'!$A$3:$A$102,'TCO TO BE - HW'!O$2,'Rozpočet - HW a licencie'!$C$3:$C$102,"SW pre HW",'Rozpočet - HW a licencie'!$G$3:$G$102,'TCO TO BE - HW'!$D14,'Rozpočet - HW a licencie'!$D$3:$D$102,'TCO TO BE - HW'!$B$15),)</f>
        <v>0</v>
      </c>
      <c r="P24" s="577">
        <f>IFERROR(SUMIFS('Rozpočet - HW a licencie'!$I$3:$I$102,'Rozpočet - HW a licencie'!$A$3:$A$102,'TCO TO BE - HW'!P$2,'Rozpočet - HW a licencie'!$C$3:$C$102,"HW",'Rozpočet - HW a licencie'!$G$3:$G$102,'TCO TO BE - HW'!$D14,'Rozpočet - HW a licencie'!$D$3:$D$102,'TCO TO BE - HW'!$B$15)+SUMIFS('Rozpočet - HW a licencie'!$I$3:$I$102,'Rozpočet - HW a licencie'!$A$3:$A$102,'TCO TO BE - HW'!P$2,'Rozpočet - HW a licencie'!$C$3:$C$102,"SW pre HW",'Rozpočet - HW a licencie'!$G$3:$G$102,'TCO TO BE - HW'!$D14,'Rozpočet - HW a licencie'!$D$3:$D$102,'TCO TO BE - HW'!$B$15),)</f>
        <v>0</v>
      </c>
      <c r="Q24" s="577">
        <f>IFERROR(SUMIFS('Rozpočet - HW a licencie'!$I$3:$I$102,'Rozpočet - HW a licencie'!$A$3:$A$102,'TCO TO BE - HW'!Q$2,'Rozpočet - HW a licencie'!$C$3:$C$102,"HW",'Rozpočet - HW a licencie'!$G$3:$G$102,'TCO TO BE - HW'!$D14,'Rozpočet - HW a licencie'!$D$3:$D$102,'TCO TO BE - HW'!$B$15)+SUMIFS('Rozpočet - HW a licencie'!$I$3:$I$102,'Rozpočet - HW a licencie'!$A$3:$A$102,'TCO TO BE - HW'!Q$2,'Rozpočet - HW a licencie'!$C$3:$C$102,"SW pre HW",'Rozpočet - HW a licencie'!$G$3:$G$102,'TCO TO BE - HW'!$D14,'Rozpočet - HW a licencie'!$D$3:$D$102,'TCO TO BE - HW'!$B$15),)</f>
        <v>0</v>
      </c>
      <c r="R24" s="577">
        <f>IFERROR(SUMIFS('Rozpočet - HW a licencie'!$I$3:$I$102,'Rozpočet - HW a licencie'!$A$3:$A$102,'TCO TO BE - HW'!R$2,'Rozpočet - HW a licencie'!$C$3:$C$102,"HW",'Rozpočet - HW a licencie'!$G$3:$G$102,'TCO TO BE - HW'!$D14,'Rozpočet - HW a licencie'!$D$3:$D$102,'TCO TO BE - HW'!$B$15)+SUMIFS('Rozpočet - HW a licencie'!$I$3:$I$102,'Rozpočet - HW a licencie'!$A$3:$A$102,'TCO TO BE - HW'!R$2,'Rozpočet - HW a licencie'!$C$3:$C$102,"SW pre HW",'Rozpočet - HW a licencie'!$G$3:$G$102,'TCO TO BE - HW'!$D14,'Rozpočet - HW a licencie'!$D$3:$D$102,'TCO TO BE - HW'!$B$15),)</f>
        <v>0</v>
      </c>
      <c r="S24" s="577">
        <f>IFERROR(SUMIFS('Rozpočet - HW a licencie'!$I$3:$I$102,'Rozpočet - HW a licencie'!$A$3:$A$102,'TCO TO BE - HW'!S$2,'Rozpočet - HW a licencie'!$C$3:$C$102,"HW",'Rozpočet - HW a licencie'!$G$3:$G$102,'TCO TO BE - HW'!$D14,'Rozpočet - HW a licencie'!$D$3:$D$102,'TCO TO BE - HW'!$B$15)+SUMIFS('Rozpočet - HW a licencie'!$I$3:$I$102,'Rozpočet - HW a licencie'!$A$3:$A$102,'TCO TO BE - HW'!S$2,'Rozpočet - HW a licencie'!$C$3:$C$102,"SW pre HW",'Rozpočet - HW a licencie'!$G$3:$G$102,'TCO TO BE - HW'!$D14,'Rozpočet - HW a licencie'!$D$3:$D$102,'TCO TO BE - HW'!$B$15),)</f>
        <v>0</v>
      </c>
      <c r="T24" s="577">
        <f>IFERROR(SUMIFS('Rozpočet - HW a licencie'!$I$3:$I$102,'Rozpočet - HW a licencie'!$A$3:$A$102,'TCO TO BE - HW'!T$2,'Rozpočet - HW a licencie'!$C$3:$C$102,"HW",'Rozpočet - HW a licencie'!$G$3:$G$102,'TCO TO BE - HW'!$D14,'Rozpočet - HW a licencie'!$D$3:$D$102,'TCO TO BE - HW'!$B$15)+SUMIFS('Rozpočet - HW a licencie'!$I$3:$I$102,'Rozpočet - HW a licencie'!$A$3:$A$102,'TCO TO BE - HW'!T$2,'Rozpočet - HW a licencie'!$C$3:$C$102,"SW pre HW",'Rozpočet - HW a licencie'!$G$3:$G$102,'TCO TO BE - HW'!$D14,'Rozpočet - HW a licencie'!$D$3:$D$102,'TCO TO BE - HW'!$B$15),)</f>
        <v>0</v>
      </c>
      <c r="U24" s="577">
        <f>IFERROR(SUMIFS('Rozpočet - HW a licencie'!$I$3:$I$102,'Rozpočet - HW a licencie'!$A$3:$A$102,'TCO TO BE - HW'!U$2,'Rozpočet - HW a licencie'!$C$3:$C$102,"HW",'Rozpočet - HW a licencie'!$G$3:$G$102,'TCO TO BE - HW'!$D14,'Rozpočet - HW a licencie'!$D$3:$D$102,'TCO TO BE - HW'!$B$15)+SUMIFS('Rozpočet - HW a licencie'!$I$3:$I$102,'Rozpočet - HW a licencie'!$A$3:$A$102,'TCO TO BE - HW'!U$2,'Rozpočet - HW a licencie'!$C$3:$C$102,"SW pre HW",'Rozpočet - HW a licencie'!$G$3:$G$102,'TCO TO BE - HW'!$D14,'Rozpočet - HW a licencie'!$D$3:$D$102,'TCO TO BE - HW'!$B$15),)</f>
        <v>0</v>
      </c>
      <c r="V24" s="577">
        <f>IFERROR(SUMIFS('Rozpočet - HW a licencie'!$I$3:$I$102,'Rozpočet - HW a licencie'!$A$3:$A$102,'TCO TO BE - HW'!V$2,'Rozpočet - HW a licencie'!$C$3:$C$102,"HW",'Rozpočet - HW a licencie'!$G$3:$G$102,'TCO TO BE - HW'!$D14,'Rozpočet - HW a licencie'!$D$3:$D$102,'TCO TO BE - HW'!$B$15)+SUMIFS('Rozpočet - HW a licencie'!$I$3:$I$102,'Rozpočet - HW a licencie'!$A$3:$A$102,'TCO TO BE - HW'!V$2,'Rozpočet - HW a licencie'!$C$3:$C$102,"SW pre HW",'Rozpočet - HW a licencie'!$G$3:$G$102,'TCO TO BE - HW'!$D14,'Rozpočet - HW a licencie'!$D$3:$D$102,'TCO TO BE - HW'!$B$15),)</f>
        <v>0</v>
      </c>
      <c r="W24" s="577">
        <f>IFERROR(SUMIFS('Rozpočet - HW a licencie'!$I$3:$I$102,'Rozpočet - HW a licencie'!$A$3:$A$102,'TCO TO BE - HW'!W$2,'Rozpočet - HW a licencie'!$C$3:$C$102,"HW",'Rozpočet - HW a licencie'!$G$3:$G$102,'TCO TO BE - HW'!$D14,'Rozpočet - HW a licencie'!$D$3:$D$102,'TCO TO BE - HW'!$B$15)+SUMIFS('Rozpočet - HW a licencie'!$I$3:$I$102,'Rozpočet - HW a licencie'!$A$3:$A$102,'TCO TO BE - HW'!W$2,'Rozpočet - HW a licencie'!$C$3:$C$102,"SW pre HW",'Rozpočet - HW a licencie'!$G$3:$G$102,'TCO TO BE - HW'!$D14,'Rozpočet - HW a licencie'!$D$3:$D$102,'TCO TO BE - HW'!$B$15),)</f>
        <v>0</v>
      </c>
      <c r="X24" s="577">
        <f>IFERROR(SUMIFS('Rozpočet - HW a licencie'!$I$3:$I$102,'Rozpočet - HW a licencie'!$A$3:$A$102,'TCO TO BE - HW'!X$2,'Rozpočet - HW a licencie'!$C$3:$C$102,"HW",'Rozpočet - HW a licencie'!$G$3:$G$102,'TCO TO BE - HW'!$D14,'Rozpočet - HW a licencie'!$D$3:$D$102,'TCO TO BE - HW'!$B$15)+SUMIFS('Rozpočet - HW a licencie'!$I$3:$I$102,'Rozpočet - HW a licencie'!$A$3:$A$102,'TCO TO BE - HW'!X$2,'Rozpočet - HW a licencie'!$C$3:$C$102,"SW pre HW",'Rozpočet - HW a licencie'!$G$3:$G$102,'TCO TO BE - HW'!$D14,'Rozpočet - HW a licencie'!$D$3:$D$102,'TCO TO BE - HW'!$B$15),)</f>
        <v>0</v>
      </c>
      <c r="Y24" s="577">
        <f>IFERROR(SUMIFS('Rozpočet - HW a licencie'!$I$3:$I$102,'Rozpočet - HW a licencie'!$A$3:$A$102,'TCO TO BE - HW'!Y$2,'Rozpočet - HW a licencie'!$C$3:$C$102,"HW",'Rozpočet - HW a licencie'!$G$3:$G$102,'TCO TO BE - HW'!$D14,'Rozpočet - HW a licencie'!$D$3:$D$102,'TCO TO BE - HW'!$B$15)+SUMIFS('Rozpočet - HW a licencie'!$I$3:$I$102,'Rozpočet - HW a licencie'!$A$3:$A$102,'TCO TO BE - HW'!Y$2,'Rozpočet - HW a licencie'!$C$3:$C$102,"SW pre HW",'Rozpočet - HW a licencie'!$G$3:$G$102,'TCO TO BE - HW'!$D14,'Rozpočet - HW a licencie'!$D$3:$D$102,'TCO TO BE - HW'!$B$15),)</f>
        <v>0</v>
      </c>
      <c r="Z24" s="577">
        <f>IFERROR(SUMIFS('Rozpočet - HW a licencie'!$I$3:$I$102,'Rozpočet - HW a licencie'!$A$3:$A$102,'TCO TO BE - HW'!Z$2,'Rozpočet - HW a licencie'!$C$3:$C$102,"HW",'Rozpočet - HW a licencie'!$G$3:$G$102,'TCO TO BE - HW'!$D14,'Rozpočet - HW a licencie'!$D$3:$D$102,'TCO TO BE - HW'!$B$15)+SUMIFS('Rozpočet - HW a licencie'!$I$3:$I$102,'Rozpočet - HW a licencie'!$A$3:$A$102,'TCO TO BE - HW'!Z$2,'Rozpočet - HW a licencie'!$C$3:$C$102,"SW pre HW",'Rozpočet - HW a licencie'!$G$3:$G$102,'TCO TO BE - HW'!$D14,'Rozpočet - HW a licencie'!$D$3:$D$102,'TCO TO BE - HW'!$B$15),)</f>
        <v>0</v>
      </c>
    </row>
    <row r="25" spans="1:26" outlineLevel="1">
      <c r="A25" s="841" t="s">
        <v>2144</v>
      </c>
      <c r="B25" s="842" t="s">
        <v>2120</v>
      </c>
      <c r="C25" s="842">
        <v>637040</v>
      </c>
      <c r="D25" s="497">
        <v>1</v>
      </c>
      <c r="E25" s="68">
        <f t="shared" ref="E25:E34" si="3">SUM(F25:Z25)</f>
        <v>0</v>
      </c>
      <c r="F25" s="578">
        <v>0</v>
      </c>
      <c r="G25" s="578">
        <v>0</v>
      </c>
      <c r="H25" s="578">
        <v>0</v>
      </c>
      <c r="I25" s="578">
        <v>0</v>
      </c>
      <c r="J25" s="578">
        <v>0</v>
      </c>
      <c r="K25" s="578">
        <v>0</v>
      </c>
      <c r="L25" s="578">
        <v>0</v>
      </c>
      <c r="M25" s="578">
        <v>0</v>
      </c>
      <c r="N25" s="578">
        <v>0</v>
      </c>
      <c r="O25" s="578">
        <v>0</v>
      </c>
      <c r="P25" s="578">
        <v>0</v>
      </c>
      <c r="Q25" s="578">
        <v>0</v>
      </c>
      <c r="R25" s="578">
        <v>0</v>
      </c>
      <c r="S25" s="578">
        <v>0</v>
      </c>
      <c r="T25" s="578">
        <v>0</v>
      </c>
      <c r="U25" s="578">
        <v>0</v>
      </c>
      <c r="V25" s="578">
        <v>0</v>
      </c>
      <c r="W25" s="578">
        <v>0</v>
      </c>
      <c r="X25" s="578">
        <v>0</v>
      </c>
      <c r="Y25" s="578">
        <v>0</v>
      </c>
      <c r="Z25" s="578">
        <v>0</v>
      </c>
    </row>
    <row r="26" spans="1:26" outlineLevel="1">
      <c r="A26" s="841"/>
      <c r="B26" s="842"/>
      <c r="C26" s="842"/>
      <c r="D26" s="498">
        <v>2</v>
      </c>
      <c r="E26" s="68">
        <f t="shared" si="3"/>
        <v>0</v>
      </c>
      <c r="F26" s="579">
        <v>0</v>
      </c>
      <c r="G26" s="579">
        <v>0</v>
      </c>
      <c r="H26" s="579">
        <v>0</v>
      </c>
      <c r="I26" s="579">
        <v>0</v>
      </c>
      <c r="J26" s="579">
        <v>0</v>
      </c>
      <c r="K26" s="579">
        <v>0</v>
      </c>
      <c r="L26" s="579">
        <v>0</v>
      </c>
      <c r="M26" s="579">
        <v>0</v>
      </c>
      <c r="N26" s="579">
        <v>0</v>
      </c>
      <c r="O26" s="579">
        <v>0</v>
      </c>
      <c r="P26" s="579">
        <v>0</v>
      </c>
      <c r="Q26" s="579">
        <v>0</v>
      </c>
      <c r="R26" s="579">
        <v>0</v>
      </c>
      <c r="S26" s="579">
        <v>0</v>
      </c>
      <c r="T26" s="579">
        <v>0</v>
      </c>
      <c r="U26" s="579">
        <v>0</v>
      </c>
      <c r="V26" s="579">
        <v>0</v>
      </c>
      <c r="W26" s="579">
        <v>0</v>
      </c>
      <c r="X26" s="579">
        <v>0</v>
      </c>
      <c r="Y26" s="579">
        <v>0</v>
      </c>
      <c r="Z26" s="579">
        <v>0</v>
      </c>
    </row>
    <row r="27" spans="1:26" outlineLevel="1">
      <c r="A27" s="841"/>
      <c r="B27" s="842"/>
      <c r="C27" s="842"/>
      <c r="D27" s="498">
        <v>3</v>
      </c>
      <c r="E27" s="68">
        <f t="shared" si="3"/>
        <v>0</v>
      </c>
      <c r="F27" s="579">
        <v>0</v>
      </c>
      <c r="G27" s="579">
        <v>0</v>
      </c>
      <c r="H27" s="579">
        <v>0</v>
      </c>
      <c r="I27" s="579">
        <v>0</v>
      </c>
      <c r="J27" s="579">
        <v>0</v>
      </c>
      <c r="K27" s="579">
        <v>0</v>
      </c>
      <c r="L27" s="579">
        <v>0</v>
      </c>
      <c r="M27" s="579">
        <v>0</v>
      </c>
      <c r="N27" s="579">
        <v>0</v>
      </c>
      <c r="O27" s="579">
        <v>0</v>
      </c>
      <c r="P27" s="579">
        <v>0</v>
      </c>
      <c r="Q27" s="579">
        <v>0</v>
      </c>
      <c r="R27" s="579">
        <v>0</v>
      </c>
      <c r="S27" s="579">
        <v>0</v>
      </c>
      <c r="T27" s="579">
        <v>0</v>
      </c>
      <c r="U27" s="579">
        <v>0</v>
      </c>
      <c r="V27" s="579">
        <v>0</v>
      </c>
      <c r="W27" s="579">
        <v>0</v>
      </c>
      <c r="X27" s="579">
        <v>0</v>
      </c>
      <c r="Y27" s="579">
        <v>0</v>
      </c>
      <c r="Z27" s="579">
        <v>0</v>
      </c>
    </row>
    <row r="28" spans="1:26" outlineLevel="1">
      <c r="A28" s="841"/>
      <c r="B28" s="842"/>
      <c r="C28" s="842"/>
      <c r="D28" s="498">
        <v>4</v>
      </c>
      <c r="E28" s="68">
        <f t="shared" si="3"/>
        <v>0</v>
      </c>
      <c r="F28" s="579">
        <v>0</v>
      </c>
      <c r="G28" s="579">
        <v>0</v>
      </c>
      <c r="H28" s="579">
        <v>0</v>
      </c>
      <c r="I28" s="579">
        <v>0</v>
      </c>
      <c r="J28" s="579">
        <v>0</v>
      </c>
      <c r="K28" s="579">
        <v>0</v>
      </c>
      <c r="L28" s="579">
        <v>0</v>
      </c>
      <c r="M28" s="579">
        <v>0</v>
      </c>
      <c r="N28" s="579">
        <v>0</v>
      </c>
      <c r="O28" s="579">
        <v>0</v>
      </c>
      <c r="P28" s="579">
        <v>0</v>
      </c>
      <c r="Q28" s="579">
        <v>0</v>
      </c>
      <c r="R28" s="579">
        <v>0</v>
      </c>
      <c r="S28" s="579">
        <v>0</v>
      </c>
      <c r="T28" s="579">
        <v>0</v>
      </c>
      <c r="U28" s="579">
        <v>0</v>
      </c>
      <c r="V28" s="579">
        <v>0</v>
      </c>
      <c r="W28" s="579">
        <v>0</v>
      </c>
      <c r="X28" s="579">
        <v>0</v>
      </c>
      <c r="Y28" s="579">
        <v>0</v>
      </c>
      <c r="Z28" s="579">
        <v>0</v>
      </c>
    </row>
    <row r="29" spans="1:26" outlineLevel="1">
      <c r="A29" s="841"/>
      <c r="B29" s="842"/>
      <c r="C29" s="842"/>
      <c r="D29" s="498">
        <v>5</v>
      </c>
      <c r="E29" s="68">
        <f t="shared" si="3"/>
        <v>0</v>
      </c>
      <c r="F29" s="579">
        <v>0</v>
      </c>
      <c r="G29" s="579">
        <v>0</v>
      </c>
      <c r="H29" s="579">
        <v>0</v>
      </c>
      <c r="I29" s="579">
        <v>0</v>
      </c>
      <c r="J29" s="579">
        <v>0</v>
      </c>
      <c r="K29" s="579">
        <v>0</v>
      </c>
      <c r="L29" s="579">
        <v>0</v>
      </c>
      <c r="M29" s="579">
        <v>0</v>
      </c>
      <c r="N29" s="579">
        <v>0</v>
      </c>
      <c r="O29" s="579">
        <v>0</v>
      </c>
      <c r="P29" s="579">
        <v>0</v>
      </c>
      <c r="Q29" s="579">
        <v>0</v>
      </c>
      <c r="R29" s="579">
        <v>0</v>
      </c>
      <c r="S29" s="579">
        <v>0</v>
      </c>
      <c r="T29" s="579">
        <v>0</v>
      </c>
      <c r="U29" s="579">
        <v>0</v>
      </c>
      <c r="V29" s="579">
        <v>0</v>
      </c>
      <c r="W29" s="579">
        <v>0</v>
      </c>
      <c r="X29" s="579">
        <v>0</v>
      </c>
      <c r="Y29" s="579">
        <v>0</v>
      </c>
      <c r="Z29" s="579">
        <v>0</v>
      </c>
    </row>
    <row r="30" spans="1:26" outlineLevel="1">
      <c r="A30" s="841"/>
      <c r="B30" s="842"/>
      <c r="C30" s="842"/>
      <c r="D30" s="498">
        <v>6</v>
      </c>
      <c r="E30" s="68">
        <f t="shared" si="3"/>
        <v>0</v>
      </c>
      <c r="F30" s="579">
        <v>0</v>
      </c>
      <c r="G30" s="579">
        <v>0</v>
      </c>
      <c r="H30" s="579">
        <v>0</v>
      </c>
      <c r="I30" s="579">
        <v>0</v>
      </c>
      <c r="J30" s="579">
        <v>0</v>
      </c>
      <c r="K30" s="579">
        <v>0</v>
      </c>
      <c r="L30" s="579">
        <v>0</v>
      </c>
      <c r="M30" s="579">
        <v>0</v>
      </c>
      <c r="N30" s="579">
        <v>0</v>
      </c>
      <c r="O30" s="579">
        <v>0</v>
      </c>
      <c r="P30" s="579">
        <v>0</v>
      </c>
      <c r="Q30" s="579">
        <v>0</v>
      </c>
      <c r="R30" s="579">
        <v>0</v>
      </c>
      <c r="S30" s="579">
        <v>0</v>
      </c>
      <c r="T30" s="579">
        <v>0</v>
      </c>
      <c r="U30" s="579">
        <v>0</v>
      </c>
      <c r="V30" s="579">
        <v>0</v>
      </c>
      <c r="W30" s="579">
        <v>0</v>
      </c>
      <c r="X30" s="579">
        <v>0</v>
      </c>
      <c r="Y30" s="579">
        <v>0</v>
      </c>
      <c r="Z30" s="579">
        <v>0</v>
      </c>
    </row>
    <row r="31" spans="1:26" outlineLevel="1">
      <c r="A31" s="841"/>
      <c r="B31" s="842"/>
      <c r="C31" s="842"/>
      <c r="D31" s="498">
        <v>7</v>
      </c>
      <c r="E31" s="68">
        <f t="shared" si="3"/>
        <v>0</v>
      </c>
      <c r="F31" s="579">
        <v>0</v>
      </c>
      <c r="G31" s="579">
        <v>0</v>
      </c>
      <c r="H31" s="579">
        <v>0</v>
      </c>
      <c r="I31" s="579">
        <v>0</v>
      </c>
      <c r="J31" s="579">
        <v>0</v>
      </c>
      <c r="K31" s="579">
        <v>0</v>
      </c>
      <c r="L31" s="579">
        <v>0</v>
      </c>
      <c r="M31" s="579">
        <v>0</v>
      </c>
      <c r="N31" s="579">
        <v>0</v>
      </c>
      <c r="O31" s="579">
        <v>0</v>
      </c>
      <c r="P31" s="579">
        <v>0</v>
      </c>
      <c r="Q31" s="579">
        <v>0</v>
      </c>
      <c r="R31" s="579">
        <v>0</v>
      </c>
      <c r="S31" s="579">
        <v>0</v>
      </c>
      <c r="T31" s="579">
        <v>0</v>
      </c>
      <c r="U31" s="579">
        <v>0</v>
      </c>
      <c r="V31" s="579">
        <v>0</v>
      </c>
      <c r="W31" s="579">
        <v>0</v>
      </c>
      <c r="X31" s="579">
        <v>0</v>
      </c>
      <c r="Y31" s="579">
        <v>0</v>
      </c>
      <c r="Z31" s="579">
        <v>0</v>
      </c>
    </row>
    <row r="32" spans="1:26" outlineLevel="1">
      <c r="A32" s="841"/>
      <c r="B32" s="842"/>
      <c r="C32" s="842"/>
      <c r="D32" s="498">
        <v>8</v>
      </c>
      <c r="E32" s="68">
        <f t="shared" si="3"/>
        <v>0</v>
      </c>
      <c r="F32" s="579">
        <v>0</v>
      </c>
      <c r="G32" s="579">
        <v>0</v>
      </c>
      <c r="H32" s="579">
        <v>0</v>
      </c>
      <c r="I32" s="579">
        <v>0</v>
      </c>
      <c r="J32" s="579">
        <v>0</v>
      </c>
      <c r="K32" s="579">
        <v>0</v>
      </c>
      <c r="L32" s="579">
        <v>0</v>
      </c>
      <c r="M32" s="579">
        <v>0</v>
      </c>
      <c r="N32" s="579">
        <v>0</v>
      </c>
      <c r="O32" s="579">
        <v>0</v>
      </c>
      <c r="P32" s="579">
        <v>0</v>
      </c>
      <c r="Q32" s="579">
        <v>0</v>
      </c>
      <c r="R32" s="579">
        <v>0</v>
      </c>
      <c r="S32" s="579">
        <v>0</v>
      </c>
      <c r="T32" s="579">
        <v>0</v>
      </c>
      <c r="U32" s="579">
        <v>0</v>
      </c>
      <c r="V32" s="579">
        <v>0</v>
      </c>
      <c r="W32" s="579">
        <v>0</v>
      </c>
      <c r="X32" s="579">
        <v>0</v>
      </c>
      <c r="Y32" s="579">
        <v>0</v>
      </c>
      <c r="Z32" s="579">
        <v>0</v>
      </c>
    </row>
    <row r="33" spans="1:26" outlineLevel="1">
      <c r="A33" s="841"/>
      <c r="B33" s="842"/>
      <c r="C33" s="842"/>
      <c r="D33" s="498">
        <v>9</v>
      </c>
      <c r="E33" s="68">
        <f t="shared" si="3"/>
        <v>0</v>
      </c>
      <c r="F33" s="579">
        <v>0</v>
      </c>
      <c r="G33" s="579">
        <v>0</v>
      </c>
      <c r="H33" s="579">
        <v>0</v>
      </c>
      <c r="I33" s="579">
        <v>0</v>
      </c>
      <c r="J33" s="579">
        <v>0</v>
      </c>
      <c r="K33" s="579">
        <v>0</v>
      </c>
      <c r="L33" s="579">
        <v>0</v>
      </c>
      <c r="M33" s="579">
        <v>0</v>
      </c>
      <c r="N33" s="579">
        <v>0</v>
      </c>
      <c r="O33" s="579">
        <v>0</v>
      </c>
      <c r="P33" s="579">
        <v>0</v>
      </c>
      <c r="Q33" s="579">
        <v>0</v>
      </c>
      <c r="R33" s="579">
        <v>0</v>
      </c>
      <c r="S33" s="579">
        <v>0</v>
      </c>
      <c r="T33" s="579">
        <v>0</v>
      </c>
      <c r="U33" s="579">
        <v>0</v>
      </c>
      <c r="V33" s="579">
        <v>0</v>
      </c>
      <c r="W33" s="579">
        <v>0</v>
      </c>
      <c r="X33" s="579">
        <v>0</v>
      </c>
      <c r="Y33" s="579">
        <v>0</v>
      </c>
      <c r="Z33" s="579">
        <v>0</v>
      </c>
    </row>
    <row r="34" spans="1:26" ht="15" outlineLevel="1" thickBot="1">
      <c r="A34" s="841"/>
      <c r="B34" s="842"/>
      <c r="C34" s="842"/>
      <c r="D34" s="499">
        <v>10</v>
      </c>
      <c r="E34" s="69">
        <f t="shared" si="3"/>
        <v>0</v>
      </c>
      <c r="F34" s="583">
        <v>0</v>
      </c>
      <c r="G34" s="583">
        <v>0</v>
      </c>
      <c r="H34" s="583">
        <v>0</v>
      </c>
      <c r="I34" s="583">
        <v>0</v>
      </c>
      <c r="J34" s="583">
        <v>0</v>
      </c>
      <c r="K34" s="583">
        <v>0</v>
      </c>
      <c r="L34" s="583">
        <v>0</v>
      </c>
      <c r="M34" s="583">
        <v>0</v>
      </c>
      <c r="N34" s="583">
        <v>0</v>
      </c>
      <c r="O34" s="583">
        <v>0</v>
      </c>
      <c r="P34" s="583">
        <v>0</v>
      </c>
      <c r="Q34" s="583">
        <v>0</v>
      </c>
      <c r="R34" s="583">
        <v>0</v>
      </c>
      <c r="S34" s="583">
        <v>0</v>
      </c>
      <c r="T34" s="583">
        <v>0</v>
      </c>
      <c r="U34" s="583">
        <v>0</v>
      </c>
      <c r="V34" s="583">
        <v>0</v>
      </c>
      <c r="W34" s="583">
        <v>0</v>
      </c>
      <c r="X34" s="583">
        <v>0</v>
      </c>
      <c r="Y34" s="583">
        <v>0</v>
      </c>
      <c r="Z34" s="583">
        <v>0</v>
      </c>
    </row>
    <row r="35" spans="1:26" outlineLevel="1">
      <c r="A35" s="841" t="s">
        <v>2144</v>
      </c>
      <c r="B35" s="842" t="s">
        <v>2118</v>
      </c>
      <c r="C35" s="842">
        <v>637040</v>
      </c>
      <c r="D35" s="497">
        <v>1</v>
      </c>
      <c r="E35" s="68">
        <f t="shared" ref="E35:E44" si="4">SUM(F35:Z35)</f>
        <v>0</v>
      </c>
      <c r="F35" s="578">
        <v>0</v>
      </c>
      <c r="G35" s="578">
        <v>0</v>
      </c>
      <c r="H35" s="578">
        <v>0</v>
      </c>
      <c r="I35" s="578">
        <v>0</v>
      </c>
      <c r="J35" s="578">
        <v>0</v>
      </c>
      <c r="K35" s="578">
        <v>0</v>
      </c>
      <c r="L35" s="578">
        <v>0</v>
      </c>
      <c r="M35" s="578">
        <v>0</v>
      </c>
      <c r="N35" s="578">
        <v>0</v>
      </c>
      <c r="O35" s="578">
        <v>0</v>
      </c>
      <c r="P35" s="578">
        <v>0</v>
      </c>
      <c r="Q35" s="578">
        <v>0</v>
      </c>
      <c r="R35" s="578">
        <v>0</v>
      </c>
      <c r="S35" s="578">
        <v>0</v>
      </c>
      <c r="T35" s="578">
        <v>0</v>
      </c>
      <c r="U35" s="578">
        <v>0</v>
      </c>
      <c r="V35" s="578">
        <v>0</v>
      </c>
      <c r="W35" s="578">
        <v>0</v>
      </c>
      <c r="X35" s="578">
        <v>0</v>
      </c>
      <c r="Y35" s="578">
        <v>0</v>
      </c>
      <c r="Z35" s="578">
        <v>0</v>
      </c>
    </row>
    <row r="36" spans="1:26" outlineLevel="1">
      <c r="A36" s="841"/>
      <c r="B36" s="842"/>
      <c r="C36" s="842"/>
      <c r="D36" s="498">
        <v>2</v>
      </c>
      <c r="E36" s="68">
        <f t="shared" si="4"/>
        <v>0</v>
      </c>
      <c r="F36" s="579">
        <v>0</v>
      </c>
      <c r="G36" s="579">
        <v>0</v>
      </c>
      <c r="H36" s="579">
        <v>0</v>
      </c>
      <c r="I36" s="579">
        <v>0</v>
      </c>
      <c r="J36" s="579">
        <v>0</v>
      </c>
      <c r="K36" s="579">
        <v>0</v>
      </c>
      <c r="L36" s="579">
        <v>0</v>
      </c>
      <c r="M36" s="579">
        <v>0</v>
      </c>
      <c r="N36" s="579">
        <v>0</v>
      </c>
      <c r="O36" s="579">
        <v>0</v>
      </c>
      <c r="P36" s="579">
        <v>0</v>
      </c>
      <c r="Q36" s="579">
        <v>0</v>
      </c>
      <c r="R36" s="579">
        <v>0</v>
      </c>
      <c r="S36" s="579">
        <v>0</v>
      </c>
      <c r="T36" s="579">
        <v>0</v>
      </c>
      <c r="U36" s="579">
        <v>0</v>
      </c>
      <c r="V36" s="579">
        <v>0</v>
      </c>
      <c r="W36" s="579">
        <v>0</v>
      </c>
      <c r="X36" s="579">
        <v>0</v>
      </c>
      <c r="Y36" s="579">
        <v>0</v>
      </c>
      <c r="Z36" s="579">
        <v>0</v>
      </c>
    </row>
    <row r="37" spans="1:26" outlineLevel="1">
      <c r="A37" s="841"/>
      <c r="B37" s="842"/>
      <c r="C37" s="842"/>
      <c r="D37" s="498">
        <v>3</v>
      </c>
      <c r="E37" s="68">
        <f t="shared" si="4"/>
        <v>0</v>
      </c>
      <c r="F37" s="579">
        <v>0</v>
      </c>
      <c r="G37" s="579">
        <v>0</v>
      </c>
      <c r="H37" s="579">
        <v>0</v>
      </c>
      <c r="I37" s="579">
        <v>0</v>
      </c>
      <c r="J37" s="579">
        <v>0</v>
      </c>
      <c r="K37" s="579">
        <v>0</v>
      </c>
      <c r="L37" s="579">
        <v>0</v>
      </c>
      <c r="M37" s="579">
        <v>0</v>
      </c>
      <c r="N37" s="579">
        <v>0</v>
      </c>
      <c r="O37" s="579">
        <v>0</v>
      </c>
      <c r="P37" s="579">
        <v>0</v>
      </c>
      <c r="Q37" s="579">
        <v>0</v>
      </c>
      <c r="R37" s="579">
        <v>0</v>
      </c>
      <c r="S37" s="579">
        <v>0</v>
      </c>
      <c r="T37" s="579">
        <v>0</v>
      </c>
      <c r="U37" s="579">
        <v>0</v>
      </c>
      <c r="V37" s="579">
        <v>0</v>
      </c>
      <c r="W37" s="579">
        <v>0</v>
      </c>
      <c r="X37" s="579">
        <v>0</v>
      </c>
      <c r="Y37" s="579">
        <v>0</v>
      </c>
      <c r="Z37" s="579">
        <v>0</v>
      </c>
    </row>
    <row r="38" spans="1:26" outlineLevel="1">
      <c r="A38" s="841"/>
      <c r="B38" s="842"/>
      <c r="C38" s="842"/>
      <c r="D38" s="498">
        <v>4</v>
      </c>
      <c r="E38" s="68">
        <f t="shared" si="4"/>
        <v>0</v>
      </c>
      <c r="F38" s="579">
        <v>0</v>
      </c>
      <c r="G38" s="579">
        <v>0</v>
      </c>
      <c r="H38" s="579">
        <v>0</v>
      </c>
      <c r="I38" s="579">
        <v>0</v>
      </c>
      <c r="J38" s="579">
        <v>0</v>
      </c>
      <c r="K38" s="579">
        <v>0</v>
      </c>
      <c r="L38" s="579">
        <v>0</v>
      </c>
      <c r="M38" s="579">
        <v>0</v>
      </c>
      <c r="N38" s="579">
        <v>0</v>
      </c>
      <c r="O38" s="579">
        <v>0</v>
      </c>
      <c r="P38" s="579">
        <v>0</v>
      </c>
      <c r="Q38" s="579">
        <v>0</v>
      </c>
      <c r="R38" s="579">
        <v>0</v>
      </c>
      <c r="S38" s="579">
        <v>0</v>
      </c>
      <c r="T38" s="579">
        <v>0</v>
      </c>
      <c r="U38" s="579">
        <v>0</v>
      </c>
      <c r="V38" s="579">
        <v>0</v>
      </c>
      <c r="W38" s="579">
        <v>0</v>
      </c>
      <c r="X38" s="579">
        <v>0</v>
      </c>
      <c r="Y38" s="579">
        <v>0</v>
      </c>
      <c r="Z38" s="579">
        <v>0</v>
      </c>
    </row>
    <row r="39" spans="1:26" outlineLevel="1">
      <c r="A39" s="841"/>
      <c r="B39" s="842"/>
      <c r="C39" s="842"/>
      <c r="D39" s="498">
        <v>5</v>
      </c>
      <c r="E39" s="68">
        <f t="shared" si="4"/>
        <v>0</v>
      </c>
      <c r="F39" s="579">
        <v>0</v>
      </c>
      <c r="G39" s="579">
        <v>0</v>
      </c>
      <c r="H39" s="579">
        <v>0</v>
      </c>
      <c r="I39" s="579">
        <v>0</v>
      </c>
      <c r="J39" s="579">
        <v>0</v>
      </c>
      <c r="K39" s="579">
        <v>0</v>
      </c>
      <c r="L39" s="579">
        <v>0</v>
      </c>
      <c r="M39" s="579">
        <v>0</v>
      </c>
      <c r="N39" s="579">
        <v>0</v>
      </c>
      <c r="O39" s="579">
        <v>0</v>
      </c>
      <c r="P39" s="579">
        <v>0</v>
      </c>
      <c r="Q39" s="579">
        <v>0</v>
      </c>
      <c r="R39" s="579">
        <v>0</v>
      </c>
      <c r="S39" s="579">
        <v>0</v>
      </c>
      <c r="T39" s="579">
        <v>0</v>
      </c>
      <c r="U39" s="579">
        <v>0</v>
      </c>
      <c r="V39" s="579">
        <v>0</v>
      </c>
      <c r="W39" s="579">
        <v>0</v>
      </c>
      <c r="X39" s="579">
        <v>0</v>
      </c>
      <c r="Y39" s="579">
        <v>0</v>
      </c>
      <c r="Z39" s="579">
        <v>0</v>
      </c>
    </row>
    <row r="40" spans="1:26" outlineLevel="1">
      <c r="A40" s="841"/>
      <c r="B40" s="842"/>
      <c r="C40" s="842"/>
      <c r="D40" s="498">
        <v>6</v>
      </c>
      <c r="E40" s="68">
        <f t="shared" si="4"/>
        <v>0</v>
      </c>
      <c r="F40" s="579">
        <v>0</v>
      </c>
      <c r="G40" s="579">
        <v>0</v>
      </c>
      <c r="H40" s="579">
        <v>0</v>
      </c>
      <c r="I40" s="579">
        <v>0</v>
      </c>
      <c r="J40" s="579">
        <v>0</v>
      </c>
      <c r="K40" s="579">
        <v>0</v>
      </c>
      <c r="L40" s="579">
        <v>0</v>
      </c>
      <c r="M40" s="579">
        <v>0</v>
      </c>
      <c r="N40" s="579">
        <v>0</v>
      </c>
      <c r="O40" s="579">
        <v>0</v>
      </c>
      <c r="P40" s="579">
        <v>0</v>
      </c>
      <c r="Q40" s="579">
        <v>0</v>
      </c>
      <c r="R40" s="579">
        <v>0</v>
      </c>
      <c r="S40" s="579">
        <v>0</v>
      </c>
      <c r="T40" s="579">
        <v>0</v>
      </c>
      <c r="U40" s="579">
        <v>0</v>
      </c>
      <c r="V40" s="579">
        <v>0</v>
      </c>
      <c r="W40" s="579">
        <v>0</v>
      </c>
      <c r="X40" s="579">
        <v>0</v>
      </c>
      <c r="Y40" s="579">
        <v>0</v>
      </c>
      <c r="Z40" s="579">
        <v>0</v>
      </c>
    </row>
    <row r="41" spans="1:26" outlineLevel="1">
      <c r="A41" s="841"/>
      <c r="B41" s="842"/>
      <c r="C41" s="842"/>
      <c r="D41" s="498">
        <v>7</v>
      </c>
      <c r="E41" s="68">
        <f t="shared" si="4"/>
        <v>0</v>
      </c>
      <c r="F41" s="579">
        <v>0</v>
      </c>
      <c r="G41" s="579">
        <v>0</v>
      </c>
      <c r="H41" s="579">
        <v>0</v>
      </c>
      <c r="I41" s="579">
        <v>0</v>
      </c>
      <c r="J41" s="579">
        <v>0</v>
      </c>
      <c r="K41" s="579">
        <v>0</v>
      </c>
      <c r="L41" s="579">
        <v>0</v>
      </c>
      <c r="M41" s="579">
        <v>0</v>
      </c>
      <c r="N41" s="579">
        <v>0</v>
      </c>
      <c r="O41" s="579">
        <v>0</v>
      </c>
      <c r="P41" s="579">
        <v>0</v>
      </c>
      <c r="Q41" s="579">
        <v>0</v>
      </c>
      <c r="R41" s="579">
        <v>0</v>
      </c>
      <c r="S41" s="579">
        <v>0</v>
      </c>
      <c r="T41" s="579">
        <v>0</v>
      </c>
      <c r="U41" s="579">
        <v>0</v>
      </c>
      <c r="V41" s="579">
        <v>0</v>
      </c>
      <c r="W41" s="579">
        <v>0</v>
      </c>
      <c r="X41" s="579">
        <v>0</v>
      </c>
      <c r="Y41" s="579">
        <v>0</v>
      </c>
      <c r="Z41" s="579">
        <v>0</v>
      </c>
    </row>
    <row r="42" spans="1:26" outlineLevel="1">
      <c r="A42" s="841"/>
      <c r="B42" s="842"/>
      <c r="C42" s="842"/>
      <c r="D42" s="498">
        <v>8</v>
      </c>
      <c r="E42" s="68">
        <f t="shared" si="4"/>
        <v>0</v>
      </c>
      <c r="F42" s="579">
        <v>0</v>
      </c>
      <c r="G42" s="579">
        <v>0</v>
      </c>
      <c r="H42" s="579">
        <v>0</v>
      </c>
      <c r="I42" s="579">
        <v>0</v>
      </c>
      <c r="J42" s="579">
        <v>0</v>
      </c>
      <c r="K42" s="579">
        <v>0</v>
      </c>
      <c r="L42" s="579">
        <v>0</v>
      </c>
      <c r="M42" s="579">
        <v>0</v>
      </c>
      <c r="N42" s="579">
        <v>0</v>
      </c>
      <c r="O42" s="579">
        <v>0</v>
      </c>
      <c r="P42" s="579">
        <v>0</v>
      </c>
      <c r="Q42" s="579">
        <v>0</v>
      </c>
      <c r="R42" s="579">
        <v>0</v>
      </c>
      <c r="S42" s="579">
        <v>0</v>
      </c>
      <c r="T42" s="579">
        <v>0</v>
      </c>
      <c r="U42" s="579">
        <v>0</v>
      </c>
      <c r="V42" s="579">
        <v>0</v>
      </c>
      <c r="W42" s="579">
        <v>0</v>
      </c>
      <c r="X42" s="579">
        <v>0</v>
      </c>
      <c r="Y42" s="579">
        <v>0</v>
      </c>
      <c r="Z42" s="579">
        <v>0</v>
      </c>
    </row>
    <row r="43" spans="1:26" outlineLevel="1">
      <c r="A43" s="841"/>
      <c r="B43" s="842"/>
      <c r="C43" s="842"/>
      <c r="D43" s="498">
        <v>9</v>
      </c>
      <c r="E43" s="68">
        <f t="shared" si="4"/>
        <v>0</v>
      </c>
      <c r="F43" s="579">
        <v>0</v>
      </c>
      <c r="G43" s="579">
        <v>0</v>
      </c>
      <c r="H43" s="579">
        <v>0</v>
      </c>
      <c r="I43" s="579">
        <v>0</v>
      </c>
      <c r="J43" s="579">
        <v>0</v>
      </c>
      <c r="K43" s="579">
        <v>0</v>
      </c>
      <c r="L43" s="579">
        <v>0</v>
      </c>
      <c r="M43" s="579">
        <v>0</v>
      </c>
      <c r="N43" s="579">
        <v>0</v>
      </c>
      <c r="O43" s="579">
        <v>0</v>
      </c>
      <c r="P43" s="579">
        <v>0</v>
      </c>
      <c r="Q43" s="579">
        <v>0</v>
      </c>
      <c r="R43" s="579">
        <v>0</v>
      </c>
      <c r="S43" s="579">
        <v>0</v>
      </c>
      <c r="T43" s="579">
        <v>0</v>
      </c>
      <c r="U43" s="579">
        <v>0</v>
      </c>
      <c r="V43" s="579">
        <v>0</v>
      </c>
      <c r="W43" s="579">
        <v>0</v>
      </c>
      <c r="X43" s="579">
        <v>0</v>
      </c>
      <c r="Y43" s="579">
        <v>0</v>
      </c>
      <c r="Z43" s="579">
        <v>0</v>
      </c>
    </row>
    <row r="44" spans="1:26" ht="15" outlineLevel="1" thickBot="1">
      <c r="A44" s="841"/>
      <c r="B44" s="842"/>
      <c r="C44" s="842"/>
      <c r="D44" s="499">
        <v>10</v>
      </c>
      <c r="E44" s="69">
        <f t="shared" si="4"/>
        <v>0</v>
      </c>
      <c r="F44" s="583">
        <v>0</v>
      </c>
      <c r="G44" s="583">
        <v>0</v>
      </c>
      <c r="H44" s="583">
        <v>0</v>
      </c>
      <c r="I44" s="583">
        <v>0</v>
      </c>
      <c r="J44" s="583">
        <v>0</v>
      </c>
      <c r="K44" s="583">
        <v>0</v>
      </c>
      <c r="L44" s="583">
        <v>0</v>
      </c>
      <c r="M44" s="583">
        <v>0</v>
      </c>
      <c r="N44" s="583">
        <v>0</v>
      </c>
      <c r="O44" s="583">
        <v>0</v>
      </c>
      <c r="P44" s="583">
        <v>0</v>
      </c>
      <c r="Q44" s="583">
        <v>0</v>
      </c>
      <c r="R44" s="583">
        <v>0</v>
      </c>
      <c r="S44" s="583">
        <v>0</v>
      </c>
      <c r="T44" s="583">
        <v>0</v>
      </c>
      <c r="U44" s="583">
        <v>0</v>
      </c>
      <c r="V44" s="583">
        <v>0</v>
      </c>
      <c r="W44" s="583">
        <v>0</v>
      </c>
      <c r="X44" s="583">
        <v>0</v>
      </c>
      <c r="Y44" s="583">
        <v>0</v>
      </c>
      <c r="Z44" s="583">
        <v>0</v>
      </c>
    </row>
    <row r="45" spans="1:26" outlineLevel="1">
      <c r="A45" s="841" t="s">
        <v>2128</v>
      </c>
      <c r="B45" s="842" t="s">
        <v>2120</v>
      </c>
      <c r="C45" s="842">
        <v>637040</v>
      </c>
      <c r="D45" s="497">
        <v>1</v>
      </c>
      <c r="E45" s="68">
        <f t="shared" si="2"/>
        <v>0</v>
      </c>
      <c r="F45" s="578">
        <v>0</v>
      </c>
      <c r="G45" s="578">
        <v>0</v>
      </c>
      <c r="H45" s="578">
        <v>0</v>
      </c>
      <c r="I45" s="578">
        <v>0</v>
      </c>
      <c r="J45" s="578">
        <v>0</v>
      </c>
      <c r="K45" s="578">
        <v>0</v>
      </c>
      <c r="L45" s="578">
        <v>0</v>
      </c>
      <c r="M45" s="578">
        <v>0</v>
      </c>
      <c r="N45" s="578">
        <v>0</v>
      </c>
      <c r="O45" s="578">
        <v>0</v>
      </c>
      <c r="P45" s="578">
        <v>0</v>
      </c>
      <c r="Q45" s="578">
        <v>0</v>
      </c>
      <c r="R45" s="578">
        <v>0</v>
      </c>
      <c r="S45" s="578">
        <v>0</v>
      </c>
      <c r="T45" s="578">
        <v>0</v>
      </c>
      <c r="U45" s="578">
        <v>0</v>
      </c>
      <c r="V45" s="578">
        <v>0</v>
      </c>
      <c r="W45" s="578">
        <v>0</v>
      </c>
      <c r="X45" s="578">
        <v>0</v>
      </c>
      <c r="Y45" s="578">
        <v>0</v>
      </c>
      <c r="Z45" s="578">
        <v>0</v>
      </c>
    </row>
    <row r="46" spans="1:26" outlineLevel="1">
      <c r="A46" s="841"/>
      <c r="B46" s="842"/>
      <c r="C46" s="842"/>
      <c r="D46" s="498">
        <v>2</v>
      </c>
      <c r="E46" s="68">
        <f t="shared" si="2"/>
        <v>0</v>
      </c>
      <c r="F46" s="579">
        <v>0</v>
      </c>
      <c r="G46" s="579">
        <v>0</v>
      </c>
      <c r="H46" s="579">
        <v>0</v>
      </c>
      <c r="I46" s="579">
        <v>0</v>
      </c>
      <c r="J46" s="579">
        <v>0</v>
      </c>
      <c r="K46" s="579">
        <v>0</v>
      </c>
      <c r="L46" s="579">
        <v>0</v>
      </c>
      <c r="M46" s="579">
        <v>0</v>
      </c>
      <c r="N46" s="579">
        <v>0</v>
      </c>
      <c r="O46" s="579">
        <v>0</v>
      </c>
      <c r="P46" s="579">
        <v>0</v>
      </c>
      <c r="Q46" s="579">
        <v>0</v>
      </c>
      <c r="R46" s="579">
        <v>0</v>
      </c>
      <c r="S46" s="579">
        <v>0</v>
      </c>
      <c r="T46" s="579">
        <v>0</v>
      </c>
      <c r="U46" s="579">
        <v>0</v>
      </c>
      <c r="V46" s="579">
        <v>0</v>
      </c>
      <c r="W46" s="579">
        <v>0</v>
      </c>
      <c r="X46" s="579">
        <v>0</v>
      </c>
      <c r="Y46" s="579">
        <v>0</v>
      </c>
      <c r="Z46" s="579">
        <v>0</v>
      </c>
    </row>
    <row r="47" spans="1:26" outlineLevel="1">
      <c r="A47" s="841"/>
      <c r="B47" s="842"/>
      <c r="C47" s="842"/>
      <c r="D47" s="498">
        <v>3</v>
      </c>
      <c r="E47" s="68">
        <f t="shared" si="2"/>
        <v>0</v>
      </c>
      <c r="F47" s="579">
        <v>0</v>
      </c>
      <c r="G47" s="579">
        <v>0</v>
      </c>
      <c r="H47" s="579">
        <v>0</v>
      </c>
      <c r="I47" s="579">
        <v>0</v>
      </c>
      <c r="J47" s="579">
        <v>0</v>
      </c>
      <c r="K47" s="579">
        <v>0</v>
      </c>
      <c r="L47" s="579">
        <v>0</v>
      </c>
      <c r="M47" s="579">
        <v>0</v>
      </c>
      <c r="N47" s="579">
        <v>0</v>
      </c>
      <c r="O47" s="579">
        <v>0</v>
      </c>
      <c r="P47" s="579">
        <v>0</v>
      </c>
      <c r="Q47" s="579">
        <v>0</v>
      </c>
      <c r="R47" s="579">
        <v>0</v>
      </c>
      <c r="S47" s="579">
        <v>0</v>
      </c>
      <c r="T47" s="579">
        <v>0</v>
      </c>
      <c r="U47" s="579">
        <v>0</v>
      </c>
      <c r="V47" s="579">
        <v>0</v>
      </c>
      <c r="W47" s="579">
        <v>0</v>
      </c>
      <c r="X47" s="579">
        <v>0</v>
      </c>
      <c r="Y47" s="579">
        <v>0</v>
      </c>
      <c r="Z47" s="579">
        <v>0</v>
      </c>
    </row>
    <row r="48" spans="1:26" outlineLevel="1">
      <c r="A48" s="841"/>
      <c r="B48" s="842"/>
      <c r="C48" s="842"/>
      <c r="D48" s="498">
        <v>4</v>
      </c>
      <c r="E48" s="68">
        <f t="shared" si="2"/>
        <v>0</v>
      </c>
      <c r="F48" s="579">
        <v>0</v>
      </c>
      <c r="G48" s="579">
        <v>0</v>
      </c>
      <c r="H48" s="579">
        <v>0</v>
      </c>
      <c r="I48" s="579">
        <v>0</v>
      </c>
      <c r="J48" s="579">
        <v>0</v>
      </c>
      <c r="K48" s="579">
        <v>0</v>
      </c>
      <c r="L48" s="579">
        <v>0</v>
      </c>
      <c r="M48" s="579">
        <v>0</v>
      </c>
      <c r="N48" s="579">
        <v>0</v>
      </c>
      <c r="O48" s="579">
        <v>0</v>
      </c>
      <c r="P48" s="579">
        <v>0</v>
      </c>
      <c r="Q48" s="579">
        <v>0</v>
      </c>
      <c r="R48" s="579">
        <v>0</v>
      </c>
      <c r="S48" s="579">
        <v>0</v>
      </c>
      <c r="T48" s="579">
        <v>0</v>
      </c>
      <c r="U48" s="579">
        <v>0</v>
      </c>
      <c r="V48" s="579">
        <v>0</v>
      </c>
      <c r="W48" s="579">
        <v>0</v>
      </c>
      <c r="X48" s="579">
        <v>0</v>
      </c>
      <c r="Y48" s="579">
        <v>0</v>
      </c>
      <c r="Z48" s="579">
        <v>0</v>
      </c>
    </row>
    <row r="49" spans="1:26" outlineLevel="1">
      <c r="A49" s="841"/>
      <c r="B49" s="842"/>
      <c r="C49" s="842"/>
      <c r="D49" s="498">
        <v>5</v>
      </c>
      <c r="E49" s="68">
        <f t="shared" si="2"/>
        <v>0</v>
      </c>
      <c r="F49" s="579">
        <v>0</v>
      </c>
      <c r="G49" s="579">
        <v>0</v>
      </c>
      <c r="H49" s="579">
        <v>0</v>
      </c>
      <c r="I49" s="579">
        <v>0</v>
      </c>
      <c r="J49" s="579">
        <v>0</v>
      </c>
      <c r="K49" s="579">
        <v>0</v>
      </c>
      <c r="L49" s="579">
        <v>0</v>
      </c>
      <c r="M49" s="579">
        <v>0</v>
      </c>
      <c r="N49" s="579">
        <v>0</v>
      </c>
      <c r="O49" s="579">
        <v>0</v>
      </c>
      <c r="P49" s="579">
        <v>0</v>
      </c>
      <c r="Q49" s="579">
        <v>0</v>
      </c>
      <c r="R49" s="579">
        <v>0</v>
      </c>
      <c r="S49" s="579">
        <v>0</v>
      </c>
      <c r="T49" s="579">
        <v>0</v>
      </c>
      <c r="U49" s="579">
        <v>0</v>
      </c>
      <c r="V49" s="579">
        <v>0</v>
      </c>
      <c r="W49" s="579">
        <v>0</v>
      </c>
      <c r="X49" s="579">
        <v>0</v>
      </c>
      <c r="Y49" s="579">
        <v>0</v>
      </c>
      <c r="Z49" s="579">
        <v>0</v>
      </c>
    </row>
    <row r="50" spans="1:26" outlineLevel="1">
      <c r="A50" s="841"/>
      <c r="B50" s="842"/>
      <c r="C50" s="842"/>
      <c r="D50" s="498">
        <v>6</v>
      </c>
      <c r="E50" s="68">
        <f t="shared" si="2"/>
        <v>0</v>
      </c>
      <c r="F50" s="579">
        <v>0</v>
      </c>
      <c r="G50" s="579">
        <v>0</v>
      </c>
      <c r="H50" s="579">
        <v>0</v>
      </c>
      <c r="I50" s="579">
        <v>0</v>
      </c>
      <c r="J50" s="579">
        <v>0</v>
      </c>
      <c r="K50" s="579">
        <v>0</v>
      </c>
      <c r="L50" s="579">
        <v>0</v>
      </c>
      <c r="M50" s="579">
        <v>0</v>
      </c>
      <c r="N50" s="579">
        <v>0</v>
      </c>
      <c r="O50" s="579">
        <v>0</v>
      </c>
      <c r="P50" s="579">
        <v>0</v>
      </c>
      <c r="Q50" s="579">
        <v>0</v>
      </c>
      <c r="R50" s="579">
        <v>0</v>
      </c>
      <c r="S50" s="579">
        <v>0</v>
      </c>
      <c r="T50" s="579">
        <v>0</v>
      </c>
      <c r="U50" s="579">
        <v>0</v>
      </c>
      <c r="V50" s="579">
        <v>0</v>
      </c>
      <c r="W50" s="579">
        <v>0</v>
      </c>
      <c r="X50" s="579">
        <v>0</v>
      </c>
      <c r="Y50" s="579">
        <v>0</v>
      </c>
      <c r="Z50" s="579">
        <v>0</v>
      </c>
    </row>
    <row r="51" spans="1:26" outlineLevel="1">
      <c r="A51" s="841"/>
      <c r="B51" s="842"/>
      <c r="C51" s="842"/>
      <c r="D51" s="498">
        <v>7</v>
      </c>
      <c r="E51" s="68">
        <f t="shared" si="2"/>
        <v>0</v>
      </c>
      <c r="F51" s="579">
        <v>0</v>
      </c>
      <c r="G51" s="579">
        <v>0</v>
      </c>
      <c r="H51" s="579">
        <v>0</v>
      </c>
      <c r="I51" s="579">
        <v>0</v>
      </c>
      <c r="J51" s="579">
        <v>0</v>
      </c>
      <c r="K51" s="579">
        <v>0</v>
      </c>
      <c r="L51" s="579">
        <v>0</v>
      </c>
      <c r="M51" s="579">
        <v>0</v>
      </c>
      <c r="N51" s="579">
        <v>0</v>
      </c>
      <c r="O51" s="579">
        <v>0</v>
      </c>
      <c r="P51" s="579">
        <v>0</v>
      </c>
      <c r="Q51" s="579">
        <v>0</v>
      </c>
      <c r="R51" s="579">
        <v>0</v>
      </c>
      <c r="S51" s="579">
        <v>0</v>
      </c>
      <c r="T51" s="579">
        <v>0</v>
      </c>
      <c r="U51" s="579">
        <v>0</v>
      </c>
      <c r="V51" s="579">
        <v>0</v>
      </c>
      <c r="W51" s="579">
        <v>0</v>
      </c>
      <c r="X51" s="579">
        <v>0</v>
      </c>
      <c r="Y51" s="579">
        <v>0</v>
      </c>
      <c r="Z51" s="579">
        <v>0</v>
      </c>
    </row>
    <row r="52" spans="1:26" outlineLevel="1">
      <c r="A52" s="841"/>
      <c r="B52" s="842"/>
      <c r="C52" s="842"/>
      <c r="D52" s="498">
        <v>8</v>
      </c>
      <c r="E52" s="68">
        <f t="shared" si="2"/>
        <v>0</v>
      </c>
      <c r="F52" s="579">
        <v>0</v>
      </c>
      <c r="G52" s="579">
        <v>0</v>
      </c>
      <c r="H52" s="579">
        <v>0</v>
      </c>
      <c r="I52" s="579">
        <v>0</v>
      </c>
      <c r="J52" s="579">
        <v>0</v>
      </c>
      <c r="K52" s="579">
        <v>0</v>
      </c>
      <c r="L52" s="579">
        <v>0</v>
      </c>
      <c r="M52" s="579">
        <v>0</v>
      </c>
      <c r="N52" s="579">
        <v>0</v>
      </c>
      <c r="O52" s="579">
        <v>0</v>
      </c>
      <c r="P52" s="579">
        <v>0</v>
      </c>
      <c r="Q52" s="579">
        <v>0</v>
      </c>
      <c r="R52" s="579">
        <v>0</v>
      </c>
      <c r="S52" s="579">
        <v>0</v>
      </c>
      <c r="T52" s="579">
        <v>0</v>
      </c>
      <c r="U52" s="579">
        <v>0</v>
      </c>
      <c r="V52" s="579">
        <v>0</v>
      </c>
      <c r="W52" s="579">
        <v>0</v>
      </c>
      <c r="X52" s="579">
        <v>0</v>
      </c>
      <c r="Y52" s="579">
        <v>0</v>
      </c>
      <c r="Z52" s="579">
        <v>0</v>
      </c>
    </row>
    <row r="53" spans="1:26" outlineLevel="1">
      <c r="A53" s="841"/>
      <c r="B53" s="842"/>
      <c r="C53" s="842"/>
      <c r="D53" s="498">
        <v>9</v>
      </c>
      <c r="E53" s="68">
        <f t="shared" si="2"/>
        <v>0</v>
      </c>
      <c r="F53" s="579">
        <v>0</v>
      </c>
      <c r="G53" s="579">
        <v>0</v>
      </c>
      <c r="H53" s="579">
        <v>0</v>
      </c>
      <c r="I53" s="579">
        <v>0</v>
      </c>
      <c r="J53" s="579">
        <v>0</v>
      </c>
      <c r="K53" s="579">
        <v>0</v>
      </c>
      <c r="L53" s="579">
        <v>0</v>
      </c>
      <c r="M53" s="579">
        <v>0</v>
      </c>
      <c r="N53" s="579">
        <v>0</v>
      </c>
      <c r="O53" s="579">
        <v>0</v>
      </c>
      <c r="P53" s="579">
        <v>0</v>
      </c>
      <c r="Q53" s="579">
        <v>0</v>
      </c>
      <c r="R53" s="579">
        <v>0</v>
      </c>
      <c r="S53" s="579">
        <v>0</v>
      </c>
      <c r="T53" s="579">
        <v>0</v>
      </c>
      <c r="U53" s="579">
        <v>0</v>
      </c>
      <c r="V53" s="579">
        <v>0</v>
      </c>
      <c r="W53" s="579">
        <v>0</v>
      </c>
      <c r="X53" s="579">
        <v>0</v>
      </c>
      <c r="Y53" s="579">
        <v>0</v>
      </c>
      <c r="Z53" s="579">
        <v>0</v>
      </c>
    </row>
    <row r="54" spans="1:26" ht="15" outlineLevel="1" thickBot="1">
      <c r="A54" s="841"/>
      <c r="B54" s="842"/>
      <c r="C54" s="842"/>
      <c r="D54" s="499">
        <v>10</v>
      </c>
      <c r="E54" s="68">
        <f t="shared" si="2"/>
        <v>0</v>
      </c>
      <c r="F54" s="583">
        <v>0</v>
      </c>
      <c r="G54" s="583">
        <v>0</v>
      </c>
      <c r="H54" s="583">
        <v>0</v>
      </c>
      <c r="I54" s="583">
        <v>0</v>
      </c>
      <c r="J54" s="583">
        <v>0</v>
      </c>
      <c r="K54" s="583">
        <v>0</v>
      </c>
      <c r="L54" s="583">
        <v>0</v>
      </c>
      <c r="M54" s="583">
        <v>0</v>
      </c>
      <c r="N54" s="583">
        <v>0</v>
      </c>
      <c r="O54" s="583">
        <v>0</v>
      </c>
      <c r="P54" s="583">
        <v>0</v>
      </c>
      <c r="Q54" s="583">
        <v>0</v>
      </c>
      <c r="R54" s="583">
        <v>0</v>
      </c>
      <c r="S54" s="583">
        <v>0</v>
      </c>
      <c r="T54" s="583">
        <v>0</v>
      </c>
      <c r="U54" s="583">
        <v>0</v>
      </c>
      <c r="V54" s="583">
        <v>0</v>
      </c>
      <c r="W54" s="583">
        <v>0</v>
      </c>
      <c r="X54" s="583">
        <v>0</v>
      </c>
      <c r="Y54" s="583">
        <v>0</v>
      </c>
      <c r="Z54" s="583">
        <v>0</v>
      </c>
    </row>
    <row r="55" spans="1:26" ht="15" thickBot="1">
      <c r="A55" s="855" t="s">
        <v>2122</v>
      </c>
      <c r="B55" s="855"/>
      <c r="C55" s="855"/>
      <c r="D55" s="590"/>
      <c r="E55" s="72">
        <f t="shared" ref="E55:F55" si="5">SUM(E56:E105)</f>
        <v>0</v>
      </c>
      <c r="F55" s="73">
        <f t="shared" si="5"/>
        <v>0</v>
      </c>
      <c r="G55" s="73">
        <f t="shared" ref="G55:Z55" si="6">SUM(G56:G105)</f>
        <v>0</v>
      </c>
      <c r="H55" s="73">
        <f t="shared" si="6"/>
        <v>0</v>
      </c>
      <c r="I55" s="73">
        <f t="shared" si="6"/>
        <v>0</v>
      </c>
      <c r="J55" s="73">
        <f t="shared" si="6"/>
        <v>0</v>
      </c>
      <c r="K55" s="73">
        <f t="shared" si="6"/>
        <v>0</v>
      </c>
      <c r="L55" s="73">
        <f t="shared" si="6"/>
        <v>0</v>
      </c>
      <c r="M55" s="73">
        <f t="shared" si="6"/>
        <v>0</v>
      </c>
      <c r="N55" s="73">
        <f t="shared" si="6"/>
        <v>0</v>
      </c>
      <c r="O55" s="73">
        <f t="shared" si="6"/>
        <v>0</v>
      </c>
      <c r="P55" s="73">
        <f t="shared" si="6"/>
        <v>0</v>
      </c>
      <c r="Q55" s="73">
        <f t="shared" si="6"/>
        <v>0</v>
      </c>
      <c r="R55" s="73">
        <f t="shared" si="6"/>
        <v>0</v>
      </c>
      <c r="S55" s="73">
        <f t="shared" si="6"/>
        <v>0</v>
      </c>
      <c r="T55" s="73">
        <f t="shared" si="6"/>
        <v>0</v>
      </c>
      <c r="U55" s="73">
        <f t="shared" si="6"/>
        <v>0</v>
      </c>
      <c r="V55" s="73">
        <f t="shared" si="6"/>
        <v>0</v>
      </c>
      <c r="W55" s="73">
        <f t="shared" si="6"/>
        <v>0</v>
      </c>
      <c r="X55" s="73">
        <f t="shared" si="6"/>
        <v>0</v>
      </c>
      <c r="Y55" s="73">
        <f t="shared" si="6"/>
        <v>0</v>
      </c>
      <c r="Z55" s="73">
        <f t="shared" si="6"/>
        <v>0</v>
      </c>
    </row>
    <row r="56" spans="1:26" outlineLevel="1">
      <c r="A56" s="841" t="s">
        <v>2123</v>
      </c>
      <c r="B56" s="842" t="s">
        <v>2112</v>
      </c>
      <c r="C56" s="842">
        <v>635002</v>
      </c>
      <c r="D56" s="497">
        <v>1</v>
      </c>
      <c r="E56" s="67">
        <f t="shared" ref="E56:E105" si="7">SUM(F56:Z56)</f>
        <v>0</v>
      </c>
      <c r="F56" s="575">
        <f>IFERROR(IF(VLOOKUP(F$2,MODULY_CBA!$B$3:$N$23,13,0)&lt;=$D56,SUM(F$5:F$14)*VLOOKUP(F$2,MODULY_CBA!$B$3:$M$23,12,0),0),0)</f>
        <v>0</v>
      </c>
      <c r="G56" s="575">
        <f>IFERROR(IF(VLOOKUP(G$2,MODULY_CBA!$B$3:$N$23,13,0)&lt;=$D56,SUM(G$5:G$14)*VLOOKUP(G$2,MODULY_CBA!$B$3:$M$23,12,0),0),0)</f>
        <v>0</v>
      </c>
      <c r="H56" s="575">
        <f>IFERROR(IF(VLOOKUP(H$2,MODULY_CBA!$B$3:$N$23,13,0)&lt;=$D56,SUM(H$5:H$14)*VLOOKUP(H$2,MODULY_CBA!$B$3:$M$23,12,0),0),0)</f>
        <v>0</v>
      </c>
      <c r="I56" s="575">
        <f>IFERROR(IF(VLOOKUP(I$2,MODULY_CBA!$B$3:$N$23,13,0)&lt;=$D56,SUM(I$5:I$14)*VLOOKUP(I$2,MODULY_CBA!$B$3:$M$23,12,0),0),0)</f>
        <v>0</v>
      </c>
      <c r="J56" s="575">
        <f>IFERROR(IF(VLOOKUP(J$2,MODULY_CBA!$B$3:$N$23,13,0)&lt;=$D56,SUM(J$5:J$14)*VLOOKUP(J$2,MODULY_CBA!$B$3:$M$23,12,0),0),0)</f>
        <v>0</v>
      </c>
      <c r="K56" s="575">
        <f>IFERROR(IF(VLOOKUP(K$2,MODULY_CBA!$B$3:$N$23,13,0)&lt;=$D56,SUM(K$5:K$14)*VLOOKUP(K$2,MODULY_CBA!$B$3:$M$23,12,0),0),0)</f>
        <v>0</v>
      </c>
      <c r="L56" s="575">
        <f>IFERROR(IF(VLOOKUP(L$2,MODULY_CBA!$B$3:$N$23,13,0)&lt;=$D56,SUM(L$5:L$14)*VLOOKUP(L$2,MODULY_CBA!$B$3:$M$23,12,0),0),0)</f>
        <v>0</v>
      </c>
      <c r="M56" s="575">
        <f>IFERROR(IF(VLOOKUP(M$2,MODULY_CBA!$B$3:$N$23,13,0)&lt;=$D56,SUM(M$5:M$14)*VLOOKUP(M$2,MODULY_CBA!$B$3:$M$23,12,0),0),0)</f>
        <v>0</v>
      </c>
      <c r="N56" s="575">
        <f>IFERROR(IF(VLOOKUP(N$2,MODULY_CBA!$B$3:$N$23,13,0)&lt;=$D56,SUM(N$5:N$14)*VLOOKUP(N$2,MODULY_CBA!$B$3:$M$23,12,0),0),0)</f>
        <v>0</v>
      </c>
      <c r="O56" s="575">
        <f>IFERROR(IF(VLOOKUP(O$2,MODULY_CBA!$B$3:$N$23,13,0)&lt;=$D56,SUM(O$5:O$14)*VLOOKUP(O$2,MODULY_CBA!$B$3:$M$23,12,0),0),0)</f>
        <v>0</v>
      </c>
      <c r="P56" s="575">
        <f>IFERROR(IF(VLOOKUP(P$2,MODULY_CBA!$B$3:$N$23,13,0)&lt;=$D56,SUM(P$5:P$14)*VLOOKUP(P$2,MODULY_CBA!$B$3:$M$23,12,0),0),0)</f>
        <v>0</v>
      </c>
      <c r="Q56" s="575">
        <f>IFERROR(IF(VLOOKUP(Q$2,MODULY_CBA!$B$3:$N$23,13,0)&lt;=$D56,SUM(Q$5:Q$14)*VLOOKUP(Q$2,MODULY_CBA!$B$3:$M$23,12,0),0),0)</f>
        <v>0</v>
      </c>
      <c r="R56" s="575">
        <f>IFERROR(IF(VLOOKUP(R$2,MODULY_CBA!$B$3:$N$23,13,0)&lt;=$D56,SUM(R$5:R$14)*VLOOKUP(R$2,MODULY_CBA!$B$3:$M$23,12,0),0),0)</f>
        <v>0</v>
      </c>
      <c r="S56" s="575">
        <f>IFERROR(IF(VLOOKUP(S$2,MODULY_CBA!$B$3:$N$23,13,0)&lt;=$D56,SUM(S$5:S$14)*VLOOKUP(S$2,MODULY_CBA!$B$3:$M$23,12,0),0),0)</f>
        <v>0</v>
      </c>
      <c r="T56" s="575">
        <f>IFERROR(IF(VLOOKUP(T$2,MODULY_CBA!$B$3:$N$23,13,0)&lt;=$D56,SUM(T$5:T$14)*VLOOKUP(T$2,MODULY_CBA!$B$3:$M$23,12,0),0),0)</f>
        <v>0</v>
      </c>
      <c r="U56" s="575">
        <f>IFERROR(IF(VLOOKUP(U$2,MODULY_CBA!$B$3:$N$23,13,0)&lt;=$D56,SUM(U$5:U$14)*VLOOKUP(U$2,MODULY_CBA!$B$3:$M$23,12,0),0),0)</f>
        <v>0</v>
      </c>
      <c r="V56" s="575">
        <f>IFERROR(IF(VLOOKUP(V$2,MODULY_CBA!$B$3:$N$23,13,0)&lt;=$D56,SUM(V$5:V$14)*VLOOKUP(V$2,MODULY_CBA!$B$3:$M$23,12,0),0),0)</f>
        <v>0</v>
      </c>
      <c r="W56" s="575">
        <f>IFERROR(IF(VLOOKUP(W$2,MODULY_CBA!$B$3:$N$23,13,0)&lt;=$D56,SUM(W$5:W$14)*VLOOKUP(W$2,MODULY_CBA!$B$3:$M$23,12,0),0),0)</f>
        <v>0</v>
      </c>
      <c r="X56" s="575">
        <f>IFERROR(IF(VLOOKUP(X$2,MODULY_CBA!$B$3:$N$23,13,0)&lt;=$D56,SUM(X$5:X$14)*VLOOKUP(X$2,MODULY_CBA!$B$3:$M$23,12,0),0),0)</f>
        <v>0</v>
      </c>
      <c r="Y56" s="575">
        <f>IFERROR(IF(VLOOKUP(Y$2,MODULY_CBA!$B$3:$N$23,13,0)&lt;=$D56,SUM(Y$5:Y$14)*VLOOKUP(Y$2,MODULY_CBA!$B$3:$M$23,12,0),0),0)</f>
        <v>0</v>
      </c>
      <c r="Z56" s="575">
        <f>IFERROR(IF(VLOOKUP(Z$2,MODULY_CBA!$B$3:$N$23,13,0)&lt;=$D56,SUM(Z$5:Z$14)*VLOOKUP(Z$2,MODULY_CBA!$B$3:$M$23,12,0),0),0)</f>
        <v>0</v>
      </c>
    </row>
    <row r="57" spans="1:26" outlineLevel="1">
      <c r="A57" s="841"/>
      <c r="B57" s="842"/>
      <c r="C57" s="842"/>
      <c r="D57" s="498">
        <v>2</v>
      </c>
      <c r="E57" s="68">
        <f t="shared" si="7"/>
        <v>0</v>
      </c>
      <c r="F57" s="576">
        <f>IFERROR(IF(VLOOKUP(F$2,MODULY_CBA!$B$3:$N$23,13,0)&lt;=$D57,SUM(F$5:F$14)*VLOOKUP(F$2,MODULY_CBA!$B$3:$M$23,12,0),0),0)</f>
        <v>0</v>
      </c>
      <c r="G57" s="576">
        <f>IFERROR(IF(VLOOKUP(G$2,MODULY_CBA!$B$3:$N$23,13,0)&lt;=$D57,SUM(G$5:G$14)*VLOOKUP(G$2,MODULY_CBA!$B$3:$M$23,12,0),0),0)</f>
        <v>0</v>
      </c>
      <c r="H57" s="576">
        <f>IFERROR(IF(VLOOKUP(H$2,MODULY_CBA!$B$3:$N$23,13,0)&lt;=$D57,SUM(H$5:H$14)*VLOOKUP(H$2,MODULY_CBA!$B$3:$M$23,12,0),0),0)</f>
        <v>0</v>
      </c>
      <c r="I57" s="576">
        <f>IFERROR(IF(VLOOKUP(I$2,MODULY_CBA!$B$3:$N$23,13,0)&lt;=$D57,SUM(I$5:I$14)*VLOOKUP(I$2,MODULY_CBA!$B$3:$M$23,12,0),0),0)</f>
        <v>0</v>
      </c>
      <c r="J57" s="576">
        <f>IFERROR(IF(VLOOKUP(J$2,MODULY_CBA!$B$3:$N$23,13,0)&lt;=$D57,SUM(J$5:J$14)*VLOOKUP(J$2,MODULY_CBA!$B$3:$M$23,12,0),0),0)</f>
        <v>0</v>
      </c>
      <c r="K57" s="576">
        <f>IFERROR(IF(VLOOKUP(K$2,MODULY_CBA!$B$3:$N$23,13,0)&lt;=$D57,SUM(K$5:K$14)*VLOOKUP(K$2,MODULY_CBA!$B$3:$M$23,12,0),0),0)</f>
        <v>0</v>
      </c>
      <c r="L57" s="576">
        <f>IFERROR(IF(VLOOKUP(L$2,MODULY_CBA!$B$3:$N$23,13,0)&lt;=$D57,SUM(L$5:L$14)*VLOOKUP(L$2,MODULY_CBA!$B$3:$M$23,12,0),0),0)</f>
        <v>0</v>
      </c>
      <c r="M57" s="576">
        <f>IFERROR(IF(VLOOKUP(M$2,MODULY_CBA!$B$3:$N$23,13,0)&lt;=$D57,SUM(M$5:M$14)*VLOOKUP(M$2,MODULY_CBA!$B$3:$M$23,12,0),0),0)</f>
        <v>0</v>
      </c>
      <c r="N57" s="576">
        <f>IFERROR(IF(VLOOKUP(N$2,MODULY_CBA!$B$3:$N$23,13,0)&lt;=$D57,SUM(N$5:N$14)*VLOOKUP(N$2,MODULY_CBA!$B$3:$M$23,12,0),0),0)</f>
        <v>0</v>
      </c>
      <c r="O57" s="576">
        <f>IFERROR(IF(VLOOKUP(O$2,MODULY_CBA!$B$3:$N$23,13,0)&lt;=$D57,SUM(O$5:O$14)*VLOOKUP(O$2,MODULY_CBA!$B$3:$M$23,12,0),0),0)</f>
        <v>0</v>
      </c>
      <c r="P57" s="576">
        <f>IFERROR(IF(VLOOKUP(P$2,MODULY_CBA!$B$3:$N$23,13,0)&lt;=$D57,SUM(P$5:P$14)*VLOOKUP(P$2,MODULY_CBA!$B$3:$M$23,12,0),0),0)</f>
        <v>0</v>
      </c>
      <c r="Q57" s="576">
        <f>IFERROR(IF(VLOOKUP(Q$2,MODULY_CBA!$B$3:$N$23,13,0)&lt;=$D57,SUM(Q$5:Q$14)*VLOOKUP(Q$2,MODULY_CBA!$B$3:$M$23,12,0),0),0)</f>
        <v>0</v>
      </c>
      <c r="R57" s="576">
        <f>IFERROR(IF(VLOOKUP(R$2,MODULY_CBA!$B$3:$N$23,13,0)&lt;=$D57,SUM(R$5:R$14)*VLOOKUP(R$2,MODULY_CBA!$B$3:$M$23,12,0),0),0)</f>
        <v>0</v>
      </c>
      <c r="S57" s="576">
        <f>IFERROR(IF(VLOOKUP(S$2,MODULY_CBA!$B$3:$N$23,13,0)&lt;=$D57,SUM(S$5:S$14)*VLOOKUP(S$2,MODULY_CBA!$B$3:$M$23,12,0),0),0)</f>
        <v>0</v>
      </c>
      <c r="T57" s="576">
        <f>IFERROR(IF(VLOOKUP(T$2,MODULY_CBA!$B$3:$N$23,13,0)&lt;=$D57,SUM(T$5:T$14)*VLOOKUP(T$2,MODULY_CBA!$B$3:$M$23,12,0),0),0)</f>
        <v>0</v>
      </c>
      <c r="U57" s="576">
        <f>IFERROR(IF(VLOOKUP(U$2,MODULY_CBA!$B$3:$N$23,13,0)&lt;=$D57,SUM(U$5:U$14)*VLOOKUP(U$2,MODULY_CBA!$B$3:$M$23,12,0),0),0)</f>
        <v>0</v>
      </c>
      <c r="V57" s="576">
        <f>IFERROR(IF(VLOOKUP(V$2,MODULY_CBA!$B$3:$N$23,13,0)&lt;=$D57,SUM(V$5:V$14)*VLOOKUP(V$2,MODULY_CBA!$B$3:$M$23,12,0),0),0)</f>
        <v>0</v>
      </c>
      <c r="W57" s="576">
        <f>IFERROR(IF(VLOOKUP(W$2,MODULY_CBA!$B$3:$N$23,13,0)&lt;=$D57,SUM(W$5:W$14)*VLOOKUP(W$2,MODULY_CBA!$B$3:$M$23,12,0),0),0)</f>
        <v>0</v>
      </c>
      <c r="X57" s="576">
        <f>IFERROR(IF(VLOOKUP(X$2,MODULY_CBA!$B$3:$N$23,13,0)&lt;=$D57,SUM(X$5:X$14)*VLOOKUP(X$2,MODULY_CBA!$B$3:$M$23,12,0),0),0)</f>
        <v>0</v>
      </c>
      <c r="Y57" s="576">
        <f>IFERROR(IF(VLOOKUP(Y$2,MODULY_CBA!$B$3:$N$23,13,0)&lt;=$D57,SUM(Y$5:Y$14)*VLOOKUP(Y$2,MODULY_CBA!$B$3:$M$23,12,0),0),0)</f>
        <v>0</v>
      </c>
      <c r="Z57" s="576">
        <f>IFERROR(IF(VLOOKUP(Z$2,MODULY_CBA!$B$3:$N$23,13,0)&lt;=$D57,SUM(Z$5:Z$14)*VLOOKUP(Z$2,MODULY_CBA!$B$3:$M$23,12,0),0),0)</f>
        <v>0</v>
      </c>
    </row>
    <row r="58" spans="1:26" outlineLevel="1">
      <c r="A58" s="841"/>
      <c r="B58" s="842"/>
      <c r="C58" s="842"/>
      <c r="D58" s="498">
        <v>3</v>
      </c>
      <c r="E58" s="68">
        <f t="shared" si="7"/>
        <v>0</v>
      </c>
      <c r="F58" s="576">
        <f>IFERROR(IF(VLOOKUP(F$2,MODULY_CBA!$B$3:$N$23,13,0)&lt;=$D58,SUM(F$5:F$14)*VLOOKUP(F$2,MODULY_CBA!$B$3:$M$23,12,0),0),0)</f>
        <v>0</v>
      </c>
      <c r="G58" s="576">
        <f>IFERROR(IF(VLOOKUP(G$2,MODULY_CBA!$B$3:$N$23,13,0)&lt;=$D58,SUM(G$5:G$14)*VLOOKUP(G$2,MODULY_CBA!$B$3:$M$23,12,0),0),0)</f>
        <v>0</v>
      </c>
      <c r="H58" s="576">
        <f>IFERROR(IF(VLOOKUP(H$2,MODULY_CBA!$B$3:$N$23,13,0)&lt;=$D58,SUM(H$5:H$14)*VLOOKUP(H$2,MODULY_CBA!$B$3:$M$23,12,0),0),0)</f>
        <v>0</v>
      </c>
      <c r="I58" s="576">
        <f>IFERROR(IF(VLOOKUP(I$2,MODULY_CBA!$B$3:$N$23,13,0)&lt;=$D58,SUM(I$5:I$14)*VLOOKUP(I$2,MODULY_CBA!$B$3:$M$23,12,0),0),0)</f>
        <v>0</v>
      </c>
      <c r="J58" s="576">
        <f>IFERROR(IF(VLOOKUP(J$2,MODULY_CBA!$B$3:$N$23,13,0)&lt;=$D58,SUM(J$5:J$14)*VLOOKUP(J$2,MODULY_CBA!$B$3:$M$23,12,0),0),0)</f>
        <v>0</v>
      </c>
      <c r="K58" s="576">
        <f>IFERROR(IF(VLOOKUP(K$2,MODULY_CBA!$B$3:$N$23,13,0)&lt;=$D58,SUM(K$5:K$14)*VLOOKUP(K$2,MODULY_CBA!$B$3:$M$23,12,0),0),0)</f>
        <v>0</v>
      </c>
      <c r="L58" s="576">
        <f>IFERROR(IF(VLOOKUP(L$2,MODULY_CBA!$B$3:$N$23,13,0)&lt;=$D58,SUM(L$5:L$14)*VLOOKUP(L$2,MODULY_CBA!$B$3:$M$23,12,0),0),0)</f>
        <v>0</v>
      </c>
      <c r="M58" s="576">
        <f>IFERROR(IF(VLOOKUP(M$2,MODULY_CBA!$B$3:$N$23,13,0)&lt;=$D58,SUM(M$5:M$14)*VLOOKUP(M$2,MODULY_CBA!$B$3:$M$23,12,0),0),0)</f>
        <v>0</v>
      </c>
      <c r="N58" s="576">
        <f>IFERROR(IF(VLOOKUP(N$2,MODULY_CBA!$B$3:$N$23,13,0)&lt;=$D58,SUM(N$5:N$14)*VLOOKUP(N$2,MODULY_CBA!$B$3:$M$23,12,0),0),0)</f>
        <v>0</v>
      </c>
      <c r="O58" s="576">
        <f>IFERROR(IF(VLOOKUP(O$2,MODULY_CBA!$B$3:$N$23,13,0)&lt;=$D58,SUM(O$5:O$14)*VLOOKUP(O$2,MODULY_CBA!$B$3:$M$23,12,0),0),0)</f>
        <v>0</v>
      </c>
      <c r="P58" s="576">
        <f>IFERROR(IF(VLOOKUP(P$2,MODULY_CBA!$B$3:$N$23,13,0)&lt;=$D58,SUM(P$5:P$14)*VLOOKUP(P$2,MODULY_CBA!$B$3:$M$23,12,0),0),0)</f>
        <v>0</v>
      </c>
      <c r="Q58" s="576">
        <f>IFERROR(IF(VLOOKUP(Q$2,MODULY_CBA!$B$3:$N$23,13,0)&lt;=$D58,SUM(Q$5:Q$14)*VLOOKUP(Q$2,MODULY_CBA!$B$3:$M$23,12,0),0),0)</f>
        <v>0</v>
      </c>
      <c r="R58" s="576">
        <f>IFERROR(IF(VLOOKUP(R$2,MODULY_CBA!$B$3:$N$23,13,0)&lt;=$D58,SUM(R$5:R$14)*VLOOKUP(R$2,MODULY_CBA!$B$3:$M$23,12,0),0),0)</f>
        <v>0</v>
      </c>
      <c r="S58" s="576">
        <f>IFERROR(IF(VLOOKUP(S$2,MODULY_CBA!$B$3:$N$23,13,0)&lt;=$D58,SUM(S$5:S$14)*VLOOKUP(S$2,MODULY_CBA!$B$3:$M$23,12,0),0),0)</f>
        <v>0</v>
      </c>
      <c r="T58" s="576">
        <f>IFERROR(IF(VLOOKUP(T$2,MODULY_CBA!$B$3:$N$23,13,0)&lt;=$D58,SUM(T$5:T$14)*VLOOKUP(T$2,MODULY_CBA!$B$3:$M$23,12,0),0),0)</f>
        <v>0</v>
      </c>
      <c r="U58" s="576">
        <f>IFERROR(IF(VLOOKUP(U$2,MODULY_CBA!$B$3:$N$23,13,0)&lt;=$D58,SUM(U$5:U$14)*VLOOKUP(U$2,MODULY_CBA!$B$3:$M$23,12,0),0),0)</f>
        <v>0</v>
      </c>
      <c r="V58" s="576">
        <f>IFERROR(IF(VLOOKUP(V$2,MODULY_CBA!$B$3:$N$23,13,0)&lt;=$D58,SUM(V$5:V$14)*VLOOKUP(V$2,MODULY_CBA!$B$3:$M$23,12,0),0),0)</f>
        <v>0</v>
      </c>
      <c r="W58" s="576">
        <f>IFERROR(IF(VLOOKUP(W$2,MODULY_CBA!$B$3:$N$23,13,0)&lt;=$D58,SUM(W$5:W$14)*VLOOKUP(W$2,MODULY_CBA!$B$3:$M$23,12,0),0),0)</f>
        <v>0</v>
      </c>
      <c r="X58" s="576">
        <f>IFERROR(IF(VLOOKUP(X$2,MODULY_CBA!$B$3:$N$23,13,0)&lt;=$D58,SUM(X$5:X$14)*VLOOKUP(X$2,MODULY_CBA!$B$3:$M$23,12,0),0),0)</f>
        <v>0</v>
      </c>
      <c r="Y58" s="576">
        <f>IFERROR(IF(VLOOKUP(Y$2,MODULY_CBA!$B$3:$N$23,13,0)&lt;=$D58,SUM(Y$5:Y$14)*VLOOKUP(Y$2,MODULY_CBA!$B$3:$M$23,12,0),0),0)</f>
        <v>0</v>
      </c>
      <c r="Z58" s="576">
        <f>IFERROR(IF(VLOOKUP(Z$2,MODULY_CBA!$B$3:$N$23,13,0)&lt;=$D58,SUM(Z$5:Z$14)*VLOOKUP(Z$2,MODULY_CBA!$B$3:$M$23,12,0),0),0)</f>
        <v>0</v>
      </c>
    </row>
    <row r="59" spans="1:26" outlineLevel="1">
      <c r="A59" s="841"/>
      <c r="B59" s="842"/>
      <c r="C59" s="842"/>
      <c r="D59" s="498">
        <v>4</v>
      </c>
      <c r="E59" s="68">
        <f t="shared" si="7"/>
        <v>0</v>
      </c>
      <c r="F59" s="576">
        <f>IFERROR(IF(VLOOKUP(F$2,MODULY_CBA!$B$3:$N$23,13,0)&lt;=$D59,SUM(F$5:F$14)*VLOOKUP(F$2,MODULY_CBA!$B$3:$M$23,12,0),0),0)</f>
        <v>0</v>
      </c>
      <c r="G59" s="576">
        <f>IFERROR(IF(VLOOKUP(G$2,MODULY_CBA!$B$3:$N$23,13,0)&lt;=$D59,SUM(G$5:G$14)*VLOOKUP(G$2,MODULY_CBA!$B$3:$M$23,12,0),0),0)</f>
        <v>0</v>
      </c>
      <c r="H59" s="576">
        <f>IFERROR(IF(VLOOKUP(H$2,MODULY_CBA!$B$3:$N$23,13,0)&lt;=$D59,SUM(H$5:H$14)*VLOOKUP(H$2,MODULY_CBA!$B$3:$M$23,12,0),0),0)</f>
        <v>0</v>
      </c>
      <c r="I59" s="576">
        <f>IFERROR(IF(VLOOKUP(I$2,MODULY_CBA!$B$3:$N$23,13,0)&lt;=$D59,SUM(I$5:I$14)*VLOOKUP(I$2,MODULY_CBA!$B$3:$M$23,12,0),0),0)</f>
        <v>0</v>
      </c>
      <c r="J59" s="576">
        <f>IFERROR(IF(VLOOKUP(J$2,MODULY_CBA!$B$3:$N$23,13,0)&lt;=$D59,SUM(J$5:J$14)*VLOOKUP(J$2,MODULY_CBA!$B$3:$M$23,12,0),0),0)</f>
        <v>0</v>
      </c>
      <c r="K59" s="576">
        <f>IFERROR(IF(VLOOKUP(K$2,MODULY_CBA!$B$3:$N$23,13,0)&lt;=$D59,SUM(K$5:K$14)*VLOOKUP(K$2,MODULY_CBA!$B$3:$M$23,12,0),0),0)</f>
        <v>0</v>
      </c>
      <c r="L59" s="576">
        <f>IFERROR(IF(VLOOKUP(L$2,MODULY_CBA!$B$3:$N$23,13,0)&lt;=$D59,SUM(L$5:L$14)*VLOOKUP(L$2,MODULY_CBA!$B$3:$M$23,12,0),0),0)</f>
        <v>0</v>
      </c>
      <c r="M59" s="576">
        <f>IFERROR(IF(VLOOKUP(M$2,MODULY_CBA!$B$3:$N$23,13,0)&lt;=$D59,SUM(M$5:M$14)*VLOOKUP(M$2,MODULY_CBA!$B$3:$M$23,12,0),0),0)</f>
        <v>0</v>
      </c>
      <c r="N59" s="576">
        <f>IFERROR(IF(VLOOKUP(N$2,MODULY_CBA!$B$3:$N$23,13,0)&lt;=$D59,SUM(N$5:N$14)*VLOOKUP(N$2,MODULY_CBA!$B$3:$M$23,12,0),0),0)</f>
        <v>0</v>
      </c>
      <c r="O59" s="576">
        <f>IFERROR(IF(VLOOKUP(O$2,MODULY_CBA!$B$3:$N$23,13,0)&lt;=$D59,SUM(O$5:O$14)*VLOOKUP(O$2,MODULY_CBA!$B$3:$M$23,12,0),0),0)</f>
        <v>0</v>
      </c>
      <c r="P59" s="576">
        <f>IFERROR(IF(VLOOKUP(P$2,MODULY_CBA!$B$3:$N$23,13,0)&lt;=$D59,SUM(P$5:P$14)*VLOOKUP(P$2,MODULY_CBA!$B$3:$M$23,12,0),0),0)</f>
        <v>0</v>
      </c>
      <c r="Q59" s="576">
        <f>IFERROR(IF(VLOOKUP(Q$2,MODULY_CBA!$B$3:$N$23,13,0)&lt;=$D59,SUM(Q$5:Q$14)*VLOOKUP(Q$2,MODULY_CBA!$B$3:$M$23,12,0),0),0)</f>
        <v>0</v>
      </c>
      <c r="R59" s="576">
        <f>IFERROR(IF(VLOOKUP(R$2,MODULY_CBA!$B$3:$N$23,13,0)&lt;=$D59,SUM(R$5:R$14)*VLOOKUP(R$2,MODULY_CBA!$B$3:$M$23,12,0),0),0)</f>
        <v>0</v>
      </c>
      <c r="S59" s="576">
        <f>IFERROR(IF(VLOOKUP(S$2,MODULY_CBA!$B$3:$N$23,13,0)&lt;=$D59,SUM(S$5:S$14)*VLOOKUP(S$2,MODULY_CBA!$B$3:$M$23,12,0),0),0)</f>
        <v>0</v>
      </c>
      <c r="T59" s="576">
        <f>IFERROR(IF(VLOOKUP(T$2,MODULY_CBA!$B$3:$N$23,13,0)&lt;=$D59,SUM(T$5:T$14)*VLOOKUP(T$2,MODULY_CBA!$B$3:$M$23,12,0),0),0)</f>
        <v>0</v>
      </c>
      <c r="U59" s="576">
        <f>IFERROR(IF(VLOOKUP(U$2,MODULY_CBA!$B$3:$N$23,13,0)&lt;=$D59,SUM(U$5:U$14)*VLOOKUP(U$2,MODULY_CBA!$B$3:$M$23,12,0),0),0)</f>
        <v>0</v>
      </c>
      <c r="V59" s="576">
        <f>IFERROR(IF(VLOOKUP(V$2,MODULY_CBA!$B$3:$N$23,13,0)&lt;=$D59,SUM(V$5:V$14)*VLOOKUP(V$2,MODULY_CBA!$B$3:$M$23,12,0),0),0)</f>
        <v>0</v>
      </c>
      <c r="W59" s="576">
        <f>IFERROR(IF(VLOOKUP(W$2,MODULY_CBA!$B$3:$N$23,13,0)&lt;=$D59,SUM(W$5:W$14)*VLOOKUP(W$2,MODULY_CBA!$B$3:$M$23,12,0),0),0)</f>
        <v>0</v>
      </c>
      <c r="X59" s="576">
        <f>IFERROR(IF(VLOOKUP(X$2,MODULY_CBA!$B$3:$N$23,13,0)&lt;=$D59,SUM(X$5:X$14)*VLOOKUP(X$2,MODULY_CBA!$B$3:$M$23,12,0),0),0)</f>
        <v>0</v>
      </c>
      <c r="Y59" s="576">
        <f>IFERROR(IF(VLOOKUP(Y$2,MODULY_CBA!$B$3:$N$23,13,0)&lt;=$D59,SUM(Y$5:Y$14)*VLOOKUP(Y$2,MODULY_CBA!$B$3:$M$23,12,0),0),0)</f>
        <v>0</v>
      </c>
      <c r="Z59" s="576">
        <f>IFERROR(IF(VLOOKUP(Z$2,MODULY_CBA!$B$3:$N$23,13,0)&lt;=$D59,SUM(Z$5:Z$14)*VLOOKUP(Z$2,MODULY_CBA!$B$3:$M$23,12,0),0),0)</f>
        <v>0</v>
      </c>
    </row>
    <row r="60" spans="1:26" outlineLevel="1">
      <c r="A60" s="841"/>
      <c r="B60" s="842"/>
      <c r="C60" s="842"/>
      <c r="D60" s="498">
        <v>5</v>
      </c>
      <c r="E60" s="68">
        <f t="shared" si="7"/>
        <v>0</v>
      </c>
      <c r="F60" s="576">
        <f>IFERROR(IF(VLOOKUP(F$2,MODULY_CBA!$B$3:$N$23,13,0)&lt;=$D60,SUM(F$5:F$14)*VLOOKUP(F$2,MODULY_CBA!$B$3:$M$23,12,0),0),0)</f>
        <v>0</v>
      </c>
      <c r="G60" s="576">
        <f>IFERROR(IF(VLOOKUP(G$2,MODULY_CBA!$B$3:$N$23,13,0)&lt;=$D60,SUM(G$5:G$14)*VLOOKUP(G$2,MODULY_CBA!$B$3:$M$23,12,0),0),0)</f>
        <v>0</v>
      </c>
      <c r="H60" s="576">
        <f>IFERROR(IF(VLOOKUP(H$2,MODULY_CBA!$B$3:$N$23,13,0)&lt;=$D60,SUM(H$5:H$14)*VLOOKUP(H$2,MODULY_CBA!$B$3:$M$23,12,0),0),0)</f>
        <v>0</v>
      </c>
      <c r="I60" s="576">
        <f>IFERROR(IF(VLOOKUP(I$2,MODULY_CBA!$B$3:$N$23,13,0)&lt;=$D60,SUM(I$5:I$14)*VLOOKUP(I$2,MODULY_CBA!$B$3:$M$23,12,0),0),0)</f>
        <v>0</v>
      </c>
      <c r="J60" s="576">
        <f>IFERROR(IF(VLOOKUP(J$2,MODULY_CBA!$B$3:$N$23,13,0)&lt;=$D60,SUM(J$5:J$14)*VLOOKUP(J$2,MODULY_CBA!$B$3:$M$23,12,0),0),0)</f>
        <v>0</v>
      </c>
      <c r="K60" s="576">
        <f>IFERROR(IF(VLOOKUP(K$2,MODULY_CBA!$B$3:$N$23,13,0)&lt;=$D60,SUM(K$5:K$14)*VLOOKUP(K$2,MODULY_CBA!$B$3:$M$23,12,0),0),0)</f>
        <v>0</v>
      </c>
      <c r="L60" s="576">
        <f>IFERROR(IF(VLOOKUP(L$2,MODULY_CBA!$B$3:$N$23,13,0)&lt;=$D60,SUM(L$5:L$14)*VLOOKUP(L$2,MODULY_CBA!$B$3:$M$23,12,0),0),0)</f>
        <v>0</v>
      </c>
      <c r="M60" s="576">
        <f>IFERROR(IF(VLOOKUP(M$2,MODULY_CBA!$B$3:$N$23,13,0)&lt;=$D60,SUM(M$5:M$14)*VLOOKUP(M$2,MODULY_CBA!$B$3:$M$23,12,0),0),0)</f>
        <v>0</v>
      </c>
      <c r="N60" s="576">
        <f>IFERROR(IF(VLOOKUP(N$2,MODULY_CBA!$B$3:$N$23,13,0)&lt;=$D60,SUM(N$5:N$14)*VLOOKUP(N$2,MODULY_CBA!$B$3:$M$23,12,0),0),0)</f>
        <v>0</v>
      </c>
      <c r="O60" s="576">
        <f>IFERROR(IF(VLOOKUP(O$2,MODULY_CBA!$B$3:$N$23,13,0)&lt;=$D60,SUM(O$5:O$14)*VLOOKUP(O$2,MODULY_CBA!$B$3:$M$23,12,0),0),0)</f>
        <v>0</v>
      </c>
      <c r="P60" s="576">
        <f>IFERROR(IF(VLOOKUP(P$2,MODULY_CBA!$B$3:$N$23,13,0)&lt;=$D60,SUM(P$5:P$14)*VLOOKUP(P$2,MODULY_CBA!$B$3:$M$23,12,0),0),0)</f>
        <v>0</v>
      </c>
      <c r="Q60" s="576">
        <f>IFERROR(IF(VLOOKUP(Q$2,MODULY_CBA!$B$3:$N$23,13,0)&lt;=$D60,SUM(Q$5:Q$14)*VLOOKUP(Q$2,MODULY_CBA!$B$3:$M$23,12,0),0),0)</f>
        <v>0</v>
      </c>
      <c r="R60" s="576">
        <f>IFERROR(IF(VLOOKUP(R$2,MODULY_CBA!$B$3:$N$23,13,0)&lt;=$D60,SUM(R$5:R$14)*VLOOKUP(R$2,MODULY_CBA!$B$3:$M$23,12,0),0),0)</f>
        <v>0</v>
      </c>
      <c r="S60" s="576">
        <f>IFERROR(IF(VLOOKUP(S$2,MODULY_CBA!$B$3:$N$23,13,0)&lt;=$D60,SUM(S$5:S$14)*VLOOKUP(S$2,MODULY_CBA!$B$3:$M$23,12,0),0),0)</f>
        <v>0</v>
      </c>
      <c r="T60" s="576">
        <f>IFERROR(IF(VLOOKUP(T$2,MODULY_CBA!$B$3:$N$23,13,0)&lt;=$D60,SUM(T$5:T$14)*VLOOKUP(T$2,MODULY_CBA!$B$3:$M$23,12,0),0),0)</f>
        <v>0</v>
      </c>
      <c r="U60" s="576">
        <f>IFERROR(IF(VLOOKUP(U$2,MODULY_CBA!$B$3:$N$23,13,0)&lt;=$D60,SUM(U$5:U$14)*VLOOKUP(U$2,MODULY_CBA!$B$3:$M$23,12,0),0),0)</f>
        <v>0</v>
      </c>
      <c r="V60" s="576">
        <f>IFERROR(IF(VLOOKUP(V$2,MODULY_CBA!$B$3:$N$23,13,0)&lt;=$D60,SUM(V$5:V$14)*VLOOKUP(V$2,MODULY_CBA!$B$3:$M$23,12,0),0),0)</f>
        <v>0</v>
      </c>
      <c r="W60" s="576">
        <f>IFERROR(IF(VLOOKUP(W$2,MODULY_CBA!$B$3:$N$23,13,0)&lt;=$D60,SUM(W$5:W$14)*VLOOKUP(W$2,MODULY_CBA!$B$3:$M$23,12,0),0),0)</f>
        <v>0</v>
      </c>
      <c r="X60" s="576">
        <f>IFERROR(IF(VLOOKUP(X$2,MODULY_CBA!$B$3:$N$23,13,0)&lt;=$D60,SUM(X$5:X$14)*VLOOKUP(X$2,MODULY_CBA!$B$3:$M$23,12,0),0),0)</f>
        <v>0</v>
      </c>
      <c r="Y60" s="576">
        <f>IFERROR(IF(VLOOKUP(Y$2,MODULY_CBA!$B$3:$N$23,13,0)&lt;=$D60,SUM(Y$5:Y$14)*VLOOKUP(Y$2,MODULY_CBA!$B$3:$M$23,12,0),0),0)</f>
        <v>0</v>
      </c>
      <c r="Z60" s="576">
        <f>IFERROR(IF(VLOOKUP(Z$2,MODULY_CBA!$B$3:$N$23,13,0)&lt;=$D60,SUM(Z$5:Z$14)*VLOOKUP(Z$2,MODULY_CBA!$B$3:$M$23,12,0),0),0)</f>
        <v>0</v>
      </c>
    </row>
    <row r="61" spans="1:26" outlineLevel="1">
      <c r="A61" s="841"/>
      <c r="B61" s="842"/>
      <c r="C61" s="842"/>
      <c r="D61" s="498">
        <v>6</v>
      </c>
      <c r="E61" s="68">
        <f t="shared" si="7"/>
        <v>0</v>
      </c>
      <c r="F61" s="576">
        <f>IFERROR(IF(VLOOKUP(F$2,MODULY_CBA!$B$3:$N$23,13,0)&lt;=$D61,SUM(F$5:F$14)*VLOOKUP(F$2,MODULY_CBA!$B$3:$M$23,12,0),0),0)</f>
        <v>0</v>
      </c>
      <c r="G61" s="576">
        <f>IFERROR(IF(VLOOKUP(G$2,MODULY_CBA!$B$3:$N$23,13,0)&lt;=$D61,SUM(G$5:G$14)*VLOOKUP(G$2,MODULY_CBA!$B$3:$M$23,12,0),0),0)</f>
        <v>0</v>
      </c>
      <c r="H61" s="576">
        <f>IFERROR(IF(VLOOKUP(H$2,MODULY_CBA!$B$3:$N$23,13,0)&lt;=$D61,SUM(H$5:H$14)*VLOOKUP(H$2,MODULY_CBA!$B$3:$M$23,12,0),0),0)</f>
        <v>0</v>
      </c>
      <c r="I61" s="576">
        <f>IFERROR(IF(VLOOKUP(I$2,MODULY_CBA!$B$3:$N$23,13,0)&lt;=$D61,SUM(I$5:I$14)*VLOOKUP(I$2,MODULY_CBA!$B$3:$M$23,12,0),0),0)</f>
        <v>0</v>
      </c>
      <c r="J61" s="576">
        <f>IFERROR(IF(VLOOKUP(J$2,MODULY_CBA!$B$3:$N$23,13,0)&lt;=$D61,SUM(J$5:J$14)*VLOOKUP(J$2,MODULY_CBA!$B$3:$M$23,12,0),0),0)</f>
        <v>0</v>
      </c>
      <c r="K61" s="576">
        <f>IFERROR(IF(VLOOKUP(K$2,MODULY_CBA!$B$3:$N$23,13,0)&lt;=$D61,SUM(K$5:K$14)*VLOOKUP(K$2,MODULY_CBA!$B$3:$M$23,12,0),0),0)</f>
        <v>0</v>
      </c>
      <c r="L61" s="576">
        <f>IFERROR(IF(VLOOKUP(L$2,MODULY_CBA!$B$3:$N$23,13,0)&lt;=$D61,SUM(L$5:L$14)*VLOOKUP(L$2,MODULY_CBA!$B$3:$M$23,12,0),0),0)</f>
        <v>0</v>
      </c>
      <c r="M61" s="576">
        <f>IFERROR(IF(VLOOKUP(M$2,MODULY_CBA!$B$3:$N$23,13,0)&lt;=$D61,SUM(M$5:M$14)*VLOOKUP(M$2,MODULY_CBA!$B$3:$M$23,12,0),0),0)</f>
        <v>0</v>
      </c>
      <c r="N61" s="576">
        <f>IFERROR(IF(VLOOKUP(N$2,MODULY_CBA!$B$3:$N$23,13,0)&lt;=$D61,SUM(N$5:N$14)*VLOOKUP(N$2,MODULY_CBA!$B$3:$M$23,12,0),0),0)</f>
        <v>0</v>
      </c>
      <c r="O61" s="576">
        <f>IFERROR(IF(VLOOKUP(O$2,MODULY_CBA!$B$3:$N$23,13,0)&lt;=$D61,SUM(O$5:O$14)*VLOOKUP(O$2,MODULY_CBA!$B$3:$M$23,12,0),0),0)</f>
        <v>0</v>
      </c>
      <c r="P61" s="576">
        <f>IFERROR(IF(VLOOKUP(P$2,MODULY_CBA!$B$3:$N$23,13,0)&lt;=$D61,SUM(P$5:P$14)*VLOOKUP(P$2,MODULY_CBA!$B$3:$M$23,12,0),0),0)</f>
        <v>0</v>
      </c>
      <c r="Q61" s="576">
        <f>IFERROR(IF(VLOOKUP(Q$2,MODULY_CBA!$B$3:$N$23,13,0)&lt;=$D61,SUM(Q$5:Q$14)*VLOOKUP(Q$2,MODULY_CBA!$B$3:$M$23,12,0),0),0)</f>
        <v>0</v>
      </c>
      <c r="R61" s="576">
        <f>IFERROR(IF(VLOOKUP(R$2,MODULY_CBA!$B$3:$N$23,13,0)&lt;=$D61,SUM(R$5:R$14)*VLOOKUP(R$2,MODULY_CBA!$B$3:$M$23,12,0),0),0)</f>
        <v>0</v>
      </c>
      <c r="S61" s="576">
        <f>IFERROR(IF(VLOOKUP(S$2,MODULY_CBA!$B$3:$N$23,13,0)&lt;=$D61,SUM(S$5:S$14)*VLOOKUP(S$2,MODULY_CBA!$B$3:$M$23,12,0),0),0)</f>
        <v>0</v>
      </c>
      <c r="T61" s="576">
        <f>IFERROR(IF(VLOOKUP(T$2,MODULY_CBA!$B$3:$N$23,13,0)&lt;=$D61,SUM(T$5:T$14)*VLOOKUP(T$2,MODULY_CBA!$B$3:$M$23,12,0),0),0)</f>
        <v>0</v>
      </c>
      <c r="U61" s="576">
        <f>IFERROR(IF(VLOOKUP(U$2,MODULY_CBA!$B$3:$N$23,13,0)&lt;=$D61,SUM(U$5:U$14)*VLOOKUP(U$2,MODULY_CBA!$B$3:$M$23,12,0),0),0)</f>
        <v>0</v>
      </c>
      <c r="V61" s="576">
        <f>IFERROR(IF(VLOOKUP(V$2,MODULY_CBA!$B$3:$N$23,13,0)&lt;=$D61,SUM(V$5:V$14)*VLOOKUP(V$2,MODULY_CBA!$B$3:$M$23,12,0),0),0)</f>
        <v>0</v>
      </c>
      <c r="W61" s="576">
        <f>IFERROR(IF(VLOOKUP(W$2,MODULY_CBA!$B$3:$N$23,13,0)&lt;=$D61,SUM(W$5:W$14)*VLOOKUP(W$2,MODULY_CBA!$B$3:$M$23,12,0),0),0)</f>
        <v>0</v>
      </c>
      <c r="X61" s="576">
        <f>IFERROR(IF(VLOOKUP(X$2,MODULY_CBA!$B$3:$N$23,13,0)&lt;=$D61,SUM(X$5:X$14)*VLOOKUP(X$2,MODULY_CBA!$B$3:$M$23,12,0),0),0)</f>
        <v>0</v>
      </c>
      <c r="Y61" s="576">
        <f>IFERROR(IF(VLOOKUP(Y$2,MODULY_CBA!$B$3:$N$23,13,0)&lt;=$D61,SUM(Y$5:Y$14)*VLOOKUP(Y$2,MODULY_CBA!$B$3:$M$23,12,0),0),0)</f>
        <v>0</v>
      </c>
      <c r="Z61" s="576">
        <f>IFERROR(IF(VLOOKUP(Z$2,MODULY_CBA!$B$3:$N$23,13,0)&lt;=$D61,SUM(Z$5:Z$14)*VLOOKUP(Z$2,MODULY_CBA!$B$3:$M$23,12,0),0),0)</f>
        <v>0</v>
      </c>
    </row>
    <row r="62" spans="1:26" outlineLevel="1">
      <c r="A62" s="841"/>
      <c r="B62" s="842"/>
      <c r="C62" s="842"/>
      <c r="D62" s="498">
        <v>7</v>
      </c>
      <c r="E62" s="68">
        <f t="shared" si="7"/>
        <v>0</v>
      </c>
      <c r="F62" s="576">
        <f>IFERROR(IF(VLOOKUP(F$2,MODULY_CBA!$B$3:$N$23,13,0)&lt;=$D62,SUM(F$5:F$14)*VLOOKUP(F$2,MODULY_CBA!$B$3:$M$23,12,0),0),0)</f>
        <v>0</v>
      </c>
      <c r="G62" s="576">
        <f>IFERROR(IF(VLOOKUP(G$2,MODULY_CBA!$B$3:$N$23,13,0)&lt;=$D62,SUM(G$5:G$14)*VLOOKUP(G$2,MODULY_CBA!$B$3:$M$23,12,0),0),0)</f>
        <v>0</v>
      </c>
      <c r="H62" s="576">
        <f>IFERROR(IF(VLOOKUP(H$2,MODULY_CBA!$B$3:$N$23,13,0)&lt;=$D62,SUM(H$5:H$14)*VLOOKUP(H$2,MODULY_CBA!$B$3:$M$23,12,0),0),0)</f>
        <v>0</v>
      </c>
      <c r="I62" s="576">
        <f>IFERROR(IF(VLOOKUP(I$2,MODULY_CBA!$B$3:$N$23,13,0)&lt;=$D62,SUM(I$5:I$14)*VLOOKUP(I$2,MODULY_CBA!$B$3:$M$23,12,0),0),0)</f>
        <v>0</v>
      </c>
      <c r="J62" s="576">
        <f>IFERROR(IF(VLOOKUP(J$2,MODULY_CBA!$B$3:$N$23,13,0)&lt;=$D62,SUM(J$5:J$14)*VLOOKUP(J$2,MODULY_CBA!$B$3:$M$23,12,0),0),0)</f>
        <v>0</v>
      </c>
      <c r="K62" s="576">
        <f>IFERROR(IF(VLOOKUP(K$2,MODULY_CBA!$B$3:$N$23,13,0)&lt;=$D62,SUM(K$5:K$14)*VLOOKUP(K$2,MODULY_CBA!$B$3:$M$23,12,0),0),0)</f>
        <v>0</v>
      </c>
      <c r="L62" s="576">
        <f>IFERROR(IF(VLOOKUP(L$2,MODULY_CBA!$B$3:$N$23,13,0)&lt;=$D62,SUM(L$5:L$14)*VLOOKUP(L$2,MODULY_CBA!$B$3:$M$23,12,0),0),0)</f>
        <v>0</v>
      </c>
      <c r="M62" s="576">
        <f>IFERROR(IF(VLOOKUP(M$2,MODULY_CBA!$B$3:$N$23,13,0)&lt;=$D62,SUM(M$5:M$14)*VLOOKUP(M$2,MODULY_CBA!$B$3:$M$23,12,0),0),0)</f>
        <v>0</v>
      </c>
      <c r="N62" s="576">
        <f>IFERROR(IF(VLOOKUP(N$2,MODULY_CBA!$B$3:$N$23,13,0)&lt;=$D62,SUM(N$5:N$14)*VLOOKUP(N$2,MODULY_CBA!$B$3:$M$23,12,0),0),0)</f>
        <v>0</v>
      </c>
      <c r="O62" s="576">
        <f>IFERROR(IF(VLOOKUP(O$2,MODULY_CBA!$B$3:$N$23,13,0)&lt;=$D62,SUM(O$5:O$14)*VLOOKUP(O$2,MODULY_CBA!$B$3:$M$23,12,0),0),0)</f>
        <v>0</v>
      </c>
      <c r="P62" s="576">
        <f>IFERROR(IF(VLOOKUP(P$2,MODULY_CBA!$B$3:$N$23,13,0)&lt;=$D62,SUM(P$5:P$14)*VLOOKUP(P$2,MODULY_CBA!$B$3:$M$23,12,0),0),0)</f>
        <v>0</v>
      </c>
      <c r="Q62" s="576">
        <f>IFERROR(IF(VLOOKUP(Q$2,MODULY_CBA!$B$3:$N$23,13,0)&lt;=$D62,SUM(Q$5:Q$14)*VLOOKUP(Q$2,MODULY_CBA!$B$3:$M$23,12,0),0),0)</f>
        <v>0</v>
      </c>
      <c r="R62" s="576">
        <f>IFERROR(IF(VLOOKUP(R$2,MODULY_CBA!$B$3:$N$23,13,0)&lt;=$D62,SUM(R$5:R$14)*VLOOKUP(R$2,MODULY_CBA!$B$3:$M$23,12,0),0),0)</f>
        <v>0</v>
      </c>
      <c r="S62" s="576">
        <f>IFERROR(IF(VLOOKUP(S$2,MODULY_CBA!$B$3:$N$23,13,0)&lt;=$D62,SUM(S$5:S$14)*VLOOKUP(S$2,MODULY_CBA!$B$3:$M$23,12,0),0),0)</f>
        <v>0</v>
      </c>
      <c r="T62" s="576">
        <f>IFERROR(IF(VLOOKUP(T$2,MODULY_CBA!$B$3:$N$23,13,0)&lt;=$D62,SUM(T$5:T$14)*VLOOKUP(T$2,MODULY_CBA!$B$3:$M$23,12,0),0),0)</f>
        <v>0</v>
      </c>
      <c r="U62" s="576">
        <f>IFERROR(IF(VLOOKUP(U$2,MODULY_CBA!$B$3:$N$23,13,0)&lt;=$D62,SUM(U$5:U$14)*VLOOKUP(U$2,MODULY_CBA!$B$3:$M$23,12,0),0),0)</f>
        <v>0</v>
      </c>
      <c r="V62" s="576">
        <f>IFERROR(IF(VLOOKUP(V$2,MODULY_CBA!$B$3:$N$23,13,0)&lt;=$D62,SUM(V$5:V$14)*VLOOKUP(V$2,MODULY_CBA!$B$3:$M$23,12,0),0),0)</f>
        <v>0</v>
      </c>
      <c r="W62" s="576">
        <f>IFERROR(IF(VLOOKUP(W$2,MODULY_CBA!$B$3:$N$23,13,0)&lt;=$D62,SUM(W$5:W$14)*VLOOKUP(W$2,MODULY_CBA!$B$3:$M$23,12,0),0),0)</f>
        <v>0</v>
      </c>
      <c r="X62" s="576">
        <f>IFERROR(IF(VLOOKUP(X$2,MODULY_CBA!$B$3:$N$23,13,0)&lt;=$D62,SUM(X$5:X$14)*VLOOKUP(X$2,MODULY_CBA!$B$3:$M$23,12,0),0),0)</f>
        <v>0</v>
      </c>
      <c r="Y62" s="576">
        <f>IFERROR(IF(VLOOKUP(Y$2,MODULY_CBA!$B$3:$N$23,13,0)&lt;=$D62,SUM(Y$5:Y$14)*VLOOKUP(Y$2,MODULY_CBA!$B$3:$M$23,12,0),0),0)</f>
        <v>0</v>
      </c>
      <c r="Z62" s="576">
        <f>IFERROR(IF(VLOOKUP(Z$2,MODULY_CBA!$B$3:$N$23,13,0)&lt;=$D62,SUM(Z$5:Z$14)*VLOOKUP(Z$2,MODULY_CBA!$B$3:$M$23,12,0),0),0)</f>
        <v>0</v>
      </c>
    </row>
    <row r="63" spans="1:26" outlineLevel="1">
      <c r="A63" s="841"/>
      <c r="B63" s="842"/>
      <c r="C63" s="842"/>
      <c r="D63" s="498">
        <v>8</v>
      </c>
      <c r="E63" s="68">
        <f t="shared" si="7"/>
        <v>0</v>
      </c>
      <c r="F63" s="576">
        <f>IFERROR(IF(VLOOKUP(F$2,MODULY_CBA!$B$3:$N$23,13,0)&lt;=$D63,SUM(F$5:F$14)*VLOOKUP(F$2,MODULY_CBA!$B$3:$M$23,12,0),0),0)</f>
        <v>0</v>
      </c>
      <c r="G63" s="576">
        <f>IFERROR(IF(VLOOKUP(G$2,MODULY_CBA!$B$3:$N$23,13,0)&lt;=$D63,SUM(G$5:G$14)*VLOOKUP(G$2,MODULY_CBA!$B$3:$M$23,12,0),0),0)</f>
        <v>0</v>
      </c>
      <c r="H63" s="576">
        <f>IFERROR(IF(VLOOKUP(H$2,MODULY_CBA!$B$3:$N$23,13,0)&lt;=$D63,SUM(H$5:H$14)*VLOOKUP(H$2,MODULY_CBA!$B$3:$M$23,12,0),0),0)</f>
        <v>0</v>
      </c>
      <c r="I63" s="576">
        <f>IFERROR(IF(VLOOKUP(I$2,MODULY_CBA!$B$3:$N$23,13,0)&lt;=$D63,SUM(I$5:I$14)*VLOOKUP(I$2,MODULY_CBA!$B$3:$M$23,12,0),0),0)</f>
        <v>0</v>
      </c>
      <c r="J63" s="576">
        <f>IFERROR(IF(VLOOKUP(J$2,MODULY_CBA!$B$3:$N$23,13,0)&lt;=$D63,SUM(J$5:J$14)*VLOOKUP(J$2,MODULY_CBA!$B$3:$M$23,12,0),0),0)</f>
        <v>0</v>
      </c>
      <c r="K63" s="576">
        <f>IFERROR(IF(VLOOKUP(K$2,MODULY_CBA!$B$3:$N$23,13,0)&lt;=$D63,SUM(K$5:K$14)*VLOOKUP(K$2,MODULY_CBA!$B$3:$M$23,12,0),0),0)</f>
        <v>0</v>
      </c>
      <c r="L63" s="576">
        <f>IFERROR(IF(VLOOKUP(L$2,MODULY_CBA!$B$3:$N$23,13,0)&lt;=$D63,SUM(L$5:L$14)*VLOOKUP(L$2,MODULY_CBA!$B$3:$M$23,12,0),0),0)</f>
        <v>0</v>
      </c>
      <c r="M63" s="576">
        <f>IFERROR(IF(VLOOKUP(M$2,MODULY_CBA!$B$3:$N$23,13,0)&lt;=$D63,SUM(M$5:M$14)*VLOOKUP(M$2,MODULY_CBA!$B$3:$M$23,12,0),0),0)</f>
        <v>0</v>
      </c>
      <c r="N63" s="576">
        <f>IFERROR(IF(VLOOKUP(N$2,MODULY_CBA!$B$3:$N$23,13,0)&lt;=$D63,SUM(N$5:N$14)*VLOOKUP(N$2,MODULY_CBA!$B$3:$M$23,12,0),0),0)</f>
        <v>0</v>
      </c>
      <c r="O63" s="576">
        <f>IFERROR(IF(VLOOKUP(O$2,MODULY_CBA!$B$3:$N$23,13,0)&lt;=$D63,SUM(O$5:O$14)*VLOOKUP(O$2,MODULY_CBA!$B$3:$M$23,12,0),0),0)</f>
        <v>0</v>
      </c>
      <c r="P63" s="576">
        <f>IFERROR(IF(VLOOKUP(P$2,MODULY_CBA!$B$3:$N$23,13,0)&lt;=$D63,SUM(P$5:P$14)*VLOOKUP(P$2,MODULY_CBA!$B$3:$M$23,12,0),0),0)</f>
        <v>0</v>
      </c>
      <c r="Q63" s="576">
        <f>IFERROR(IF(VLOOKUP(Q$2,MODULY_CBA!$B$3:$N$23,13,0)&lt;=$D63,SUM(Q$5:Q$14)*VLOOKUP(Q$2,MODULY_CBA!$B$3:$M$23,12,0),0),0)</f>
        <v>0</v>
      </c>
      <c r="R63" s="576">
        <f>IFERROR(IF(VLOOKUP(R$2,MODULY_CBA!$B$3:$N$23,13,0)&lt;=$D63,SUM(R$5:R$14)*VLOOKUP(R$2,MODULY_CBA!$B$3:$M$23,12,0),0),0)</f>
        <v>0</v>
      </c>
      <c r="S63" s="576">
        <f>IFERROR(IF(VLOOKUP(S$2,MODULY_CBA!$B$3:$N$23,13,0)&lt;=$D63,SUM(S$5:S$14)*VLOOKUP(S$2,MODULY_CBA!$B$3:$M$23,12,0),0),0)</f>
        <v>0</v>
      </c>
      <c r="T63" s="576">
        <f>IFERROR(IF(VLOOKUP(T$2,MODULY_CBA!$B$3:$N$23,13,0)&lt;=$D63,SUM(T$5:T$14)*VLOOKUP(T$2,MODULY_CBA!$B$3:$M$23,12,0),0),0)</f>
        <v>0</v>
      </c>
      <c r="U63" s="576">
        <f>IFERROR(IF(VLOOKUP(U$2,MODULY_CBA!$B$3:$N$23,13,0)&lt;=$D63,SUM(U$5:U$14)*VLOOKUP(U$2,MODULY_CBA!$B$3:$M$23,12,0),0),0)</f>
        <v>0</v>
      </c>
      <c r="V63" s="576">
        <f>IFERROR(IF(VLOOKUP(V$2,MODULY_CBA!$B$3:$N$23,13,0)&lt;=$D63,SUM(V$5:V$14)*VLOOKUP(V$2,MODULY_CBA!$B$3:$M$23,12,0),0),0)</f>
        <v>0</v>
      </c>
      <c r="W63" s="576">
        <f>IFERROR(IF(VLOOKUP(W$2,MODULY_CBA!$B$3:$N$23,13,0)&lt;=$D63,SUM(W$5:W$14)*VLOOKUP(W$2,MODULY_CBA!$B$3:$M$23,12,0),0),0)</f>
        <v>0</v>
      </c>
      <c r="X63" s="576">
        <f>IFERROR(IF(VLOOKUP(X$2,MODULY_CBA!$B$3:$N$23,13,0)&lt;=$D63,SUM(X$5:X$14)*VLOOKUP(X$2,MODULY_CBA!$B$3:$M$23,12,0),0),0)</f>
        <v>0</v>
      </c>
      <c r="Y63" s="576">
        <f>IFERROR(IF(VLOOKUP(Y$2,MODULY_CBA!$B$3:$N$23,13,0)&lt;=$D63,SUM(Y$5:Y$14)*VLOOKUP(Y$2,MODULY_CBA!$B$3:$M$23,12,0),0),0)</f>
        <v>0</v>
      </c>
      <c r="Z63" s="576">
        <f>IFERROR(IF(VLOOKUP(Z$2,MODULY_CBA!$B$3:$N$23,13,0)&lt;=$D63,SUM(Z$5:Z$14)*VLOOKUP(Z$2,MODULY_CBA!$B$3:$M$23,12,0),0),0)</f>
        <v>0</v>
      </c>
    </row>
    <row r="64" spans="1:26" outlineLevel="1">
      <c r="A64" s="841"/>
      <c r="B64" s="842"/>
      <c r="C64" s="842"/>
      <c r="D64" s="498">
        <v>9</v>
      </c>
      <c r="E64" s="68">
        <f t="shared" si="7"/>
        <v>0</v>
      </c>
      <c r="F64" s="576">
        <f>IFERROR(IF(VLOOKUP(F$2,MODULY_CBA!$B$3:$N$23,13,0)&lt;=$D64,SUM(F$5:F$14)*VLOOKUP(F$2,MODULY_CBA!$B$3:$M$23,12,0),0),0)</f>
        <v>0</v>
      </c>
      <c r="G64" s="576">
        <f>IFERROR(IF(VLOOKUP(G$2,MODULY_CBA!$B$3:$N$23,13,0)&lt;=$D64,SUM(G$5:G$14)*VLOOKUP(G$2,MODULY_CBA!$B$3:$M$23,12,0),0),0)</f>
        <v>0</v>
      </c>
      <c r="H64" s="576">
        <f>IFERROR(IF(VLOOKUP(H$2,MODULY_CBA!$B$3:$N$23,13,0)&lt;=$D64,SUM(H$5:H$14)*VLOOKUP(H$2,MODULY_CBA!$B$3:$M$23,12,0),0),0)</f>
        <v>0</v>
      </c>
      <c r="I64" s="576">
        <f>IFERROR(IF(VLOOKUP(I$2,MODULY_CBA!$B$3:$N$23,13,0)&lt;=$D64,SUM(I$5:I$14)*VLOOKUP(I$2,MODULY_CBA!$B$3:$M$23,12,0),0),0)</f>
        <v>0</v>
      </c>
      <c r="J64" s="576">
        <f>IFERROR(IF(VLOOKUP(J$2,MODULY_CBA!$B$3:$N$23,13,0)&lt;=$D64,SUM(J$5:J$14)*VLOOKUP(J$2,MODULY_CBA!$B$3:$M$23,12,0),0),0)</f>
        <v>0</v>
      </c>
      <c r="K64" s="576">
        <f>IFERROR(IF(VLOOKUP(K$2,MODULY_CBA!$B$3:$N$23,13,0)&lt;=$D64,SUM(K$5:K$14)*VLOOKUP(K$2,MODULY_CBA!$B$3:$M$23,12,0),0),0)</f>
        <v>0</v>
      </c>
      <c r="L64" s="576">
        <f>IFERROR(IF(VLOOKUP(L$2,MODULY_CBA!$B$3:$N$23,13,0)&lt;=$D64,SUM(L$5:L$14)*VLOOKUP(L$2,MODULY_CBA!$B$3:$M$23,12,0),0),0)</f>
        <v>0</v>
      </c>
      <c r="M64" s="576">
        <f>IFERROR(IF(VLOOKUP(M$2,MODULY_CBA!$B$3:$N$23,13,0)&lt;=$D64,SUM(M$5:M$14)*VLOOKUP(M$2,MODULY_CBA!$B$3:$M$23,12,0),0),0)</f>
        <v>0</v>
      </c>
      <c r="N64" s="576">
        <f>IFERROR(IF(VLOOKUP(N$2,MODULY_CBA!$B$3:$N$23,13,0)&lt;=$D64,SUM(N$5:N$14)*VLOOKUP(N$2,MODULY_CBA!$B$3:$M$23,12,0),0),0)</f>
        <v>0</v>
      </c>
      <c r="O64" s="576">
        <f>IFERROR(IF(VLOOKUP(O$2,MODULY_CBA!$B$3:$N$23,13,0)&lt;=$D64,SUM(O$5:O$14)*VLOOKUP(O$2,MODULY_CBA!$B$3:$M$23,12,0),0),0)</f>
        <v>0</v>
      </c>
      <c r="P64" s="576">
        <f>IFERROR(IF(VLOOKUP(P$2,MODULY_CBA!$B$3:$N$23,13,0)&lt;=$D64,SUM(P$5:P$14)*VLOOKUP(P$2,MODULY_CBA!$B$3:$M$23,12,0),0),0)</f>
        <v>0</v>
      </c>
      <c r="Q64" s="576">
        <f>IFERROR(IF(VLOOKUP(Q$2,MODULY_CBA!$B$3:$N$23,13,0)&lt;=$D64,SUM(Q$5:Q$14)*VLOOKUP(Q$2,MODULY_CBA!$B$3:$M$23,12,0),0),0)</f>
        <v>0</v>
      </c>
      <c r="R64" s="576">
        <f>IFERROR(IF(VLOOKUP(R$2,MODULY_CBA!$B$3:$N$23,13,0)&lt;=$D64,SUM(R$5:R$14)*VLOOKUP(R$2,MODULY_CBA!$B$3:$M$23,12,0),0),0)</f>
        <v>0</v>
      </c>
      <c r="S64" s="576">
        <f>IFERROR(IF(VLOOKUP(S$2,MODULY_CBA!$B$3:$N$23,13,0)&lt;=$D64,SUM(S$5:S$14)*VLOOKUP(S$2,MODULY_CBA!$B$3:$M$23,12,0),0),0)</f>
        <v>0</v>
      </c>
      <c r="T64" s="576">
        <f>IFERROR(IF(VLOOKUP(T$2,MODULY_CBA!$B$3:$N$23,13,0)&lt;=$D64,SUM(T$5:T$14)*VLOOKUP(T$2,MODULY_CBA!$B$3:$M$23,12,0),0),0)</f>
        <v>0</v>
      </c>
      <c r="U64" s="576">
        <f>IFERROR(IF(VLOOKUP(U$2,MODULY_CBA!$B$3:$N$23,13,0)&lt;=$D64,SUM(U$5:U$14)*VLOOKUP(U$2,MODULY_CBA!$B$3:$M$23,12,0),0),0)</f>
        <v>0</v>
      </c>
      <c r="V64" s="576">
        <f>IFERROR(IF(VLOOKUP(V$2,MODULY_CBA!$B$3:$N$23,13,0)&lt;=$D64,SUM(V$5:V$14)*VLOOKUP(V$2,MODULY_CBA!$B$3:$M$23,12,0),0),0)</f>
        <v>0</v>
      </c>
      <c r="W64" s="576">
        <f>IFERROR(IF(VLOOKUP(W$2,MODULY_CBA!$B$3:$N$23,13,0)&lt;=$D64,SUM(W$5:W$14)*VLOOKUP(W$2,MODULY_CBA!$B$3:$M$23,12,0),0),0)</f>
        <v>0</v>
      </c>
      <c r="X64" s="576">
        <f>IFERROR(IF(VLOOKUP(X$2,MODULY_CBA!$B$3:$N$23,13,0)&lt;=$D64,SUM(X$5:X$14)*VLOOKUP(X$2,MODULY_CBA!$B$3:$M$23,12,0),0),0)</f>
        <v>0</v>
      </c>
      <c r="Y64" s="576">
        <f>IFERROR(IF(VLOOKUP(Y$2,MODULY_CBA!$B$3:$N$23,13,0)&lt;=$D64,SUM(Y$5:Y$14)*VLOOKUP(Y$2,MODULY_CBA!$B$3:$M$23,12,0),0),0)</f>
        <v>0</v>
      </c>
      <c r="Z64" s="576">
        <f>IFERROR(IF(VLOOKUP(Z$2,MODULY_CBA!$B$3:$N$23,13,0)&lt;=$D64,SUM(Z$5:Z$14)*VLOOKUP(Z$2,MODULY_CBA!$B$3:$M$23,12,0),0),0)</f>
        <v>0</v>
      </c>
    </row>
    <row r="65" spans="1:28" ht="15" outlineLevel="1" thickBot="1">
      <c r="A65" s="841"/>
      <c r="B65" s="842"/>
      <c r="C65" s="842"/>
      <c r="D65" s="499">
        <v>10</v>
      </c>
      <c r="E65" s="69">
        <f t="shared" si="7"/>
        <v>0</v>
      </c>
      <c r="F65" s="576">
        <f>IFERROR(IF(VLOOKUP(F$2,MODULY_CBA!$B$3:$N$23,13,0)&lt;=$D65,SUM(F$5:F$14)*VLOOKUP(F$2,MODULY_CBA!$B$3:$M$23,12,0),0),0)</f>
        <v>0</v>
      </c>
      <c r="G65" s="576">
        <f>IFERROR(IF(VLOOKUP(G$2,MODULY_CBA!$B$3:$N$23,13,0)&lt;=$D65,SUM(G$5:G$14)*VLOOKUP(G$2,MODULY_CBA!$B$3:$M$23,12,0),0),0)</f>
        <v>0</v>
      </c>
      <c r="H65" s="576">
        <f>IFERROR(IF(VLOOKUP(H$2,MODULY_CBA!$B$3:$N$23,13,0)&lt;=$D65,SUM(H$5:H$14)*VLOOKUP(H$2,MODULY_CBA!$B$3:$M$23,12,0),0),0)</f>
        <v>0</v>
      </c>
      <c r="I65" s="576">
        <f>IFERROR(IF(VLOOKUP(I$2,MODULY_CBA!$B$3:$N$23,13,0)&lt;=$D65,SUM(I$5:I$14)*VLOOKUP(I$2,MODULY_CBA!$B$3:$M$23,12,0),0),0)</f>
        <v>0</v>
      </c>
      <c r="J65" s="576">
        <f>IFERROR(IF(VLOOKUP(J$2,MODULY_CBA!$B$3:$N$23,13,0)&lt;=$D65,SUM(J$5:J$14)*VLOOKUP(J$2,MODULY_CBA!$B$3:$M$23,12,0),0),0)</f>
        <v>0</v>
      </c>
      <c r="K65" s="576">
        <f>IFERROR(IF(VLOOKUP(K$2,MODULY_CBA!$B$3:$N$23,13,0)&lt;=$D65,SUM(K$5:K$14)*VLOOKUP(K$2,MODULY_CBA!$B$3:$M$23,12,0),0),0)</f>
        <v>0</v>
      </c>
      <c r="L65" s="576">
        <f>IFERROR(IF(VLOOKUP(L$2,MODULY_CBA!$B$3:$N$23,13,0)&lt;=$D65,SUM(L$5:L$14)*VLOOKUP(L$2,MODULY_CBA!$B$3:$M$23,12,0),0),0)</f>
        <v>0</v>
      </c>
      <c r="M65" s="576">
        <f>IFERROR(IF(VLOOKUP(M$2,MODULY_CBA!$B$3:$N$23,13,0)&lt;=$D65,SUM(M$5:M$14)*VLOOKUP(M$2,MODULY_CBA!$B$3:$M$23,12,0),0),0)</f>
        <v>0</v>
      </c>
      <c r="N65" s="576">
        <f>IFERROR(IF(VLOOKUP(N$2,MODULY_CBA!$B$3:$N$23,13,0)&lt;=$D65,SUM(N$5:N$14)*VLOOKUP(N$2,MODULY_CBA!$B$3:$M$23,12,0),0),0)</f>
        <v>0</v>
      </c>
      <c r="O65" s="576">
        <f>IFERROR(IF(VLOOKUP(O$2,MODULY_CBA!$B$3:$N$23,13,0)&lt;=$D65,SUM(O$5:O$14)*VLOOKUP(O$2,MODULY_CBA!$B$3:$M$23,12,0),0),0)</f>
        <v>0</v>
      </c>
      <c r="P65" s="576">
        <f>IFERROR(IF(VLOOKUP(P$2,MODULY_CBA!$B$3:$N$23,13,0)&lt;=$D65,SUM(P$5:P$14)*VLOOKUP(P$2,MODULY_CBA!$B$3:$M$23,12,0),0),0)</f>
        <v>0</v>
      </c>
      <c r="Q65" s="576">
        <f>IFERROR(IF(VLOOKUP(Q$2,MODULY_CBA!$B$3:$N$23,13,0)&lt;=$D65,SUM(Q$5:Q$14)*VLOOKUP(Q$2,MODULY_CBA!$B$3:$M$23,12,0),0),0)</f>
        <v>0</v>
      </c>
      <c r="R65" s="576">
        <f>IFERROR(IF(VLOOKUP(R$2,MODULY_CBA!$B$3:$N$23,13,0)&lt;=$D65,SUM(R$5:R$14)*VLOOKUP(R$2,MODULY_CBA!$B$3:$M$23,12,0),0),0)</f>
        <v>0</v>
      </c>
      <c r="S65" s="576">
        <f>IFERROR(IF(VLOOKUP(S$2,MODULY_CBA!$B$3:$N$23,13,0)&lt;=$D65,SUM(S$5:S$14)*VLOOKUP(S$2,MODULY_CBA!$B$3:$M$23,12,0),0),0)</f>
        <v>0</v>
      </c>
      <c r="T65" s="576">
        <f>IFERROR(IF(VLOOKUP(T$2,MODULY_CBA!$B$3:$N$23,13,0)&lt;=$D65,SUM(T$5:T$14)*VLOOKUP(T$2,MODULY_CBA!$B$3:$M$23,12,0),0),0)</f>
        <v>0</v>
      </c>
      <c r="U65" s="576">
        <f>IFERROR(IF(VLOOKUP(U$2,MODULY_CBA!$B$3:$N$23,13,0)&lt;=$D65,SUM(U$5:U$14)*VLOOKUP(U$2,MODULY_CBA!$B$3:$M$23,12,0),0),0)</f>
        <v>0</v>
      </c>
      <c r="V65" s="576">
        <f>IFERROR(IF(VLOOKUP(V$2,MODULY_CBA!$B$3:$N$23,13,0)&lt;=$D65,SUM(V$5:V$14)*VLOOKUP(V$2,MODULY_CBA!$B$3:$M$23,12,0),0),0)</f>
        <v>0</v>
      </c>
      <c r="W65" s="576">
        <f>IFERROR(IF(VLOOKUP(W$2,MODULY_CBA!$B$3:$N$23,13,0)&lt;=$D65,SUM(W$5:W$14)*VLOOKUP(W$2,MODULY_CBA!$B$3:$M$23,12,0),0),0)</f>
        <v>0</v>
      </c>
      <c r="X65" s="576">
        <f>IFERROR(IF(VLOOKUP(X$2,MODULY_CBA!$B$3:$N$23,13,0)&lt;=$D65,SUM(X$5:X$14)*VLOOKUP(X$2,MODULY_CBA!$B$3:$M$23,12,0),0),0)</f>
        <v>0</v>
      </c>
      <c r="Y65" s="576">
        <f>IFERROR(IF(VLOOKUP(Y$2,MODULY_CBA!$B$3:$N$23,13,0)&lt;=$D65,SUM(Y$5:Y$14)*VLOOKUP(Y$2,MODULY_CBA!$B$3:$M$23,12,0),0),0)</f>
        <v>0</v>
      </c>
      <c r="Z65" s="576">
        <f>IFERROR(IF(VLOOKUP(Z$2,MODULY_CBA!$B$3:$N$23,13,0)&lt;=$D65,SUM(Z$5:Z$14)*VLOOKUP(Z$2,MODULY_CBA!$B$3:$M$23,12,0),0),0)</f>
        <v>0</v>
      </c>
    </row>
    <row r="66" spans="1:28" outlineLevel="1">
      <c r="A66" s="841" t="s">
        <v>2124</v>
      </c>
      <c r="B66" s="841" t="s">
        <v>2125</v>
      </c>
      <c r="C66" s="842">
        <v>718002</v>
      </c>
      <c r="D66" s="497">
        <v>1</v>
      </c>
      <c r="E66" s="68">
        <f t="shared" si="7"/>
        <v>0</v>
      </c>
      <c r="F66" s="578">
        <v>0</v>
      </c>
      <c r="G66" s="578">
        <v>0</v>
      </c>
      <c r="H66" s="578">
        <v>0</v>
      </c>
      <c r="I66" s="578">
        <v>0</v>
      </c>
      <c r="J66" s="578">
        <v>0</v>
      </c>
      <c r="K66" s="578">
        <v>0</v>
      </c>
      <c r="L66" s="578">
        <v>0</v>
      </c>
      <c r="M66" s="578">
        <v>0</v>
      </c>
      <c r="N66" s="578">
        <v>0</v>
      </c>
      <c r="O66" s="578">
        <v>0</v>
      </c>
      <c r="P66" s="578">
        <v>0</v>
      </c>
      <c r="Q66" s="578">
        <v>0</v>
      </c>
      <c r="R66" s="578">
        <v>0</v>
      </c>
      <c r="S66" s="578">
        <v>0</v>
      </c>
      <c r="T66" s="578">
        <v>0</v>
      </c>
      <c r="U66" s="578">
        <v>0</v>
      </c>
      <c r="V66" s="578">
        <v>0</v>
      </c>
      <c r="W66" s="578">
        <v>0</v>
      </c>
      <c r="X66" s="578">
        <v>0</v>
      </c>
      <c r="Y66" s="578">
        <v>0</v>
      </c>
      <c r="Z66" s="578">
        <v>0</v>
      </c>
    </row>
    <row r="67" spans="1:28" outlineLevel="1">
      <c r="A67" s="841"/>
      <c r="B67" s="842"/>
      <c r="C67" s="842"/>
      <c r="D67" s="498">
        <v>2</v>
      </c>
      <c r="E67" s="68">
        <f t="shared" si="7"/>
        <v>0</v>
      </c>
      <c r="F67" s="579">
        <v>0</v>
      </c>
      <c r="G67" s="579">
        <v>0</v>
      </c>
      <c r="H67" s="579">
        <v>0</v>
      </c>
      <c r="I67" s="579">
        <v>0</v>
      </c>
      <c r="J67" s="579">
        <v>0</v>
      </c>
      <c r="K67" s="579">
        <v>0</v>
      </c>
      <c r="L67" s="579">
        <v>0</v>
      </c>
      <c r="M67" s="579">
        <v>0</v>
      </c>
      <c r="N67" s="579">
        <v>0</v>
      </c>
      <c r="O67" s="579">
        <v>0</v>
      </c>
      <c r="P67" s="579">
        <v>0</v>
      </c>
      <c r="Q67" s="579">
        <v>0</v>
      </c>
      <c r="R67" s="579">
        <v>0</v>
      </c>
      <c r="S67" s="579">
        <v>0</v>
      </c>
      <c r="T67" s="579">
        <v>0</v>
      </c>
      <c r="U67" s="579">
        <v>0</v>
      </c>
      <c r="V67" s="579">
        <v>0</v>
      </c>
      <c r="W67" s="579">
        <v>0</v>
      </c>
      <c r="X67" s="579">
        <v>0</v>
      </c>
      <c r="Y67" s="579">
        <v>0</v>
      </c>
      <c r="Z67" s="579">
        <v>0</v>
      </c>
    </row>
    <row r="68" spans="1:28" outlineLevel="1">
      <c r="A68" s="841"/>
      <c r="B68" s="842"/>
      <c r="C68" s="842"/>
      <c r="D68" s="498">
        <v>3</v>
      </c>
      <c r="E68" s="68">
        <f t="shared" si="7"/>
        <v>0</v>
      </c>
      <c r="F68" s="579">
        <v>0</v>
      </c>
      <c r="G68" s="579">
        <v>0</v>
      </c>
      <c r="H68" s="579">
        <v>0</v>
      </c>
      <c r="I68" s="579">
        <v>0</v>
      </c>
      <c r="J68" s="579">
        <v>0</v>
      </c>
      <c r="K68" s="579">
        <v>0</v>
      </c>
      <c r="L68" s="579">
        <v>0</v>
      </c>
      <c r="M68" s="579">
        <v>0</v>
      </c>
      <c r="N68" s="579">
        <v>0</v>
      </c>
      <c r="O68" s="579">
        <v>0</v>
      </c>
      <c r="P68" s="579">
        <v>0</v>
      </c>
      <c r="Q68" s="579">
        <v>0</v>
      </c>
      <c r="R68" s="579">
        <v>0</v>
      </c>
      <c r="S68" s="579">
        <v>0</v>
      </c>
      <c r="T68" s="579">
        <v>0</v>
      </c>
      <c r="U68" s="579">
        <v>0</v>
      </c>
      <c r="V68" s="579">
        <v>0</v>
      </c>
      <c r="W68" s="579">
        <v>0</v>
      </c>
      <c r="X68" s="579">
        <v>0</v>
      </c>
      <c r="Y68" s="579">
        <v>0</v>
      </c>
      <c r="Z68" s="579">
        <v>0</v>
      </c>
    </row>
    <row r="69" spans="1:28" outlineLevel="1">
      <c r="A69" s="841"/>
      <c r="B69" s="842"/>
      <c r="C69" s="842"/>
      <c r="D69" s="498">
        <v>4</v>
      </c>
      <c r="E69" s="68">
        <f t="shared" si="7"/>
        <v>0</v>
      </c>
      <c r="F69" s="579">
        <v>0</v>
      </c>
      <c r="G69" s="579">
        <v>0</v>
      </c>
      <c r="H69" s="579">
        <v>0</v>
      </c>
      <c r="I69" s="579">
        <v>0</v>
      </c>
      <c r="J69" s="579">
        <v>0</v>
      </c>
      <c r="K69" s="579">
        <v>0</v>
      </c>
      <c r="L69" s="579">
        <v>0</v>
      </c>
      <c r="M69" s="579">
        <v>0</v>
      </c>
      <c r="N69" s="579">
        <v>0</v>
      </c>
      <c r="O69" s="579">
        <v>0</v>
      </c>
      <c r="P69" s="579">
        <v>0</v>
      </c>
      <c r="Q69" s="579">
        <v>0</v>
      </c>
      <c r="R69" s="579">
        <v>0</v>
      </c>
      <c r="S69" s="579">
        <v>0</v>
      </c>
      <c r="T69" s="579">
        <v>0</v>
      </c>
      <c r="U69" s="579">
        <v>0</v>
      </c>
      <c r="V69" s="579">
        <v>0</v>
      </c>
      <c r="W69" s="579">
        <v>0</v>
      </c>
      <c r="X69" s="579">
        <v>0</v>
      </c>
      <c r="Y69" s="579">
        <v>0</v>
      </c>
      <c r="Z69" s="579">
        <v>0</v>
      </c>
    </row>
    <row r="70" spans="1:28" outlineLevel="1">
      <c r="A70" s="841"/>
      <c r="B70" s="842"/>
      <c r="C70" s="842"/>
      <c r="D70" s="498">
        <v>5</v>
      </c>
      <c r="E70" s="68">
        <f t="shared" si="7"/>
        <v>0</v>
      </c>
      <c r="F70" s="579">
        <v>0</v>
      </c>
      <c r="G70" s="579">
        <v>0</v>
      </c>
      <c r="H70" s="579">
        <v>0</v>
      </c>
      <c r="I70" s="579">
        <v>0</v>
      </c>
      <c r="J70" s="579">
        <v>0</v>
      </c>
      <c r="K70" s="579">
        <v>0</v>
      </c>
      <c r="L70" s="579">
        <v>0</v>
      </c>
      <c r="M70" s="579">
        <v>0</v>
      </c>
      <c r="N70" s="579">
        <v>0</v>
      </c>
      <c r="O70" s="579">
        <v>0</v>
      </c>
      <c r="P70" s="579">
        <v>0</v>
      </c>
      <c r="Q70" s="579">
        <v>0</v>
      </c>
      <c r="R70" s="579">
        <v>0</v>
      </c>
      <c r="S70" s="579">
        <v>0</v>
      </c>
      <c r="T70" s="579">
        <v>0</v>
      </c>
      <c r="U70" s="579">
        <v>0</v>
      </c>
      <c r="V70" s="579">
        <v>0</v>
      </c>
      <c r="W70" s="579">
        <v>0</v>
      </c>
      <c r="X70" s="579">
        <v>0</v>
      </c>
      <c r="Y70" s="579">
        <v>0</v>
      </c>
      <c r="Z70" s="579">
        <v>0</v>
      </c>
    </row>
    <row r="71" spans="1:28" outlineLevel="1">
      <c r="A71" s="841"/>
      <c r="B71" s="842"/>
      <c r="C71" s="842"/>
      <c r="D71" s="498">
        <v>6</v>
      </c>
      <c r="E71" s="68">
        <f t="shared" si="7"/>
        <v>0</v>
      </c>
      <c r="F71" s="579">
        <v>0</v>
      </c>
      <c r="G71" s="579">
        <v>0</v>
      </c>
      <c r="H71" s="579">
        <v>0</v>
      </c>
      <c r="I71" s="579">
        <v>0</v>
      </c>
      <c r="J71" s="579">
        <v>0</v>
      </c>
      <c r="K71" s="579">
        <v>0</v>
      </c>
      <c r="L71" s="579">
        <v>0</v>
      </c>
      <c r="M71" s="579">
        <v>0</v>
      </c>
      <c r="N71" s="579">
        <v>0</v>
      </c>
      <c r="O71" s="579">
        <v>0</v>
      </c>
      <c r="P71" s="579">
        <v>0</v>
      </c>
      <c r="Q71" s="579">
        <v>0</v>
      </c>
      <c r="R71" s="579">
        <v>0</v>
      </c>
      <c r="S71" s="579">
        <v>0</v>
      </c>
      <c r="T71" s="579">
        <v>0</v>
      </c>
      <c r="U71" s="579">
        <v>0</v>
      </c>
      <c r="V71" s="579">
        <v>0</v>
      </c>
      <c r="W71" s="579">
        <v>0</v>
      </c>
      <c r="X71" s="579">
        <v>0</v>
      </c>
      <c r="Y71" s="579">
        <v>0</v>
      </c>
      <c r="Z71" s="579">
        <v>0</v>
      </c>
    </row>
    <row r="72" spans="1:28" outlineLevel="1">
      <c r="A72" s="841"/>
      <c r="B72" s="842"/>
      <c r="C72" s="842"/>
      <c r="D72" s="498">
        <v>7</v>
      </c>
      <c r="E72" s="68">
        <f t="shared" si="7"/>
        <v>0</v>
      </c>
      <c r="F72" s="579">
        <v>0</v>
      </c>
      <c r="G72" s="579">
        <v>0</v>
      </c>
      <c r="H72" s="579">
        <v>0</v>
      </c>
      <c r="I72" s="579">
        <v>0</v>
      </c>
      <c r="J72" s="579">
        <v>0</v>
      </c>
      <c r="K72" s="579">
        <v>0</v>
      </c>
      <c r="L72" s="579">
        <v>0</v>
      </c>
      <c r="M72" s="579">
        <v>0</v>
      </c>
      <c r="N72" s="579">
        <v>0</v>
      </c>
      <c r="O72" s="579">
        <v>0</v>
      </c>
      <c r="P72" s="579">
        <v>0</v>
      </c>
      <c r="Q72" s="579">
        <v>0</v>
      </c>
      <c r="R72" s="579">
        <v>0</v>
      </c>
      <c r="S72" s="579">
        <v>0</v>
      </c>
      <c r="T72" s="579">
        <v>0</v>
      </c>
      <c r="U72" s="579">
        <v>0</v>
      </c>
      <c r="V72" s="579">
        <v>0</v>
      </c>
      <c r="W72" s="579">
        <v>0</v>
      </c>
      <c r="X72" s="579">
        <v>0</v>
      </c>
      <c r="Y72" s="579">
        <v>0</v>
      </c>
      <c r="Z72" s="579">
        <v>0</v>
      </c>
    </row>
    <row r="73" spans="1:28" outlineLevel="1">
      <c r="A73" s="841"/>
      <c r="B73" s="842"/>
      <c r="C73" s="842"/>
      <c r="D73" s="498">
        <v>8</v>
      </c>
      <c r="E73" s="68">
        <f t="shared" si="7"/>
        <v>0</v>
      </c>
      <c r="F73" s="579">
        <v>0</v>
      </c>
      <c r="G73" s="579">
        <v>0</v>
      </c>
      <c r="H73" s="579">
        <v>0</v>
      </c>
      <c r="I73" s="579">
        <v>0</v>
      </c>
      <c r="J73" s="579">
        <v>0</v>
      </c>
      <c r="K73" s="579">
        <v>0</v>
      </c>
      <c r="L73" s="579">
        <v>0</v>
      </c>
      <c r="M73" s="579">
        <v>0</v>
      </c>
      <c r="N73" s="579">
        <v>0</v>
      </c>
      <c r="O73" s="579">
        <v>0</v>
      </c>
      <c r="P73" s="579">
        <v>0</v>
      </c>
      <c r="Q73" s="579">
        <v>0</v>
      </c>
      <c r="R73" s="579">
        <v>0</v>
      </c>
      <c r="S73" s="579">
        <v>0</v>
      </c>
      <c r="T73" s="579">
        <v>0</v>
      </c>
      <c r="U73" s="579">
        <v>0</v>
      </c>
      <c r="V73" s="579">
        <v>0</v>
      </c>
      <c r="W73" s="579">
        <v>0</v>
      </c>
      <c r="X73" s="579">
        <v>0</v>
      </c>
      <c r="Y73" s="579">
        <v>0</v>
      </c>
      <c r="Z73" s="579">
        <v>0</v>
      </c>
    </row>
    <row r="74" spans="1:28" outlineLevel="1">
      <c r="A74" s="841"/>
      <c r="B74" s="842"/>
      <c r="C74" s="842"/>
      <c r="D74" s="498">
        <v>9</v>
      </c>
      <c r="E74" s="68">
        <f t="shared" si="7"/>
        <v>0</v>
      </c>
      <c r="F74" s="579">
        <v>0</v>
      </c>
      <c r="G74" s="579">
        <v>0</v>
      </c>
      <c r="H74" s="579">
        <v>0</v>
      </c>
      <c r="I74" s="579">
        <v>0</v>
      </c>
      <c r="J74" s="579">
        <v>0</v>
      </c>
      <c r="K74" s="579">
        <v>0</v>
      </c>
      <c r="L74" s="579">
        <v>0</v>
      </c>
      <c r="M74" s="579">
        <v>0</v>
      </c>
      <c r="N74" s="579">
        <v>0</v>
      </c>
      <c r="O74" s="579">
        <v>0</v>
      </c>
      <c r="P74" s="579">
        <v>0</v>
      </c>
      <c r="Q74" s="579">
        <v>0</v>
      </c>
      <c r="R74" s="579">
        <v>0</v>
      </c>
      <c r="S74" s="579">
        <v>0</v>
      </c>
      <c r="T74" s="579">
        <v>0</v>
      </c>
      <c r="U74" s="579">
        <v>0</v>
      </c>
      <c r="V74" s="579">
        <v>0</v>
      </c>
      <c r="W74" s="579">
        <v>0</v>
      </c>
      <c r="X74" s="579">
        <v>0</v>
      </c>
      <c r="Y74" s="579">
        <v>0</v>
      </c>
      <c r="Z74" s="579">
        <v>0</v>
      </c>
    </row>
    <row r="75" spans="1:28" ht="15" outlineLevel="1" thickBot="1">
      <c r="A75" s="841"/>
      <c r="B75" s="842"/>
      <c r="C75" s="842"/>
      <c r="D75" s="499">
        <v>10</v>
      </c>
      <c r="E75" s="69">
        <f t="shared" si="7"/>
        <v>0</v>
      </c>
      <c r="F75" s="583">
        <v>0</v>
      </c>
      <c r="G75" s="583">
        <v>0</v>
      </c>
      <c r="H75" s="583">
        <v>0</v>
      </c>
      <c r="I75" s="583">
        <v>0</v>
      </c>
      <c r="J75" s="583">
        <v>0</v>
      </c>
      <c r="K75" s="583">
        <v>0</v>
      </c>
      <c r="L75" s="583">
        <v>0</v>
      </c>
      <c r="M75" s="583">
        <v>0</v>
      </c>
      <c r="N75" s="583">
        <v>0</v>
      </c>
      <c r="O75" s="583">
        <v>0</v>
      </c>
      <c r="P75" s="583">
        <v>0</v>
      </c>
      <c r="Q75" s="583">
        <v>0</v>
      </c>
      <c r="R75" s="583">
        <v>0</v>
      </c>
      <c r="S75" s="583">
        <v>0</v>
      </c>
      <c r="T75" s="583">
        <v>0</v>
      </c>
      <c r="U75" s="583">
        <v>0</v>
      </c>
      <c r="V75" s="583">
        <v>0</v>
      </c>
      <c r="W75" s="583">
        <v>0</v>
      </c>
      <c r="X75" s="583">
        <v>0</v>
      </c>
      <c r="Y75" s="583">
        <v>0</v>
      </c>
      <c r="Z75" s="583">
        <v>0</v>
      </c>
    </row>
    <row r="76" spans="1:28" outlineLevel="1">
      <c r="A76" s="841" t="s">
        <v>2126</v>
      </c>
      <c r="B76" s="842"/>
      <c r="C76" s="842"/>
      <c r="D76" s="497">
        <v>1</v>
      </c>
      <c r="E76" s="68">
        <f t="shared" si="7"/>
        <v>0</v>
      </c>
      <c r="F76" s="578">
        <v>0</v>
      </c>
      <c r="G76" s="578">
        <v>0</v>
      </c>
      <c r="H76" s="578">
        <v>0</v>
      </c>
      <c r="I76" s="578">
        <v>0</v>
      </c>
      <c r="J76" s="578">
        <v>0</v>
      </c>
      <c r="K76" s="578">
        <v>0</v>
      </c>
      <c r="L76" s="578">
        <v>0</v>
      </c>
      <c r="M76" s="578">
        <v>0</v>
      </c>
      <c r="N76" s="578">
        <v>0</v>
      </c>
      <c r="O76" s="578">
        <v>0</v>
      </c>
      <c r="P76" s="578">
        <v>0</v>
      </c>
      <c r="Q76" s="578">
        <v>0</v>
      </c>
      <c r="R76" s="578">
        <v>0</v>
      </c>
      <c r="S76" s="578">
        <v>0</v>
      </c>
      <c r="T76" s="578">
        <v>0</v>
      </c>
      <c r="U76" s="578">
        <v>0</v>
      </c>
      <c r="V76" s="578">
        <v>0</v>
      </c>
      <c r="W76" s="578">
        <v>0</v>
      </c>
      <c r="X76" s="578">
        <v>0</v>
      </c>
      <c r="Y76" s="578">
        <v>0</v>
      </c>
      <c r="Z76" s="578">
        <v>0</v>
      </c>
      <c r="AB76" s="366"/>
    </row>
    <row r="77" spans="1:28" outlineLevel="1">
      <c r="A77" s="841"/>
      <c r="B77" s="842"/>
      <c r="C77" s="842"/>
      <c r="D77" s="498">
        <v>2</v>
      </c>
      <c r="E77" s="68">
        <f t="shared" si="7"/>
        <v>0</v>
      </c>
      <c r="F77" s="579">
        <v>0</v>
      </c>
      <c r="G77" s="579">
        <v>0</v>
      </c>
      <c r="H77" s="579">
        <v>0</v>
      </c>
      <c r="I77" s="579">
        <v>0</v>
      </c>
      <c r="J77" s="579">
        <v>0</v>
      </c>
      <c r="K77" s="579">
        <v>0</v>
      </c>
      <c r="L77" s="579">
        <v>0</v>
      </c>
      <c r="M77" s="579">
        <v>0</v>
      </c>
      <c r="N77" s="579">
        <v>0</v>
      </c>
      <c r="O77" s="579">
        <v>0</v>
      </c>
      <c r="P77" s="579">
        <v>0</v>
      </c>
      <c r="Q77" s="579">
        <v>0</v>
      </c>
      <c r="R77" s="579">
        <v>0</v>
      </c>
      <c r="S77" s="579">
        <v>0</v>
      </c>
      <c r="T77" s="579">
        <v>0</v>
      </c>
      <c r="U77" s="579">
        <v>0</v>
      </c>
      <c r="V77" s="579">
        <v>0</v>
      </c>
      <c r="W77" s="579">
        <v>0</v>
      </c>
      <c r="X77" s="579">
        <v>0</v>
      </c>
      <c r="Y77" s="579">
        <v>0</v>
      </c>
      <c r="Z77" s="579">
        <v>0</v>
      </c>
      <c r="AB77" s="366"/>
    </row>
    <row r="78" spans="1:28" outlineLevel="1">
      <c r="A78" s="841"/>
      <c r="B78" s="842"/>
      <c r="C78" s="842"/>
      <c r="D78" s="498">
        <v>3</v>
      </c>
      <c r="E78" s="68">
        <f t="shared" si="7"/>
        <v>0</v>
      </c>
      <c r="F78" s="579">
        <v>0</v>
      </c>
      <c r="G78" s="579">
        <v>0</v>
      </c>
      <c r="H78" s="579">
        <v>0</v>
      </c>
      <c r="I78" s="579">
        <v>0</v>
      </c>
      <c r="J78" s="579">
        <v>0</v>
      </c>
      <c r="K78" s="579">
        <v>0</v>
      </c>
      <c r="L78" s="579">
        <v>0</v>
      </c>
      <c r="M78" s="579">
        <v>0</v>
      </c>
      <c r="N78" s="579">
        <v>0</v>
      </c>
      <c r="O78" s="579">
        <v>0</v>
      </c>
      <c r="P78" s="579">
        <v>0</v>
      </c>
      <c r="Q78" s="579">
        <v>0</v>
      </c>
      <c r="R78" s="579">
        <v>0</v>
      </c>
      <c r="S78" s="579">
        <v>0</v>
      </c>
      <c r="T78" s="579">
        <v>0</v>
      </c>
      <c r="U78" s="579">
        <v>0</v>
      </c>
      <c r="V78" s="579">
        <v>0</v>
      </c>
      <c r="W78" s="579">
        <v>0</v>
      </c>
      <c r="X78" s="579">
        <v>0</v>
      </c>
      <c r="Y78" s="579">
        <v>0</v>
      </c>
      <c r="Z78" s="579">
        <v>0</v>
      </c>
      <c r="AB78" s="366"/>
    </row>
    <row r="79" spans="1:28" outlineLevel="1">
      <c r="A79" s="841"/>
      <c r="B79" s="842"/>
      <c r="C79" s="842"/>
      <c r="D79" s="498">
        <v>4</v>
      </c>
      <c r="E79" s="68">
        <f t="shared" si="7"/>
        <v>0</v>
      </c>
      <c r="F79" s="579">
        <v>0</v>
      </c>
      <c r="G79" s="579">
        <v>0</v>
      </c>
      <c r="H79" s="579">
        <v>0</v>
      </c>
      <c r="I79" s="579">
        <v>0</v>
      </c>
      <c r="J79" s="579">
        <v>0</v>
      </c>
      <c r="K79" s="579">
        <v>0</v>
      </c>
      <c r="L79" s="579">
        <v>0</v>
      </c>
      <c r="M79" s="579">
        <v>0</v>
      </c>
      <c r="N79" s="579">
        <v>0</v>
      </c>
      <c r="O79" s="579">
        <v>0</v>
      </c>
      <c r="P79" s="579">
        <v>0</v>
      </c>
      <c r="Q79" s="579">
        <v>0</v>
      </c>
      <c r="R79" s="579">
        <v>0</v>
      </c>
      <c r="S79" s="579">
        <v>0</v>
      </c>
      <c r="T79" s="579">
        <v>0</v>
      </c>
      <c r="U79" s="579">
        <v>0</v>
      </c>
      <c r="V79" s="579">
        <v>0</v>
      </c>
      <c r="W79" s="579">
        <v>0</v>
      </c>
      <c r="X79" s="579">
        <v>0</v>
      </c>
      <c r="Y79" s="579">
        <v>0</v>
      </c>
      <c r="Z79" s="579">
        <v>0</v>
      </c>
    </row>
    <row r="80" spans="1:28" outlineLevel="1">
      <c r="A80" s="841"/>
      <c r="B80" s="842"/>
      <c r="C80" s="842"/>
      <c r="D80" s="498">
        <v>5</v>
      </c>
      <c r="E80" s="68">
        <f t="shared" si="7"/>
        <v>0</v>
      </c>
      <c r="F80" s="579">
        <v>0</v>
      </c>
      <c r="G80" s="579">
        <v>0</v>
      </c>
      <c r="H80" s="579">
        <v>0</v>
      </c>
      <c r="I80" s="579">
        <v>0</v>
      </c>
      <c r="J80" s="579">
        <v>0</v>
      </c>
      <c r="K80" s="579">
        <v>0</v>
      </c>
      <c r="L80" s="579">
        <v>0</v>
      </c>
      <c r="M80" s="579">
        <v>0</v>
      </c>
      <c r="N80" s="579">
        <v>0</v>
      </c>
      <c r="O80" s="579">
        <v>0</v>
      </c>
      <c r="P80" s="579">
        <v>0</v>
      </c>
      <c r="Q80" s="579">
        <v>0</v>
      </c>
      <c r="R80" s="579">
        <v>0</v>
      </c>
      <c r="S80" s="579">
        <v>0</v>
      </c>
      <c r="T80" s="579">
        <v>0</v>
      </c>
      <c r="U80" s="579">
        <v>0</v>
      </c>
      <c r="V80" s="579">
        <v>0</v>
      </c>
      <c r="W80" s="579">
        <v>0</v>
      </c>
      <c r="X80" s="579">
        <v>0</v>
      </c>
      <c r="Y80" s="579">
        <v>0</v>
      </c>
      <c r="Z80" s="579">
        <v>0</v>
      </c>
    </row>
    <row r="81" spans="1:26" outlineLevel="1">
      <c r="A81" s="841"/>
      <c r="B81" s="842"/>
      <c r="C81" s="842"/>
      <c r="D81" s="498">
        <v>6</v>
      </c>
      <c r="E81" s="68">
        <f t="shared" si="7"/>
        <v>0</v>
      </c>
      <c r="F81" s="579">
        <v>0</v>
      </c>
      <c r="G81" s="579">
        <v>0</v>
      </c>
      <c r="H81" s="579">
        <v>0</v>
      </c>
      <c r="I81" s="579">
        <v>0</v>
      </c>
      <c r="J81" s="579">
        <v>0</v>
      </c>
      <c r="K81" s="579">
        <v>0</v>
      </c>
      <c r="L81" s="579">
        <v>0</v>
      </c>
      <c r="M81" s="579">
        <v>0</v>
      </c>
      <c r="N81" s="579">
        <v>0</v>
      </c>
      <c r="O81" s="579">
        <v>0</v>
      </c>
      <c r="P81" s="579">
        <v>0</v>
      </c>
      <c r="Q81" s="579">
        <v>0</v>
      </c>
      <c r="R81" s="579">
        <v>0</v>
      </c>
      <c r="S81" s="579">
        <v>0</v>
      </c>
      <c r="T81" s="579">
        <v>0</v>
      </c>
      <c r="U81" s="579">
        <v>0</v>
      </c>
      <c r="V81" s="579">
        <v>0</v>
      </c>
      <c r="W81" s="579">
        <v>0</v>
      </c>
      <c r="X81" s="579">
        <v>0</v>
      </c>
      <c r="Y81" s="579">
        <v>0</v>
      </c>
      <c r="Z81" s="579">
        <v>0</v>
      </c>
    </row>
    <row r="82" spans="1:26" outlineLevel="1">
      <c r="A82" s="841"/>
      <c r="B82" s="842"/>
      <c r="C82" s="842"/>
      <c r="D82" s="498">
        <v>7</v>
      </c>
      <c r="E82" s="68">
        <f t="shared" si="7"/>
        <v>0</v>
      </c>
      <c r="F82" s="579">
        <v>0</v>
      </c>
      <c r="G82" s="579">
        <v>0</v>
      </c>
      <c r="H82" s="579">
        <v>0</v>
      </c>
      <c r="I82" s="579">
        <v>0</v>
      </c>
      <c r="J82" s="579">
        <v>0</v>
      </c>
      <c r="K82" s="579">
        <v>0</v>
      </c>
      <c r="L82" s="579">
        <v>0</v>
      </c>
      <c r="M82" s="579">
        <v>0</v>
      </c>
      <c r="N82" s="579">
        <v>0</v>
      </c>
      <c r="O82" s="579">
        <v>0</v>
      </c>
      <c r="P82" s="579">
        <v>0</v>
      </c>
      <c r="Q82" s="579">
        <v>0</v>
      </c>
      <c r="R82" s="579">
        <v>0</v>
      </c>
      <c r="S82" s="579">
        <v>0</v>
      </c>
      <c r="T82" s="579">
        <v>0</v>
      </c>
      <c r="U82" s="579">
        <v>0</v>
      </c>
      <c r="V82" s="579">
        <v>0</v>
      </c>
      <c r="W82" s="579">
        <v>0</v>
      </c>
      <c r="X82" s="579">
        <v>0</v>
      </c>
      <c r="Y82" s="579">
        <v>0</v>
      </c>
      <c r="Z82" s="579">
        <v>0</v>
      </c>
    </row>
    <row r="83" spans="1:26" outlineLevel="1">
      <c r="A83" s="841"/>
      <c r="B83" s="842"/>
      <c r="C83" s="842"/>
      <c r="D83" s="498">
        <v>8</v>
      </c>
      <c r="E83" s="68">
        <f t="shared" si="7"/>
        <v>0</v>
      </c>
      <c r="F83" s="579">
        <v>0</v>
      </c>
      <c r="G83" s="579">
        <v>0</v>
      </c>
      <c r="H83" s="579">
        <v>0</v>
      </c>
      <c r="I83" s="579">
        <v>0</v>
      </c>
      <c r="J83" s="579">
        <v>0</v>
      </c>
      <c r="K83" s="579">
        <v>0</v>
      </c>
      <c r="L83" s="579">
        <v>0</v>
      </c>
      <c r="M83" s="579">
        <v>0</v>
      </c>
      <c r="N83" s="579">
        <v>0</v>
      </c>
      <c r="O83" s="579">
        <v>0</v>
      </c>
      <c r="P83" s="579">
        <v>0</v>
      </c>
      <c r="Q83" s="579">
        <v>0</v>
      </c>
      <c r="R83" s="579">
        <v>0</v>
      </c>
      <c r="S83" s="579">
        <v>0</v>
      </c>
      <c r="T83" s="579">
        <v>0</v>
      </c>
      <c r="U83" s="579">
        <v>0</v>
      </c>
      <c r="V83" s="579">
        <v>0</v>
      </c>
      <c r="W83" s="579">
        <v>0</v>
      </c>
      <c r="X83" s="579">
        <v>0</v>
      </c>
      <c r="Y83" s="579">
        <v>0</v>
      </c>
      <c r="Z83" s="579">
        <v>0</v>
      </c>
    </row>
    <row r="84" spans="1:26" outlineLevel="1">
      <c r="A84" s="841"/>
      <c r="B84" s="842"/>
      <c r="C84" s="842"/>
      <c r="D84" s="498">
        <v>9</v>
      </c>
      <c r="E84" s="68">
        <f t="shared" si="7"/>
        <v>0</v>
      </c>
      <c r="F84" s="579">
        <v>0</v>
      </c>
      <c r="G84" s="579">
        <v>0</v>
      </c>
      <c r="H84" s="579">
        <v>0</v>
      </c>
      <c r="I84" s="579">
        <v>0</v>
      </c>
      <c r="J84" s="579">
        <v>0</v>
      </c>
      <c r="K84" s="579">
        <v>0</v>
      </c>
      <c r="L84" s="579">
        <v>0</v>
      </c>
      <c r="M84" s="579">
        <v>0</v>
      </c>
      <c r="N84" s="579">
        <v>0</v>
      </c>
      <c r="O84" s="579">
        <v>0</v>
      </c>
      <c r="P84" s="579">
        <v>0</v>
      </c>
      <c r="Q84" s="579">
        <v>0</v>
      </c>
      <c r="R84" s="579">
        <v>0</v>
      </c>
      <c r="S84" s="579">
        <v>0</v>
      </c>
      <c r="T84" s="579">
        <v>0</v>
      </c>
      <c r="U84" s="579">
        <v>0</v>
      </c>
      <c r="V84" s="579">
        <v>0</v>
      </c>
      <c r="W84" s="579">
        <v>0</v>
      </c>
      <c r="X84" s="579">
        <v>0</v>
      </c>
      <c r="Y84" s="579">
        <v>0</v>
      </c>
      <c r="Z84" s="579">
        <v>0</v>
      </c>
    </row>
    <row r="85" spans="1:26" ht="15" outlineLevel="1" thickBot="1">
      <c r="A85" s="841"/>
      <c r="B85" s="842"/>
      <c r="C85" s="842"/>
      <c r="D85" s="499">
        <v>10</v>
      </c>
      <c r="E85" s="69">
        <f t="shared" si="7"/>
        <v>0</v>
      </c>
      <c r="F85" s="579">
        <v>0</v>
      </c>
      <c r="G85" s="579">
        <v>0</v>
      </c>
      <c r="H85" s="579">
        <v>0</v>
      </c>
      <c r="I85" s="579">
        <v>0</v>
      </c>
      <c r="J85" s="579">
        <v>0</v>
      </c>
      <c r="K85" s="579">
        <v>0</v>
      </c>
      <c r="L85" s="579">
        <v>0</v>
      </c>
      <c r="M85" s="579">
        <v>0</v>
      </c>
      <c r="N85" s="579">
        <v>0</v>
      </c>
      <c r="O85" s="579">
        <v>0</v>
      </c>
      <c r="P85" s="579">
        <v>0</v>
      </c>
      <c r="Q85" s="579">
        <v>0</v>
      </c>
      <c r="R85" s="579">
        <v>0</v>
      </c>
      <c r="S85" s="579">
        <v>0</v>
      </c>
      <c r="T85" s="579">
        <v>0</v>
      </c>
      <c r="U85" s="579">
        <v>0</v>
      </c>
      <c r="V85" s="579">
        <v>0</v>
      </c>
      <c r="W85" s="579">
        <v>0</v>
      </c>
      <c r="X85" s="579">
        <v>0</v>
      </c>
      <c r="Y85" s="579">
        <v>0</v>
      </c>
      <c r="Z85" s="579">
        <v>0</v>
      </c>
    </row>
    <row r="86" spans="1:26" outlineLevel="1">
      <c r="A86" s="841" t="s">
        <v>2127</v>
      </c>
      <c r="B86" s="842" t="s">
        <v>2118</v>
      </c>
      <c r="C86" s="842">
        <v>610</v>
      </c>
      <c r="D86" s="497">
        <v>1</v>
      </c>
      <c r="E86" s="68">
        <f t="shared" si="7"/>
        <v>0</v>
      </c>
      <c r="F86" s="578">
        <v>0</v>
      </c>
      <c r="G86" s="578">
        <v>0</v>
      </c>
      <c r="H86" s="578">
        <v>0</v>
      </c>
      <c r="I86" s="578">
        <v>0</v>
      </c>
      <c r="J86" s="578">
        <v>0</v>
      </c>
      <c r="K86" s="578">
        <v>0</v>
      </c>
      <c r="L86" s="578">
        <v>0</v>
      </c>
      <c r="M86" s="578">
        <v>0</v>
      </c>
      <c r="N86" s="578">
        <v>0</v>
      </c>
      <c r="O86" s="578">
        <v>0</v>
      </c>
      <c r="P86" s="578">
        <v>0</v>
      </c>
      <c r="Q86" s="578">
        <v>0</v>
      </c>
      <c r="R86" s="578">
        <v>0</v>
      </c>
      <c r="S86" s="578">
        <v>0</v>
      </c>
      <c r="T86" s="578">
        <v>0</v>
      </c>
      <c r="U86" s="578">
        <v>0</v>
      </c>
      <c r="V86" s="578">
        <v>0</v>
      </c>
      <c r="W86" s="578">
        <v>0</v>
      </c>
      <c r="X86" s="578">
        <v>0</v>
      </c>
      <c r="Y86" s="578">
        <v>0</v>
      </c>
      <c r="Z86" s="578">
        <v>0</v>
      </c>
    </row>
    <row r="87" spans="1:26" outlineLevel="1">
      <c r="A87" s="841"/>
      <c r="B87" s="842"/>
      <c r="C87" s="842"/>
      <c r="D87" s="498">
        <v>2</v>
      </c>
      <c r="E87" s="68">
        <f t="shared" si="7"/>
        <v>0</v>
      </c>
      <c r="F87" s="579">
        <v>0</v>
      </c>
      <c r="G87" s="579">
        <v>0</v>
      </c>
      <c r="H87" s="579">
        <v>0</v>
      </c>
      <c r="I87" s="579">
        <v>0</v>
      </c>
      <c r="J87" s="579">
        <v>0</v>
      </c>
      <c r="K87" s="579">
        <v>0</v>
      </c>
      <c r="L87" s="579">
        <v>0</v>
      </c>
      <c r="M87" s="579">
        <v>0</v>
      </c>
      <c r="N87" s="579">
        <v>0</v>
      </c>
      <c r="O87" s="579">
        <v>0</v>
      </c>
      <c r="P87" s="579">
        <v>0</v>
      </c>
      <c r="Q87" s="579">
        <v>0</v>
      </c>
      <c r="R87" s="579">
        <v>0</v>
      </c>
      <c r="S87" s="579">
        <v>0</v>
      </c>
      <c r="T87" s="579">
        <v>0</v>
      </c>
      <c r="U87" s="579">
        <v>0</v>
      </c>
      <c r="V87" s="579">
        <v>0</v>
      </c>
      <c r="W87" s="579">
        <v>0</v>
      </c>
      <c r="X87" s="579">
        <v>0</v>
      </c>
      <c r="Y87" s="579">
        <v>0</v>
      </c>
      <c r="Z87" s="579">
        <v>0</v>
      </c>
    </row>
    <row r="88" spans="1:26" outlineLevel="1">
      <c r="A88" s="841"/>
      <c r="B88" s="842"/>
      <c r="C88" s="842"/>
      <c r="D88" s="498">
        <v>3</v>
      </c>
      <c r="E88" s="68">
        <f t="shared" si="7"/>
        <v>0</v>
      </c>
      <c r="F88" s="579">
        <v>0</v>
      </c>
      <c r="G88" s="579">
        <v>0</v>
      </c>
      <c r="H88" s="579">
        <v>0</v>
      </c>
      <c r="I88" s="579">
        <v>0</v>
      </c>
      <c r="J88" s="579">
        <v>0</v>
      </c>
      <c r="K88" s="579">
        <v>0</v>
      </c>
      <c r="L88" s="579">
        <v>0</v>
      </c>
      <c r="M88" s="579">
        <v>0</v>
      </c>
      <c r="N88" s="579">
        <v>0</v>
      </c>
      <c r="O88" s="579">
        <v>0</v>
      </c>
      <c r="P88" s="579">
        <v>0</v>
      </c>
      <c r="Q88" s="579">
        <v>0</v>
      </c>
      <c r="R88" s="579">
        <v>0</v>
      </c>
      <c r="S88" s="579">
        <v>0</v>
      </c>
      <c r="T88" s="579">
        <v>0</v>
      </c>
      <c r="U88" s="579">
        <v>0</v>
      </c>
      <c r="V88" s="579">
        <v>0</v>
      </c>
      <c r="W88" s="579">
        <v>0</v>
      </c>
      <c r="X88" s="579">
        <v>0</v>
      </c>
      <c r="Y88" s="579">
        <v>0</v>
      </c>
      <c r="Z88" s="579">
        <v>0</v>
      </c>
    </row>
    <row r="89" spans="1:26" outlineLevel="1">
      <c r="A89" s="841"/>
      <c r="B89" s="842"/>
      <c r="C89" s="842"/>
      <c r="D89" s="498">
        <v>4</v>
      </c>
      <c r="E89" s="68">
        <f t="shared" si="7"/>
        <v>0</v>
      </c>
      <c r="F89" s="579">
        <v>0</v>
      </c>
      <c r="G89" s="579">
        <v>0</v>
      </c>
      <c r="H89" s="579">
        <v>0</v>
      </c>
      <c r="I89" s="579">
        <v>0</v>
      </c>
      <c r="J89" s="579">
        <v>0</v>
      </c>
      <c r="K89" s="579">
        <v>0</v>
      </c>
      <c r="L89" s="579">
        <v>0</v>
      </c>
      <c r="M89" s="579">
        <v>0</v>
      </c>
      <c r="N89" s="579">
        <v>0</v>
      </c>
      <c r="O89" s="579">
        <v>0</v>
      </c>
      <c r="P89" s="579">
        <v>0</v>
      </c>
      <c r="Q89" s="579">
        <v>0</v>
      </c>
      <c r="R89" s="579">
        <v>0</v>
      </c>
      <c r="S89" s="579">
        <v>0</v>
      </c>
      <c r="T89" s="579">
        <v>0</v>
      </c>
      <c r="U89" s="579">
        <v>0</v>
      </c>
      <c r="V89" s="579">
        <v>0</v>
      </c>
      <c r="W89" s="579">
        <v>0</v>
      </c>
      <c r="X89" s="579">
        <v>0</v>
      </c>
      <c r="Y89" s="579">
        <v>0</v>
      </c>
      <c r="Z89" s="579">
        <v>0</v>
      </c>
    </row>
    <row r="90" spans="1:26" outlineLevel="1">
      <c r="A90" s="841"/>
      <c r="B90" s="842"/>
      <c r="C90" s="842"/>
      <c r="D90" s="498">
        <v>5</v>
      </c>
      <c r="E90" s="68">
        <f t="shared" si="7"/>
        <v>0</v>
      </c>
      <c r="F90" s="579">
        <v>0</v>
      </c>
      <c r="G90" s="579">
        <v>0</v>
      </c>
      <c r="H90" s="579">
        <v>0</v>
      </c>
      <c r="I90" s="579">
        <v>0</v>
      </c>
      <c r="J90" s="579">
        <v>0</v>
      </c>
      <c r="K90" s="579">
        <v>0</v>
      </c>
      <c r="L90" s="579">
        <v>0</v>
      </c>
      <c r="M90" s="579">
        <v>0</v>
      </c>
      <c r="N90" s="579">
        <v>0</v>
      </c>
      <c r="O90" s="579">
        <v>0</v>
      </c>
      <c r="P90" s="579">
        <v>0</v>
      </c>
      <c r="Q90" s="579">
        <v>0</v>
      </c>
      <c r="R90" s="579">
        <v>0</v>
      </c>
      <c r="S90" s="579">
        <v>0</v>
      </c>
      <c r="T90" s="579">
        <v>0</v>
      </c>
      <c r="U90" s="579">
        <v>0</v>
      </c>
      <c r="V90" s="579">
        <v>0</v>
      </c>
      <c r="W90" s="579">
        <v>0</v>
      </c>
      <c r="X90" s="579">
        <v>0</v>
      </c>
      <c r="Y90" s="579">
        <v>0</v>
      </c>
      <c r="Z90" s="579">
        <v>0</v>
      </c>
    </row>
    <row r="91" spans="1:26" outlineLevel="1">
      <c r="A91" s="841"/>
      <c r="B91" s="842"/>
      <c r="C91" s="842"/>
      <c r="D91" s="498">
        <v>6</v>
      </c>
      <c r="E91" s="68">
        <f t="shared" si="7"/>
        <v>0</v>
      </c>
      <c r="F91" s="579">
        <v>0</v>
      </c>
      <c r="G91" s="579">
        <v>0</v>
      </c>
      <c r="H91" s="579">
        <v>0</v>
      </c>
      <c r="I91" s="579">
        <v>0</v>
      </c>
      <c r="J91" s="579">
        <v>0</v>
      </c>
      <c r="K91" s="579">
        <v>0</v>
      </c>
      <c r="L91" s="579">
        <v>0</v>
      </c>
      <c r="M91" s="579">
        <v>0</v>
      </c>
      <c r="N91" s="579">
        <v>0</v>
      </c>
      <c r="O91" s="579">
        <v>0</v>
      </c>
      <c r="P91" s="579">
        <v>0</v>
      </c>
      <c r="Q91" s="579">
        <v>0</v>
      </c>
      <c r="R91" s="579">
        <v>0</v>
      </c>
      <c r="S91" s="579">
        <v>0</v>
      </c>
      <c r="T91" s="579">
        <v>0</v>
      </c>
      <c r="U91" s="579">
        <v>0</v>
      </c>
      <c r="V91" s="579">
        <v>0</v>
      </c>
      <c r="W91" s="579">
        <v>0</v>
      </c>
      <c r="X91" s="579">
        <v>0</v>
      </c>
      <c r="Y91" s="579">
        <v>0</v>
      </c>
      <c r="Z91" s="579">
        <v>0</v>
      </c>
    </row>
    <row r="92" spans="1:26" outlineLevel="1">
      <c r="A92" s="841"/>
      <c r="B92" s="842"/>
      <c r="C92" s="842"/>
      <c r="D92" s="498">
        <v>7</v>
      </c>
      <c r="E92" s="68">
        <f t="shared" si="7"/>
        <v>0</v>
      </c>
      <c r="F92" s="579">
        <v>0</v>
      </c>
      <c r="G92" s="579">
        <v>0</v>
      </c>
      <c r="H92" s="579">
        <v>0</v>
      </c>
      <c r="I92" s="579">
        <v>0</v>
      </c>
      <c r="J92" s="579">
        <v>0</v>
      </c>
      <c r="K92" s="579">
        <v>0</v>
      </c>
      <c r="L92" s="579">
        <v>0</v>
      </c>
      <c r="M92" s="579">
        <v>0</v>
      </c>
      <c r="N92" s="579">
        <v>0</v>
      </c>
      <c r="O92" s="579">
        <v>0</v>
      </c>
      <c r="P92" s="579">
        <v>0</v>
      </c>
      <c r="Q92" s="579">
        <v>0</v>
      </c>
      <c r="R92" s="579">
        <v>0</v>
      </c>
      <c r="S92" s="579">
        <v>0</v>
      </c>
      <c r="T92" s="579">
        <v>0</v>
      </c>
      <c r="U92" s="579">
        <v>0</v>
      </c>
      <c r="V92" s="579">
        <v>0</v>
      </c>
      <c r="W92" s="579">
        <v>0</v>
      </c>
      <c r="X92" s="579">
        <v>0</v>
      </c>
      <c r="Y92" s="579">
        <v>0</v>
      </c>
      <c r="Z92" s="579">
        <v>0</v>
      </c>
    </row>
    <row r="93" spans="1:26" outlineLevel="1">
      <c r="A93" s="841"/>
      <c r="B93" s="842"/>
      <c r="C93" s="842"/>
      <c r="D93" s="498">
        <v>8</v>
      </c>
      <c r="E93" s="68">
        <f t="shared" si="7"/>
        <v>0</v>
      </c>
      <c r="F93" s="579">
        <v>0</v>
      </c>
      <c r="G93" s="579">
        <v>0</v>
      </c>
      <c r="H93" s="579">
        <v>0</v>
      </c>
      <c r="I93" s="579">
        <v>0</v>
      </c>
      <c r="J93" s="579">
        <v>0</v>
      </c>
      <c r="K93" s="579">
        <v>0</v>
      </c>
      <c r="L93" s="579">
        <v>0</v>
      </c>
      <c r="M93" s="579">
        <v>0</v>
      </c>
      <c r="N93" s="579">
        <v>0</v>
      </c>
      <c r="O93" s="579">
        <v>0</v>
      </c>
      <c r="P93" s="579">
        <v>0</v>
      </c>
      <c r="Q93" s="579">
        <v>0</v>
      </c>
      <c r="R93" s="579">
        <v>0</v>
      </c>
      <c r="S93" s="579">
        <v>0</v>
      </c>
      <c r="T93" s="579">
        <v>0</v>
      </c>
      <c r="U93" s="579">
        <v>0</v>
      </c>
      <c r="V93" s="579">
        <v>0</v>
      </c>
      <c r="W93" s="579">
        <v>0</v>
      </c>
      <c r="X93" s="579">
        <v>0</v>
      </c>
      <c r="Y93" s="579">
        <v>0</v>
      </c>
      <c r="Z93" s="579">
        <v>0</v>
      </c>
    </row>
    <row r="94" spans="1:26" outlineLevel="1">
      <c r="A94" s="841"/>
      <c r="B94" s="842"/>
      <c r="C94" s="842"/>
      <c r="D94" s="498">
        <v>9</v>
      </c>
      <c r="E94" s="68">
        <f t="shared" si="7"/>
        <v>0</v>
      </c>
      <c r="F94" s="579">
        <v>0</v>
      </c>
      <c r="G94" s="579">
        <v>0</v>
      </c>
      <c r="H94" s="579">
        <v>0</v>
      </c>
      <c r="I94" s="579">
        <v>0</v>
      </c>
      <c r="J94" s="579">
        <v>0</v>
      </c>
      <c r="K94" s="579">
        <v>0</v>
      </c>
      <c r="L94" s="579">
        <v>0</v>
      </c>
      <c r="M94" s="579">
        <v>0</v>
      </c>
      <c r="N94" s="579">
        <v>0</v>
      </c>
      <c r="O94" s="579">
        <v>0</v>
      </c>
      <c r="P94" s="579">
        <v>0</v>
      </c>
      <c r="Q94" s="579">
        <v>0</v>
      </c>
      <c r="R94" s="579">
        <v>0</v>
      </c>
      <c r="S94" s="579">
        <v>0</v>
      </c>
      <c r="T94" s="579">
        <v>0</v>
      </c>
      <c r="U94" s="579">
        <v>0</v>
      </c>
      <c r="V94" s="579">
        <v>0</v>
      </c>
      <c r="W94" s="579">
        <v>0</v>
      </c>
      <c r="X94" s="579">
        <v>0</v>
      </c>
      <c r="Y94" s="579">
        <v>0</v>
      </c>
      <c r="Z94" s="579">
        <v>0</v>
      </c>
    </row>
    <row r="95" spans="1:26" ht="15" outlineLevel="1" thickBot="1">
      <c r="A95" s="841"/>
      <c r="B95" s="842"/>
      <c r="C95" s="842"/>
      <c r="D95" s="499">
        <v>10</v>
      </c>
      <c r="E95" s="69">
        <f t="shared" si="7"/>
        <v>0</v>
      </c>
      <c r="F95" s="583">
        <v>0</v>
      </c>
      <c r="G95" s="583">
        <v>0</v>
      </c>
      <c r="H95" s="583">
        <v>0</v>
      </c>
      <c r="I95" s="583">
        <v>0</v>
      </c>
      <c r="J95" s="583">
        <v>0</v>
      </c>
      <c r="K95" s="583">
        <v>0</v>
      </c>
      <c r="L95" s="583">
        <v>0</v>
      </c>
      <c r="M95" s="583">
        <v>0</v>
      </c>
      <c r="N95" s="583">
        <v>0</v>
      </c>
      <c r="O95" s="583">
        <v>0</v>
      </c>
      <c r="P95" s="583">
        <v>0</v>
      </c>
      <c r="Q95" s="583">
        <v>0</v>
      </c>
      <c r="R95" s="583">
        <v>0</v>
      </c>
      <c r="S95" s="583">
        <v>0</v>
      </c>
      <c r="T95" s="583">
        <v>0</v>
      </c>
      <c r="U95" s="583">
        <v>0</v>
      </c>
      <c r="V95" s="583">
        <v>0</v>
      </c>
      <c r="W95" s="583">
        <v>0</v>
      </c>
      <c r="X95" s="583">
        <v>0</v>
      </c>
      <c r="Y95" s="583">
        <v>0</v>
      </c>
      <c r="Z95" s="583">
        <v>0</v>
      </c>
    </row>
    <row r="96" spans="1:26" outlineLevel="1">
      <c r="A96" s="841" t="s">
        <v>2128</v>
      </c>
      <c r="B96" s="842" t="s">
        <v>2120</v>
      </c>
      <c r="C96" s="842">
        <v>637040</v>
      </c>
      <c r="D96" s="497">
        <v>1</v>
      </c>
      <c r="E96" s="68">
        <f t="shared" si="7"/>
        <v>0</v>
      </c>
      <c r="F96" s="578">
        <v>0</v>
      </c>
      <c r="G96" s="578">
        <v>0</v>
      </c>
      <c r="H96" s="578">
        <v>0</v>
      </c>
      <c r="I96" s="578">
        <v>0</v>
      </c>
      <c r="J96" s="578">
        <v>0</v>
      </c>
      <c r="K96" s="578">
        <v>0</v>
      </c>
      <c r="L96" s="578">
        <v>0</v>
      </c>
      <c r="M96" s="578">
        <v>0</v>
      </c>
      <c r="N96" s="578">
        <v>0</v>
      </c>
      <c r="O96" s="578">
        <v>0</v>
      </c>
      <c r="P96" s="578">
        <v>0</v>
      </c>
      <c r="Q96" s="578">
        <v>0</v>
      </c>
      <c r="R96" s="578">
        <v>0</v>
      </c>
      <c r="S96" s="578">
        <v>0</v>
      </c>
      <c r="T96" s="578">
        <v>0</v>
      </c>
      <c r="U96" s="578">
        <v>0</v>
      </c>
      <c r="V96" s="578">
        <v>0</v>
      </c>
      <c r="W96" s="578">
        <v>0</v>
      </c>
      <c r="X96" s="578">
        <v>0</v>
      </c>
      <c r="Y96" s="578">
        <v>0</v>
      </c>
      <c r="Z96" s="578">
        <v>0</v>
      </c>
    </row>
    <row r="97" spans="1:26" outlineLevel="1">
      <c r="A97" s="841"/>
      <c r="B97" s="842"/>
      <c r="C97" s="842"/>
      <c r="D97" s="498">
        <v>2</v>
      </c>
      <c r="E97" s="68">
        <f t="shared" si="7"/>
        <v>0</v>
      </c>
      <c r="F97" s="579">
        <v>0</v>
      </c>
      <c r="G97" s="579">
        <v>0</v>
      </c>
      <c r="H97" s="579">
        <v>0</v>
      </c>
      <c r="I97" s="579">
        <v>0</v>
      </c>
      <c r="J97" s="579">
        <v>0</v>
      </c>
      <c r="K97" s="579">
        <v>0</v>
      </c>
      <c r="L97" s="579">
        <v>0</v>
      </c>
      <c r="M97" s="579">
        <v>0</v>
      </c>
      <c r="N97" s="579">
        <v>0</v>
      </c>
      <c r="O97" s="579">
        <v>0</v>
      </c>
      <c r="P97" s="579">
        <v>0</v>
      </c>
      <c r="Q97" s="579">
        <v>0</v>
      </c>
      <c r="R97" s="579">
        <v>0</v>
      </c>
      <c r="S97" s="579">
        <v>0</v>
      </c>
      <c r="T97" s="579">
        <v>0</v>
      </c>
      <c r="U97" s="579">
        <v>0</v>
      </c>
      <c r="V97" s="579">
        <v>0</v>
      </c>
      <c r="W97" s="579">
        <v>0</v>
      </c>
      <c r="X97" s="579">
        <v>0</v>
      </c>
      <c r="Y97" s="579">
        <v>0</v>
      </c>
      <c r="Z97" s="579">
        <v>0</v>
      </c>
    </row>
    <row r="98" spans="1:26" outlineLevel="1">
      <c r="A98" s="841"/>
      <c r="B98" s="842"/>
      <c r="C98" s="842"/>
      <c r="D98" s="498">
        <v>3</v>
      </c>
      <c r="E98" s="68">
        <f t="shared" si="7"/>
        <v>0</v>
      </c>
      <c r="F98" s="579">
        <v>0</v>
      </c>
      <c r="G98" s="579">
        <v>0</v>
      </c>
      <c r="H98" s="579">
        <v>0</v>
      </c>
      <c r="I98" s="579">
        <v>0</v>
      </c>
      <c r="J98" s="579">
        <v>0</v>
      </c>
      <c r="K98" s="579">
        <v>0</v>
      </c>
      <c r="L98" s="579">
        <v>0</v>
      </c>
      <c r="M98" s="579">
        <v>0</v>
      </c>
      <c r="N98" s="579">
        <v>0</v>
      </c>
      <c r="O98" s="579">
        <v>0</v>
      </c>
      <c r="P98" s="579">
        <v>0</v>
      </c>
      <c r="Q98" s="579">
        <v>0</v>
      </c>
      <c r="R98" s="579">
        <v>0</v>
      </c>
      <c r="S98" s="579">
        <v>0</v>
      </c>
      <c r="T98" s="579">
        <v>0</v>
      </c>
      <c r="U98" s="579">
        <v>0</v>
      </c>
      <c r="V98" s="579">
        <v>0</v>
      </c>
      <c r="W98" s="579">
        <v>0</v>
      </c>
      <c r="X98" s="579">
        <v>0</v>
      </c>
      <c r="Y98" s="579">
        <v>0</v>
      </c>
      <c r="Z98" s="579">
        <v>0</v>
      </c>
    </row>
    <row r="99" spans="1:26" outlineLevel="1">
      <c r="A99" s="841"/>
      <c r="B99" s="842"/>
      <c r="C99" s="842"/>
      <c r="D99" s="498">
        <v>4</v>
      </c>
      <c r="E99" s="68">
        <f t="shared" si="7"/>
        <v>0</v>
      </c>
      <c r="F99" s="579">
        <v>0</v>
      </c>
      <c r="G99" s="579">
        <v>0</v>
      </c>
      <c r="H99" s="579">
        <v>0</v>
      </c>
      <c r="I99" s="579">
        <v>0</v>
      </c>
      <c r="J99" s="579">
        <v>0</v>
      </c>
      <c r="K99" s="579">
        <v>0</v>
      </c>
      <c r="L99" s="579">
        <v>0</v>
      </c>
      <c r="M99" s="579">
        <v>0</v>
      </c>
      <c r="N99" s="579">
        <v>0</v>
      </c>
      <c r="O99" s="579">
        <v>0</v>
      </c>
      <c r="P99" s="579">
        <v>0</v>
      </c>
      <c r="Q99" s="579">
        <v>0</v>
      </c>
      <c r="R99" s="579">
        <v>0</v>
      </c>
      <c r="S99" s="579">
        <v>0</v>
      </c>
      <c r="T99" s="579">
        <v>0</v>
      </c>
      <c r="U99" s="579">
        <v>0</v>
      </c>
      <c r="V99" s="579">
        <v>0</v>
      </c>
      <c r="W99" s="579">
        <v>0</v>
      </c>
      <c r="X99" s="579">
        <v>0</v>
      </c>
      <c r="Y99" s="579">
        <v>0</v>
      </c>
      <c r="Z99" s="579">
        <v>0</v>
      </c>
    </row>
    <row r="100" spans="1:26" outlineLevel="1">
      <c r="A100" s="841"/>
      <c r="B100" s="842"/>
      <c r="C100" s="842"/>
      <c r="D100" s="498">
        <v>5</v>
      </c>
      <c r="E100" s="68">
        <f t="shared" si="7"/>
        <v>0</v>
      </c>
      <c r="F100" s="579">
        <v>0</v>
      </c>
      <c r="G100" s="579">
        <v>0</v>
      </c>
      <c r="H100" s="579">
        <v>0</v>
      </c>
      <c r="I100" s="579">
        <v>0</v>
      </c>
      <c r="J100" s="579">
        <v>0</v>
      </c>
      <c r="K100" s="579">
        <v>0</v>
      </c>
      <c r="L100" s="579">
        <v>0</v>
      </c>
      <c r="M100" s="579">
        <v>0</v>
      </c>
      <c r="N100" s="579">
        <v>0</v>
      </c>
      <c r="O100" s="579">
        <v>0</v>
      </c>
      <c r="P100" s="579">
        <v>0</v>
      </c>
      <c r="Q100" s="579">
        <v>0</v>
      </c>
      <c r="R100" s="579">
        <v>0</v>
      </c>
      <c r="S100" s="579">
        <v>0</v>
      </c>
      <c r="T100" s="579">
        <v>0</v>
      </c>
      <c r="U100" s="579">
        <v>0</v>
      </c>
      <c r="V100" s="579">
        <v>0</v>
      </c>
      <c r="W100" s="579">
        <v>0</v>
      </c>
      <c r="X100" s="579">
        <v>0</v>
      </c>
      <c r="Y100" s="579">
        <v>0</v>
      </c>
      <c r="Z100" s="579">
        <v>0</v>
      </c>
    </row>
    <row r="101" spans="1:26" outlineLevel="1">
      <c r="A101" s="841"/>
      <c r="B101" s="842"/>
      <c r="C101" s="842"/>
      <c r="D101" s="498">
        <v>6</v>
      </c>
      <c r="E101" s="68">
        <f t="shared" si="7"/>
        <v>0</v>
      </c>
      <c r="F101" s="579">
        <v>0</v>
      </c>
      <c r="G101" s="579">
        <v>0</v>
      </c>
      <c r="H101" s="579">
        <v>0</v>
      </c>
      <c r="I101" s="579">
        <v>0</v>
      </c>
      <c r="J101" s="579">
        <v>0</v>
      </c>
      <c r="K101" s="579">
        <v>0</v>
      </c>
      <c r="L101" s="579">
        <v>0</v>
      </c>
      <c r="M101" s="579">
        <v>0</v>
      </c>
      <c r="N101" s="579">
        <v>0</v>
      </c>
      <c r="O101" s="579">
        <v>0</v>
      </c>
      <c r="P101" s="579">
        <v>0</v>
      </c>
      <c r="Q101" s="579">
        <v>0</v>
      </c>
      <c r="R101" s="579">
        <v>0</v>
      </c>
      <c r="S101" s="579">
        <v>0</v>
      </c>
      <c r="T101" s="579">
        <v>0</v>
      </c>
      <c r="U101" s="579">
        <v>0</v>
      </c>
      <c r="V101" s="579">
        <v>0</v>
      </c>
      <c r="W101" s="579">
        <v>0</v>
      </c>
      <c r="X101" s="579">
        <v>0</v>
      </c>
      <c r="Y101" s="579">
        <v>0</v>
      </c>
      <c r="Z101" s="579">
        <v>0</v>
      </c>
    </row>
    <row r="102" spans="1:26" outlineLevel="1">
      <c r="A102" s="841"/>
      <c r="B102" s="842"/>
      <c r="C102" s="842"/>
      <c r="D102" s="498">
        <v>7</v>
      </c>
      <c r="E102" s="68">
        <f t="shared" si="7"/>
        <v>0</v>
      </c>
      <c r="F102" s="579">
        <v>0</v>
      </c>
      <c r="G102" s="579">
        <v>0</v>
      </c>
      <c r="H102" s="579">
        <v>0</v>
      </c>
      <c r="I102" s="579">
        <v>0</v>
      </c>
      <c r="J102" s="579">
        <v>0</v>
      </c>
      <c r="K102" s="579">
        <v>0</v>
      </c>
      <c r="L102" s="579">
        <v>0</v>
      </c>
      <c r="M102" s="579">
        <v>0</v>
      </c>
      <c r="N102" s="579">
        <v>0</v>
      </c>
      <c r="O102" s="579">
        <v>0</v>
      </c>
      <c r="P102" s="579">
        <v>0</v>
      </c>
      <c r="Q102" s="579">
        <v>0</v>
      </c>
      <c r="R102" s="579">
        <v>0</v>
      </c>
      <c r="S102" s="579">
        <v>0</v>
      </c>
      <c r="T102" s="579">
        <v>0</v>
      </c>
      <c r="U102" s="579">
        <v>0</v>
      </c>
      <c r="V102" s="579">
        <v>0</v>
      </c>
      <c r="W102" s="579">
        <v>0</v>
      </c>
      <c r="X102" s="579">
        <v>0</v>
      </c>
      <c r="Y102" s="579">
        <v>0</v>
      </c>
      <c r="Z102" s="579">
        <v>0</v>
      </c>
    </row>
    <row r="103" spans="1:26" outlineLevel="1">
      <c r="A103" s="841"/>
      <c r="B103" s="842"/>
      <c r="C103" s="842"/>
      <c r="D103" s="498">
        <v>8</v>
      </c>
      <c r="E103" s="68">
        <f t="shared" si="7"/>
        <v>0</v>
      </c>
      <c r="F103" s="579">
        <v>0</v>
      </c>
      <c r="G103" s="579">
        <v>0</v>
      </c>
      <c r="H103" s="579">
        <v>0</v>
      </c>
      <c r="I103" s="579">
        <v>0</v>
      </c>
      <c r="J103" s="579">
        <v>0</v>
      </c>
      <c r="K103" s="579">
        <v>0</v>
      </c>
      <c r="L103" s="579">
        <v>0</v>
      </c>
      <c r="M103" s="579">
        <v>0</v>
      </c>
      <c r="N103" s="579">
        <v>0</v>
      </c>
      <c r="O103" s="579">
        <v>0</v>
      </c>
      <c r="P103" s="579">
        <v>0</v>
      </c>
      <c r="Q103" s="579">
        <v>0</v>
      </c>
      <c r="R103" s="579">
        <v>0</v>
      </c>
      <c r="S103" s="579">
        <v>0</v>
      </c>
      <c r="T103" s="579">
        <v>0</v>
      </c>
      <c r="U103" s="579">
        <v>0</v>
      </c>
      <c r="V103" s="579">
        <v>0</v>
      </c>
      <c r="W103" s="579">
        <v>0</v>
      </c>
      <c r="X103" s="579">
        <v>0</v>
      </c>
      <c r="Y103" s="579">
        <v>0</v>
      </c>
      <c r="Z103" s="579">
        <v>0</v>
      </c>
    </row>
    <row r="104" spans="1:26" outlineLevel="1">
      <c r="A104" s="841"/>
      <c r="B104" s="842"/>
      <c r="C104" s="842"/>
      <c r="D104" s="498">
        <v>9</v>
      </c>
      <c r="E104" s="68">
        <f t="shared" si="7"/>
        <v>0</v>
      </c>
      <c r="F104" s="579">
        <v>0</v>
      </c>
      <c r="G104" s="579">
        <v>0</v>
      </c>
      <c r="H104" s="579">
        <v>0</v>
      </c>
      <c r="I104" s="579">
        <v>0</v>
      </c>
      <c r="J104" s="579">
        <v>0</v>
      </c>
      <c r="K104" s="579">
        <v>0</v>
      </c>
      <c r="L104" s="579">
        <v>0</v>
      </c>
      <c r="M104" s="579">
        <v>0</v>
      </c>
      <c r="N104" s="579">
        <v>0</v>
      </c>
      <c r="O104" s="579">
        <v>0</v>
      </c>
      <c r="P104" s="579">
        <v>0</v>
      </c>
      <c r="Q104" s="579">
        <v>0</v>
      </c>
      <c r="R104" s="579">
        <v>0</v>
      </c>
      <c r="S104" s="579">
        <v>0</v>
      </c>
      <c r="T104" s="579">
        <v>0</v>
      </c>
      <c r="U104" s="579">
        <v>0</v>
      </c>
      <c r="V104" s="579">
        <v>0</v>
      </c>
      <c r="W104" s="579">
        <v>0</v>
      </c>
      <c r="X104" s="579">
        <v>0</v>
      </c>
      <c r="Y104" s="579">
        <v>0</v>
      </c>
      <c r="Z104" s="579">
        <v>0</v>
      </c>
    </row>
    <row r="105" spans="1:26" ht="15" outlineLevel="1" thickBot="1">
      <c r="A105" s="841"/>
      <c r="B105" s="842"/>
      <c r="C105" s="842"/>
      <c r="D105" s="499">
        <v>10</v>
      </c>
      <c r="E105" s="69">
        <f t="shared" si="7"/>
        <v>0</v>
      </c>
      <c r="F105" s="583">
        <v>0</v>
      </c>
      <c r="G105" s="583">
        <v>0</v>
      </c>
      <c r="H105" s="583">
        <v>0</v>
      </c>
      <c r="I105" s="583">
        <v>0</v>
      </c>
      <c r="J105" s="583">
        <v>0</v>
      </c>
      <c r="K105" s="583">
        <v>0</v>
      </c>
      <c r="L105" s="583">
        <v>0</v>
      </c>
      <c r="M105" s="583">
        <v>0</v>
      </c>
      <c r="N105" s="583">
        <v>0</v>
      </c>
      <c r="O105" s="583">
        <v>0</v>
      </c>
      <c r="P105" s="583">
        <v>0</v>
      </c>
      <c r="Q105" s="583">
        <v>0</v>
      </c>
      <c r="R105" s="583">
        <v>0</v>
      </c>
      <c r="S105" s="583">
        <v>0</v>
      </c>
      <c r="T105" s="583">
        <v>0</v>
      </c>
      <c r="U105" s="583">
        <v>0</v>
      </c>
      <c r="V105" s="583">
        <v>0</v>
      </c>
      <c r="W105" s="583">
        <v>0</v>
      </c>
      <c r="X105" s="583">
        <v>0</v>
      </c>
      <c r="Y105" s="583">
        <v>0</v>
      </c>
      <c r="Z105" s="583">
        <v>0</v>
      </c>
    </row>
  </sheetData>
  <mergeCells count="35">
    <mergeCell ref="F1:Z1"/>
    <mergeCell ref="B5:B14"/>
    <mergeCell ref="C5:C14"/>
    <mergeCell ref="A15:A24"/>
    <mergeCell ref="B15:B24"/>
    <mergeCell ref="C15:C24"/>
    <mergeCell ref="A1:D1"/>
    <mergeCell ref="A2:D2"/>
    <mergeCell ref="A96:A105"/>
    <mergeCell ref="B96:B105"/>
    <mergeCell ref="C96:C105"/>
    <mergeCell ref="A66:A75"/>
    <mergeCell ref="B66:B75"/>
    <mergeCell ref="C66:C75"/>
    <mergeCell ref="A76:A85"/>
    <mergeCell ref="B76:B85"/>
    <mergeCell ref="C76:C85"/>
    <mergeCell ref="A86:A95"/>
    <mergeCell ref="B86:B95"/>
    <mergeCell ref="C86:C95"/>
    <mergeCell ref="A56:A65"/>
    <mergeCell ref="B56:B65"/>
    <mergeCell ref="C56:C65"/>
    <mergeCell ref="A4:C4"/>
    <mergeCell ref="A45:A54"/>
    <mergeCell ref="B45:B54"/>
    <mergeCell ref="C45:C54"/>
    <mergeCell ref="A55:C55"/>
    <mergeCell ref="A5:A14"/>
    <mergeCell ref="A25:A34"/>
    <mergeCell ref="B25:B34"/>
    <mergeCell ref="C25:C34"/>
    <mergeCell ref="A35:A44"/>
    <mergeCell ref="B35:B44"/>
    <mergeCell ref="C35:C44"/>
  </mergeCells>
  <conditionalFormatting sqref="F2:Z2">
    <cfRule type="cellIs" dxfId="0" priority="1" operator="equal">
      <formula>0</formula>
    </cfRule>
  </conditionalFormatting>
  <pageMargins left="0.7" right="0.7" top="0.75" bottom="0.75" header="0.3" footer="0.3"/>
  <pageSetup paperSize="9" scale="39" orientation="portrait" r:id="rId1"/>
  <ignoredErrors>
    <ignoredError sqref="E55" formula="1"/>
  </ignoredError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Hárok17">
    <tabColor rgb="FFFFFF00"/>
  </sheetPr>
  <dimension ref="A1:D14"/>
  <sheetViews>
    <sheetView zoomScale="108" zoomScaleNormal="80" workbookViewId="0">
      <pane ySplit="1" topLeftCell="A2" activePane="bottomLeft" state="frozen"/>
      <selection activeCell="H74" sqref="H74"/>
      <selection pane="bottomLeft" activeCell="E7" sqref="E7"/>
    </sheetView>
  </sheetViews>
  <sheetFormatPr defaultColWidth="8.81640625" defaultRowHeight="14.5"/>
  <cols>
    <col min="1" max="1" width="32.26953125" style="4" customWidth="1"/>
    <col min="2" max="2" width="66.7265625" style="4" customWidth="1"/>
    <col min="3" max="3" width="14.26953125" style="6" customWidth="1"/>
    <col min="4" max="4" width="23.453125" style="4" customWidth="1"/>
    <col min="5" max="16384" width="8.81640625" style="4"/>
  </cols>
  <sheetData>
    <row r="1" spans="1:4" ht="15.5" thickTop="1" thickBot="1">
      <c r="A1" s="1" t="s">
        <v>2106</v>
      </c>
      <c r="B1" s="2" t="s">
        <v>2145</v>
      </c>
      <c r="C1" s="5" t="s">
        <v>209</v>
      </c>
      <c r="D1" s="3" t="s">
        <v>283</v>
      </c>
    </row>
    <row r="2" spans="1:4" ht="113" thickTop="1" thickBot="1">
      <c r="A2" s="324" t="s">
        <v>2146</v>
      </c>
      <c r="B2" s="325" t="s">
        <v>2147</v>
      </c>
      <c r="C2" s="326" t="s">
        <v>2148</v>
      </c>
      <c r="D2" s="150">
        <v>10</v>
      </c>
    </row>
    <row r="3" spans="1:4" ht="41.5" customHeight="1">
      <c r="A3" s="866" t="s">
        <v>2149</v>
      </c>
      <c r="B3" s="877" t="s">
        <v>2150</v>
      </c>
      <c r="C3" s="879" t="s">
        <v>2151</v>
      </c>
      <c r="D3" s="868">
        <v>0.04</v>
      </c>
    </row>
    <row r="4" spans="1:4" ht="44.5" customHeight="1" thickBot="1">
      <c r="A4" s="867"/>
      <c r="B4" s="878"/>
      <c r="C4" s="880"/>
      <c r="D4" s="869"/>
    </row>
    <row r="5" spans="1:4" ht="28">
      <c r="A5" s="866" t="s">
        <v>2152</v>
      </c>
      <c r="B5" s="327" t="s">
        <v>2153</v>
      </c>
      <c r="C5" s="879" t="s">
        <v>2151</v>
      </c>
      <c r="D5" s="870">
        <v>0.05</v>
      </c>
    </row>
    <row r="6" spans="1:4" ht="42.5" thickBot="1">
      <c r="A6" s="867"/>
      <c r="B6" s="325" t="s">
        <v>2154</v>
      </c>
      <c r="C6" s="880"/>
      <c r="D6" s="871"/>
    </row>
    <row r="7" spans="1:4" ht="28.5" thickBot="1">
      <c r="A7" s="328" t="s">
        <v>2155</v>
      </c>
      <c r="B7" s="329" t="s">
        <v>2156</v>
      </c>
      <c r="C7" s="330" t="s">
        <v>214</v>
      </c>
      <c r="D7" s="591">
        <v>2105</v>
      </c>
    </row>
    <row r="8" spans="1:4" ht="15" customHeight="1">
      <c r="A8" s="872" t="s">
        <v>2157</v>
      </c>
      <c r="B8" s="862" t="s">
        <v>2158</v>
      </c>
      <c r="C8" s="881" t="s">
        <v>2159</v>
      </c>
      <c r="D8" s="874">
        <f>$D$7*1.352/(D12/12)</f>
        <v>17.379908396946565</v>
      </c>
    </row>
    <row r="9" spans="1:4" ht="15" thickBot="1">
      <c r="A9" s="873"/>
      <c r="B9" s="876"/>
      <c r="C9" s="882"/>
      <c r="D9" s="875"/>
    </row>
    <row r="10" spans="1:4" ht="15" customHeight="1">
      <c r="A10" s="860" t="s">
        <v>2160</v>
      </c>
      <c r="B10" s="862" t="s">
        <v>2161</v>
      </c>
      <c r="C10" s="858" t="s">
        <v>2159</v>
      </c>
      <c r="D10" s="864">
        <v>8.73</v>
      </c>
    </row>
    <row r="11" spans="1:4" ht="20.25" customHeight="1" thickBot="1">
      <c r="A11" s="861"/>
      <c r="B11" s="863"/>
      <c r="C11" s="859"/>
      <c r="D11" s="865"/>
    </row>
    <row r="12" spans="1:4" ht="72" customHeight="1" thickBot="1">
      <c r="A12" s="331" t="s">
        <v>2162</v>
      </c>
      <c r="B12" s="329" t="s">
        <v>2163</v>
      </c>
      <c r="C12" s="332" t="s">
        <v>2164</v>
      </c>
      <c r="D12" s="592">
        <v>1965</v>
      </c>
    </row>
    <row r="13" spans="1:4" ht="72" customHeight="1" thickBot="1">
      <c r="A13" s="331" t="s">
        <v>2165</v>
      </c>
      <c r="B13" s="329" t="s">
        <v>2166</v>
      </c>
      <c r="C13" s="332" t="s">
        <v>2164</v>
      </c>
      <c r="D13" s="593">
        <v>2096</v>
      </c>
    </row>
    <row r="14" spans="1:4" ht="21" customHeight="1" thickBot="1">
      <c r="A14" s="331" t="s">
        <v>166</v>
      </c>
      <c r="B14" s="331" t="s">
        <v>2167</v>
      </c>
      <c r="C14" s="332" t="s">
        <v>2148</v>
      </c>
      <c r="D14" s="594">
        <v>2026</v>
      </c>
    </row>
  </sheetData>
  <mergeCells count="15">
    <mergeCell ref="C10:C11"/>
    <mergeCell ref="A10:A11"/>
    <mergeCell ref="B10:B11"/>
    <mergeCell ref="D10:D11"/>
    <mergeCell ref="A3:A4"/>
    <mergeCell ref="D3:D4"/>
    <mergeCell ref="A5:A6"/>
    <mergeCell ref="D5:D6"/>
    <mergeCell ref="A8:A9"/>
    <mergeCell ref="D8:D9"/>
    <mergeCell ref="B8:B9"/>
    <mergeCell ref="B3:B4"/>
    <mergeCell ref="C3:C4"/>
    <mergeCell ref="C8:C9"/>
    <mergeCell ref="C5:C6"/>
  </mergeCells>
  <pageMargins left="0.7" right="0.7" top="0.75" bottom="0.75" header="0.3" footer="0.3"/>
  <pageSetup paperSize="9" scale="63"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árok3">
    <tabColor theme="0" tint="-0.34998626667073579"/>
  </sheetPr>
  <dimension ref="A1:BA27"/>
  <sheetViews>
    <sheetView zoomScale="90" zoomScaleNormal="90" workbookViewId="0">
      <pane ySplit="3" topLeftCell="A4" activePane="bottomLeft" state="frozen"/>
      <selection pane="bottomLeft" activeCell="B5" sqref="B5"/>
    </sheetView>
  </sheetViews>
  <sheetFormatPr defaultColWidth="9.1796875" defaultRowHeight="14.5"/>
  <cols>
    <col min="3" max="3" width="32.26953125" customWidth="1"/>
    <col min="4" max="4" width="14.453125" bestFit="1" customWidth="1"/>
    <col min="5" max="25" width="13.7265625" customWidth="1"/>
    <col min="31" max="31" width="32" customWidth="1"/>
    <col min="32" max="32" width="17.453125" bestFit="1" customWidth="1"/>
    <col min="33" max="37" width="16.453125" customWidth="1"/>
    <col min="38" max="53" width="13" customWidth="1"/>
  </cols>
  <sheetData>
    <row r="1" spans="1:53" ht="21.75" customHeight="1">
      <c r="A1" s="469" t="s">
        <v>97</v>
      </c>
      <c r="B1" s="469"/>
      <c r="C1" s="469"/>
      <c r="D1" s="469"/>
      <c r="E1" s="469"/>
      <c r="F1" s="469"/>
      <c r="G1" s="469"/>
      <c r="H1" s="469"/>
      <c r="I1" s="469"/>
      <c r="J1" s="469"/>
      <c r="K1" s="469"/>
      <c r="L1" s="469"/>
      <c r="M1" s="469"/>
      <c r="N1" s="469"/>
      <c r="O1" s="469"/>
      <c r="P1" s="469"/>
      <c r="Q1" s="469"/>
      <c r="R1" s="469"/>
      <c r="S1" s="469"/>
      <c r="T1" s="469"/>
      <c r="U1" s="469"/>
      <c r="V1" s="469"/>
      <c r="W1" s="469"/>
      <c r="X1" s="469"/>
      <c r="Y1" s="469"/>
      <c r="AC1" s="469" t="s">
        <v>98</v>
      </c>
      <c r="AD1" s="469"/>
      <c r="AE1" s="469"/>
      <c r="AF1" s="469"/>
      <c r="AG1" s="469"/>
      <c r="AH1" s="469"/>
      <c r="AI1" s="469"/>
      <c r="AJ1" s="469"/>
      <c r="AK1" s="469"/>
      <c r="AL1" s="469"/>
      <c r="AM1" s="469"/>
      <c r="AN1" s="469"/>
      <c r="AO1" s="469"/>
      <c r="AP1" s="469"/>
      <c r="AQ1" s="469"/>
      <c r="AR1" s="469"/>
      <c r="AS1" s="469"/>
      <c r="AT1" s="469"/>
      <c r="AU1" s="469"/>
      <c r="AV1" s="469"/>
      <c r="AW1" s="469"/>
      <c r="AX1" s="469"/>
      <c r="AY1" s="469"/>
      <c r="AZ1" s="469"/>
      <c r="BA1" s="469"/>
    </row>
    <row r="2" spans="1:53" ht="87">
      <c r="A2" s="726"/>
      <c r="B2" s="726"/>
      <c r="C2" s="726"/>
      <c r="D2" s="454" t="s">
        <v>99</v>
      </c>
      <c r="E2" s="468" t="str">
        <f>MODULY_CBA!$B3</f>
        <v>Grafické rozhranie agendového systému -  správa podaní a konaní</v>
      </c>
      <c r="F2" s="468" t="str">
        <f>MODULY_CBA!$B4</f>
        <v>Grafické rozhranie agendového systému - poskytovanie udajov a platby</v>
      </c>
      <c r="G2" s="468" t="str">
        <f>MODULY_CBA!$B5</f>
        <v>Grafické rozhranie agendového systému - správa údajov katastra</v>
      </c>
      <c r="H2" s="468" t="str">
        <f>MODULY_CBA!$B6</f>
        <v>Integračné služby - poskytovanie udajov a platby</v>
      </c>
      <c r="I2" s="468" t="str">
        <f>MODULY_CBA!$B7</f>
        <v xml:space="preserve">Integračné služby - správa podaní a konaní </v>
      </c>
      <c r="J2" s="468" t="str">
        <f>MODULY_CBA!$B8</f>
        <v>Integračné služby - správa údajov katastra</v>
      </c>
      <c r="K2" s="468" t="str">
        <f>MODULY_CBA!$B9</f>
        <v xml:space="preserve">Registratúrne stredisko - Platby </v>
      </c>
      <c r="L2" s="468" t="str">
        <f>MODULY_CBA!$B10</f>
        <v>Registratúrne stredisko - Podania a konania</v>
      </c>
      <c r="M2" s="468" t="str">
        <f>MODULY_CBA!$B11</f>
        <v xml:space="preserve">Registratúrne stredisko - Poskytovanie údajov  </v>
      </c>
      <c r="N2" s="468" t="str">
        <f>MODULY_CBA!$B12</f>
        <v>Stredisko katastrálneho operátu</v>
      </c>
      <c r="O2" s="468" t="str">
        <f>MODULY_CBA!$B13</f>
        <v>Stredisko podporných služieb - poskytovanie udajov a platby</v>
      </c>
      <c r="P2" s="468" t="str">
        <f>MODULY_CBA!$B14</f>
        <v>Stredisko podporných služieb - správa podaní a konaní</v>
      </c>
      <c r="Q2" s="468" t="str">
        <f>MODULY_CBA!$B15</f>
        <v>Stredisko podporných služieb - správa údajov katastra</v>
      </c>
      <c r="R2" s="468" t="str">
        <f>MODULY_CBA!$B16</f>
        <v>Grafické rozhranie agendového systému -  prototypové data</v>
      </c>
      <c r="S2" s="468">
        <f>MODULY_CBA!$B17</f>
        <v>0</v>
      </c>
      <c r="T2" s="468">
        <f>MODULY_CBA!$B18</f>
        <v>0</v>
      </c>
      <c r="U2" s="468" t="str">
        <f>MODULY_CBA!$B19</f>
        <v>Technologické vybavenie</v>
      </c>
      <c r="V2" s="468" t="str">
        <f>MODULY_CBA!$B20</f>
        <v>Aplikačno-platformové vybavenie</v>
      </c>
      <c r="W2" s="468" t="str">
        <f>MODULY_CBA!$B21</f>
        <v>Dokumentácia riešenia</v>
      </c>
      <c r="X2" s="468" t="str">
        <f>MODULY_CBA!$B22</f>
        <v>ISKN 2.0</v>
      </c>
      <c r="Y2" s="468">
        <f>MODULY_CBA!$B23</f>
        <v>0</v>
      </c>
      <c r="AC2" s="726"/>
      <c r="AD2" s="726"/>
      <c r="AE2" s="726"/>
      <c r="AF2" s="454" t="s">
        <v>99</v>
      </c>
      <c r="AG2" s="468" t="str">
        <f>MODULY_CBA!$B3</f>
        <v>Grafické rozhranie agendového systému -  správa podaní a konaní</v>
      </c>
      <c r="AH2" s="468" t="str">
        <f>MODULY_CBA!$B4</f>
        <v>Grafické rozhranie agendového systému - poskytovanie udajov a platby</v>
      </c>
      <c r="AI2" s="468" t="str">
        <f>MODULY_CBA!$B5</f>
        <v>Grafické rozhranie agendového systému - správa údajov katastra</v>
      </c>
      <c r="AJ2" s="468" t="str">
        <f>MODULY_CBA!$B6</f>
        <v>Integračné služby - poskytovanie udajov a platby</v>
      </c>
      <c r="AK2" s="468" t="str">
        <f>MODULY_CBA!$B7</f>
        <v xml:space="preserve">Integračné služby - správa podaní a konaní </v>
      </c>
      <c r="AL2" s="468" t="str">
        <f>MODULY_CBA!$B8</f>
        <v>Integračné služby - správa údajov katastra</v>
      </c>
      <c r="AM2" s="468" t="str">
        <f>MODULY_CBA!$B9</f>
        <v xml:space="preserve">Registratúrne stredisko - Platby </v>
      </c>
      <c r="AN2" s="468" t="str">
        <f>MODULY_CBA!$B10</f>
        <v>Registratúrne stredisko - Podania a konania</v>
      </c>
      <c r="AO2" s="468" t="str">
        <f>MODULY_CBA!$B11</f>
        <v xml:space="preserve">Registratúrne stredisko - Poskytovanie údajov  </v>
      </c>
      <c r="AP2" s="468" t="str">
        <f>MODULY_CBA!$B12</f>
        <v>Stredisko katastrálneho operátu</v>
      </c>
      <c r="AQ2" s="468" t="str">
        <f>MODULY_CBA!$B13</f>
        <v>Stredisko podporných služieb - poskytovanie udajov a platby</v>
      </c>
      <c r="AR2" s="468" t="str">
        <f>MODULY_CBA!$B14</f>
        <v>Stredisko podporných služieb - správa podaní a konaní</v>
      </c>
      <c r="AS2" s="468" t="str">
        <f>MODULY_CBA!$B15</f>
        <v>Stredisko podporných služieb - správa údajov katastra</v>
      </c>
      <c r="AT2" s="468" t="str">
        <f>MODULY_CBA!$B16</f>
        <v>Grafické rozhranie agendového systému -  prototypové data</v>
      </c>
      <c r="AU2" s="468">
        <f>MODULY_CBA!$B17</f>
        <v>0</v>
      </c>
      <c r="AV2" s="468">
        <f>MODULY_CBA!$B18</f>
        <v>0</v>
      </c>
      <c r="AW2" s="468" t="str">
        <f>MODULY_CBA!$B19</f>
        <v>Technologické vybavenie</v>
      </c>
      <c r="AX2" s="468" t="str">
        <f>MODULY_CBA!$B20</f>
        <v>Aplikačno-platformové vybavenie</v>
      </c>
      <c r="AY2" s="468" t="str">
        <f>MODULY_CBA!$B21</f>
        <v>Dokumentácia riešenia</v>
      </c>
      <c r="AZ2" s="468" t="str">
        <f>MODULY_CBA!$B22</f>
        <v>ISKN 2.0</v>
      </c>
      <c r="BA2" s="468">
        <f>MODULY_CBA!$B23</f>
        <v>0</v>
      </c>
    </row>
    <row r="3" spans="1:53">
      <c r="A3" s="455" t="s">
        <v>100</v>
      </c>
      <c r="B3" s="455"/>
      <c r="C3" s="455"/>
      <c r="D3" s="456">
        <f>SUM(E3:Y3)</f>
        <v>78030323.494060785</v>
      </c>
      <c r="E3" s="456">
        <f>E4+E5+E9+E13+E14</f>
        <v>539133.96090288251</v>
      </c>
      <c r="F3" s="456">
        <f t="shared" ref="F3:Y3" si="0">F4+F5+F9+F13+F14</f>
        <v>0</v>
      </c>
      <c r="G3" s="456">
        <f t="shared" si="0"/>
        <v>1178709.5830934756</v>
      </c>
      <c r="H3" s="456">
        <f t="shared" si="0"/>
        <v>2707660.9645310659</v>
      </c>
      <c r="I3" s="456">
        <f t="shared" si="0"/>
        <v>1547585.9741025192</v>
      </c>
      <c r="J3" s="456">
        <f t="shared" si="0"/>
        <v>996945.95579401404</v>
      </c>
      <c r="K3" s="456">
        <f t="shared" si="0"/>
        <v>1287347.7353685647</v>
      </c>
      <c r="L3" s="456">
        <f t="shared" si="0"/>
        <v>22091563.525054086</v>
      </c>
      <c r="M3" s="456">
        <f t="shared" si="0"/>
        <v>2627146.783104694</v>
      </c>
      <c r="N3" s="456">
        <f t="shared" si="0"/>
        <v>13487687.343925923</v>
      </c>
      <c r="O3" s="456">
        <f t="shared" si="0"/>
        <v>1520641.7381161074</v>
      </c>
      <c r="P3" s="456">
        <f t="shared" si="0"/>
        <v>9129076.493849529</v>
      </c>
      <c r="Q3" s="456">
        <f t="shared" si="0"/>
        <v>3410822.0062179188</v>
      </c>
      <c r="R3" s="456">
        <f t="shared" si="0"/>
        <v>17506001.43</v>
      </c>
      <c r="S3" s="456">
        <f t="shared" si="0"/>
        <v>0</v>
      </c>
      <c r="T3" s="456">
        <f t="shared" si="0"/>
        <v>0</v>
      </c>
      <c r="U3" s="456">
        <f t="shared" si="0"/>
        <v>0</v>
      </c>
      <c r="V3" s="456">
        <f t="shared" si="0"/>
        <v>0</v>
      </c>
      <c r="W3" s="456">
        <f t="shared" si="0"/>
        <v>0</v>
      </c>
      <c r="X3" s="456">
        <f t="shared" si="0"/>
        <v>0</v>
      </c>
      <c r="Y3" s="456">
        <f t="shared" si="0"/>
        <v>0</v>
      </c>
      <c r="AC3" s="455" t="s">
        <v>100</v>
      </c>
      <c r="AD3" s="455"/>
      <c r="AE3" s="455"/>
      <c r="AF3" s="456">
        <f>SUM(AG3:BA3)</f>
        <v>68791711.928046286</v>
      </c>
      <c r="AG3" s="456">
        <f>AG4+AG5+AG9+AG13+AG14</f>
        <v>451181.12102861359</v>
      </c>
      <c r="AH3" s="456">
        <f>AH4+AH5+AH9+AH13+AH14</f>
        <v>0</v>
      </c>
      <c r="AI3" s="456">
        <f>AI4+AI5+AI9+AI13+AI14</f>
        <v>1040849.148327341</v>
      </c>
      <c r="AJ3" s="456">
        <f>AJ4+AJ5+AJ9+AJ13+AJ14</f>
        <v>2196659.3964281646</v>
      </c>
      <c r="AK3" s="456">
        <f>AK5+AK9+AK13+AK14</f>
        <v>1295117.0308663081</v>
      </c>
      <c r="AL3" s="456">
        <f>AL4+AL5+AL9+AL13+AL14</f>
        <v>880344.37311798439</v>
      </c>
      <c r="AM3" s="456">
        <f>AM4+AM5+AM9+AM13+AM14</f>
        <v>1044393.8648196405</v>
      </c>
      <c r="AN3" s="456">
        <f>AN4+AN5+AN9+AN13+AN14</f>
        <v>18487606.271021396</v>
      </c>
      <c r="AO3" s="456">
        <f>AO5+AO9+AO13+AO14</f>
        <v>2147705.6312186089</v>
      </c>
      <c r="AP3" s="456">
        <f>AP4+AP5+AP9+AP13+AP14</f>
        <v>11910183.887694279</v>
      </c>
      <c r="AQ3" s="456">
        <f>AQ4+AQ5+AQ9+AQ13+AQ14</f>
        <v>1233659.6074583172</v>
      </c>
      <c r="AR3" s="456">
        <f>AR4+AR5+AR9+AR13+AR14</f>
        <v>7639783.9222614886</v>
      </c>
      <c r="AS3" s="456">
        <f>AS5+AS9+AS13+AS14</f>
        <v>3011896.4257089053</v>
      </c>
      <c r="AT3" s="456">
        <f>AT4+AT5+AT9+AT13+AT14</f>
        <v>17452331.248095237</v>
      </c>
      <c r="AU3" s="456">
        <f>AU4+AU5+AU9+AU13+AU14</f>
        <v>0</v>
      </c>
      <c r="AV3" s="456">
        <f>AV4+AV5+AV9+AV13+AV14</f>
        <v>0</v>
      </c>
      <c r="AW3" s="456">
        <f>AW5+AW9+AW13+AW14</f>
        <v>0</v>
      </c>
      <c r="AX3" s="456">
        <f>AX4+AX5+AX9+AX13+AX14</f>
        <v>0</v>
      </c>
      <c r="AY3" s="456">
        <f>AY4+AY5+AY9+AY13+AY14</f>
        <v>0</v>
      </c>
      <c r="AZ3" s="456">
        <f>AZ4+AZ5+AZ9+AZ13+AZ14</f>
        <v>0</v>
      </c>
      <c r="BA3" s="456">
        <f>BA5+BA9+BA13+BA14</f>
        <v>0</v>
      </c>
    </row>
    <row r="4" spans="1:53">
      <c r="A4" s="457"/>
      <c r="B4" s="458" t="s">
        <v>101</v>
      </c>
      <c r="C4" s="458"/>
      <c r="D4" s="459">
        <f>SUM(E4:Y4)</f>
        <v>0</v>
      </c>
      <c r="E4" s="459">
        <f>SUM('Parametre - Agendové IS'!I106:I115)</f>
        <v>0</v>
      </c>
      <c r="F4" s="459">
        <f>SUM('Parametre - Agendové IS'!J106:J115)</f>
        <v>0</v>
      </c>
      <c r="G4" s="459">
        <f>SUM('Parametre - Agendové IS'!K106:K115)</f>
        <v>0</v>
      </c>
      <c r="H4" s="459">
        <f>SUM('Parametre - Agendové IS'!L106:L115)</f>
        <v>0</v>
      </c>
      <c r="I4" s="459">
        <f>SUM('Parametre - Agendové IS'!M106:M115)</f>
        <v>0</v>
      </c>
      <c r="J4" s="459">
        <f>SUM('Parametre - Agendové IS'!N106:N115)</f>
        <v>0</v>
      </c>
      <c r="K4" s="459">
        <f>SUM('Parametre - Agendové IS'!O106:O115)</f>
        <v>0</v>
      </c>
      <c r="L4" s="459">
        <f>SUM('Parametre - Agendové IS'!P106:P115)</f>
        <v>0</v>
      </c>
      <c r="M4" s="459">
        <f>SUM('Parametre - Agendové IS'!Q106:Q115)</f>
        <v>0</v>
      </c>
      <c r="N4" s="459">
        <f>SUM('Parametre - Agendové IS'!R106:R115)</f>
        <v>0</v>
      </c>
      <c r="O4" s="459">
        <f>SUM('Parametre - Agendové IS'!S106:S115)</f>
        <v>0</v>
      </c>
      <c r="P4" s="459">
        <f>SUM('Parametre - Agendové IS'!T106:T115)</f>
        <v>0</v>
      </c>
      <c r="Q4" s="459">
        <f>SUM('Parametre - Agendové IS'!U106:U115)</f>
        <v>0</v>
      </c>
      <c r="R4" s="459">
        <f>SUM('Parametre - Agendové IS'!V106:V115)</f>
        <v>0</v>
      </c>
      <c r="S4" s="459">
        <f>SUM('Parametre - Agendové IS'!W106:W115)</f>
        <v>0</v>
      </c>
      <c r="T4" s="459">
        <f>SUM('Parametre - Agendové IS'!X106:X115)</f>
        <v>0</v>
      </c>
      <c r="U4" s="459">
        <f>SUM('Parametre - Agendové IS'!Y106:Y115)</f>
        <v>0</v>
      </c>
      <c r="V4" s="459">
        <f>SUM('Parametre - Agendové IS'!Z106:Z115)</f>
        <v>0</v>
      </c>
      <c r="W4" s="459">
        <f>SUM('Parametre - Agendové IS'!AA106:AA115)</f>
        <v>0</v>
      </c>
      <c r="X4" s="459">
        <f>SUM('Parametre - Agendové IS'!AB106:AB115)</f>
        <v>0</v>
      </c>
      <c r="Y4" s="459">
        <f>SUM('Parametre - Agendové IS'!AC106:AC115)</f>
        <v>0</v>
      </c>
      <c r="AC4" s="457"/>
      <c r="AD4" s="458" t="s">
        <v>101</v>
      </c>
      <c r="AE4" s="458"/>
      <c r="AF4" s="459">
        <f>SUM(AG4:BA4)</f>
        <v>0</v>
      </c>
      <c r="AG4" s="459">
        <f>'Parametre - Agendové IS'!I106+NPV(Faktory!$D$5,'Parametre - Agendové IS'!I107:I115)</f>
        <v>0</v>
      </c>
      <c r="AH4" s="459">
        <f>'Parametre - Agendové IS'!J106+NPV(Faktory!$D$5,'Parametre - Agendové IS'!J107:J115)</f>
        <v>0</v>
      </c>
      <c r="AI4" s="459">
        <f>'Parametre - Agendové IS'!K106+NPV(Faktory!$D$5,'Parametre - Agendové IS'!K107:K115)</f>
        <v>0</v>
      </c>
      <c r="AJ4" s="459">
        <f>'Parametre - Agendové IS'!L106+NPV(Faktory!$D$5,'Parametre - Agendové IS'!L107:L115)</f>
        <v>0</v>
      </c>
      <c r="AK4" s="459">
        <f>'Parametre - Agendové IS'!M106+NPV(Faktory!$D$5,'Parametre - Agendové IS'!M107:M115)</f>
        <v>0</v>
      </c>
      <c r="AL4" s="459">
        <f>'Parametre - Agendové IS'!N106+NPV(Faktory!$D$5,'Parametre - Agendové IS'!N107:N115)</f>
        <v>0</v>
      </c>
      <c r="AM4" s="459">
        <f>'Parametre - Agendové IS'!O106+NPV(Faktory!$D$5,'Parametre - Agendové IS'!O107:O115)</f>
        <v>0</v>
      </c>
      <c r="AN4" s="459">
        <f>'Parametre - Agendové IS'!P106+NPV(Faktory!$D$5,'Parametre - Agendové IS'!P107:P115)</f>
        <v>0</v>
      </c>
      <c r="AO4" s="459">
        <f>'Parametre - Agendové IS'!Q106+NPV(Faktory!$D$5,'Parametre - Agendové IS'!Q107:Q115)</f>
        <v>0</v>
      </c>
      <c r="AP4" s="459">
        <f>'Parametre - Agendové IS'!R106+NPV(Faktory!$D$5,'Parametre - Agendové IS'!R107:R115)</f>
        <v>0</v>
      </c>
      <c r="AQ4" s="459">
        <f>'Parametre - Agendové IS'!S106+NPV(Faktory!$D$5,'Parametre - Agendové IS'!S107:S115)</f>
        <v>0</v>
      </c>
      <c r="AR4" s="459">
        <f>'Parametre - Agendové IS'!T106+NPV(Faktory!$D$5,'Parametre - Agendové IS'!T107:T115)</f>
        <v>0</v>
      </c>
      <c r="AS4" s="459">
        <f>'Parametre - Agendové IS'!U106+NPV(Faktory!$D$5,'Parametre - Agendové IS'!U107:U115)</f>
        <v>0</v>
      </c>
      <c r="AT4" s="459">
        <f>'Parametre - Agendové IS'!V106+NPV(Faktory!$D$5,'Parametre - Agendové IS'!V107:V115)</f>
        <v>0</v>
      </c>
      <c r="AU4" s="459">
        <f>'Parametre - Agendové IS'!W106+NPV(Faktory!$D$5,'Parametre - Agendové IS'!W107:W115)</f>
        <v>0</v>
      </c>
      <c r="AV4" s="459">
        <f>'Parametre - Agendové IS'!X106+NPV(Faktory!$D$5,'Parametre - Agendové IS'!X107:X115)</f>
        <v>0</v>
      </c>
      <c r="AW4" s="459">
        <f>'Parametre - Agendové IS'!Y106+NPV(Faktory!$D$5,'Parametre - Agendové IS'!Y107:Y115)</f>
        <v>0</v>
      </c>
      <c r="AX4" s="459">
        <f>'Parametre - Agendové IS'!Z106+NPV(Faktory!$D$5,'Parametre - Agendové IS'!Z107:Z115)</f>
        <v>0</v>
      </c>
      <c r="AY4" s="459">
        <f>'Parametre - Agendové IS'!AA106+NPV(Faktory!$D$5,'Parametre - Agendové IS'!AA107:AA115)</f>
        <v>0</v>
      </c>
      <c r="AZ4" s="459">
        <f>'Parametre - Agendové IS'!AB106+NPV(Faktory!$D$5,'Parametre - Agendové IS'!AB107:AB115)</f>
        <v>0</v>
      </c>
      <c r="BA4" s="459">
        <f>'Parametre - Agendové IS'!AC106+NPV(Faktory!$D$5,'Parametre - Agendové IS'!AC107:AC115)</f>
        <v>0</v>
      </c>
    </row>
    <row r="5" spans="1:53">
      <c r="A5" s="457"/>
      <c r="B5" s="458" t="s">
        <v>102</v>
      </c>
      <c r="C5" s="458"/>
      <c r="D5" s="459">
        <f>SUM(E5:Y5)</f>
        <v>59271350.626885749</v>
      </c>
      <c r="E5" s="459">
        <f>SUM(E6:E8)</f>
        <v>383474.22127775103</v>
      </c>
      <c r="F5" s="459">
        <f>SUM(F6:F8)</f>
        <v>0</v>
      </c>
      <c r="G5" s="459">
        <f>SUM(G6:G8)</f>
        <v>825578.70601810049</v>
      </c>
      <c r="H5" s="459">
        <f>SUM(H6:H8)</f>
        <v>1959426.0964393951</v>
      </c>
      <c r="I5" s="459">
        <f>SUM(I6:I8)</f>
        <v>1100764.1315814583</v>
      </c>
      <c r="J5" s="459">
        <f>SUM(J6+J7)</f>
        <v>698269.8401368045</v>
      </c>
      <c r="K5" s="459">
        <f>SUM(K6:K8)</f>
        <v>931602.1396017659</v>
      </c>
      <c r="L5" s="459">
        <f>SUM(L6:L8)</f>
        <v>15713247.04789672</v>
      </c>
      <c r="M5" s="459">
        <f>SUM(M6:M8)</f>
        <v>1868632.1765860678</v>
      </c>
      <c r="N5" s="459">
        <f>SUM(N6+N7)</f>
        <v>9446896.5250552483</v>
      </c>
      <c r="O5" s="459">
        <f>SUM(O6:O8)</f>
        <v>1100427.6916610531</v>
      </c>
      <c r="P5" s="459">
        <f>SUM(P6:P8)</f>
        <v>6493312.8931467626</v>
      </c>
      <c r="Q5" s="459">
        <f>SUM(Q6:Q8)</f>
        <v>2388970.1574846199</v>
      </c>
      <c r="R5" s="459">
        <f>SUM(R6+R7)</f>
        <v>16360749</v>
      </c>
      <c r="S5" s="459">
        <f>SUM(S6:S8)</f>
        <v>0</v>
      </c>
      <c r="T5" s="459">
        <f>SUM(T6:T8)</f>
        <v>0</v>
      </c>
      <c r="U5" s="459">
        <f>SUM(U6:U8)</f>
        <v>0</v>
      </c>
      <c r="V5" s="459">
        <f>SUM(V6+V7)</f>
        <v>0</v>
      </c>
      <c r="W5" s="459">
        <f>SUM(W6:W8)</f>
        <v>0</v>
      </c>
      <c r="X5" s="459">
        <f>SUM(X6:X8)</f>
        <v>0</v>
      </c>
      <c r="Y5" s="459">
        <f>SUM(Y6:Y8)</f>
        <v>0</v>
      </c>
      <c r="AC5" s="457"/>
      <c r="AD5" s="458" t="s">
        <v>102</v>
      </c>
      <c r="AE5" s="458"/>
      <c r="AF5" s="459">
        <f>SUM(AG5:BA5)</f>
        <v>53590703.680603892</v>
      </c>
      <c r="AG5" s="459">
        <f>SUM(AG6:AG8)</f>
        <v>327230.88412538974</v>
      </c>
      <c r="AH5" s="459">
        <f t="shared" ref="AH5:BA5" si="1">SUM(AH6:AH8)</f>
        <v>0</v>
      </c>
      <c r="AI5" s="459">
        <f t="shared" si="1"/>
        <v>752920.93240985484</v>
      </c>
      <c r="AJ5" s="459">
        <f t="shared" si="1"/>
        <v>1612394.7758214553</v>
      </c>
      <c r="AK5" s="459">
        <f t="shared" si="1"/>
        <v>939317.42997144267</v>
      </c>
      <c r="AL5" s="459">
        <f t="shared" si="1"/>
        <v>636816.30264571821</v>
      </c>
      <c r="AM5" s="459">
        <f t="shared" si="1"/>
        <v>766607.3376115401</v>
      </c>
      <c r="AN5" s="459">
        <f t="shared" si="1"/>
        <v>13408618.985732701</v>
      </c>
      <c r="AO5" s="459">
        <f t="shared" si="1"/>
        <v>1545350.6705398569</v>
      </c>
      <c r="AP5" s="459">
        <f t="shared" si="1"/>
        <v>8615491.2768160366</v>
      </c>
      <c r="AQ5" s="459">
        <f t="shared" si="1"/>
        <v>905532.42320687079</v>
      </c>
      <c r="AR5" s="459">
        <f t="shared" si="1"/>
        <v>5540952.6925884346</v>
      </c>
      <c r="AS5" s="459">
        <f t="shared" si="1"/>
        <v>2178720.9691345915</v>
      </c>
      <c r="AT5" s="459">
        <f t="shared" si="1"/>
        <v>16360749</v>
      </c>
      <c r="AU5" s="459">
        <f t="shared" si="1"/>
        <v>0</v>
      </c>
      <c r="AV5" s="459">
        <f t="shared" si="1"/>
        <v>0</v>
      </c>
      <c r="AW5" s="459">
        <f t="shared" si="1"/>
        <v>0</v>
      </c>
      <c r="AX5" s="459">
        <f t="shared" si="1"/>
        <v>0</v>
      </c>
      <c r="AY5" s="459">
        <f t="shared" si="1"/>
        <v>0</v>
      </c>
      <c r="AZ5" s="459">
        <f t="shared" si="1"/>
        <v>0</v>
      </c>
      <c r="BA5" s="459">
        <f t="shared" si="1"/>
        <v>0</v>
      </c>
    </row>
    <row r="6" spans="1:53">
      <c r="A6" s="460"/>
      <c r="B6" s="460"/>
      <c r="C6" s="461" t="s">
        <v>103</v>
      </c>
      <c r="D6" s="472">
        <f>SUM(E6:Y6)</f>
        <v>42910601.626885749</v>
      </c>
      <c r="E6" s="472">
        <f>SUM('TCO TO BE- SW'!F37:F46)+SUM('TCO TO BE- SW'!F120:F129)</f>
        <v>383474.22127775103</v>
      </c>
      <c r="F6" s="472">
        <f>SUM('TCO TO BE- SW'!G37:G46)+SUM('TCO TO BE- SW'!G120:G129)</f>
        <v>0</v>
      </c>
      <c r="G6" s="472">
        <f>SUM('TCO TO BE- SW'!H37:H46)+SUM('TCO TO BE- SW'!H120:H129)</f>
        <v>825578.70601810049</v>
      </c>
      <c r="H6" s="472">
        <f>SUM('TCO TO BE- SW'!I37:I46)+SUM('TCO TO BE- SW'!I120:I129)</f>
        <v>1959426.0964393951</v>
      </c>
      <c r="I6" s="472">
        <f>SUM('TCO TO BE- SW'!J37:J46)+SUM('TCO TO BE- SW'!J120:J129)</f>
        <v>1100764.1315814583</v>
      </c>
      <c r="J6" s="472">
        <f>SUM('TCO TO BE- SW'!K37:K46)+SUM('TCO TO BE- SW'!K120:K129)</f>
        <v>698269.8401368045</v>
      </c>
      <c r="K6" s="472">
        <f>SUM('TCO TO BE- SW'!L37:L46)+SUM('TCO TO BE- SW'!L120:L129)</f>
        <v>931602.1396017659</v>
      </c>
      <c r="L6" s="472">
        <f>SUM('TCO TO BE- SW'!M37:M46)+SUM('TCO TO BE- SW'!M120:M129)</f>
        <v>15713247.04789672</v>
      </c>
      <c r="M6" s="472">
        <f>SUM('TCO TO BE- SW'!N37:N46)+SUM('TCO TO BE- SW'!N120:N129)</f>
        <v>1868632.1765860678</v>
      </c>
      <c r="N6" s="472">
        <f>SUM('TCO TO BE- SW'!O37:O46)+SUM('TCO TO BE- SW'!O120:O129)</f>
        <v>9446896.5250552483</v>
      </c>
      <c r="O6" s="472">
        <f>SUM('TCO TO BE- SW'!P37:P46)+SUM('TCO TO BE- SW'!P120:P129)</f>
        <v>1100427.6916610531</v>
      </c>
      <c r="P6" s="472">
        <f>SUM('TCO TO BE- SW'!Q37:Q46)+SUM('TCO TO BE- SW'!Q120:Q129)</f>
        <v>6493312.8931467626</v>
      </c>
      <c r="Q6" s="472">
        <f>SUM('TCO TO BE- SW'!R37:R46)+SUM('TCO TO BE- SW'!R120:R129)</f>
        <v>2388970.1574846199</v>
      </c>
      <c r="R6" s="472">
        <f>SUM('TCO TO BE- SW'!S37:S46)+SUM('TCO TO BE- SW'!S120:S129)</f>
        <v>0</v>
      </c>
      <c r="S6" s="472">
        <f>SUM('TCO TO BE- SW'!T37:T46)+SUM('TCO TO BE- SW'!T120:T129)</f>
        <v>0</v>
      </c>
      <c r="T6" s="472">
        <f>SUM('TCO TO BE- SW'!U37:U46)+SUM('TCO TO BE- SW'!U120:U129)</f>
        <v>0</v>
      </c>
      <c r="U6" s="472">
        <f>SUM('TCO TO BE- SW'!V37:V46)+SUM('TCO TO BE- SW'!V120:V129)</f>
        <v>0</v>
      </c>
      <c r="V6" s="472">
        <f>SUM('TCO TO BE- SW'!W37:W46)+SUM('TCO TO BE- SW'!W120:W129)</f>
        <v>0</v>
      </c>
      <c r="W6" s="472">
        <f>SUM('TCO TO BE- SW'!X37:X46)+SUM('TCO TO BE- SW'!X120:X129)</f>
        <v>0</v>
      </c>
      <c r="X6" s="472">
        <f>SUM('TCO TO BE- SW'!Y37:Y46)+SUM('TCO TO BE- SW'!Y120:Y129)</f>
        <v>0</v>
      </c>
      <c r="Y6" s="472">
        <f>SUM('TCO TO BE- SW'!Z37:Z46)+SUM('TCO TO BE- SW'!Z120:Z129)</f>
        <v>0</v>
      </c>
      <c r="AC6" s="460"/>
      <c r="AD6" s="460"/>
      <c r="AE6" s="461" t="s">
        <v>103</v>
      </c>
      <c r="AF6" s="472">
        <f>SUM(AG6:BA6)</f>
        <v>37229954.680603892</v>
      </c>
      <c r="AG6" s="472">
        <f>('TCO TO BE- SW'!F37+NPV(Faktory!$D$5,'TCO TO BE- SW'!F38:F46)+'TCO TO BE- SW'!F120+NPV(Faktory!$D$5,'TCO TO BE- SW'!F121:F129))</f>
        <v>327230.88412538974</v>
      </c>
      <c r="AH6" s="472">
        <f>('TCO TO BE- SW'!G37+NPV(Faktory!$D$5,'TCO TO BE- SW'!G38:G46)+'TCO TO BE- SW'!G120+NPV(Faktory!$D$5,'TCO TO BE- SW'!G121:G129))</f>
        <v>0</v>
      </c>
      <c r="AI6" s="472">
        <f>('TCO TO BE- SW'!H37+NPV(Faktory!$D$5,'TCO TO BE- SW'!H38:H46)+'TCO TO BE- SW'!H120+NPV(Faktory!$D$5,'TCO TO BE- SW'!H121:H129))</f>
        <v>752920.93240985484</v>
      </c>
      <c r="AJ6" s="472">
        <f>('TCO TO BE- SW'!I37+NPV(Faktory!$D$5,'TCO TO BE- SW'!I38:I46)+'TCO TO BE- SW'!I120+NPV(Faktory!$D$5,'TCO TO BE- SW'!I121:I129))</f>
        <v>1612394.7758214553</v>
      </c>
      <c r="AK6" s="472">
        <f>('TCO TO BE- SW'!J37+NPV(Faktory!$D$5,'TCO TO BE- SW'!J38:J46)+'TCO TO BE- SW'!J120+NPV(Faktory!$D$5,'TCO TO BE- SW'!J121:J129))</f>
        <v>939317.42997144267</v>
      </c>
      <c r="AL6" s="472">
        <f>('TCO TO BE- SW'!K37+NPV(Faktory!$D$5,'TCO TO BE- SW'!K38:K46)+'TCO TO BE- SW'!K120+NPV(Faktory!$D$5,'TCO TO BE- SW'!K121:K129))</f>
        <v>636816.30264571821</v>
      </c>
      <c r="AM6" s="472">
        <f>('TCO TO BE- SW'!L37+NPV(Faktory!$D$5,'TCO TO BE- SW'!L38:L46)+'TCO TO BE- SW'!L120+NPV(Faktory!$D$5,'TCO TO BE- SW'!L121:L129))</f>
        <v>766607.3376115401</v>
      </c>
      <c r="AN6" s="472">
        <f>('TCO TO BE- SW'!M37+NPV(Faktory!$D$5,'TCO TO BE- SW'!M38:M46)+'TCO TO BE- SW'!M120+NPV(Faktory!$D$5,'TCO TO BE- SW'!M121:M129))</f>
        <v>13408618.985732701</v>
      </c>
      <c r="AO6" s="472">
        <f>('TCO TO BE- SW'!N37+NPV(Faktory!$D$5,'TCO TO BE- SW'!N38:N46)+'TCO TO BE- SW'!N120+NPV(Faktory!$D$5,'TCO TO BE- SW'!N121:N129))</f>
        <v>1545350.6705398569</v>
      </c>
      <c r="AP6" s="472">
        <f>('TCO TO BE- SW'!O37+NPV(Faktory!$D$5,'TCO TO BE- SW'!O38:O46)+'TCO TO BE- SW'!O120+NPV(Faktory!$D$5,'TCO TO BE- SW'!O121:O129))</f>
        <v>8615491.2768160366</v>
      </c>
      <c r="AQ6" s="472">
        <f>('TCO TO BE- SW'!P37+NPV(Faktory!$D$5,'TCO TO BE- SW'!P38:P46)+'TCO TO BE- SW'!P120+NPV(Faktory!$D$5,'TCO TO BE- SW'!P121:P129))</f>
        <v>905532.42320687079</v>
      </c>
      <c r="AR6" s="472">
        <f>('TCO TO BE- SW'!Q37+NPV(Faktory!$D$5,'TCO TO BE- SW'!Q38:Q46)+'TCO TO BE- SW'!Q120+NPV(Faktory!$D$5,'TCO TO BE- SW'!Q121:Q129))</f>
        <v>5540952.6925884346</v>
      </c>
      <c r="AS6" s="472">
        <f>('TCO TO BE- SW'!R37+NPV(Faktory!$D$5,'TCO TO BE- SW'!R38:R46)+'TCO TO BE- SW'!R120+NPV(Faktory!$D$5,'TCO TO BE- SW'!R121:R129))</f>
        <v>2178720.9691345915</v>
      </c>
      <c r="AT6" s="472">
        <f>('TCO TO BE- SW'!S37+NPV(Faktory!$D$5,'TCO TO BE- SW'!S38:S46)+'TCO TO BE- SW'!S120+NPV(Faktory!$D$5,'TCO TO BE- SW'!S121:S129))</f>
        <v>0</v>
      </c>
      <c r="AU6" s="472">
        <f>('TCO TO BE- SW'!T37+NPV(Faktory!$D$5,'TCO TO BE- SW'!T38:T46)+'TCO TO BE- SW'!T120+NPV(Faktory!$D$5,'TCO TO BE- SW'!T121:T129))</f>
        <v>0</v>
      </c>
      <c r="AV6" s="472">
        <f>('TCO TO BE- SW'!U37+NPV(Faktory!$D$5,'TCO TO BE- SW'!U38:U46)+'TCO TO BE- SW'!U120+NPV(Faktory!$D$5,'TCO TO BE- SW'!U121:U129))</f>
        <v>0</v>
      </c>
      <c r="AW6" s="472">
        <f>('TCO TO BE- SW'!V37+NPV(Faktory!$D$5,'TCO TO BE- SW'!V38:V46)+'TCO TO BE- SW'!V120+NPV(Faktory!$D$5,'TCO TO BE- SW'!V121:V129))</f>
        <v>0</v>
      </c>
      <c r="AX6" s="472">
        <f>('TCO TO BE- SW'!W37+NPV(Faktory!$D$5,'TCO TO BE- SW'!W38:W46)+'TCO TO BE- SW'!W120+NPV(Faktory!$D$5,'TCO TO BE- SW'!W121:W129))</f>
        <v>0</v>
      </c>
      <c r="AY6" s="472">
        <f>('TCO TO BE- SW'!X37+NPV(Faktory!$D$5,'TCO TO BE- SW'!X38:X46)+'TCO TO BE- SW'!X120+NPV(Faktory!$D$5,'TCO TO BE- SW'!X121:X129))</f>
        <v>0</v>
      </c>
      <c r="AZ6" s="472">
        <f>('TCO TO BE- SW'!Y37+NPV(Faktory!$D$5,'TCO TO BE- SW'!Y38:Y46)+'TCO TO BE- SW'!Y120+NPV(Faktory!$D$5,'TCO TO BE- SW'!Y121:Y129))</f>
        <v>0</v>
      </c>
      <c r="BA6" s="472">
        <f>('TCO TO BE- SW'!Z37+NPV(Faktory!$D$5,'TCO TO BE- SW'!Z38:Z46)+'TCO TO BE- SW'!Z120+NPV(Faktory!$D$5,'TCO TO BE- SW'!Z121:Z129))</f>
        <v>0</v>
      </c>
    </row>
    <row r="7" spans="1:53">
      <c r="A7" s="460"/>
      <c r="B7" s="460"/>
      <c r="C7" s="461" t="s">
        <v>104</v>
      </c>
      <c r="D7" s="472">
        <f>SUM(E7:Y7)</f>
        <v>16360749</v>
      </c>
      <c r="E7" s="472">
        <f>SUM('TCO TO BE- SW'!F6:F15)+SUM('TCO TO BE- SW'!F89:F98)</f>
        <v>0</v>
      </c>
      <c r="F7" s="472">
        <f>SUM('TCO TO BE- SW'!G6:G15)+SUM('TCO TO BE- SW'!G89:G98)</f>
        <v>0</v>
      </c>
      <c r="G7" s="472">
        <f>SUM('TCO TO BE- SW'!H6:H15)+SUM('TCO TO BE- SW'!H89:H98)</f>
        <v>0</v>
      </c>
      <c r="H7" s="472">
        <f>SUM('TCO TO BE- SW'!I6:I15)+SUM('TCO TO BE- SW'!I89:I98)</f>
        <v>0</v>
      </c>
      <c r="I7" s="472">
        <f>SUM('TCO TO BE- SW'!J6:J15)+SUM('TCO TO BE- SW'!J89:J98)</f>
        <v>0</v>
      </c>
      <c r="J7" s="472">
        <f>SUM('TCO TO BE- SW'!K6:K15)+SUM('TCO TO BE- SW'!K89:K98)</f>
        <v>0</v>
      </c>
      <c r="K7" s="472">
        <f>SUM('TCO TO BE- SW'!L6:L15)+SUM('TCO TO BE- SW'!L89:L98)</f>
        <v>0</v>
      </c>
      <c r="L7" s="472">
        <f>SUM('TCO TO BE- SW'!M6:M15)+SUM('TCO TO BE- SW'!M89:M98)</f>
        <v>0</v>
      </c>
      <c r="M7" s="472">
        <f>SUM('TCO TO BE- SW'!N6:N15)+SUM('TCO TO BE- SW'!N89:N98)</f>
        <v>0</v>
      </c>
      <c r="N7" s="472">
        <f>SUM('TCO TO BE- SW'!O6:O15)+SUM('TCO TO BE- SW'!O89:O98)</f>
        <v>0</v>
      </c>
      <c r="O7" s="472">
        <f>SUM('TCO TO BE- SW'!P6:P15)+SUM('TCO TO BE- SW'!P89:P98)</f>
        <v>0</v>
      </c>
      <c r="P7" s="472">
        <f>SUM('TCO TO BE- SW'!Q6:Q15)+SUM('TCO TO BE- SW'!Q89:Q98)</f>
        <v>0</v>
      </c>
      <c r="Q7" s="472">
        <f>SUM('TCO TO BE- SW'!R6:R15)+SUM('TCO TO BE- SW'!R89:R98)</f>
        <v>0</v>
      </c>
      <c r="R7" s="472">
        <f>SUM('TCO TO BE- SW'!S6:S15)+SUM('TCO TO BE- SW'!S89:S98)</f>
        <v>16360749</v>
      </c>
      <c r="S7" s="472">
        <f>SUM('TCO TO BE- SW'!T6:T15)+SUM('TCO TO BE- SW'!T89:T98)</f>
        <v>0</v>
      </c>
      <c r="T7" s="472">
        <f>SUM('TCO TO BE- SW'!U6:U15)+SUM('TCO TO BE- SW'!U89:U98)</f>
        <v>0</v>
      </c>
      <c r="U7" s="472">
        <f>SUM('TCO TO BE- SW'!V6:V15)+SUM('TCO TO BE- SW'!V89:V98)</f>
        <v>0</v>
      </c>
      <c r="V7" s="472">
        <f>SUM('TCO TO BE- SW'!W6:W15)+SUM('TCO TO BE- SW'!W89:W98)</f>
        <v>0</v>
      </c>
      <c r="W7" s="472">
        <f>SUM('TCO TO BE- SW'!X6:X15)+SUM('TCO TO BE- SW'!X89:X98)</f>
        <v>0</v>
      </c>
      <c r="X7" s="472">
        <f>SUM('TCO TO BE- SW'!Y6:Y15)+SUM('TCO TO BE- SW'!Y89:Y98)</f>
        <v>0</v>
      </c>
      <c r="Y7" s="472">
        <f>SUM('TCO TO BE- SW'!Z6:Z15)+SUM('TCO TO BE- SW'!Z89:Z98)</f>
        <v>0</v>
      </c>
      <c r="AC7" s="460"/>
      <c r="AD7" s="460"/>
      <c r="AE7" s="461" t="s">
        <v>104</v>
      </c>
      <c r="AF7" s="472">
        <f>SUM(AG7:BA7)</f>
        <v>16360749</v>
      </c>
      <c r="AG7" s="472">
        <f>('TCO TO BE- SW'!F6+NPV(Faktory!$D$5,'TCO TO BE- SW'!F7:F15)+'TCO TO BE- SW'!F89+NPV(Faktory!$D$5,'TCO TO BE- SW'!F90:F98))</f>
        <v>0</v>
      </c>
      <c r="AH7" s="472">
        <f>('TCO TO BE- SW'!G6+NPV(Faktory!$D$5,'TCO TO BE- SW'!G7:G15)+'TCO TO BE- SW'!G89+NPV(Faktory!$D$5,'TCO TO BE- SW'!G90:G98))</f>
        <v>0</v>
      </c>
      <c r="AI7" s="472">
        <f>('TCO TO BE- SW'!H6+NPV(Faktory!$D$5,'TCO TO BE- SW'!H7:H15)+'TCO TO BE- SW'!H89+NPV(Faktory!$D$5,'TCO TO BE- SW'!H90:H98))</f>
        <v>0</v>
      </c>
      <c r="AJ7" s="472">
        <f>('TCO TO BE- SW'!I6+NPV(Faktory!$D$5,'TCO TO BE- SW'!I7:I15)+'TCO TO BE- SW'!I89+NPV(Faktory!$D$5,'TCO TO BE- SW'!I90:I98))</f>
        <v>0</v>
      </c>
      <c r="AK7" s="472">
        <f>('TCO TO BE- SW'!J6+NPV(Faktory!$D$5,'TCO TO BE- SW'!J7:J15)+'TCO TO BE- SW'!J89+NPV(Faktory!$D$5,'TCO TO BE- SW'!J90:J98))</f>
        <v>0</v>
      </c>
      <c r="AL7" s="472">
        <f>('TCO TO BE- SW'!K6+NPV(Faktory!$D$5,'TCO TO BE- SW'!K7:K15)+'TCO TO BE- SW'!K89+NPV(Faktory!$D$5,'TCO TO BE- SW'!K90:K98))</f>
        <v>0</v>
      </c>
      <c r="AM7" s="472">
        <f>('TCO TO BE- SW'!L6+NPV(Faktory!$D$5,'TCO TO BE- SW'!L7:L15)+'TCO TO BE- SW'!L89+NPV(Faktory!$D$5,'TCO TO BE- SW'!L90:L98))</f>
        <v>0</v>
      </c>
      <c r="AN7" s="472">
        <f>('TCO TO BE- SW'!M6+NPV(Faktory!$D$5,'TCO TO BE- SW'!M7:M15)+'TCO TO BE- SW'!M89+NPV(Faktory!$D$5,'TCO TO BE- SW'!M90:M98))</f>
        <v>0</v>
      </c>
      <c r="AO7" s="472">
        <f>('TCO TO BE- SW'!N6+NPV(Faktory!$D$5,'TCO TO BE- SW'!N7:N15)+'TCO TO BE- SW'!N89+NPV(Faktory!$D$5,'TCO TO BE- SW'!N90:N98))</f>
        <v>0</v>
      </c>
      <c r="AP7" s="472">
        <f>('TCO TO BE- SW'!O6+NPV(Faktory!$D$5,'TCO TO BE- SW'!O7:O15)+'TCO TO BE- SW'!O89+NPV(Faktory!$D$5,'TCO TO BE- SW'!O90:O98))</f>
        <v>0</v>
      </c>
      <c r="AQ7" s="472">
        <f>('TCO TO BE- SW'!P6+NPV(Faktory!$D$5,'TCO TO BE- SW'!P7:P15)+'TCO TO BE- SW'!P89+NPV(Faktory!$D$5,'TCO TO BE- SW'!P90:P98))</f>
        <v>0</v>
      </c>
      <c r="AR7" s="472">
        <f>('TCO TO BE- SW'!Q6+NPV(Faktory!$D$5,'TCO TO BE- SW'!Q7:Q15)+'TCO TO BE- SW'!Q89+NPV(Faktory!$D$5,'TCO TO BE- SW'!Q90:Q98))</f>
        <v>0</v>
      </c>
      <c r="AS7" s="472">
        <f>('TCO TO BE- SW'!R6+NPV(Faktory!$D$5,'TCO TO BE- SW'!R7:R15)+'TCO TO BE- SW'!R89+NPV(Faktory!$D$5,'TCO TO BE- SW'!R90:R98))</f>
        <v>0</v>
      </c>
      <c r="AT7" s="472">
        <f>('TCO TO BE- SW'!S6+NPV(Faktory!$D$5,'TCO TO BE- SW'!S7:S15)+'TCO TO BE- SW'!S89+NPV(Faktory!$D$5,'TCO TO BE- SW'!S90:S98))</f>
        <v>16360749</v>
      </c>
      <c r="AU7" s="472">
        <f>('TCO TO BE- SW'!T6+NPV(Faktory!$D$5,'TCO TO BE- SW'!T7:T15)+'TCO TO BE- SW'!T89+NPV(Faktory!$D$5,'TCO TO BE- SW'!T90:T98))</f>
        <v>0</v>
      </c>
      <c r="AV7" s="472">
        <f>('TCO TO BE- SW'!U6+NPV(Faktory!$D$5,'TCO TO BE- SW'!U7:U15)+'TCO TO BE- SW'!U89+NPV(Faktory!$D$5,'TCO TO BE- SW'!U90:U98))</f>
        <v>0</v>
      </c>
      <c r="AW7" s="472">
        <f>('TCO TO BE- SW'!V6+NPV(Faktory!$D$5,'TCO TO BE- SW'!V7:V15)+'TCO TO BE- SW'!V89+NPV(Faktory!$D$5,'TCO TO BE- SW'!V90:V98))</f>
        <v>0</v>
      </c>
      <c r="AX7" s="472">
        <f>('TCO TO BE- SW'!W6+NPV(Faktory!$D$5,'TCO TO BE- SW'!W7:W15)+'TCO TO BE- SW'!W89+NPV(Faktory!$D$5,'TCO TO BE- SW'!W90:W98))</f>
        <v>0</v>
      </c>
      <c r="AY7" s="472">
        <f>('TCO TO BE- SW'!X6+NPV(Faktory!$D$5,'TCO TO BE- SW'!X7:X15)+'TCO TO BE- SW'!X89+NPV(Faktory!$D$5,'TCO TO BE- SW'!X90:X98))</f>
        <v>0</v>
      </c>
      <c r="AZ7" s="472">
        <f>('TCO TO BE- SW'!Y6+NPV(Faktory!$D$5,'TCO TO BE- SW'!Y7:Y15)+'TCO TO BE- SW'!Y89+NPV(Faktory!$D$5,'TCO TO BE- SW'!Y90:Y98))</f>
        <v>0</v>
      </c>
      <c r="BA7" s="472">
        <f>('TCO TO BE- SW'!Z6+NPV(Faktory!$D$5,'TCO TO BE- SW'!Z7:Z15)+'TCO TO BE- SW'!Z89+NPV(Faktory!$D$5,'TCO TO BE- SW'!Z90:Z98))</f>
        <v>0</v>
      </c>
    </row>
    <row r="8" spans="1:53">
      <c r="A8" s="460"/>
      <c r="B8" s="460"/>
      <c r="C8" s="461" t="s">
        <v>105</v>
      </c>
      <c r="D8" s="472">
        <f>SUM(E8:X8)</f>
        <v>0</v>
      </c>
      <c r="E8" s="472">
        <f>SUM('TCO TO BE - HW'!F5:F14)+SUM('TCO TO BE - HW'!F66:F75)</f>
        <v>0</v>
      </c>
      <c r="F8" s="472">
        <f>SUM('TCO TO BE - HW'!G5:G14)+SUM('TCO TO BE - HW'!G66:G75)</f>
        <v>0</v>
      </c>
      <c r="G8" s="472">
        <f>SUM('TCO TO BE - HW'!H5:H14)+SUM('TCO TO BE - HW'!H66:H75)</f>
        <v>0</v>
      </c>
      <c r="H8" s="472">
        <f>SUM('TCO TO BE - HW'!I5:I14)+SUM('TCO TO BE - HW'!I66:I75)</f>
        <v>0</v>
      </c>
      <c r="I8" s="472">
        <f>SUM('TCO TO BE - HW'!J5:J14)+SUM('TCO TO BE - HW'!J66:J75)</f>
        <v>0</v>
      </c>
      <c r="J8" s="472">
        <f>SUM('TCO TO BE - HW'!K5:K14)+SUM('TCO TO BE - HW'!K66:K75)</f>
        <v>0</v>
      </c>
      <c r="K8" s="472">
        <f>SUM('TCO TO BE - HW'!L5:L14)+SUM('TCO TO BE - HW'!L66:L75)</f>
        <v>0</v>
      </c>
      <c r="L8" s="472">
        <f>SUM('TCO TO BE - HW'!M5:M14)+SUM('TCO TO BE - HW'!M66:M75)</f>
        <v>0</v>
      </c>
      <c r="M8" s="472">
        <f>SUM('TCO TO BE - HW'!N5:N14)+SUM('TCO TO BE - HW'!N66:N75)</f>
        <v>0</v>
      </c>
      <c r="N8" s="472">
        <f>SUM('TCO TO BE - HW'!O5:O14)+SUM('TCO TO BE - HW'!O66:O75)</f>
        <v>0</v>
      </c>
      <c r="O8" s="472">
        <f>SUM('TCO TO BE - HW'!P5:P14)+SUM('TCO TO BE - HW'!P66:P75)</f>
        <v>0</v>
      </c>
      <c r="P8" s="472">
        <f>SUM('TCO TO BE - HW'!Q5:Q14)+SUM('TCO TO BE - HW'!Q66:Q75)</f>
        <v>0</v>
      </c>
      <c r="Q8" s="472">
        <f>SUM('TCO TO BE - HW'!R5:R14)+SUM('TCO TO BE - HW'!R66:R75)</f>
        <v>0</v>
      </c>
      <c r="R8" s="472">
        <f>SUM('TCO TO BE - HW'!S5:S14)+SUM('TCO TO BE - HW'!S66:S75)</f>
        <v>0</v>
      </c>
      <c r="S8" s="472">
        <f>SUM('TCO TO BE - HW'!T5:T14)+SUM('TCO TO BE - HW'!T66:T75)</f>
        <v>0</v>
      </c>
      <c r="T8" s="472">
        <f>SUM('TCO TO BE - HW'!U5:U14)+SUM('TCO TO BE - HW'!U66:U75)</f>
        <v>0</v>
      </c>
      <c r="U8" s="472">
        <f>SUM('TCO TO BE - HW'!V5:V14)+SUM('TCO TO BE - HW'!V66:V75)</f>
        <v>0</v>
      </c>
      <c r="V8" s="472">
        <f>SUM('TCO TO BE - HW'!W5:W14)+SUM('TCO TO BE - HW'!W66:W75)</f>
        <v>0</v>
      </c>
      <c r="W8" s="472">
        <f>SUM('TCO TO BE - HW'!X5:X14)+SUM('TCO TO BE - HW'!X66:X75)</f>
        <v>0</v>
      </c>
      <c r="X8" s="472">
        <f>SUM('TCO TO BE - HW'!Y5:Y14)+SUM('TCO TO BE - HW'!Y66:Y75)</f>
        <v>0</v>
      </c>
      <c r="Y8" s="472">
        <f>SUM('TCO TO BE - HW'!Z5:Z14)+SUM('TCO TO BE - HW'!Z66:Z75)</f>
        <v>0</v>
      </c>
      <c r="AC8" s="460"/>
      <c r="AD8" s="460"/>
      <c r="AE8" s="461" t="s">
        <v>105</v>
      </c>
      <c r="AF8" s="472">
        <f>SUM(AG8:AZ8)</f>
        <v>0</v>
      </c>
      <c r="AG8" s="472">
        <f>('TCO TO BE - HW'!F5+NPV(Faktory!$D$5,'TCO TO BE - HW'!F6:F14)+'TCO TO BE - HW'!F66+NPV(Faktory!$D$5,'TCO TO BE - HW'!F67:F75))</f>
        <v>0</v>
      </c>
      <c r="AH8" s="472">
        <f>('TCO TO BE - HW'!G5+NPV(Faktory!$D$5,'TCO TO BE - HW'!G6:G14)+'TCO TO BE - HW'!G66+NPV(Faktory!$D$5,'TCO TO BE - HW'!G67:G75))</f>
        <v>0</v>
      </c>
      <c r="AI8" s="472">
        <f>('TCO TO BE - HW'!H5+NPV(Faktory!$D$5,'TCO TO BE - HW'!H6:H14)+'TCO TO BE - HW'!H66+NPV(Faktory!$D$5,'TCO TO BE - HW'!H67:H75))</f>
        <v>0</v>
      </c>
      <c r="AJ8" s="472">
        <f>('TCO TO BE - HW'!I5+NPV(Faktory!$D$5,'TCO TO BE - HW'!I6:I14)+'TCO TO BE - HW'!I66+NPV(Faktory!$D$5,'TCO TO BE - HW'!I67:I75))</f>
        <v>0</v>
      </c>
      <c r="AK8" s="472">
        <f>('TCO TO BE - HW'!J5+NPV(Faktory!$D$5,'TCO TO BE - HW'!J6:J14)+'TCO TO BE - HW'!J66+NPV(Faktory!$D$5,'TCO TO BE - HW'!J67:J75))</f>
        <v>0</v>
      </c>
      <c r="AL8" s="472">
        <f>('TCO TO BE - HW'!K5+NPV(Faktory!$D$5,'TCO TO BE - HW'!K6:K14)+'TCO TO BE - HW'!K66+NPV(Faktory!$D$5,'TCO TO BE - HW'!K67:K75))</f>
        <v>0</v>
      </c>
      <c r="AM8" s="472">
        <f>('TCO TO BE - HW'!L5+NPV(Faktory!$D$5,'TCO TO BE - HW'!L6:L14)+'TCO TO BE - HW'!L66+NPV(Faktory!$D$5,'TCO TO BE - HW'!L67:L75))</f>
        <v>0</v>
      </c>
      <c r="AN8" s="472">
        <f>('TCO TO BE - HW'!M5+NPV(Faktory!$D$5,'TCO TO BE - HW'!M6:M14)+'TCO TO BE - HW'!M66+NPV(Faktory!$D$5,'TCO TO BE - HW'!M67:M75))</f>
        <v>0</v>
      </c>
      <c r="AO8" s="472">
        <f>('TCO TO BE - HW'!N5+NPV(Faktory!$D$5,'TCO TO BE - HW'!N6:N14)+'TCO TO BE - HW'!N66+NPV(Faktory!$D$5,'TCO TO BE - HW'!N67:N75))</f>
        <v>0</v>
      </c>
      <c r="AP8" s="472">
        <f>('TCO TO BE - HW'!O5+NPV(Faktory!$D$5,'TCO TO BE - HW'!O6:O14)+'TCO TO BE - HW'!O66+NPV(Faktory!$D$5,'TCO TO BE - HW'!O67:O75))</f>
        <v>0</v>
      </c>
      <c r="AQ8" s="472">
        <f>('TCO TO BE - HW'!P5+NPV(Faktory!$D$5,'TCO TO BE - HW'!P6:P14)+'TCO TO BE - HW'!P66+NPV(Faktory!$D$5,'TCO TO BE - HW'!P67:P75))</f>
        <v>0</v>
      </c>
      <c r="AR8" s="472">
        <f>('TCO TO BE - HW'!Q5+NPV(Faktory!$D$5,'TCO TO BE - HW'!Q6:Q14)+'TCO TO BE - HW'!Q66+NPV(Faktory!$D$5,'TCO TO BE - HW'!Q67:Q75))</f>
        <v>0</v>
      </c>
      <c r="AS8" s="472">
        <f>('TCO TO BE - HW'!R5+NPV(Faktory!$D$5,'TCO TO BE - HW'!R6:R14)+'TCO TO BE - HW'!R66+NPV(Faktory!$D$5,'TCO TO BE - HW'!R67:R75))</f>
        <v>0</v>
      </c>
      <c r="AT8" s="472">
        <f>('TCO TO BE - HW'!S5+NPV(Faktory!$D$5,'TCO TO BE - HW'!S6:S14)+'TCO TO BE - HW'!S66+NPV(Faktory!$D$5,'TCO TO BE - HW'!S67:S75))</f>
        <v>0</v>
      </c>
      <c r="AU8" s="472">
        <f>('TCO TO BE - HW'!T5+NPV(Faktory!$D$5,'TCO TO BE - HW'!T6:T14)+'TCO TO BE - HW'!T66+NPV(Faktory!$D$5,'TCO TO BE - HW'!T67:T75))</f>
        <v>0</v>
      </c>
      <c r="AV8" s="472">
        <f>('TCO TO BE - HW'!U5+NPV(Faktory!$D$5,'TCO TO BE - HW'!U6:U14)+'TCO TO BE - HW'!U66+NPV(Faktory!$D$5,'TCO TO BE - HW'!U67:U75))</f>
        <v>0</v>
      </c>
      <c r="AW8" s="472">
        <f>('TCO TO BE - HW'!V5+NPV(Faktory!$D$5,'TCO TO BE - HW'!V6:V14)+'TCO TO BE - HW'!V66+NPV(Faktory!$D$5,'TCO TO BE - HW'!V67:V75))</f>
        <v>0</v>
      </c>
      <c r="AX8" s="472">
        <f>('TCO TO BE - HW'!W5+NPV(Faktory!$D$5,'TCO TO BE - HW'!W6:W14)+'TCO TO BE - HW'!W66+NPV(Faktory!$D$5,'TCO TO BE - HW'!W67:W75))</f>
        <v>0</v>
      </c>
      <c r="AY8" s="472">
        <f>('TCO TO BE - HW'!X5+NPV(Faktory!$D$5,'TCO TO BE - HW'!X6:X14)+'TCO TO BE - HW'!X66+NPV(Faktory!$D$5,'TCO TO BE - HW'!X67:X75))</f>
        <v>0</v>
      </c>
      <c r="AZ8" s="472">
        <f>('TCO TO BE - HW'!Y5+NPV(Faktory!$D$5,'TCO TO BE - HW'!Y6:Y14)+'TCO TO BE - HW'!Y66+NPV(Faktory!$D$5,'TCO TO BE - HW'!Y67:Y75))</f>
        <v>0</v>
      </c>
      <c r="BA8" s="472">
        <f>('TCO TO BE - HW'!Z5+NPV(Faktory!$D$5,'TCO TO BE - HW'!Z6:Z14)+'TCO TO BE - HW'!Z66+NPV(Faktory!$D$5,'TCO TO BE - HW'!Z67:Z75))</f>
        <v>0</v>
      </c>
    </row>
    <row r="9" spans="1:53">
      <c r="A9" s="457"/>
      <c r="B9" s="458" t="s">
        <v>106</v>
      </c>
      <c r="C9" s="458"/>
      <c r="D9" s="459">
        <f>SUM(E9:Y9)</f>
        <v>15739426.612275032</v>
      </c>
      <c r="E9" s="459">
        <f>SUM(E10:E12)</f>
        <v>138745.70718592481</v>
      </c>
      <c r="F9" s="459">
        <f>SUM(F10:F12)</f>
        <v>0</v>
      </c>
      <c r="G9" s="459">
        <f>SUM(G10:G12)</f>
        <v>318410.46516179969</v>
      </c>
      <c r="H9" s="459">
        <f>SUM(H10:H12)</f>
        <v>657377.71542063251</v>
      </c>
      <c r="I9" s="459">
        <f>SUM(I10:I12)</f>
        <v>398270.05156247498</v>
      </c>
      <c r="J9" s="459">
        <f>SUM(J10+J11)</f>
        <v>269309.7859546062</v>
      </c>
      <c r="K9" s="459">
        <f>SUM(K10:K12)</f>
        <v>312547.88701918453</v>
      </c>
      <c r="L9" s="459">
        <f>SUM(L10:L12)</f>
        <v>5685246.7594386032</v>
      </c>
      <c r="M9" s="459">
        <f>SUM(M10:M12)</f>
        <v>676094.18945275585</v>
      </c>
      <c r="N9" s="459">
        <f>SUM(N10+N11)</f>
        <v>3643493.5820792378</v>
      </c>
      <c r="O9" s="459">
        <f>SUM(O10:O12)</f>
        <v>369188.02053533727</v>
      </c>
      <c r="P9" s="459">
        <f>SUM(P10:P12)</f>
        <v>2349360.7636446408</v>
      </c>
      <c r="Q9" s="459">
        <f>SUM(Q10:Q12)</f>
        <v>921381.68481983384</v>
      </c>
      <c r="R9" s="459">
        <f>SUM(R10+R11)</f>
        <v>0</v>
      </c>
      <c r="S9" s="459">
        <f>SUM(S10:S12)</f>
        <v>0</v>
      </c>
      <c r="T9" s="459">
        <f>SUM(T10:T12)</f>
        <v>0</v>
      </c>
      <c r="U9" s="459">
        <f>SUM(U10:U12)</f>
        <v>0</v>
      </c>
      <c r="V9" s="459">
        <f>SUM(V10+V11)</f>
        <v>0</v>
      </c>
      <c r="W9" s="459">
        <f>SUM(W10:W12)</f>
        <v>0</v>
      </c>
      <c r="X9" s="459">
        <f>SUM(X10:X12)</f>
        <v>0</v>
      </c>
      <c r="Y9" s="459">
        <f>SUM(Y10:Y12)</f>
        <v>0</v>
      </c>
      <c r="AC9" s="457"/>
      <c r="AD9" s="458" t="s">
        <v>106</v>
      </c>
      <c r="AE9" s="458"/>
      <c r="AF9" s="459">
        <f>SUM(AG9:BA9)</f>
        <v>12322967.561555091</v>
      </c>
      <c r="AG9" s="459">
        <f t="shared" ref="AG9:BA9" si="2">SUM(AG10:AG12)</f>
        <v>107828.84997515156</v>
      </c>
      <c r="AH9" s="459">
        <f t="shared" si="2"/>
        <v>0</v>
      </c>
      <c r="AI9" s="459">
        <f t="shared" si="2"/>
        <v>254834.9132545848</v>
      </c>
      <c r="AJ9" s="459">
        <f t="shared" si="2"/>
        <v>497665.323918743</v>
      </c>
      <c r="AK9" s="459">
        <f t="shared" si="2"/>
        <v>309523.10172723373</v>
      </c>
      <c r="AL9" s="459">
        <f t="shared" si="2"/>
        <v>215537.94064990577</v>
      </c>
      <c r="AM9" s="459">
        <f t="shared" si="2"/>
        <v>236613.20088100948</v>
      </c>
      <c r="AN9" s="459">
        <f t="shared" si="2"/>
        <v>4418397.0252408031</v>
      </c>
      <c r="AO9" s="459">
        <f t="shared" si="2"/>
        <v>523797.0272546687</v>
      </c>
      <c r="AP9" s="459">
        <f t="shared" si="2"/>
        <v>2916013.9898699271</v>
      </c>
      <c r="AQ9" s="459">
        <f t="shared" si="2"/>
        <v>279492.40066507983</v>
      </c>
      <c r="AR9" s="459">
        <f t="shared" si="2"/>
        <v>1825850.1431044252</v>
      </c>
      <c r="AS9" s="459">
        <f t="shared" si="2"/>
        <v>737413.64501355891</v>
      </c>
      <c r="AT9" s="459">
        <f t="shared" si="2"/>
        <v>0</v>
      </c>
      <c r="AU9" s="459">
        <f t="shared" si="2"/>
        <v>0</v>
      </c>
      <c r="AV9" s="459">
        <f t="shared" si="2"/>
        <v>0</v>
      </c>
      <c r="AW9" s="459">
        <f t="shared" si="2"/>
        <v>0</v>
      </c>
      <c r="AX9" s="459">
        <f t="shared" si="2"/>
        <v>0</v>
      </c>
      <c r="AY9" s="459">
        <f t="shared" si="2"/>
        <v>0</v>
      </c>
      <c r="AZ9" s="459">
        <f t="shared" si="2"/>
        <v>0</v>
      </c>
      <c r="BA9" s="459">
        <f t="shared" si="2"/>
        <v>0</v>
      </c>
    </row>
    <row r="10" spans="1:53">
      <c r="A10" s="460"/>
      <c r="B10" s="460"/>
      <c r="C10" s="461" t="s">
        <v>103</v>
      </c>
      <c r="D10" s="476">
        <f>SUM(E10:Y10)</f>
        <v>15739426.612275032</v>
      </c>
      <c r="E10" s="472">
        <f>SUM('TCO TO BE- SW'!F47:F76)+SUM('TCO TO BE- SW'!F100:F119)+SUM('TCO TO BE- SW'!E130:E149)</f>
        <v>138745.70718592481</v>
      </c>
      <c r="F10" s="472">
        <f>SUM('TCO TO BE- SW'!G47:G76)+SUM('TCO TO BE- SW'!G100:G119)+SUM('TCO TO BE- SW'!F130:F149)</f>
        <v>0</v>
      </c>
      <c r="G10" s="472">
        <f>SUM('TCO TO BE- SW'!H47:H76)+SUM('TCO TO BE- SW'!H100:H119)+SUM('TCO TO BE- SW'!G130:G149)</f>
        <v>318410.46516179969</v>
      </c>
      <c r="H10" s="472">
        <f>SUM('TCO TO BE- SW'!I47:I76)+SUM('TCO TO BE- SW'!I100:I119)+SUM('TCO TO BE- SW'!H130:H149)</f>
        <v>657377.71542063251</v>
      </c>
      <c r="I10" s="472">
        <f>SUM('TCO TO BE- SW'!J47:J76)+SUM('TCO TO BE- SW'!J100:J119)+SUM('TCO TO BE- SW'!I130:I149)</f>
        <v>398270.05156247498</v>
      </c>
      <c r="J10" s="472">
        <f>SUM('TCO TO BE- SW'!K47:K76)+SUM('TCO TO BE- SW'!K100:K119)+SUM('TCO TO BE- SW'!J130:J149)</f>
        <v>269309.7859546062</v>
      </c>
      <c r="K10" s="472">
        <f>SUM('TCO TO BE- SW'!L47:L76)+SUM('TCO TO BE- SW'!L100:L119)+SUM('TCO TO BE- SW'!K130:K149)</f>
        <v>312547.88701918453</v>
      </c>
      <c r="L10" s="472">
        <f>SUM('TCO TO BE- SW'!M47:M76)+SUM('TCO TO BE- SW'!M100:M119)+SUM('TCO TO BE- SW'!L130:L149)</f>
        <v>5685246.7594386032</v>
      </c>
      <c r="M10" s="472">
        <f>SUM('TCO TO BE- SW'!N47:N76)+SUM('TCO TO BE- SW'!N100:N119)+SUM('TCO TO BE- SW'!M130:M149)</f>
        <v>676094.18945275585</v>
      </c>
      <c r="N10" s="472">
        <f>SUM('TCO TO BE- SW'!O47:O76)+SUM('TCO TO BE- SW'!O100:O119)+SUM('TCO TO BE- SW'!N130:N149)</f>
        <v>3643493.5820792378</v>
      </c>
      <c r="O10" s="472">
        <f>SUM('TCO TO BE- SW'!P47:P76)+SUM('TCO TO BE- SW'!P100:P119)+SUM('TCO TO BE- SW'!O130:O149)</f>
        <v>369188.02053533727</v>
      </c>
      <c r="P10" s="472">
        <f>SUM('TCO TO BE- SW'!Q47:Q76)+SUM('TCO TO BE- SW'!Q100:Q119)+SUM('TCO TO BE- SW'!P130:P149)</f>
        <v>2349360.7636446408</v>
      </c>
      <c r="Q10" s="472">
        <f>SUM('TCO TO BE- SW'!R47:R76)+SUM('TCO TO BE- SW'!R100:R119)+SUM('TCO TO BE- SW'!Q130:Q149)</f>
        <v>921381.68481983384</v>
      </c>
      <c r="R10" s="472">
        <f>SUM('TCO TO BE- SW'!S47:S76)+SUM('TCO TO BE- SW'!S100:S119)+SUM('TCO TO BE- SW'!R130:R149)</f>
        <v>0</v>
      </c>
      <c r="S10" s="472">
        <f>SUM('TCO TO BE- SW'!T47:T76)+SUM('TCO TO BE- SW'!T100:T119)+SUM('TCO TO BE- SW'!S130:S149)</f>
        <v>0</v>
      </c>
      <c r="T10" s="472">
        <f>SUM('TCO TO BE- SW'!U47:U76)+SUM('TCO TO BE- SW'!U100:U119)+SUM('TCO TO BE- SW'!T130:T149)</f>
        <v>0</v>
      </c>
      <c r="U10" s="472">
        <f>SUM('TCO TO BE- SW'!V47:V76)+SUM('TCO TO BE- SW'!V100:V119)+SUM('TCO TO BE- SW'!U130:U149)</f>
        <v>0</v>
      </c>
      <c r="V10" s="472">
        <f>SUM('TCO TO BE- SW'!W47:W76)+SUM('TCO TO BE- SW'!W100:W119)+SUM('TCO TO BE- SW'!V130:V149)</f>
        <v>0</v>
      </c>
      <c r="W10" s="472">
        <f>SUM('TCO TO BE- SW'!X47:X76)+SUM('TCO TO BE- SW'!X100:X119)+SUM('TCO TO BE- SW'!W130:W149)</f>
        <v>0</v>
      </c>
      <c r="X10" s="472">
        <f>SUM('TCO TO BE- SW'!Y47:Y76)+SUM('TCO TO BE- SW'!Y100:Y119)+SUM('TCO TO BE- SW'!X130:X149)</f>
        <v>0</v>
      </c>
      <c r="Y10" s="472">
        <f>SUM('TCO TO BE- SW'!Z47:Z76)+SUM('TCO TO BE- SW'!Z100:Z119)+SUM('TCO TO BE- SW'!Y130:Y149)</f>
        <v>0</v>
      </c>
      <c r="AC10" s="460"/>
      <c r="AD10" s="460"/>
      <c r="AE10" s="461" t="s">
        <v>103</v>
      </c>
      <c r="AF10" s="473">
        <f>SUM(AG10:BA10)</f>
        <v>12322967.561555091</v>
      </c>
      <c r="AG10" s="472">
        <f>('TCO TO BE- SW'!F47+NPV(Faktory!$D$5,'TCO TO BE- SW'!F48:F56)+'TCO TO BE- SW'!F57+NPV(Faktory!$D$5,'TCO TO BE- SW'!F58:F66)+'TCO TO BE- SW'!F67+NPV(Faktory!$D$5,'TCO TO BE- SW'!F68:F76)+'TCO TO BE- SW'!F100+NPV(Faktory!$D$5,'TCO TO BE- SW'!F101:F109)+'TCO TO BE- SW'!F110+NPV(Faktory!$D$5,'TCO TO BE- SW'!F111:F119)+'TCO TO BE- SW'!F130+NPV(Faktory!$D$5,'TCO TO BE- SW'!F131:F139)+'TCO TO BE- SW'!F140+NPV(Faktory!$D$5,'TCO TO BE- SW'!F141:F149))</f>
        <v>107828.84997515156</v>
      </c>
      <c r="AH10" s="472">
        <f>('TCO TO BE- SW'!G47+NPV(Faktory!$D$5,'TCO TO BE- SW'!G48:G56)+'TCO TO BE- SW'!G57+NPV(Faktory!$D$5,'TCO TO BE- SW'!G58:G66)+'TCO TO BE- SW'!G67+NPV(Faktory!$D$5,'TCO TO BE- SW'!G68:G76)+'TCO TO BE- SW'!G100+NPV(Faktory!$D$5,'TCO TO BE- SW'!G101:G109)+'TCO TO BE- SW'!G110+NPV(Faktory!$D$5,'TCO TO BE- SW'!G111:G119)+'TCO TO BE- SW'!G130+NPV(Faktory!$D$5,'TCO TO BE- SW'!G131:G139)+'TCO TO BE- SW'!G140+NPV(Faktory!$D$5,'TCO TO BE- SW'!G141:G149))</f>
        <v>0</v>
      </c>
      <c r="AI10" s="472">
        <f>('TCO TO BE- SW'!H47+NPV(Faktory!$D$5,'TCO TO BE- SW'!H48:H56)+'TCO TO BE- SW'!H57+NPV(Faktory!$D$5,'TCO TO BE- SW'!H58:H66)+'TCO TO BE- SW'!H67+NPV(Faktory!$D$5,'TCO TO BE- SW'!H68:H76)+'TCO TO BE- SW'!H100+NPV(Faktory!$D$5,'TCO TO BE- SW'!H101:H109)+'TCO TO BE- SW'!H110+NPV(Faktory!$D$5,'TCO TO BE- SW'!H111:H119)+'TCO TO BE- SW'!H130+NPV(Faktory!$D$5,'TCO TO BE- SW'!H131:H139)+'TCO TO BE- SW'!H140+NPV(Faktory!$D$5,'TCO TO BE- SW'!H141:H149))</f>
        <v>254834.9132545848</v>
      </c>
      <c r="AJ10" s="472">
        <f>('TCO TO BE- SW'!I47+NPV(Faktory!$D$5,'TCO TO BE- SW'!I48:I56)+'TCO TO BE- SW'!I57+NPV(Faktory!$D$5,'TCO TO BE- SW'!I58:I66)+'TCO TO BE- SW'!I67+NPV(Faktory!$D$5,'TCO TO BE- SW'!I68:I76)+'TCO TO BE- SW'!I100+NPV(Faktory!$D$5,'TCO TO BE- SW'!I101:I109)+'TCO TO BE- SW'!I110+NPV(Faktory!$D$5,'TCO TO BE- SW'!I111:I119)+'TCO TO BE- SW'!I130+NPV(Faktory!$D$5,'TCO TO BE- SW'!I131:I139)+'TCO TO BE- SW'!I140+NPV(Faktory!$D$5,'TCO TO BE- SW'!I141:I149))</f>
        <v>497665.323918743</v>
      </c>
      <c r="AK10" s="472">
        <f>('TCO TO BE- SW'!J47+NPV(Faktory!$D$5,'TCO TO BE- SW'!J48:J56)+'TCO TO BE- SW'!J57+NPV(Faktory!$D$5,'TCO TO BE- SW'!J58:J66)+'TCO TO BE- SW'!J67+NPV(Faktory!$D$5,'TCO TO BE- SW'!J68:J76)+'TCO TO BE- SW'!J100+NPV(Faktory!$D$5,'TCO TO BE- SW'!J101:J109)+'TCO TO BE- SW'!J110+NPV(Faktory!$D$5,'TCO TO BE- SW'!J111:J119)+'TCO TO BE- SW'!J130+NPV(Faktory!$D$5,'TCO TO BE- SW'!J131:J139)+'TCO TO BE- SW'!J140+NPV(Faktory!$D$5,'TCO TO BE- SW'!J141:J149))</f>
        <v>309523.10172723373</v>
      </c>
      <c r="AL10" s="472">
        <f>('TCO TO BE- SW'!K47+NPV(Faktory!$D$5,'TCO TO BE- SW'!K48:K56)+'TCO TO BE- SW'!K57+NPV(Faktory!$D$5,'TCO TO BE- SW'!K58:K66)+'TCO TO BE- SW'!K67+NPV(Faktory!$D$5,'TCO TO BE- SW'!K68:K76)+'TCO TO BE- SW'!K100+NPV(Faktory!$D$5,'TCO TO BE- SW'!K101:K109)+'TCO TO BE- SW'!K110+NPV(Faktory!$D$5,'TCO TO BE- SW'!K111:K119)+'TCO TO BE- SW'!K130+NPV(Faktory!$D$5,'TCO TO BE- SW'!K131:K139)+'TCO TO BE- SW'!K140+NPV(Faktory!$D$5,'TCO TO BE- SW'!K141:K149))</f>
        <v>215537.94064990577</v>
      </c>
      <c r="AM10" s="472">
        <f>('TCO TO BE- SW'!L47+NPV(Faktory!$D$5,'TCO TO BE- SW'!L48:L56)+'TCO TO BE- SW'!L57+NPV(Faktory!$D$5,'TCO TO BE- SW'!L58:L66)+'TCO TO BE- SW'!L67+NPV(Faktory!$D$5,'TCO TO BE- SW'!L68:L76)+'TCO TO BE- SW'!L100+NPV(Faktory!$D$5,'TCO TO BE- SW'!L101:L109)+'TCO TO BE- SW'!L110+NPV(Faktory!$D$5,'TCO TO BE- SW'!L111:L119)+'TCO TO BE- SW'!L130+NPV(Faktory!$D$5,'TCO TO BE- SW'!L131:L139)+'TCO TO BE- SW'!L140+NPV(Faktory!$D$5,'TCO TO BE- SW'!L141:L149))</f>
        <v>236613.20088100948</v>
      </c>
      <c r="AN10" s="472">
        <f>('TCO TO BE- SW'!M47+NPV(Faktory!$D$5,'TCO TO BE- SW'!M48:M56)+'TCO TO BE- SW'!M57+NPV(Faktory!$D$5,'TCO TO BE- SW'!M58:M66)+'TCO TO BE- SW'!M67+NPV(Faktory!$D$5,'TCO TO BE- SW'!M68:M76)+'TCO TO BE- SW'!M100+NPV(Faktory!$D$5,'TCO TO BE- SW'!M101:M109)+'TCO TO BE- SW'!M110+NPV(Faktory!$D$5,'TCO TO BE- SW'!M111:M119)+'TCO TO BE- SW'!M130+NPV(Faktory!$D$5,'TCO TO BE- SW'!M131:M139)+'TCO TO BE- SW'!M140+NPV(Faktory!$D$5,'TCO TO BE- SW'!M141:M149))</f>
        <v>4418397.0252408031</v>
      </c>
      <c r="AO10" s="472">
        <f>('TCO TO BE- SW'!N47+NPV(Faktory!$D$5,'TCO TO BE- SW'!N48:N56)+'TCO TO BE- SW'!N57+NPV(Faktory!$D$5,'TCO TO BE- SW'!N58:N66)+'TCO TO BE- SW'!N67+NPV(Faktory!$D$5,'TCO TO BE- SW'!N68:N76)+'TCO TO BE- SW'!N100+NPV(Faktory!$D$5,'TCO TO BE- SW'!N101:N109)+'TCO TO BE- SW'!N110+NPV(Faktory!$D$5,'TCO TO BE- SW'!N111:N119)+'TCO TO BE- SW'!N130+NPV(Faktory!$D$5,'TCO TO BE- SW'!N131:N139)+'TCO TO BE- SW'!N140+NPV(Faktory!$D$5,'TCO TO BE- SW'!N141:N149))</f>
        <v>523797.0272546687</v>
      </c>
      <c r="AP10" s="472">
        <f>('TCO TO BE- SW'!O47+NPV(Faktory!$D$5,'TCO TO BE- SW'!O48:O56)+'TCO TO BE- SW'!O57+NPV(Faktory!$D$5,'TCO TO BE- SW'!O58:O66)+'TCO TO BE- SW'!O67+NPV(Faktory!$D$5,'TCO TO BE- SW'!O68:O76)+'TCO TO BE- SW'!O100+NPV(Faktory!$D$5,'TCO TO BE- SW'!O101:O109)+'TCO TO BE- SW'!O110+NPV(Faktory!$D$5,'TCO TO BE- SW'!O111:O119)+'TCO TO BE- SW'!O130+NPV(Faktory!$D$5,'TCO TO BE- SW'!O131:O139)+'TCO TO BE- SW'!O140+NPV(Faktory!$D$5,'TCO TO BE- SW'!O141:O149))</f>
        <v>2916013.9898699271</v>
      </c>
      <c r="AQ10" s="472">
        <f>('TCO TO BE- SW'!P47+NPV(Faktory!$D$5,'TCO TO BE- SW'!P48:P56)+'TCO TO BE- SW'!P57+NPV(Faktory!$D$5,'TCO TO BE- SW'!P58:P66)+'TCO TO BE- SW'!P67+NPV(Faktory!$D$5,'TCO TO BE- SW'!P68:P76)+'TCO TO BE- SW'!P100+NPV(Faktory!$D$5,'TCO TO BE- SW'!P101:P109)+'TCO TO BE- SW'!P110+NPV(Faktory!$D$5,'TCO TO BE- SW'!P111:P119)+'TCO TO BE- SW'!P130+NPV(Faktory!$D$5,'TCO TO BE- SW'!P131:P139)+'TCO TO BE- SW'!P140+NPV(Faktory!$D$5,'TCO TO BE- SW'!P141:P149))</f>
        <v>279492.40066507983</v>
      </c>
      <c r="AR10" s="472">
        <f>('TCO TO BE- SW'!Q47+NPV(Faktory!$D$5,'TCO TO BE- SW'!Q48:Q56)+'TCO TO BE- SW'!Q57+NPV(Faktory!$D$5,'TCO TO BE- SW'!Q58:Q66)+'TCO TO BE- SW'!Q67+NPV(Faktory!$D$5,'TCO TO BE- SW'!Q68:Q76)+'TCO TO BE- SW'!Q100+NPV(Faktory!$D$5,'TCO TO BE- SW'!Q101:Q109)+'TCO TO BE- SW'!Q110+NPV(Faktory!$D$5,'TCO TO BE- SW'!Q111:Q119)+'TCO TO BE- SW'!Q130+NPV(Faktory!$D$5,'TCO TO BE- SW'!Q131:Q139)+'TCO TO BE- SW'!Q140+NPV(Faktory!$D$5,'TCO TO BE- SW'!Q141:Q149))</f>
        <v>1825850.1431044252</v>
      </c>
      <c r="AS10" s="472">
        <f>('TCO TO BE- SW'!R47+NPV(Faktory!$D$5,'TCO TO BE- SW'!R48:R56)+'TCO TO BE- SW'!R57+NPV(Faktory!$D$5,'TCO TO BE- SW'!R58:R66)+'TCO TO BE- SW'!R67+NPV(Faktory!$D$5,'TCO TO BE- SW'!R68:R76)+'TCO TO BE- SW'!R100+NPV(Faktory!$D$5,'TCO TO BE- SW'!R101:R109)+'TCO TO BE- SW'!R110+NPV(Faktory!$D$5,'TCO TO BE- SW'!R111:R119)+'TCO TO BE- SW'!R130+NPV(Faktory!$D$5,'TCO TO BE- SW'!R131:R139)+'TCO TO BE- SW'!R140+NPV(Faktory!$D$5,'TCO TO BE- SW'!R141:R149))</f>
        <v>737413.64501355891</v>
      </c>
      <c r="AT10" s="472">
        <f>('TCO TO BE- SW'!S47+NPV(Faktory!$D$5,'TCO TO BE- SW'!S48:S56)+'TCO TO BE- SW'!S57+NPV(Faktory!$D$5,'TCO TO BE- SW'!S58:S66)+'TCO TO BE- SW'!S67+NPV(Faktory!$D$5,'TCO TO BE- SW'!S68:S76)+'TCO TO BE- SW'!S100+NPV(Faktory!$D$5,'TCO TO BE- SW'!S101:S109)+'TCO TO BE- SW'!S110+NPV(Faktory!$D$5,'TCO TO BE- SW'!S111:S119)+'TCO TO BE- SW'!S130+NPV(Faktory!$D$5,'TCO TO BE- SW'!S131:S139)+'TCO TO BE- SW'!S140+NPV(Faktory!$D$5,'TCO TO BE- SW'!S141:S149))</f>
        <v>0</v>
      </c>
      <c r="AU10" s="472">
        <f>('TCO TO BE- SW'!T47+NPV(Faktory!$D$5,'TCO TO BE- SW'!T48:T56)+'TCO TO BE- SW'!T57+NPV(Faktory!$D$5,'TCO TO BE- SW'!T58:T66)+'TCO TO BE- SW'!T67+NPV(Faktory!$D$5,'TCO TO BE- SW'!T68:T76)+'TCO TO BE- SW'!T100+NPV(Faktory!$D$5,'TCO TO BE- SW'!T101:T109)+'TCO TO BE- SW'!T110+NPV(Faktory!$D$5,'TCO TO BE- SW'!T111:T119)+'TCO TO BE- SW'!T130+NPV(Faktory!$D$5,'TCO TO BE- SW'!T131:T139)+'TCO TO BE- SW'!T140+NPV(Faktory!$D$5,'TCO TO BE- SW'!T141:T149))</f>
        <v>0</v>
      </c>
      <c r="AV10" s="472">
        <f>('TCO TO BE- SW'!U47+NPV(Faktory!$D$5,'TCO TO BE- SW'!U48:U56)+'TCO TO BE- SW'!U57+NPV(Faktory!$D$5,'TCO TO BE- SW'!U58:U66)+'TCO TO BE- SW'!U67+NPV(Faktory!$D$5,'TCO TO BE- SW'!U68:U76)+'TCO TO BE- SW'!U100+NPV(Faktory!$D$5,'TCO TO BE- SW'!U101:U109)+'TCO TO BE- SW'!U110+NPV(Faktory!$D$5,'TCO TO BE- SW'!U111:U119)+'TCO TO BE- SW'!U130+NPV(Faktory!$D$5,'TCO TO BE- SW'!U131:U139)+'TCO TO BE- SW'!U140+NPV(Faktory!$D$5,'TCO TO BE- SW'!U141:U149))</f>
        <v>0</v>
      </c>
      <c r="AW10" s="472">
        <f>('TCO TO BE- SW'!V47+NPV(Faktory!$D$5,'TCO TO BE- SW'!V48:V56)+'TCO TO BE- SW'!V57+NPV(Faktory!$D$5,'TCO TO BE- SW'!V58:V66)+'TCO TO BE- SW'!V67+NPV(Faktory!$D$5,'TCO TO BE- SW'!V68:V76)+'TCO TO BE- SW'!V100+NPV(Faktory!$D$5,'TCO TO BE- SW'!V101:V109)+'TCO TO BE- SW'!V110+NPV(Faktory!$D$5,'TCO TO BE- SW'!V111:V119)+'TCO TO BE- SW'!V130+NPV(Faktory!$D$5,'TCO TO BE- SW'!V131:V139)+'TCO TO BE- SW'!V140+NPV(Faktory!$D$5,'TCO TO BE- SW'!V141:V149))</f>
        <v>0</v>
      </c>
      <c r="AX10" s="472">
        <f>('TCO TO BE- SW'!W47+NPV(Faktory!$D$5,'TCO TO BE- SW'!W48:W56)+'TCO TO BE- SW'!W57+NPV(Faktory!$D$5,'TCO TO BE- SW'!W58:W66)+'TCO TO BE- SW'!W67+NPV(Faktory!$D$5,'TCO TO BE- SW'!W68:W76)+'TCO TO BE- SW'!W100+NPV(Faktory!$D$5,'TCO TO BE- SW'!W101:W109)+'TCO TO BE- SW'!W110+NPV(Faktory!$D$5,'TCO TO BE- SW'!W111:W119)+'TCO TO BE- SW'!W130+NPV(Faktory!$D$5,'TCO TO BE- SW'!W131:W139)+'TCO TO BE- SW'!W140+NPV(Faktory!$D$5,'TCO TO BE- SW'!W141:W149))</f>
        <v>0</v>
      </c>
      <c r="AY10" s="472">
        <f>('TCO TO BE- SW'!X47+NPV(Faktory!$D$5,'TCO TO BE- SW'!X48:X56)+'TCO TO BE- SW'!X57+NPV(Faktory!$D$5,'TCO TO BE- SW'!X58:X66)+'TCO TO BE- SW'!X67+NPV(Faktory!$D$5,'TCO TO BE- SW'!X68:X76)+'TCO TO BE- SW'!X100+NPV(Faktory!$D$5,'TCO TO BE- SW'!X101:X109)+'TCO TO BE- SW'!X110+NPV(Faktory!$D$5,'TCO TO BE- SW'!X111:X119)+'TCO TO BE- SW'!X130+NPV(Faktory!$D$5,'TCO TO BE- SW'!X131:X139)+'TCO TO BE- SW'!X140+NPV(Faktory!$D$5,'TCO TO BE- SW'!X141:X149))</f>
        <v>0</v>
      </c>
      <c r="AZ10" s="472">
        <f>('TCO TO BE- SW'!Y47+NPV(Faktory!$D$5,'TCO TO BE- SW'!Y48:Y56)+'TCO TO BE- SW'!Y57+NPV(Faktory!$D$5,'TCO TO BE- SW'!Y58:Y66)+'TCO TO BE- SW'!Y67+NPV(Faktory!$D$5,'TCO TO BE- SW'!Y68:Y76)+'TCO TO BE- SW'!Y100+NPV(Faktory!$D$5,'TCO TO BE- SW'!Y101:Y109)+'TCO TO BE- SW'!Y110+NPV(Faktory!$D$5,'TCO TO BE- SW'!Y111:Y119)+'TCO TO BE- SW'!Y130+NPV(Faktory!$D$5,'TCO TO BE- SW'!Y131:Y139)+'TCO TO BE- SW'!Y140+NPV(Faktory!$D$5,'TCO TO BE- SW'!Y141:Y149))</f>
        <v>0</v>
      </c>
      <c r="BA10" s="472">
        <f>('TCO TO BE- SW'!Z47+NPV(Faktory!$D$5,'TCO TO BE- SW'!Z48:Z56)+'TCO TO BE- SW'!Z57+NPV(Faktory!$D$5,'TCO TO BE- SW'!Z58:Z66)+'TCO TO BE- SW'!Z67+NPV(Faktory!$D$5,'TCO TO BE- SW'!Z68:Z76)+'TCO TO BE- SW'!Z100+NPV(Faktory!$D$5,'TCO TO BE- SW'!Z101:Z109)+'TCO TO BE- SW'!Z110+NPV(Faktory!$D$5,'TCO TO BE- SW'!Z111:Z119)+'TCO TO BE- SW'!Z130+NPV(Faktory!$D$5,'TCO TO BE- SW'!Z131:Z139)+'TCO TO BE- SW'!Z140+NPV(Faktory!$D$5,'TCO TO BE- SW'!Z141:Z149))</f>
        <v>0</v>
      </c>
    </row>
    <row r="11" spans="1:53">
      <c r="A11" s="460"/>
      <c r="B11" s="460"/>
      <c r="C11" s="461" t="s">
        <v>104</v>
      </c>
      <c r="D11" s="477">
        <f>SUM(E11:Y11)</f>
        <v>0</v>
      </c>
      <c r="E11" s="472">
        <f>SUM('TCO TO BE- SW'!F16:F35)+SUM('TCO TO BE- SW'!F79:F88)</f>
        <v>0</v>
      </c>
      <c r="F11" s="472">
        <f>SUM('TCO TO BE- SW'!G16:G35)+SUM('TCO TO BE- SW'!G79:G88)</f>
        <v>0</v>
      </c>
      <c r="G11" s="472">
        <f>SUM('TCO TO BE- SW'!H16:H35)+SUM('TCO TO BE- SW'!H79:H88)</f>
        <v>0</v>
      </c>
      <c r="H11" s="472">
        <f>SUM('TCO TO BE- SW'!I16:I35)+SUM('TCO TO BE- SW'!I79:I88)</f>
        <v>0</v>
      </c>
      <c r="I11" s="472">
        <f>SUM('TCO TO BE- SW'!J16:J35)+SUM('TCO TO BE- SW'!J79:J88)</f>
        <v>0</v>
      </c>
      <c r="J11" s="472">
        <f>SUM('TCO TO BE- SW'!K16:K35)+SUM('TCO TO BE- SW'!K79:K88)</f>
        <v>0</v>
      </c>
      <c r="K11" s="472">
        <f>SUM('TCO TO BE- SW'!L16:L35)+SUM('TCO TO BE- SW'!L79:L88)</f>
        <v>0</v>
      </c>
      <c r="L11" s="472">
        <f>SUM('TCO TO BE- SW'!M16:M35)+SUM('TCO TO BE- SW'!M79:M88)</f>
        <v>0</v>
      </c>
      <c r="M11" s="472">
        <f>SUM('TCO TO BE- SW'!N16:N35)+SUM('TCO TO BE- SW'!N79:N88)</f>
        <v>0</v>
      </c>
      <c r="N11" s="472">
        <f>SUM('TCO TO BE- SW'!O16:O35)+SUM('TCO TO BE- SW'!O79:O88)</f>
        <v>0</v>
      </c>
      <c r="O11" s="472">
        <f>SUM('TCO TO BE- SW'!P16:P35)+SUM('TCO TO BE- SW'!P79:P88)</f>
        <v>0</v>
      </c>
      <c r="P11" s="472">
        <f>SUM('TCO TO BE- SW'!Q16:Q35)+SUM('TCO TO BE- SW'!Q79:Q88)</f>
        <v>0</v>
      </c>
      <c r="Q11" s="472">
        <f>SUM('TCO TO BE- SW'!R16:R35)+SUM('TCO TO BE- SW'!R79:R88)</f>
        <v>0</v>
      </c>
      <c r="R11" s="472">
        <f>SUM('TCO TO BE- SW'!S16:S35)+SUM('TCO TO BE- SW'!S79:S88)</f>
        <v>0</v>
      </c>
      <c r="S11" s="472">
        <f>SUM('TCO TO BE- SW'!T16:T35)+SUM('TCO TO BE- SW'!T79:T88)</f>
        <v>0</v>
      </c>
      <c r="T11" s="472">
        <f>SUM('TCO TO BE- SW'!U16:U35)+SUM('TCO TO BE- SW'!U79:U88)</f>
        <v>0</v>
      </c>
      <c r="U11" s="472">
        <f>SUM('TCO TO BE- SW'!V16:V35)+SUM('TCO TO BE- SW'!V79:V88)</f>
        <v>0</v>
      </c>
      <c r="V11" s="472">
        <f>SUM('TCO TO BE- SW'!W16:W35)+SUM('TCO TO BE- SW'!W79:W88)</f>
        <v>0</v>
      </c>
      <c r="W11" s="472">
        <f>SUM('TCO TO BE- SW'!X16:X35)+SUM('TCO TO BE- SW'!X79:X88)</f>
        <v>0</v>
      </c>
      <c r="X11" s="472">
        <f>SUM('TCO TO BE- SW'!Y16:Y35)+SUM('TCO TO BE- SW'!Y79:Y88)</f>
        <v>0</v>
      </c>
      <c r="Y11" s="472">
        <f>SUM('TCO TO BE- SW'!Z16:Z35)+SUM('TCO TO BE- SW'!Z79:Z88)</f>
        <v>0</v>
      </c>
      <c r="AC11" s="460"/>
      <c r="AD11" s="460"/>
      <c r="AE11" s="461" t="s">
        <v>104</v>
      </c>
      <c r="AF11" s="472">
        <f>SUM(AG11:BA11)</f>
        <v>0</v>
      </c>
      <c r="AG11" s="472">
        <f>('TCO TO BE- SW'!F16+NPV(Faktory!$D$5,'TCO TO BE- SW'!F17:F25)+'TCO TO BE- SW'!F26+NPV(Faktory!$D$5,'TCO TO BE- SW'!F27:F35)+'TCO TO BE- SW'!F79+NPV(Faktory!$D$5,'TCO TO BE- SW'!F80:F88))</f>
        <v>0</v>
      </c>
      <c r="AH11" s="472">
        <f>('TCO TO BE- SW'!G16+NPV(Faktory!$D$5,'TCO TO BE- SW'!G17:G25)+'TCO TO BE- SW'!G26+NPV(Faktory!$D$5,'TCO TO BE- SW'!G27:G35)+'TCO TO BE- SW'!G79+NPV(Faktory!$D$5,'TCO TO BE- SW'!G80:G88))</f>
        <v>0</v>
      </c>
      <c r="AI11" s="472">
        <f>('TCO TO BE- SW'!H16+NPV(Faktory!$D$5,'TCO TO BE- SW'!H17:H25)+'TCO TO BE- SW'!H26+NPV(Faktory!$D$5,'TCO TO BE- SW'!H27:H35)+'TCO TO BE- SW'!H79+NPV(Faktory!$D$5,'TCO TO BE- SW'!H80:H88))</f>
        <v>0</v>
      </c>
      <c r="AJ11" s="472">
        <f>('TCO TO BE- SW'!I16+NPV(Faktory!$D$5,'TCO TO BE- SW'!I17:I25)+'TCO TO BE- SW'!I26+NPV(Faktory!$D$5,'TCO TO BE- SW'!I27:I35)+'TCO TO BE- SW'!I79+NPV(Faktory!$D$5,'TCO TO BE- SW'!I80:I88))</f>
        <v>0</v>
      </c>
      <c r="AK11" s="472">
        <f>('TCO TO BE- SW'!J16+NPV(Faktory!$D$5,'TCO TO BE- SW'!J17:J25)+'TCO TO BE- SW'!J26+NPV(Faktory!$D$5,'TCO TO BE- SW'!J27:J35)+'TCO TO BE- SW'!J79+NPV(Faktory!$D$5,'TCO TO BE- SW'!J80:J88))</f>
        <v>0</v>
      </c>
      <c r="AL11" s="472">
        <f>('TCO TO BE- SW'!K16+NPV(Faktory!$D$5,'TCO TO BE- SW'!K17:K25)+'TCO TO BE- SW'!K26+NPV(Faktory!$D$5,'TCO TO BE- SW'!K27:K35)+'TCO TO BE- SW'!K79+NPV(Faktory!$D$5,'TCO TO BE- SW'!K80:K88))</f>
        <v>0</v>
      </c>
      <c r="AM11" s="472">
        <f>('TCO TO BE- SW'!L16+NPV(Faktory!$D$5,'TCO TO BE- SW'!L17:L25)+'TCO TO BE- SW'!L26+NPV(Faktory!$D$5,'TCO TO BE- SW'!L27:L35)+'TCO TO BE- SW'!L79+NPV(Faktory!$D$5,'TCO TO BE- SW'!L80:L88))</f>
        <v>0</v>
      </c>
      <c r="AN11" s="472">
        <f>('TCO TO BE- SW'!M16+NPV(Faktory!$D$5,'TCO TO BE- SW'!M17:M25)+'TCO TO BE- SW'!M26+NPV(Faktory!$D$5,'TCO TO BE- SW'!M27:M35)+'TCO TO BE- SW'!M79+NPV(Faktory!$D$5,'TCO TO BE- SW'!M80:M88))</f>
        <v>0</v>
      </c>
      <c r="AO11" s="472">
        <f>('TCO TO BE- SW'!N16+NPV(Faktory!$D$5,'TCO TO BE- SW'!N17:N25)+'TCO TO BE- SW'!N26+NPV(Faktory!$D$5,'TCO TO BE- SW'!N27:N35)+'TCO TO BE- SW'!N79+NPV(Faktory!$D$5,'TCO TO BE- SW'!N80:N88))</f>
        <v>0</v>
      </c>
      <c r="AP11" s="472">
        <f>('TCO TO BE- SW'!O16+NPV(Faktory!$D$5,'TCO TO BE- SW'!O17:O25)+'TCO TO BE- SW'!O26+NPV(Faktory!$D$5,'TCO TO BE- SW'!O27:O35)+'TCO TO BE- SW'!O79+NPV(Faktory!$D$5,'TCO TO BE- SW'!O80:O88))</f>
        <v>0</v>
      </c>
      <c r="AQ11" s="472">
        <f>('TCO TO BE- SW'!P16+NPV(Faktory!$D$5,'TCO TO BE- SW'!P17:P25)+'TCO TO BE- SW'!P26+NPV(Faktory!$D$5,'TCO TO BE- SW'!P27:P35)+'TCO TO BE- SW'!P79+NPV(Faktory!$D$5,'TCO TO BE- SW'!P80:P88))</f>
        <v>0</v>
      </c>
      <c r="AR11" s="472">
        <f>('TCO TO BE- SW'!Q16+NPV(Faktory!$D$5,'TCO TO BE- SW'!Q17:Q25)+'TCO TO BE- SW'!Q26+NPV(Faktory!$D$5,'TCO TO BE- SW'!Q27:Q35)+'TCO TO BE- SW'!Q79+NPV(Faktory!$D$5,'TCO TO BE- SW'!Q80:Q88))</f>
        <v>0</v>
      </c>
      <c r="AS11" s="472">
        <f>('TCO TO BE- SW'!R16+NPV(Faktory!$D$5,'TCO TO BE- SW'!R17:R25)+'TCO TO BE- SW'!R26+NPV(Faktory!$D$5,'TCO TO BE- SW'!R27:R35)+'TCO TO BE- SW'!R79+NPV(Faktory!$D$5,'TCO TO BE- SW'!R80:R88))</f>
        <v>0</v>
      </c>
      <c r="AT11" s="472">
        <f>('TCO TO BE- SW'!S16+NPV(Faktory!$D$5,'TCO TO BE- SW'!S17:S25)+'TCO TO BE- SW'!S26+NPV(Faktory!$D$5,'TCO TO BE- SW'!S27:S35)+'TCO TO BE- SW'!S79+NPV(Faktory!$D$5,'TCO TO BE- SW'!S80:S88))</f>
        <v>0</v>
      </c>
      <c r="AU11" s="472">
        <f>('TCO TO BE- SW'!T16+NPV(Faktory!$D$5,'TCO TO BE- SW'!T17:T25)+'TCO TO BE- SW'!T26+NPV(Faktory!$D$5,'TCO TO BE- SW'!T27:T35)+'TCO TO BE- SW'!T79+NPV(Faktory!$D$5,'TCO TO BE- SW'!T80:T88))</f>
        <v>0</v>
      </c>
      <c r="AV11" s="472">
        <f>('TCO TO BE- SW'!U16+NPV(Faktory!$D$5,'TCO TO BE- SW'!U17:U25)+'TCO TO BE- SW'!U26+NPV(Faktory!$D$5,'TCO TO BE- SW'!U27:U35)+'TCO TO BE- SW'!U79+NPV(Faktory!$D$5,'TCO TO BE- SW'!U80:U88))</f>
        <v>0</v>
      </c>
      <c r="AW11" s="472">
        <f>('TCO TO BE- SW'!V16+NPV(Faktory!$D$5,'TCO TO BE- SW'!V17:V25)+'TCO TO BE- SW'!V26+NPV(Faktory!$D$5,'TCO TO BE- SW'!V27:V35)+'TCO TO BE- SW'!V79+NPV(Faktory!$D$5,'TCO TO BE- SW'!V80:V88))</f>
        <v>0</v>
      </c>
      <c r="AX11" s="472">
        <f>('TCO TO BE- SW'!W16+NPV(Faktory!$D$5,'TCO TO BE- SW'!W17:W25)+'TCO TO BE- SW'!W26+NPV(Faktory!$D$5,'TCO TO BE- SW'!W27:W35)+'TCO TO BE- SW'!W79+NPV(Faktory!$D$5,'TCO TO BE- SW'!W80:W88))</f>
        <v>0</v>
      </c>
      <c r="AY11" s="472">
        <f>('TCO TO BE- SW'!X16+NPV(Faktory!$D$5,'TCO TO BE- SW'!X17:X25)+'TCO TO BE- SW'!X26+NPV(Faktory!$D$5,'TCO TO BE- SW'!X27:X35)+'TCO TO BE- SW'!X79+NPV(Faktory!$D$5,'TCO TO BE- SW'!X80:X88))</f>
        <v>0</v>
      </c>
      <c r="AZ11" s="472">
        <f>('TCO TO BE- SW'!Y16+NPV(Faktory!$D$5,'TCO TO BE- SW'!Y17:Y25)+'TCO TO BE- SW'!Y26+NPV(Faktory!$D$5,'TCO TO BE- SW'!Y27:Y35)+'TCO TO BE- SW'!Y79+NPV(Faktory!$D$5,'TCO TO BE- SW'!Y80:Y88))</f>
        <v>0</v>
      </c>
      <c r="BA11" s="472">
        <f>('TCO TO BE- SW'!Z16+NPV(Faktory!$D$5,'TCO TO BE- SW'!Z17:Z25)+'TCO TO BE- SW'!Z26+NPV(Faktory!$D$5,'TCO TO BE- SW'!Z27:Z35)+'TCO TO BE- SW'!Z79+NPV(Faktory!$D$5,'TCO TO BE- SW'!Z80:Z88))</f>
        <v>0</v>
      </c>
    </row>
    <row r="12" spans="1:53">
      <c r="A12" s="460"/>
      <c r="B12" s="460"/>
      <c r="C12" s="461" t="s">
        <v>105</v>
      </c>
      <c r="D12" s="477">
        <f>SUM(E12:X12)</f>
        <v>0</v>
      </c>
      <c r="E12" s="472">
        <f>SUM('TCO TO BE - HW'!F15:F54)+SUM('TCO TO BE - HW'!F56:F65)+SUM('TCO TO BE - HW'!F76:F105)</f>
        <v>0</v>
      </c>
      <c r="F12" s="472">
        <f>SUM('TCO TO BE - HW'!G15:G54)+SUM('TCO TO BE - HW'!G56:G65)+SUM('TCO TO BE - HW'!G76:G105)</f>
        <v>0</v>
      </c>
      <c r="G12" s="472">
        <f>SUM('TCO TO BE - HW'!H15:H54)+SUM('TCO TO BE - HW'!H56:H65)+SUM('TCO TO BE - HW'!H76:H105)</f>
        <v>0</v>
      </c>
      <c r="H12" s="472">
        <f>SUM('TCO TO BE - HW'!I15:I54)+SUM('TCO TO BE - HW'!I56:I65)+SUM('TCO TO BE - HW'!I76:I105)</f>
        <v>0</v>
      </c>
      <c r="I12" s="472">
        <f>SUM('TCO TO BE - HW'!J15:J54)+SUM('TCO TO BE - HW'!J56:J65)+SUM('TCO TO BE - HW'!J76:J105)</f>
        <v>0</v>
      </c>
      <c r="J12" s="472">
        <f>SUM('TCO TO BE - HW'!K15:K54)+SUM('TCO TO BE - HW'!K56:K65)+SUM('TCO TO BE - HW'!K76:K105)</f>
        <v>0</v>
      </c>
      <c r="K12" s="472">
        <f>SUM('TCO TO BE - HW'!L15:L54)+SUM('TCO TO BE - HW'!L56:L65)+SUM('TCO TO BE - HW'!L76:L105)</f>
        <v>0</v>
      </c>
      <c r="L12" s="472">
        <f>SUM('TCO TO BE - HW'!M15:M54)+SUM('TCO TO BE - HW'!M56:M65)+SUM('TCO TO BE - HW'!M76:M105)</f>
        <v>0</v>
      </c>
      <c r="M12" s="472">
        <f>SUM('TCO TO BE - HW'!N15:N54)+SUM('TCO TO BE - HW'!N56:N65)+SUM('TCO TO BE - HW'!N76:N105)</f>
        <v>0</v>
      </c>
      <c r="N12" s="472">
        <f>SUM('TCO TO BE - HW'!O15:O54)+SUM('TCO TO BE - HW'!O56:O65)+SUM('TCO TO BE - HW'!O76:O105)</f>
        <v>0</v>
      </c>
      <c r="O12" s="472">
        <f>SUM('TCO TO BE - HW'!P15:P54)+SUM('TCO TO BE - HW'!P56:P65)+SUM('TCO TO BE - HW'!P76:P105)</f>
        <v>0</v>
      </c>
      <c r="P12" s="472">
        <f>SUM('TCO TO BE - HW'!Q15:Q54)+SUM('TCO TO BE - HW'!Q56:Q65)+SUM('TCO TO BE - HW'!Q76:Q105)</f>
        <v>0</v>
      </c>
      <c r="Q12" s="472">
        <f>SUM('TCO TO BE - HW'!R15:R54)+SUM('TCO TO BE - HW'!R56:R65)+SUM('TCO TO BE - HW'!R76:R105)</f>
        <v>0</v>
      </c>
      <c r="R12" s="472">
        <f>SUM('TCO TO BE - HW'!S15:S54)+SUM('TCO TO BE - HW'!S56:S65)+SUM('TCO TO BE - HW'!S76:S105)</f>
        <v>0</v>
      </c>
      <c r="S12" s="472">
        <f>SUM('TCO TO BE - HW'!T15:T54)+SUM('TCO TO BE - HW'!T56:T65)+SUM('TCO TO BE - HW'!T76:T105)</f>
        <v>0</v>
      </c>
      <c r="T12" s="472">
        <f>SUM('TCO TO BE - HW'!U15:U54)+SUM('TCO TO BE - HW'!U56:U65)+SUM('TCO TO BE - HW'!U76:U105)</f>
        <v>0</v>
      </c>
      <c r="U12" s="472">
        <f>SUM('TCO TO BE - HW'!V15:V54)+SUM('TCO TO BE - HW'!V56:V65)+SUM('TCO TO BE - HW'!V76:V105)</f>
        <v>0</v>
      </c>
      <c r="V12" s="472">
        <f>SUM('TCO TO BE - HW'!W15:W54)+SUM('TCO TO BE - HW'!W56:W65)+SUM('TCO TO BE - HW'!W76:W105)</f>
        <v>0</v>
      </c>
      <c r="W12" s="472">
        <f>SUM('TCO TO BE - HW'!X15:X54)+SUM('TCO TO BE - HW'!X56:X65)+SUM('TCO TO BE - HW'!X76:X105)</f>
        <v>0</v>
      </c>
      <c r="X12" s="472">
        <f>SUM('TCO TO BE - HW'!Y15:Y54)+SUM('TCO TO BE - HW'!Y56:Y65)+SUM('TCO TO BE - HW'!Y76:Y105)</f>
        <v>0</v>
      </c>
      <c r="Y12" s="472">
        <f>SUM('TCO TO BE - HW'!Z15:Z54)+SUM('TCO TO BE - HW'!Z56:Z65)+SUM('TCO TO BE - HW'!Z76:Z105)</f>
        <v>0</v>
      </c>
      <c r="AC12" s="460"/>
      <c r="AD12" s="460"/>
      <c r="AE12" s="461" t="s">
        <v>105</v>
      </c>
      <c r="AF12" s="472">
        <f>SUM(AG12:AZ12)</f>
        <v>0</v>
      </c>
      <c r="AG12" s="472">
        <f>('TCO TO BE - HW'!F15+NPV(Faktory!$D$5,'TCO TO BE - HW'!F16:F24)+'TCO TO BE - HW'!F56+NPV(Faktory!$D$5,'TCO TO BE - HW'!F57:F65)+'TCO TO BE - HW'!F76+NPV(Faktory!$D$5,'TCO TO BE - HW'!F77:F85)+'TCO TO BE - HW'!F86+NPV(Faktory!$D$5,'TCO TO BE - HW'!F87:F95)+'TCO TO BE - HW'!F96+NPV(Faktory!$D$5,'TCO TO BE - HW'!F97:F105)+('TCO TO BE - HW'!F25+NPV(Faktory!$D$5,'TCO TO BE - HW'!F26:F34)+('TCO TO BE - HW'!F35+NPV(Faktory!$D$5,'TCO TO BE - HW'!F26:F44)+('TCO TO BE - HW'!F45+NPV(Faktory!$D$5,'TCO TO BE - HW'!F46:F54)))))</f>
        <v>0</v>
      </c>
      <c r="AH12" s="472">
        <f>('TCO TO BE - HW'!G15+NPV(Faktory!$D$5,'TCO TO BE - HW'!G16:G24)+'TCO TO BE - HW'!G56+NPV(Faktory!$D$5,'TCO TO BE - HW'!G57:G65)+'TCO TO BE - HW'!G76+NPV(Faktory!$D$5,'TCO TO BE - HW'!G77:G85)+'TCO TO BE - HW'!G86+NPV(Faktory!$D$5,'TCO TO BE - HW'!G87:G95)+'TCO TO BE - HW'!G96+NPV(Faktory!$D$5,'TCO TO BE - HW'!G97:G105)+('TCO TO BE - HW'!G25+NPV(Faktory!$D$5,'TCO TO BE - HW'!G26:G34)+('TCO TO BE - HW'!G35+NPV(Faktory!$D$5,'TCO TO BE - HW'!G26:G44)+('TCO TO BE - HW'!G45+NPV(Faktory!$D$5,'TCO TO BE - HW'!G46:G54)))))</f>
        <v>0</v>
      </c>
      <c r="AI12" s="472">
        <f>('TCO TO BE - HW'!H15+NPV(Faktory!$D$5,'TCO TO BE - HW'!H16:H24)+'TCO TO BE - HW'!H56+NPV(Faktory!$D$5,'TCO TO BE - HW'!H57:H65)+'TCO TO BE - HW'!H76+NPV(Faktory!$D$5,'TCO TO BE - HW'!H77:H85)+'TCO TO BE - HW'!H86+NPV(Faktory!$D$5,'TCO TO BE - HW'!H87:H95)+'TCO TO BE - HW'!H96+NPV(Faktory!$D$5,'TCO TO BE - HW'!H97:H105)+('TCO TO BE - HW'!H25+NPV(Faktory!$D$5,'TCO TO BE - HW'!H26:H34)+('TCO TO BE - HW'!H35+NPV(Faktory!$D$5,'TCO TO BE - HW'!H26:H44)+('TCO TO BE - HW'!H45+NPV(Faktory!$D$5,'TCO TO BE - HW'!H46:H54)))))</f>
        <v>0</v>
      </c>
      <c r="AJ12" s="472">
        <f>('TCO TO BE - HW'!I15+NPV(Faktory!$D$5,'TCO TO BE - HW'!I16:I24)+'TCO TO BE - HW'!I56+NPV(Faktory!$D$5,'TCO TO BE - HW'!I57:I65)+'TCO TO BE - HW'!I76+NPV(Faktory!$D$5,'TCO TO BE - HW'!I77:I85)+'TCO TO BE - HW'!I86+NPV(Faktory!$D$5,'TCO TO BE - HW'!I87:I95)+'TCO TO BE - HW'!I96+NPV(Faktory!$D$5,'TCO TO BE - HW'!I97:I105)+('TCO TO BE - HW'!I25+NPV(Faktory!$D$5,'TCO TO BE - HW'!I26:I34)+('TCO TO BE - HW'!I35+NPV(Faktory!$D$5,'TCO TO BE - HW'!I26:I44)+('TCO TO BE - HW'!I45+NPV(Faktory!$D$5,'TCO TO BE - HW'!I46:I54)))))</f>
        <v>0</v>
      </c>
      <c r="AK12" s="472">
        <f>('TCO TO BE - HW'!J15+NPV(Faktory!$D$5,'TCO TO BE - HW'!J16:J24)+'TCO TO BE - HW'!J56+NPV(Faktory!$D$5,'TCO TO BE - HW'!J57:J65)+'TCO TO BE - HW'!J76+NPV(Faktory!$D$5,'TCO TO BE - HW'!J77:J85)+'TCO TO BE - HW'!J86+NPV(Faktory!$D$5,'TCO TO BE - HW'!J87:J95)+'TCO TO BE - HW'!J96+NPV(Faktory!$D$5,'TCO TO BE - HW'!J97:J105)+('TCO TO BE - HW'!J25+NPV(Faktory!$D$5,'TCO TO BE - HW'!J26:J34)+('TCO TO BE - HW'!J35+NPV(Faktory!$D$5,'TCO TO BE - HW'!J26:J44)+('TCO TO BE - HW'!J45+NPV(Faktory!$D$5,'TCO TO BE - HW'!J46:J54)))))</f>
        <v>0</v>
      </c>
      <c r="AL12" s="472">
        <f>('TCO TO BE - HW'!K15+NPV(Faktory!$D$5,'TCO TO BE - HW'!K16:K24)+'TCO TO BE - HW'!K56+NPV(Faktory!$D$5,'TCO TO BE - HW'!K57:K65)+'TCO TO BE - HW'!K76+NPV(Faktory!$D$5,'TCO TO BE - HW'!K77:K85)+'TCO TO BE - HW'!K86+NPV(Faktory!$D$5,'TCO TO BE - HW'!K87:K95)+'TCO TO BE - HW'!K96+NPV(Faktory!$D$5,'TCO TO BE - HW'!K97:K105)+('TCO TO BE - HW'!K25+NPV(Faktory!$D$5,'TCO TO BE - HW'!K26:K34)+('TCO TO BE - HW'!K35+NPV(Faktory!$D$5,'TCO TO BE - HW'!K26:K44)+('TCO TO BE - HW'!K45+NPV(Faktory!$D$5,'TCO TO BE - HW'!K46:K54)))))</f>
        <v>0</v>
      </c>
      <c r="AM12" s="472">
        <f>('TCO TO BE - HW'!L15+NPV(Faktory!$D$5,'TCO TO BE - HW'!L16:L24)+'TCO TO BE - HW'!L56+NPV(Faktory!$D$5,'TCO TO BE - HW'!L57:L65)+'TCO TO BE - HW'!L76+NPV(Faktory!$D$5,'TCO TO BE - HW'!L77:L85)+'TCO TO BE - HW'!L86+NPV(Faktory!$D$5,'TCO TO BE - HW'!L87:L95)+'TCO TO BE - HW'!L96+NPV(Faktory!$D$5,'TCO TO BE - HW'!L97:L105)+('TCO TO BE - HW'!L25+NPV(Faktory!$D$5,'TCO TO BE - HW'!L26:L34)+('TCO TO BE - HW'!L35+NPV(Faktory!$D$5,'TCO TO BE - HW'!L26:L44)+('TCO TO BE - HW'!L45+NPV(Faktory!$D$5,'TCO TO BE - HW'!L46:L54)))))</f>
        <v>0</v>
      </c>
      <c r="AN12" s="472">
        <f>('TCO TO BE - HW'!M15+NPV(Faktory!$D$5,'TCO TO BE - HW'!M16:M24)+'TCO TO BE - HW'!M56+NPV(Faktory!$D$5,'TCO TO BE - HW'!M57:M65)+'TCO TO BE - HW'!M76+NPV(Faktory!$D$5,'TCO TO BE - HW'!M77:M85)+'TCO TO BE - HW'!M86+NPV(Faktory!$D$5,'TCO TO BE - HW'!M87:M95)+'TCO TO BE - HW'!M96+NPV(Faktory!$D$5,'TCO TO BE - HW'!M97:M105)+('TCO TO BE - HW'!M25+NPV(Faktory!$D$5,'TCO TO BE - HW'!M26:M34)+('TCO TO BE - HW'!M35+NPV(Faktory!$D$5,'TCO TO BE - HW'!M26:M44)+('TCO TO BE - HW'!M45+NPV(Faktory!$D$5,'TCO TO BE - HW'!M46:M54)))))</f>
        <v>0</v>
      </c>
      <c r="AO12" s="472">
        <f>('TCO TO BE - HW'!N15+NPV(Faktory!$D$5,'TCO TO BE - HW'!N16:N24)+'TCO TO BE - HW'!N56+NPV(Faktory!$D$5,'TCO TO BE - HW'!N57:N65)+'TCO TO BE - HW'!N76+NPV(Faktory!$D$5,'TCO TO BE - HW'!N77:N85)+'TCO TO BE - HW'!N86+NPV(Faktory!$D$5,'TCO TO BE - HW'!N87:N95)+'TCO TO BE - HW'!N96+NPV(Faktory!$D$5,'TCO TO BE - HW'!N97:N105)+('TCO TO BE - HW'!N25+NPV(Faktory!$D$5,'TCO TO BE - HW'!N26:N34)+('TCO TO BE - HW'!N35+NPV(Faktory!$D$5,'TCO TO BE - HW'!N26:N44)+('TCO TO BE - HW'!N45+NPV(Faktory!$D$5,'TCO TO BE - HW'!N46:N54)))))</f>
        <v>0</v>
      </c>
      <c r="AP12" s="472">
        <f>('TCO TO BE - HW'!O15+NPV(Faktory!$D$5,'TCO TO BE - HW'!O16:O24)+'TCO TO BE - HW'!O56+NPV(Faktory!$D$5,'TCO TO BE - HW'!O57:O65)+'TCO TO BE - HW'!O76+NPV(Faktory!$D$5,'TCO TO BE - HW'!O77:O85)+'TCO TO BE - HW'!O86+NPV(Faktory!$D$5,'TCO TO BE - HW'!O87:O95)+'TCO TO BE - HW'!O96+NPV(Faktory!$D$5,'TCO TO BE - HW'!O97:O105)+('TCO TO BE - HW'!O25+NPV(Faktory!$D$5,'TCO TO BE - HW'!O26:O34)+('TCO TO BE - HW'!O35+NPV(Faktory!$D$5,'TCO TO BE - HW'!O26:O44)+('TCO TO BE - HW'!O45+NPV(Faktory!$D$5,'TCO TO BE - HW'!O46:O54)))))</f>
        <v>0</v>
      </c>
      <c r="AQ12" s="472">
        <f>('TCO TO BE - HW'!P15+NPV(Faktory!$D$5,'TCO TO BE - HW'!P16:P24)+'TCO TO BE - HW'!P56+NPV(Faktory!$D$5,'TCO TO BE - HW'!P57:P65)+'TCO TO BE - HW'!P76+NPV(Faktory!$D$5,'TCO TO BE - HW'!P77:P85)+'TCO TO BE - HW'!P86+NPV(Faktory!$D$5,'TCO TO BE - HW'!P87:P95)+'TCO TO BE - HW'!P96+NPV(Faktory!$D$5,'TCO TO BE - HW'!P97:P105)+('TCO TO BE - HW'!P25+NPV(Faktory!$D$5,'TCO TO BE - HW'!P26:P34)+('TCO TO BE - HW'!P35+NPV(Faktory!$D$5,'TCO TO BE - HW'!P26:P44)+('TCO TO BE - HW'!P45+NPV(Faktory!$D$5,'TCO TO BE - HW'!P46:P54)))))</f>
        <v>0</v>
      </c>
      <c r="AR12" s="472">
        <f>('TCO TO BE - HW'!Q15+NPV(Faktory!$D$5,'TCO TO BE - HW'!Q16:Q24)+'TCO TO BE - HW'!Q56+NPV(Faktory!$D$5,'TCO TO BE - HW'!Q57:Q65)+'TCO TO BE - HW'!Q76+NPV(Faktory!$D$5,'TCO TO BE - HW'!Q77:Q85)+'TCO TO BE - HW'!Q86+NPV(Faktory!$D$5,'TCO TO BE - HW'!Q87:Q95)+'TCO TO BE - HW'!Q96+NPV(Faktory!$D$5,'TCO TO BE - HW'!Q97:Q105)+('TCO TO BE - HW'!Q25+NPV(Faktory!$D$5,'TCO TO BE - HW'!Q26:Q34)+('TCO TO BE - HW'!Q35+NPV(Faktory!$D$5,'TCO TO BE - HW'!Q26:Q44)+('TCO TO BE - HW'!Q45+NPV(Faktory!$D$5,'TCO TO BE - HW'!Q46:Q54)))))</f>
        <v>0</v>
      </c>
      <c r="AS12" s="472">
        <f>('TCO TO BE - HW'!R15+NPV(Faktory!$D$5,'TCO TO BE - HW'!R16:R24)+'TCO TO BE - HW'!R56+NPV(Faktory!$D$5,'TCO TO BE - HW'!R57:R65)+'TCO TO BE - HW'!R76+NPV(Faktory!$D$5,'TCO TO BE - HW'!R77:R85)+'TCO TO BE - HW'!R86+NPV(Faktory!$D$5,'TCO TO BE - HW'!R87:R95)+'TCO TO BE - HW'!R96+NPV(Faktory!$D$5,'TCO TO BE - HW'!R97:R105)+('TCO TO BE - HW'!R25+NPV(Faktory!$D$5,'TCO TO BE - HW'!R26:R34)+('TCO TO BE - HW'!R35+NPV(Faktory!$D$5,'TCO TO BE - HW'!R26:R44)+('TCO TO BE - HW'!R45+NPV(Faktory!$D$5,'TCO TO BE - HW'!R46:R54)))))</f>
        <v>0</v>
      </c>
      <c r="AT12" s="472">
        <f>('TCO TO BE - HW'!S15+NPV(Faktory!$D$5,'TCO TO BE - HW'!S16:S24)+'TCO TO BE - HW'!S56+NPV(Faktory!$D$5,'TCO TO BE - HW'!S57:S65)+'TCO TO BE - HW'!S76+NPV(Faktory!$D$5,'TCO TO BE - HW'!S77:S85)+'TCO TO BE - HW'!S86+NPV(Faktory!$D$5,'TCO TO BE - HW'!S87:S95)+'TCO TO BE - HW'!S96+NPV(Faktory!$D$5,'TCO TO BE - HW'!S97:S105)+('TCO TO BE - HW'!S25+NPV(Faktory!$D$5,'TCO TO BE - HW'!S26:S34)+('TCO TO BE - HW'!S35+NPV(Faktory!$D$5,'TCO TO BE - HW'!S26:S44)+('TCO TO BE - HW'!S45+NPV(Faktory!$D$5,'TCO TO BE - HW'!S46:S54)))))</f>
        <v>0</v>
      </c>
      <c r="AU12" s="472">
        <f>('TCO TO BE - HW'!T15+NPV(Faktory!$D$5,'TCO TO BE - HW'!T16:T24)+'TCO TO BE - HW'!T56+NPV(Faktory!$D$5,'TCO TO BE - HW'!T57:T65)+'TCO TO BE - HW'!T76+NPV(Faktory!$D$5,'TCO TO BE - HW'!T77:T85)+'TCO TO BE - HW'!T86+NPV(Faktory!$D$5,'TCO TO BE - HW'!T87:T95)+'TCO TO BE - HW'!T96+NPV(Faktory!$D$5,'TCO TO BE - HW'!T97:T105)+('TCO TO BE - HW'!T25+NPV(Faktory!$D$5,'TCO TO BE - HW'!T26:T34)+('TCO TO BE - HW'!T35+NPV(Faktory!$D$5,'TCO TO BE - HW'!T26:T44)+('TCO TO BE - HW'!T45+NPV(Faktory!$D$5,'TCO TO BE - HW'!T46:T54)))))</f>
        <v>0</v>
      </c>
      <c r="AV12" s="472">
        <f>('TCO TO BE - HW'!U15+NPV(Faktory!$D$5,'TCO TO BE - HW'!U16:U24)+'TCO TO BE - HW'!U56+NPV(Faktory!$D$5,'TCO TO BE - HW'!U57:U65)+'TCO TO BE - HW'!U76+NPV(Faktory!$D$5,'TCO TO BE - HW'!U77:U85)+'TCO TO BE - HW'!U86+NPV(Faktory!$D$5,'TCO TO BE - HW'!U87:U95)+'TCO TO BE - HW'!U96+NPV(Faktory!$D$5,'TCO TO BE - HW'!U97:U105)+('TCO TO BE - HW'!U25+NPV(Faktory!$D$5,'TCO TO BE - HW'!U26:U34)+('TCO TO BE - HW'!U35+NPV(Faktory!$D$5,'TCO TO BE - HW'!U26:U44)+('TCO TO BE - HW'!U45+NPV(Faktory!$D$5,'TCO TO BE - HW'!U46:U54)))))</f>
        <v>0</v>
      </c>
      <c r="AW12" s="472">
        <f>('TCO TO BE - HW'!V15+NPV(Faktory!$D$5,'TCO TO BE - HW'!V16:V24)+'TCO TO BE - HW'!V56+NPV(Faktory!$D$5,'TCO TO BE - HW'!V57:V65)+'TCO TO BE - HW'!V76+NPV(Faktory!$D$5,'TCO TO BE - HW'!V77:V85)+'TCO TO BE - HW'!V86+NPV(Faktory!$D$5,'TCO TO BE - HW'!V87:V95)+'TCO TO BE - HW'!V96+NPV(Faktory!$D$5,'TCO TO BE - HW'!V97:V105)+('TCO TO BE - HW'!V25+NPV(Faktory!$D$5,'TCO TO BE - HW'!V26:V34)+('TCO TO BE - HW'!V35+NPV(Faktory!$D$5,'TCO TO BE - HW'!V26:V44)+('TCO TO BE - HW'!V45+NPV(Faktory!$D$5,'TCO TO BE - HW'!V46:V54)))))</f>
        <v>0</v>
      </c>
      <c r="AX12" s="472">
        <f>('TCO TO BE - HW'!W15+NPV(Faktory!$D$5,'TCO TO BE - HW'!W16:W24)+'TCO TO BE - HW'!W56+NPV(Faktory!$D$5,'TCO TO BE - HW'!W57:W65)+'TCO TO BE - HW'!W76+NPV(Faktory!$D$5,'TCO TO BE - HW'!W77:W85)+'TCO TO BE - HW'!W86+NPV(Faktory!$D$5,'TCO TO BE - HW'!W87:W95)+'TCO TO BE - HW'!W96+NPV(Faktory!$D$5,'TCO TO BE - HW'!W97:W105)+('TCO TO BE - HW'!W25+NPV(Faktory!$D$5,'TCO TO BE - HW'!W26:W34)+('TCO TO BE - HW'!W35+NPV(Faktory!$D$5,'TCO TO BE - HW'!W26:W44)+('TCO TO BE - HW'!W45+NPV(Faktory!$D$5,'TCO TO BE - HW'!W46:W54)))))</f>
        <v>0</v>
      </c>
      <c r="AY12" s="472">
        <f>('TCO TO BE - HW'!X15+NPV(Faktory!$D$5,'TCO TO BE - HW'!X16:X24)+'TCO TO BE - HW'!X56+NPV(Faktory!$D$5,'TCO TO BE - HW'!X57:X65)+'TCO TO BE - HW'!X76+NPV(Faktory!$D$5,'TCO TO BE - HW'!X77:X85)+'TCO TO BE - HW'!X86+NPV(Faktory!$D$5,'TCO TO BE - HW'!X87:X95)+'TCO TO BE - HW'!X96+NPV(Faktory!$D$5,'TCO TO BE - HW'!X97:X105)+('TCO TO BE - HW'!X25+NPV(Faktory!$D$5,'TCO TO BE - HW'!X26:X34)+('TCO TO BE - HW'!X35+NPV(Faktory!$D$5,'TCO TO BE - HW'!X26:X44)+('TCO TO BE - HW'!X45+NPV(Faktory!$D$5,'TCO TO BE - HW'!X46:X54)))))</f>
        <v>0</v>
      </c>
      <c r="AZ12" s="472">
        <f>('TCO TO BE - HW'!Y15+NPV(Faktory!$D$5,'TCO TO BE - HW'!Y16:Y24)+'TCO TO BE - HW'!Y56+NPV(Faktory!$D$5,'TCO TO BE - HW'!Y57:Y65)+'TCO TO BE - HW'!Y76+NPV(Faktory!$D$5,'TCO TO BE - HW'!Y77:Y85)+'TCO TO BE - HW'!Y86+NPV(Faktory!$D$5,'TCO TO BE - HW'!Y87:Y95)+'TCO TO BE - HW'!Y96+NPV(Faktory!$D$5,'TCO TO BE - HW'!Y97:Y105)+('TCO TO BE - HW'!Y25+NPV(Faktory!$D$5,'TCO TO BE - HW'!Y26:Y34)+('TCO TO BE - HW'!Y35+NPV(Faktory!$D$5,'TCO TO BE - HW'!Y26:Y44)+('TCO TO BE - HW'!Y45+NPV(Faktory!$D$5,'TCO TO BE - HW'!Y46:Y54)))))</f>
        <v>0</v>
      </c>
      <c r="BA12" s="472">
        <f>('TCO TO BE - HW'!Z15+NPV(Faktory!$D$5,'TCO TO BE - HW'!Z16:Z24)+'TCO TO BE - HW'!Z56+NPV(Faktory!$D$5,'TCO TO BE - HW'!Z57:Z65)+'TCO TO BE - HW'!Z76+NPV(Faktory!$D$5,'TCO TO BE - HW'!Z77:Z85)+'TCO TO BE - HW'!Z86+NPV(Faktory!$D$5,'TCO TO BE - HW'!Z87:Z95)+'TCO TO BE - HW'!Z96+NPV(Faktory!$D$5,'TCO TO BE - HW'!Z97:Z105)+('TCO TO BE - HW'!Z25+NPV(Faktory!$D$5,'TCO TO BE - HW'!Z26:Z34)+('TCO TO BE - HW'!Z35+NPV(Faktory!$D$5,'TCO TO BE - HW'!Z26:Z44)+('TCO TO BE - HW'!Z45+NPV(Faktory!$D$5,'TCO TO BE - HW'!Z46:Z54)))))</f>
        <v>0</v>
      </c>
    </row>
    <row r="13" spans="1:53">
      <c r="A13" s="460"/>
      <c r="B13" s="458" t="s">
        <v>107</v>
      </c>
      <c r="C13" s="458"/>
      <c r="D13" s="459">
        <f>SUM(E13:Y13)</f>
        <v>3019546.2549000001</v>
      </c>
      <c r="E13" s="459">
        <f>'TCO TO BE- SW'!F150</f>
        <v>16914.032439206647</v>
      </c>
      <c r="F13" s="459">
        <f>'TCO TO BE- SW'!G150</f>
        <v>0</v>
      </c>
      <c r="G13" s="459">
        <f>'TCO TO BE- SW'!H150</f>
        <v>34720.411913575284</v>
      </c>
      <c r="H13" s="459">
        <f>'TCO TO BE- SW'!I150</f>
        <v>90857.152671038115</v>
      </c>
      <c r="I13" s="459">
        <f>'TCO TO BE- SW'!J150</f>
        <v>48551.790958585989</v>
      </c>
      <c r="J13" s="459">
        <f>'TCO TO BE- SW'!K150</f>
        <v>29366.329702603387</v>
      </c>
      <c r="K13" s="459">
        <f>'TCO TO BE- SW'!L150</f>
        <v>43197.708747614102</v>
      </c>
      <c r="L13" s="459">
        <f>'TCO TO BE- SW'!M150</f>
        <v>693069.71771876258</v>
      </c>
      <c r="M13" s="459">
        <f>'TCO TO BE- SW'!N150</f>
        <v>82420.417065870279</v>
      </c>
      <c r="N13" s="459">
        <f>'TCO TO BE- SW'!O150</f>
        <v>397297.23679143674</v>
      </c>
      <c r="O13" s="459">
        <f>'TCO TO BE- SW'!P150</f>
        <v>51026.025919716951</v>
      </c>
      <c r="P13" s="459">
        <f>'TCO TO BE- SW'!Q150</f>
        <v>286402.83705812506</v>
      </c>
      <c r="Q13" s="459">
        <f>'TCO TO BE- SW'!R150</f>
        <v>100470.16391346492</v>
      </c>
      <c r="R13" s="459">
        <f>'TCO TO BE- SW'!S150</f>
        <v>1145252.4300000002</v>
      </c>
      <c r="S13" s="459">
        <f>'TCO TO BE- SW'!T150</f>
        <v>0</v>
      </c>
      <c r="T13" s="459">
        <f>'TCO TO BE- SW'!U150</f>
        <v>0</v>
      </c>
      <c r="U13" s="459">
        <f>'TCO TO BE- SW'!V150</f>
        <v>0</v>
      </c>
      <c r="V13" s="459">
        <f>'TCO TO BE- SW'!W150</f>
        <v>0</v>
      </c>
      <c r="W13" s="459">
        <f>'TCO TO BE- SW'!X150</f>
        <v>0</v>
      </c>
      <c r="X13" s="459">
        <f>'TCO TO BE- SW'!Y150</f>
        <v>0</v>
      </c>
      <c r="Y13" s="459">
        <f>'TCO TO BE- SW'!Z150</f>
        <v>0</v>
      </c>
      <c r="AC13" s="460"/>
      <c r="AD13" s="458" t="s">
        <v>107</v>
      </c>
      <c r="AE13" s="458"/>
      <c r="AF13" s="459">
        <f>SUM(AG13:BA13)</f>
        <v>2878040.6858873018</v>
      </c>
      <c r="AG13" s="462">
        <f>'TCO TO BE- SW'!F151+NPV(Faktory!$D$5,'TCO TO BE- SW'!F152:F160)+'TCO TO BE- SW'!F161+NPV(Faktory!$D$5,'TCO TO BE- SW'!F162:F170)</f>
        <v>16121.386928072243</v>
      </c>
      <c r="AH13" s="462">
        <f>'TCO TO BE- SW'!G151+NPV(Faktory!$D$5,'TCO TO BE- SW'!G152:G160)+'TCO TO BE- SW'!G161+NPV(Faktory!$D$5,'TCO TO BE- SW'!G162:G170)</f>
        <v>0</v>
      </c>
      <c r="AI13" s="462">
        <f>'TCO TO BE- SW'!H151+NPV(Faktory!$D$5,'TCO TO BE- SW'!H152:H160)+'TCO TO BE- SW'!H161+NPV(Faktory!$D$5,'TCO TO BE- SW'!H162:H170)</f>
        <v>33093.302662901304</v>
      </c>
      <c r="AJ13" s="462">
        <f>'TCO TO BE- SW'!I151+NPV(Faktory!$D$5,'TCO TO BE- SW'!I152:I160)+'TCO TO BE- SW'!I161+NPV(Faktory!$D$5,'TCO TO BE- SW'!I162:I170)</f>
        <v>86599.296687966038</v>
      </c>
      <c r="AK13" s="462">
        <f>'TCO TO BE- SW'!J151+NPV(Faktory!$D$5,'TCO TO BE- SW'!J152:J160)+'TCO TO BE- SW'!J161+NPV(Faktory!$D$5,'TCO TO BE- SW'!J162:J170)</f>
        <v>46276.499167631839</v>
      </c>
      <c r="AL13" s="462">
        <f>'TCO TO BE- SW'!K151+NPV(Faktory!$D$5,'TCO TO BE- SW'!K152:K160)+'TCO TO BE- SW'!K161+NPV(Faktory!$D$5,'TCO TO BE- SW'!K162:K170)</f>
        <v>27990.129822360446</v>
      </c>
      <c r="AM13" s="462">
        <f>'TCO TO BE- SW'!L151+NPV(Faktory!$D$5,'TCO TO BE- SW'!L152:L160)+'TCO TO BE- SW'!L161+NPV(Faktory!$D$5,'TCO TO BE- SW'!L162:L170)</f>
        <v>41173.326327090996</v>
      </c>
      <c r="AN13" s="462">
        <f>'TCO TO BE- SW'!M151+NPV(Faktory!$D$5,'TCO TO BE- SW'!M152:M160)+'TCO TO BE- SW'!M161+NPV(Faktory!$D$5,'TCO TO BE- SW'!M162:M170)</f>
        <v>660590.26004789094</v>
      </c>
      <c r="AO13" s="462">
        <f>'TCO TO BE- SW'!N151+NPV(Faktory!$D$5,'TCO TO BE- SW'!N152:N160)+'TCO TO BE- SW'!N161+NPV(Faktory!$D$5,'TCO TO BE- SW'!N162:N170)</f>
        <v>78557.933424083458</v>
      </c>
      <c r="AP13" s="462">
        <f>'TCO TO BE- SW'!O151+NPV(Faktory!$D$5,'TCO TO BE- SW'!O152:O160)+'TCO TO BE- SW'!O161+NPV(Faktory!$D$5,'TCO TO BE- SW'!O162:O170)</f>
        <v>378678.62100831571</v>
      </c>
      <c r="AQ13" s="462">
        <f>'TCO TO BE- SW'!P151+NPV(Faktory!$D$5,'TCO TO BE- SW'!P152:P160)+'TCO TO BE- SW'!P161+NPV(Faktory!$D$5,'TCO TO BE- SW'!P162:P170)</f>
        <v>48634.783586366641</v>
      </c>
      <c r="AR13" s="462">
        <f>'TCO TO BE- SW'!Q151+NPV(Faktory!$D$5,'TCO TO BE- SW'!Q152:Q160)+'TCO TO BE- SW'!Q161+NPV(Faktory!$D$5,'TCO TO BE- SW'!Q162:Q170)</f>
        <v>272981.08656862867</v>
      </c>
      <c r="AS13" s="462">
        <f>'TCO TO BE- SW'!R151+NPV(Faktory!$D$5,'TCO TO BE- SW'!R152:R160)+'TCO TO BE- SW'!R161+NPV(Faktory!$D$5,'TCO TO BE- SW'!R162:R170)</f>
        <v>95761.81156075529</v>
      </c>
      <c r="AT13" s="462">
        <f>'TCO TO BE- SW'!S151+NPV(Faktory!$D$5,'TCO TO BE- SW'!S152:S160)+'TCO TO BE- SW'!S161+NPV(Faktory!$D$5,'TCO TO BE- SW'!S162:S170)</f>
        <v>1091582.2480952381</v>
      </c>
      <c r="AU13" s="462">
        <f>'TCO TO BE- SW'!T151+NPV(Faktory!$D$5,'TCO TO BE- SW'!T152:T160)+'TCO TO BE- SW'!T161+NPV(Faktory!$D$5,'TCO TO BE- SW'!T162:T170)</f>
        <v>0</v>
      </c>
      <c r="AV13" s="462">
        <f>'TCO TO BE- SW'!U151+NPV(Faktory!$D$5,'TCO TO BE- SW'!U152:U160)+'TCO TO BE- SW'!U161+NPV(Faktory!$D$5,'TCO TO BE- SW'!U162:U170)</f>
        <v>0</v>
      </c>
      <c r="AW13" s="462">
        <f>'TCO TO BE- SW'!V151+NPV(Faktory!$D$5,'TCO TO BE- SW'!V152:V160)+'TCO TO BE- SW'!V161+NPV(Faktory!$D$5,'TCO TO BE- SW'!V162:V170)</f>
        <v>0</v>
      </c>
      <c r="AX13" s="462">
        <f>'TCO TO BE- SW'!W151+NPV(Faktory!$D$5,'TCO TO BE- SW'!W152:W160)+'TCO TO BE- SW'!W161+NPV(Faktory!$D$5,'TCO TO BE- SW'!W162:W170)</f>
        <v>0</v>
      </c>
      <c r="AY13" s="462">
        <f>'TCO TO BE- SW'!X151+NPV(Faktory!$D$5,'TCO TO BE- SW'!X152:X160)+'TCO TO BE- SW'!X161+NPV(Faktory!$D$5,'TCO TO BE- SW'!X162:X170)</f>
        <v>0</v>
      </c>
      <c r="AZ13" s="462">
        <f>'TCO TO BE- SW'!Y151+NPV(Faktory!$D$5,'TCO TO BE- SW'!Y152:Y160)+'TCO TO BE- SW'!Y161+NPV(Faktory!$D$5,'TCO TO BE- SW'!Y162:Y170)</f>
        <v>0</v>
      </c>
      <c r="BA13" s="462">
        <f>'TCO TO BE- SW'!Z151+NPV(Faktory!$D$5,'TCO TO BE- SW'!Z152:Z160)+'TCO TO BE- SW'!Z161+NPV(Faktory!$D$5,'TCO TO BE- SW'!Z162:Z170)</f>
        <v>0</v>
      </c>
    </row>
    <row r="14" spans="1:53">
      <c r="A14" s="460"/>
      <c r="B14" s="458" t="s">
        <v>108</v>
      </c>
      <c r="C14" s="458"/>
      <c r="D14" s="459">
        <f>SUM(E14:Y14)</f>
        <v>0</v>
      </c>
      <c r="E14" s="459">
        <f>'TCO TO BE- SW'!F171</f>
        <v>0</v>
      </c>
      <c r="F14" s="459">
        <f>'TCO TO BE- SW'!G171</f>
        <v>0</v>
      </c>
      <c r="G14" s="459">
        <f>'TCO TO BE- SW'!H171</f>
        <v>0</v>
      </c>
      <c r="H14" s="459">
        <f>'TCO TO BE- SW'!I171</f>
        <v>0</v>
      </c>
      <c r="I14" s="459">
        <f>'TCO TO BE- SW'!J171</f>
        <v>0</v>
      </c>
      <c r="J14" s="459">
        <f>'TCO TO BE- SW'!K171</f>
        <v>0</v>
      </c>
      <c r="K14" s="459">
        <f>'TCO TO BE- SW'!L171</f>
        <v>0</v>
      </c>
      <c r="L14" s="459">
        <f>'TCO TO BE- SW'!M171</f>
        <v>0</v>
      </c>
      <c r="M14" s="459">
        <f>'TCO TO BE- SW'!N171</f>
        <v>0</v>
      </c>
      <c r="N14" s="459">
        <f>'TCO TO BE- SW'!O171</f>
        <v>0</v>
      </c>
      <c r="O14" s="459">
        <f>'TCO TO BE- SW'!P171</f>
        <v>0</v>
      </c>
      <c r="P14" s="459">
        <f>'TCO TO BE- SW'!Q171</f>
        <v>0</v>
      </c>
      <c r="Q14" s="459">
        <f>'TCO TO BE- SW'!R171</f>
        <v>0</v>
      </c>
      <c r="R14" s="459">
        <f>'TCO TO BE- SW'!S171</f>
        <v>0</v>
      </c>
      <c r="S14" s="459">
        <f>'TCO TO BE- SW'!T171</f>
        <v>0</v>
      </c>
      <c r="T14" s="459">
        <f>'TCO TO BE- SW'!U171</f>
        <v>0</v>
      </c>
      <c r="U14" s="459">
        <f>'TCO TO BE- SW'!V171</f>
        <v>0</v>
      </c>
      <c r="V14" s="459">
        <f>'TCO TO BE- SW'!W171</f>
        <v>0</v>
      </c>
      <c r="W14" s="459">
        <f>'TCO TO BE- SW'!X171</f>
        <v>0</v>
      </c>
      <c r="X14" s="459">
        <f>'TCO TO BE- SW'!Y171</f>
        <v>0</v>
      </c>
      <c r="Y14" s="459">
        <f>'TCO TO BE- SW'!Z171</f>
        <v>0</v>
      </c>
      <c r="AC14" s="460"/>
      <c r="AD14" s="458" t="s">
        <v>108</v>
      </c>
      <c r="AE14" s="458"/>
      <c r="AF14" s="459">
        <f>SUM(AG14:BA14)</f>
        <v>0</v>
      </c>
      <c r="AG14" s="462">
        <f>'TCO TO BE- SW'!F172+NPV(Faktory!$D$5,'TCO TO BE- SW'!F173:F181)+'TCO TO BE- SW'!F182+NPV(Faktory!$D$5,'TCO TO BE- SW'!F183:F191)</f>
        <v>0</v>
      </c>
      <c r="AH14" s="462">
        <f>'TCO TO BE- SW'!G172+NPV(Faktory!$D$5,'TCO TO BE- SW'!G173:G181)+'TCO TO BE- SW'!G182+NPV(Faktory!$D$5,'TCO TO BE- SW'!G183:G191)</f>
        <v>0</v>
      </c>
      <c r="AI14" s="462">
        <f>'TCO TO BE- SW'!H172+NPV(Faktory!$D$5,'TCO TO BE- SW'!H173:H181)+'TCO TO BE- SW'!H182+NPV(Faktory!$D$5,'TCO TO BE- SW'!H183:H191)</f>
        <v>0</v>
      </c>
      <c r="AJ14" s="462">
        <f>'TCO TO BE- SW'!I172+NPV(Faktory!$D$5,'TCO TO BE- SW'!I173:I181)+'TCO TO BE- SW'!I182+NPV(Faktory!$D$5,'TCO TO BE- SW'!I183:I191)</f>
        <v>0</v>
      </c>
      <c r="AK14" s="462">
        <f>'TCO TO BE- SW'!J172+NPV(Faktory!$D$5,'TCO TO BE- SW'!J173:J181)+'TCO TO BE- SW'!J182+NPV(Faktory!$D$5,'TCO TO BE- SW'!J183:J191)</f>
        <v>0</v>
      </c>
      <c r="AL14" s="462">
        <f>'TCO TO BE- SW'!K172+NPV(Faktory!$D$5,'TCO TO BE- SW'!K173:K181)+'TCO TO BE- SW'!K182+NPV(Faktory!$D$5,'TCO TO BE- SW'!K183:K191)</f>
        <v>0</v>
      </c>
      <c r="AM14" s="462">
        <f>'TCO TO BE- SW'!L172+NPV(Faktory!$D$5,'TCO TO BE- SW'!L173:L181)+'TCO TO BE- SW'!L182+NPV(Faktory!$D$5,'TCO TO BE- SW'!L183:L191)</f>
        <v>0</v>
      </c>
      <c r="AN14" s="462">
        <f>'TCO TO BE- SW'!M172+NPV(Faktory!$D$5,'TCO TO BE- SW'!M173:M181)+'TCO TO BE- SW'!M182+NPV(Faktory!$D$5,'TCO TO BE- SW'!M183:M191)</f>
        <v>0</v>
      </c>
      <c r="AO14" s="462">
        <f>'TCO TO BE- SW'!N172+NPV(Faktory!$D$5,'TCO TO BE- SW'!N173:N181)+'TCO TO BE- SW'!N182+NPV(Faktory!$D$5,'TCO TO BE- SW'!N183:N191)</f>
        <v>0</v>
      </c>
      <c r="AP14" s="462">
        <f>'TCO TO BE- SW'!O172+NPV(Faktory!$D$5,'TCO TO BE- SW'!O173:O181)+'TCO TO BE- SW'!O182+NPV(Faktory!$D$5,'TCO TO BE- SW'!O183:O191)</f>
        <v>0</v>
      </c>
      <c r="AQ14" s="462">
        <f>'TCO TO BE- SW'!P172+NPV(Faktory!$D$5,'TCO TO BE- SW'!P173:P181)+'TCO TO BE- SW'!P182+NPV(Faktory!$D$5,'TCO TO BE- SW'!P183:P191)</f>
        <v>0</v>
      </c>
      <c r="AR14" s="462">
        <f>'TCO TO BE- SW'!Q172+NPV(Faktory!$D$5,'TCO TO BE- SW'!Q173:Q181)+'TCO TO BE- SW'!Q182+NPV(Faktory!$D$5,'TCO TO BE- SW'!Q183:Q191)</f>
        <v>0</v>
      </c>
      <c r="AS14" s="462">
        <f>'TCO TO BE- SW'!R172+NPV(Faktory!$D$5,'TCO TO BE- SW'!R173:R181)+'TCO TO BE- SW'!R182+NPV(Faktory!$D$5,'TCO TO BE- SW'!R183:R191)</f>
        <v>0</v>
      </c>
      <c r="AT14" s="462">
        <f>'TCO TO BE- SW'!S172+NPV(Faktory!$D$5,'TCO TO BE- SW'!S173:S181)+'TCO TO BE- SW'!S182+NPV(Faktory!$D$5,'TCO TO BE- SW'!S183:S191)</f>
        <v>0</v>
      </c>
      <c r="AU14" s="462">
        <f>'TCO TO BE- SW'!T172+NPV(Faktory!$D$5,'TCO TO BE- SW'!T173:T181)+'TCO TO BE- SW'!T182+NPV(Faktory!$D$5,'TCO TO BE- SW'!T183:T191)</f>
        <v>0</v>
      </c>
      <c r="AV14" s="462">
        <f>'TCO TO BE- SW'!U172+NPV(Faktory!$D$5,'TCO TO BE- SW'!U173:U181)+'TCO TO BE- SW'!U182+NPV(Faktory!$D$5,'TCO TO BE- SW'!U183:U191)</f>
        <v>0</v>
      </c>
      <c r="AW14" s="462">
        <f>'TCO TO BE- SW'!V172+NPV(Faktory!$D$5,'TCO TO BE- SW'!V173:V181)+'TCO TO BE- SW'!V182+NPV(Faktory!$D$5,'TCO TO BE- SW'!V183:V191)</f>
        <v>0</v>
      </c>
      <c r="AX14" s="462">
        <f>'TCO TO BE- SW'!W172+NPV(Faktory!$D$5,'TCO TO BE- SW'!W173:W181)+'TCO TO BE- SW'!W182+NPV(Faktory!$D$5,'TCO TO BE- SW'!W183:W191)</f>
        <v>0</v>
      </c>
      <c r="AY14" s="462">
        <f>'TCO TO BE- SW'!X172+NPV(Faktory!$D$5,'TCO TO BE- SW'!X173:X181)+'TCO TO BE- SW'!X182+NPV(Faktory!$D$5,'TCO TO BE- SW'!X183:X191)</f>
        <v>0</v>
      </c>
      <c r="AZ14" s="462">
        <f>'TCO TO BE- SW'!Y172+NPV(Faktory!$D$5,'TCO TO BE- SW'!Y173:Y181)+'TCO TO BE- SW'!Y182+NPV(Faktory!$D$5,'TCO TO BE- SW'!Y183:Y191)</f>
        <v>0</v>
      </c>
      <c r="BA14" s="462">
        <f>'TCO TO BE- SW'!Z172+NPV(Faktory!$D$5,'TCO TO BE- SW'!Z173:Z181)+'TCO TO BE- SW'!Z182+NPV(Faktory!$D$5,'TCO TO BE- SW'!Z183:Z191)</f>
        <v>0</v>
      </c>
    </row>
    <row r="15" spans="1:53">
      <c r="A15" s="455" t="s">
        <v>109</v>
      </c>
      <c r="B15" s="455"/>
      <c r="C15" s="455"/>
      <c r="D15" s="463">
        <f>SUM(E15:X15)</f>
        <v>125060718.02499072</v>
      </c>
      <c r="E15" s="456">
        <f>E16+E19</f>
        <v>9620055.2326916028</v>
      </c>
      <c r="F15" s="456">
        <f t="shared" ref="F15:Y15" si="3">F16+F19</f>
        <v>9620055.2326916028</v>
      </c>
      <c r="G15" s="456">
        <f t="shared" si="3"/>
        <v>9620055.2326915506</v>
      </c>
      <c r="H15" s="456">
        <f t="shared" si="3"/>
        <v>9620055.2326916028</v>
      </c>
      <c r="I15" s="456">
        <f t="shared" si="3"/>
        <v>9620055.2326916028</v>
      </c>
      <c r="J15" s="456">
        <f t="shared" si="3"/>
        <v>9620055.2326916028</v>
      </c>
      <c r="K15" s="456">
        <f t="shared" si="3"/>
        <v>9620055.2326916028</v>
      </c>
      <c r="L15" s="456">
        <f t="shared" si="3"/>
        <v>9620055.2326916028</v>
      </c>
      <c r="M15" s="456">
        <f t="shared" si="3"/>
        <v>9620055.2326916028</v>
      </c>
      <c r="N15" s="456">
        <f t="shared" si="3"/>
        <v>9620055.2326915506</v>
      </c>
      <c r="O15" s="456">
        <f t="shared" si="3"/>
        <v>9620055.2326916028</v>
      </c>
      <c r="P15" s="456">
        <f t="shared" si="3"/>
        <v>9620055.2326916028</v>
      </c>
      <c r="Q15" s="456">
        <f t="shared" si="3"/>
        <v>9620055.2326916028</v>
      </c>
      <c r="R15" s="456">
        <f t="shared" si="3"/>
        <v>0</v>
      </c>
      <c r="S15" s="456">
        <f t="shared" si="3"/>
        <v>0</v>
      </c>
      <c r="T15" s="456">
        <f t="shared" si="3"/>
        <v>0</v>
      </c>
      <c r="U15" s="456">
        <f t="shared" si="3"/>
        <v>0</v>
      </c>
      <c r="V15" s="456">
        <f t="shared" si="3"/>
        <v>0</v>
      </c>
      <c r="W15" s="456">
        <f t="shared" si="3"/>
        <v>0</v>
      </c>
      <c r="X15" s="456">
        <f t="shared" si="3"/>
        <v>0</v>
      </c>
      <c r="Y15" s="456">
        <f t="shared" si="3"/>
        <v>0</v>
      </c>
      <c r="AC15" s="455" t="s">
        <v>109</v>
      </c>
      <c r="AD15" s="455"/>
      <c r="AE15" s="455"/>
      <c r="AF15" s="463">
        <f>SUM(AG15:AZ15)</f>
        <v>93767154.109393552</v>
      </c>
      <c r="AG15" s="463">
        <f>AG16+AG19</f>
        <v>7212858.0084148943</v>
      </c>
      <c r="AH15" s="463">
        <f t="shared" ref="AH15:BA15" si="4">AH16+AH19</f>
        <v>7212858.0084148943</v>
      </c>
      <c r="AI15" s="463">
        <f t="shared" si="4"/>
        <v>7212858.0084148562</v>
      </c>
      <c r="AJ15" s="463">
        <f t="shared" si="4"/>
        <v>7212858.0084148943</v>
      </c>
      <c r="AK15" s="463">
        <f t="shared" si="4"/>
        <v>7212858.0084148943</v>
      </c>
      <c r="AL15" s="463">
        <f t="shared" si="4"/>
        <v>7212858.0084148943</v>
      </c>
      <c r="AM15" s="463">
        <f t="shared" si="4"/>
        <v>7212858.0084148943</v>
      </c>
      <c r="AN15" s="463">
        <f t="shared" si="4"/>
        <v>7212858.0084148943</v>
      </c>
      <c r="AO15" s="463">
        <f t="shared" si="4"/>
        <v>7212858.0084148943</v>
      </c>
      <c r="AP15" s="463">
        <f t="shared" si="4"/>
        <v>7212858.0084148562</v>
      </c>
      <c r="AQ15" s="463">
        <f t="shared" si="4"/>
        <v>7212858.0084148943</v>
      </c>
      <c r="AR15" s="463">
        <f t="shared" si="4"/>
        <v>7212858.0084148943</v>
      </c>
      <c r="AS15" s="463">
        <f t="shared" si="4"/>
        <v>7212858.0084148943</v>
      </c>
      <c r="AT15" s="463">
        <f t="shared" si="4"/>
        <v>0</v>
      </c>
      <c r="AU15" s="463">
        <f t="shared" si="4"/>
        <v>0</v>
      </c>
      <c r="AV15" s="463">
        <f t="shared" si="4"/>
        <v>0</v>
      </c>
      <c r="AW15" s="463">
        <f t="shared" si="4"/>
        <v>0</v>
      </c>
      <c r="AX15" s="463">
        <f t="shared" si="4"/>
        <v>0</v>
      </c>
      <c r="AY15" s="463">
        <f t="shared" si="4"/>
        <v>0</v>
      </c>
      <c r="AZ15" s="463">
        <f t="shared" si="4"/>
        <v>0</v>
      </c>
      <c r="BA15" s="463">
        <f t="shared" si="4"/>
        <v>0</v>
      </c>
    </row>
    <row r="16" spans="1:53">
      <c r="A16" s="457"/>
      <c r="B16" s="458" t="s">
        <v>110</v>
      </c>
      <c r="C16" s="458"/>
      <c r="D16" s="459">
        <f>SUM(E16:X16)</f>
        <v>0</v>
      </c>
      <c r="E16" s="459">
        <f>E17+E18</f>
        <v>0</v>
      </c>
      <c r="F16" s="459">
        <f t="shared" ref="F16:Y16" si="5">F17+F18</f>
        <v>0</v>
      </c>
      <c r="G16" s="459">
        <f t="shared" si="5"/>
        <v>0</v>
      </c>
      <c r="H16" s="459">
        <f t="shared" si="5"/>
        <v>0</v>
      </c>
      <c r="I16" s="459">
        <f t="shared" si="5"/>
        <v>0</v>
      </c>
      <c r="J16" s="459">
        <f t="shared" si="5"/>
        <v>0</v>
      </c>
      <c r="K16" s="459">
        <f t="shared" si="5"/>
        <v>0</v>
      </c>
      <c r="L16" s="459">
        <f t="shared" si="5"/>
        <v>0</v>
      </c>
      <c r="M16" s="459">
        <f t="shared" si="5"/>
        <v>0</v>
      </c>
      <c r="N16" s="459">
        <f t="shared" si="5"/>
        <v>0</v>
      </c>
      <c r="O16" s="459">
        <f t="shared" si="5"/>
        <v>0</v>
      </c>
      <c r="P16" s="459">
        <f t="shared" si="5"/>
        <v>0</v>
      </c>
      <c r="Q16" s="459">
        <f t="shared" si="5"/>
        <v>0</v>
      </c>
      <c r="R16" s="459">
        <f t="shared" si="5"/>
        <v>0</v>
      </c>
      <c r="S16" s="459">
        <f t="shared" si="5"/>
        <v>0</v>
      </c>
      <c r="T16" s="459">
        <f t="shared" si="5"/>
        <v>0</v>
      </c>
      <c r="U16" s="459">
        <f t="shared" si="5"/>
        <v>0</v>
      </c>
      <c r="V16" s="459">
        <f t="shared" si="5"/>
        <v>0</v>
      </c>
      <c r="W16" s="459">
        <f t="shared" si="5"/>
        <v>0</v>
      </c>
      <c r="X16" s="459">
        <f t="shared" si="5"/>
        <v>0</v>
      </c>
      <c r="Y16" s="459">
        <f t="shared" si="5"/>
        <v>0</v>
      </c>
      <c r="AC16" s="457"/>
      <c r="AD16" s="458" t="s">
        <v>110</v>
      </c>
      <c r="AE16" s="458"/>
      <c r="AF16" s="459">
        <f>SUM(AG16:AZ16)</f>
        <v>0</v>
      </c>
      <c r="AG16" s="459">
        <f>AG17+AG18</f>
        <v>0</v>
      </c>
      <c r="AH16" s="459">
        <f t="shared" ref="AH16:BA16" si="6">AH17+AH18</f>
        <v>0</v>
      </c>
      <c r="AI16" s="459">
        <f t="shared" si="6"/>
        <v>0</v>
      </c>
      <c r="AJ16" s="459">
        <f t="shared" si="6"/>
        <v>0</v>
      </c>
      <c r="AK16" s="459">
        <f t="shared" si="6"/>
        <v>0</v>
      </c>
      <c r="AL16" s="459">
        <f t="shared" si="6"/>
        <v>0</v>
      </c>
      <c r="AM16" s="459">
        <f t="shared" si="6"/>
        <v>0</v>
      </c>
      <c r="AN16" s="459">
        <f t="shared" si="6"/>
        <v>0</v>
      </c>
      <c r="AO16" s="459">
        <f t="shared" si="6"/>
        <v>0</v>
      </c>
      <c r="AP16" s="459">
        <f t="shared" si="6"/>
        <v>0</v>
      </c>
      <c r="AQ16" s="459">
        <f t="shared" si="6"/>
        <v>0</v>
      </c>
      <c r="AR16" s="459">
        <f t="shared" si="6"/>
        <v>0</v>
      </c>
      <c r="AS16" s="459">
        <f t="shared" si="6"/>
        <v>0</v>
      </c>
      <c r="AT16" s="459">
        <f t="shared" si="6"/>
        <v>0</v>
      </c>
      <c r="AU16" s="459">
        <f t="shared" si="6"/>
        <v>0</v>
      </c>
      <c r="AV16" s="459">
        <f t="shared" si="6"/>
        <v>0</v>
      </c>
      <c r="AW16" s="459">
        <f t="shared" si="6"/>
        <v>0</v>
      </c>
      <c r="AX16" s="459">
        <f t="shared" si="6"/>
        <v>0</v>
      </c>
      <c r="AY16" s="459">
        <f t="shared" si="6"/>
        <v>0</v>
      </c>
      <c r="AZ16" s="459">
        <f t="shared" si="6"/>
        <v>0</v>
      </c>
      <c r="BA16" s="459">
        <f t="shared" si="6"/>
        <v>0</v>
      </c>
    </row>
    <row r="17" spans="1:53">
      <c r="A17" s="460"/>
      <c r="B17" s="460"/>
      <c r="C17" s="461" t="s">
        <v>111</v>
      </c>
      <c r="D17" s="477">
        <f>SUM(E17:X17)</f>
        <v>0</v>
      </c>
      <c r="E17" s="477">
        <f>SUM('Parametre - Agendové IS'!I116:I125)</f>
        <v>0</v>
      </c>
      <c r="F17" s="477">
        <f>SUM('Parametre - Agendové IS'!J116:J125)</f>
        <v>0</v>
      </c>
      <c r="G17" s="477">
        <f>SUM('Parametre - Agendové IS'!K116:K125)</f>
        <v>0</v>
      </c>
      <c r="H17" s="477">
        <f>SUM('Parametre - Agendové IS'!L116:L125)</f>
        <v>0</v>
      </c>
      <c r="I17" s="477">
        <f>SUM('Parametre - Agendové IS'!M116:M125)</f>
        <v>0</v>
      </c>
      <c r="J17" s="477">
        <f>SUM('Parametre - Agendové IS'!N116:N125)</f>
        <v>0</v>
      </c>
      <c r="K17" s="477">
        <f>SUM('Parametre - Agendové IS'!O116:O125)</f>
        <v>0</v>
      </c>
      <c r="L17" s="477">
        <f>SUM('Parametre - Agendové IS'!P116:P125)</f>
        <v>0</v>
      </c>
      <c r="M17" s="477">
        <f>SUM('Parametre - Agendové IS'!Q116:Q125)</f>
        <v>0</v>
      </c>
      <c r="N17" s="477">
        <f>SUM('Parametre - Agendové IS'!R116:R125)</f>
        <v>0</v>
      </c>
      <c r="O17" s="477">
        <f>SUM('Parametre - Agendové IS'!S116:S125)</f>
        <v>0</v>
      </c>
      <c r="P17" s="477">
        <f>SUM('Parametre - Agendové IS'!T116:T125)</f>
        <v>0</v>
      </c>
      <c r="Q17" s="477">
        <f>SUM('Parametre - Agendové IS'!U116:U125)</f>
        <v>0</v>
      </c>
      <c r="R17" s="477">
        <f>SUM('Parametre - Agendové IS'!V116:V125)</f>
        <v>0</v>
      </c>
      <c r="S17" s="477">
        <f>SUM('Parametre - Agendové IS'!W116:W125)</f>
        <v>0</v>
      </c>
      <c r="T17" s="477">
        <f>SUM('Parametre - Agendové IS'!X116:X125)</f>
        <v>0</v>
      </c>
      <c r="U17" s="477">
        <f>SUM('Parametre - Agendové IS'!Y116:Y125)</f>
        <v>0</v>
      </c>
      <c r="V17" s="477">
        <f>SUM('Parametre - Agendové IS'!Z116:Z125)</f>
        <v>0</v>
      </c>
      <c r="W17" s="477">
        <f>SUM('Parametre - Agendové IS'!AA116:AA125)</f>
        <v>0</v>
      </c>
      <c r="X17" s="477">
        <f>SUM('Parametre - Agendové IS'!AB116:AB125)</f>
        <v>0</v>
      </c>
      <c r="Y17" s="477">
        <f>SUM('Parametre - Agendové IS'!AC116:AC125)</f>
        <v>0</v>
      </c>
      <c r="AC17" s="460"/>
      <c r="AD17" s="460"/>
      <c r="AE17" s="461" t="s">
        <v>111</v>
      </c>
      <c r="AF17" s="472">
        <f>SUM(AG17:AZ17)</f>
        <v>0</v>
      </c>
      <c r="AG17" s="472">
        <f>'Parametre - Agendové IS'!I116+NPV(Faktory!$D$3,'Parametre - Agendové IS'!I117:I125)</f>
        <v>0</v>
      </c>
      <c r="AH17" s="472">
        <f>'Parametre - Agendové IS'!J116+NPV(Faktory!$D$3,'Parametre - Agendové IS'!J117:J125)</f>
        <v>0</v>
      </c>
      <c r="AI17" s="472">
        <f>'Parametre - Agendové IS'!K116+NPV(Faktory!$D$3,'Parametre - Agendové IS'!K117:K125)</f>
        <v>0</v>
      </c>
      <c r="AJ17" s="472">
        <f>'Parametre - Agendové IS'!L116+NPV(Faktory!$D$3,'Parametre - Agendové IS'!L117:L125)</f>
        <v>0</v>
      </c>
      <c r="AK17" s="472">
        <f>'Parametre - Agendové IS'!M116+NPV(Faktory!$D$3,'Parametre - Agendové IS'!M117:M125)</f>
        <v>0</v>
      </c>
      <c r="AL17" s="472">
        <f>'Parametre - Agendové IS'!N116+NPV(Faktory!$D$3,'Parametre - Agendové IS'!N117:N125)</f>
        <v>0</v>
      </c>
      <c r="AM17" s="472">
        <f>'Parametre - Agendové IS'!O116+NPV(Faktory!$D$3,'Parametre - Agendové IS'!O117:O125)</f>
        <v>0</v>
      </c>
      <c r="AN17" s="472">
        <f>'Parametre - Agendové IS'!P116+NPV(Faktory!$D$3,'Parametre - Agendové IS'!P117:P125)</f>
        <v>0</v>
      </c>
      <c r="AO17" s="472">
        <f>'Parametre - Agendové IS'!Q116+NPV(Faktory!$D$3,'Parametre - Agendové IS'!Q117:Q125)</f>
        <v>0</v>
      </c>
      <c r="AP17" s="472">
        <f>'Parametre - Agendové IS'!R116+NPV(Faktory!$D$3,'Parametre - Agendové IS'!R117:R125)</f>
        <v>0</v>
      </c>
      <c r="AQ17" s="472">
        <f>'Parametre - Agendové IS'!S116+NPV(Faktory!$D$3,'Parametre - Agendové IS'!S117:S125)</f>
        <v>0</v>
      </c>
      <c r="AR17" s="472">
        <f>'Parametre - Agendové IS'!T116+NPV(Faktory!$D$3,'Parametre - Agendové IS'!T117:T125)</f>
        <v>0</v>
      </c>
      <c r="AS17" s="472">
        <f>'Parametre - Agendové IS'!U116+NPV(Faktory!$D$3,'Parametre - Agendové IS'!U117:U125)</f>
        <v>0</v>
      </c>
      <c r="AT17" s="472">
        <f>'Parametre - Agendové IS'!V116+NPV(Faktory!$D$3,'Parametre - Agendové IS'!V117:V125)</f>
        <v>0</v>
      </c>
      <c r="AU17" s="472">
        <f>'Parametre - Agendové IS'!W116+NPV(Faktory!$D$3,'Parametre - Agendové IS'!W117:W125)</f>
        <v>0</v>
      </c>
      <c r="AV17" s="472">
        <f>'Parametre - Agendové IS'!X116+NPV(Faktory!$D$3,'Parametre - Agendové IS'!X117:X125)</f>
        <v>0</v>
      </c>
      <c r="AW17" s="472">
        <f>'Parametre - Agendové IS'!Y116+NPV(Faktory!$D$3,'Parametre - Agendové IS'!Y117:Y125)</f>
        <v>0</v>
      </c>
      <c r="AX17" s="472">
        <f>'Parametre - Agendové IS'!Z116+NPV(Faktory!$D$3,'Parametre - Agendové IS'!Z117:Z125)</f>
        <v>0</v>
      </c>
      <c r="AY17" s="472">
        <f>'Parametre - Agendové IS'!AA116+NPV(Faktory!$D$3,'Parametre - Agendové IS'!AA117:AA125)</f>
        <v>0</v>
      </c>
      <c r="AZ17" s="472">
        <f>'Parametre - Agendové IS'!AB116+NPV(Faktory!$D$3,'Parametre - Agendové IS'!AB117:AB125)</f>
        <v>0</v>
      </c>
      <c r="BA17" s="472">
        <f>'Parametre - Agendové IS'!AC116+NPV(Faktory!$D$3,'Parametre - Agendové IS'!AC117:AC125)</f>
        <v>0</v>
      </c>
    </row>
    <row r="18" spans="1:53">
      <c r="A18" s="460"/>
      <c r="B18" s="460"/>
      <c r="C18" s="461" t="s">
        <v>112</v>
      </c>
      <c r="D18" s="477">
        <f>'Prínosy - Agendové IS'!AN15</f>
        <v>0</v>
      </c>
      <c r="E18" s="474"/>
      <c r="F18" s="474"/>
      <c r="G18" s="474"/>
      <c r="H18" s="474"/>
      <c r="I18" s="474"/>
      <c r="J18" s="475"/>
      <c r="K18" s="474"/>
      <c r="L18" s="474"/>
      <c r="M18" s="474"/>
      <c r="N18" s="475"/>
      <c r="O18" s="474"/>
      <c r="P18" s="474"/>
      <c r="Q18" s="474"/>
      <c r="R18" s="475"/>
      <c r="S18" s="474"/>
      <c r="T18" s="474"/>
      <c r="U18" s="474"/>
      <c r="V18" s="475"/>
      <c r="W18" s="474"/>
      <c r="X18" s="474"/>
      <c r="Y18" s="474"/>
      <c r="Z18" s="333"/>
      <c r="AC18" s="460"/>
      <c r="AD18" s="460"/>
      <c r="AE18" s="461" t="s">
        <v>112</v>
      </c>
      <c r="AF18" s="472">
        <f>'Prínosy - Agendové IS'!L15</f>
        <v>0</v>
      </c>
      <c r="AG18" s="474"/>
      <c r="AH18" s="474"/>
      <c r="AI18" s="474"/>
      <c r="AJ18" s="474"/>
      <c r="AK18" s="475"/>
      <c r="AL18" s="474"/>
      <c r="AM18" s="474"/>
      <c r="AN18" s="474"/>
      <c r="AO18" s="475"/>
      <c r="AP18" s="474"/>
      <c r="AQ18" s="474"/>
      <c r="AR18" s="474"/>
      <c r="AS18" s="475"/>
      <c r="AT18" s="474"/>
      <c r="AU18" s="474"/>
      <c r="AV18" s="474"/>
      <c r="AW18" s="475"/>
      <c r="AX18" s="474"/>
      <c r="AY18" s="474"/>
      <c r="AZ18" s="474"/>
      <c r="BA18" s="475"/>
    </row>
    <row r="19" spans="1:53">
      <c r="A19" s="457"/>
      <c r="B19" s="458" t="s">
        <v>113</v>
      </c>
      <c r="C19" s="458"/>
      <c r="D19" s="459">
        <f>SUM(E19:X19)</f>
        <v>125060718.02499072</v>
      </c>
      <c r="E19" s="459">
        <f>E20+E21+E23</f>
        <v>9620055.2326916028</v>
      </c>
      <c r="F19" s="459">
        <f t="shared" ref="F19:Y19" si="7">F20+F21+F23</f>
        <v>9620055.2326916028</v>
      </c>
      <c r="G19" s="459">
        <f t="shared" si="7"/>
        <v>9620055.2326915506</v>
      </c>
      <c r="H19" s="459">
        <f t="shared" si="7"/>
        <v>9620055.2326916028</v>
      </c>
      <c r="I19" s="459">
        <f t="shared" si="7"/>
        <v>9620055.2326916028</v>
      </c>
      <c r="J19" s="459">
        <f t="shared" si="7"/>
        <v>9620055.2326916028</v>
      </c>
      <c r="K19" s="459">
        <f t="shared" si="7"/>
        <v>9620055.2326916028</v>
      </c>
      <c r="L19" s="459">
        <f t="shared" si="7"/>
        <v>9620055.2326916028</v>
      </c>
      <c r="M19" s="459">
        <f t="shared" si="7"/>
        <v>9620055.2326916028</v>
      </c>
      <c r="N19" s="459">
        <f t="shared" si="7"/>
        <v>9620055.2326915506</v>
      </c>
      <c r="O19" s="459">
        <f t="shared" si="7"/>
        <v>9620055.2326916028</v>
      </c>
      <c r="P19" s="459">
        <f t="shared" si="7"/>
        <v>9620055.2326916028</v>
      </c>
      <c r="Q19" s="459">
        <f t="shared" si="7"/>
        <v>9620055.2326916028</v>
      </c>
      <c r="R19" s="459">
        <f t="shared" si="7"/>
        <v>0</v>
      </c>
      <c r="S19" s="459">
        <f t="shared" si="7"/>
        <v>0</v>
      </c>
      <c r="T19" s="459">
        <f t="shared" si="7"/>
        <v>0</v>
      </c>
      <c r="U19" s="459">
        <f t="shared" si="7"/>
        <v>0</v>
      </c>
      <c r="V19" s="459">
        <f t="shared" si="7"/>
        <v>0</v>
      </c>
      <c r="W19" s="459">
        <f t="shared" si="7"/>
        <v>0</v>
      </c>
      <c r="X19" s="459">
        <f t="shared" si="7"/>
        <v>0</v>
      </c>
      <c r="Y19" s="459">
        <f t="shared" si="7"/>
        <v>0</v>
      </c>
      <c r="AC19" s="457"/>
      <c r="AD19" s="458" t="s">
        <v>113</v>
      </c>
      <c r="AE19" s="458"/>
      <c r="AF19" s="459">
        <f>SUM(AG19:AZ19)</f>
        <v>93767154.109393552</v>
      </c>
      <c r="AG19" s="459">
        <f>AG20+AG21+AG23</f>
        <v>7212858.0084148943</v>
      </c>
      <c r="AH19" s="459">
        <f t="shared" ref="AH19:BA19" si="8">AH20+AH21+AH23</f>
        <v>7212858.0084148943</v>
      </c>
      <c r="AI19" s="459">
        <f t="shared" si="8"/>
        <v>7212858.0084148562</v>
      </c>
      <c r="AJ19" s="459">
        <f t="shared" si="8"/>
        <v>7212858.0084148943</v>
      </c>
      <c r="AK19" s="459">
        <f t="shared" si="8"/>
        <v>7212858.0084148943</v>
      </c>
      <c r="AL19" s="459">
        <f t="shared" si="8"/>
        <v>7212858.0084148943</v>
      </c>
      <c r="AM19" s="459">
        <f t="shared" si="8"/>
        <v>7212858.0084148943</v>
      </c>
      <c r="AN19" s="459">
        <f t="shared" si="8"/>
        <v>7212858.0084148943</v>
      </c>
      <c r="AO19" s="459">
        <f t="shared" si="8"/>
        <v>7212858.0084148943</v>
      </c>
      <c r="AP19" s="459">
        <f t="shared" si="8"/>
        <v>7212858.0084148562</v>
      </c>
      <c r="AQ19" s="459">
        <f t="shared" si="8"/>
        <v>7212858.0084148943</v>
      </c>
      <c r="AR19" s="459">
        <f t="shared" si="8"/>
        <v>7212858.0084148943</v>
      </c>
      <c r="AS19" s="459">
        <f t="shared" si="8"/>
        <v>7212858.0084148943</v>
      </c>
      <c r="AT19" s="459">
        <f t="shared" si="8"/>
        <v>0</v>
      </c>
      <c r="AU19" s="459">
        <f t="shared" si="8"/>
        <v>0</v>
      </c>
      <c r="AV19" s="459">
        <f t="shared" si="8"/>
        <v>0</v>
      </c>
      <c r="AW19" s="459">
        <f t="shared" si="8"/>
        <v>0</v>
      </c>
      <c r="AX19" s="459">
        <f t="shared" si="8"/>
        <v>0</v>
      </c>
      <c r="AY19" s="459">
        <f t="shared" si="8"/>
        <v>0</v>
      </c>
      <c r="AZ19" s="459">
        <f t="shared" si="8"/>
        <v>0</v>
      </c>
      <c r="BA19" s="459">
        <f t="shared" si="8"/>
        <v>0</v>
      </c>
    </row>
    <row r="20" spans="1:53">
      <c r="A20" s="460"/>
      <c r="B20" s="460"/>
      <c r="C20" s="461" t="s">
        <v>114</v>
      </c>
      <c r="D20" s="477">
        <f>SUM(E20:X20)</f>
        <v>3063973.5126000023</v>
      </c>
      <c r="E20" s="477">
        <f>SUM('Parametre - Agendové IS'!I96:I105)</f>
        <v>235690.2702000002</v>
      </c>
      <c r="F20" s="477">
        <f>SUM('Parametre - Agendové IS'!L96:L105)</f>
        <v>235690.2702000002</v>
      </c>
      <c r="G20" s="477">
        <f>SUM('Parametre - Agendové IS'!O96:O105)</f>
        <v>235690.2702000002</v>
      </c>
      <c r="H20" s="477">
        <f>SUM('Parametre - Agendové IS'!R96:R105)</f>
        <v>235690.2702000002</v>
      </c>
      <c r="I20" s="477">
        <f>SUM('Parametre - Agendové IS'!U96:U105)</f>
        <v>235690.2702000002</v>
      </c>
      <c r="J20" s="477">
        <f>SUM('Parametre - Agendové IS'!X96:X105)</f>
        <v>235690.2702000002</v>
      </c>
      <c r="K20" s="477">
        <f>SUM('Parametre - Agendové IS'!AA96:AA105)</f>
        <v>235690.2702000002</v>
      </c>
      <c r="L20" s="477">
        <f>SUM('Parametre - Agendové IS'!AD96:AD105)</f>
        <v>235690.2702000002</v>
      </c>
      <c r="M20" s="477">
        <f>SUM('Parametre - Agendové IS'!AG96:AG105)</f>
        <v>235690.2702000002</v>
      </c>
      <c r="N20" s="477">
        <f>SUM('Parametre - Agendové IS'!AJ96:AJ105)</f>
        <v>235690.2702000002</v>
      </c>
      <c r="O20" s="477">
        <f>SUM('Parametre - Agendové IS'!AM96:AM105)</f>
        <v>235690.2702000002</v>
      </c>
      <c r="P20" s="477">
        <f>SUM('Parametre - Agendové IS'!AP96:AP105)</f>
        <v>235690.2702000002</v>
      </c>
      <c r="Q20" s="477">
        <f>SUM('Parametre - Agendové IS'!AS96:AS105)</f>
        <v>235690.2702000002</v>
      </c>
      <c r="R20" s="477">
        <f>SUM('Parametre - Agendové IS'!AV96:AV105)</f>
        <v>0</v>
      </c>
      <c r="S20" s="477">
        <f>SUM('Parametre - Agendové IS'!AY96:AY105)</f>
        <v>0</v>
      </c>
      <c r="T20" s="477">
        <f>SUM('Parametre - Agendové IS'!BB96:BB105)</f>
        <v>0</v>
      </c>
      <c r="U20" s="477">
        <f>SUM('Parametre - Agendové IS'!BE96:BE105)</f>
        <v>0</v>
      </c>
      <c r="V20" s="477">
        <f>SUM('Parametre - Agendové IS'!BH96:BH105)</f>
        <v>0</v>
      </c>
      <c r="W20" s="477">
        <f>SUM('Parametre - Agendové IS'!BK96:BK105)</f>
        <v>0</v>
      </c>
      <c r="X20" s="477">
        <f>SUM('Parametre - Agendové IS'!BN96:BN105)</f>
        <v>0</v>
      </c>
      <c r="Y20" s="477">
        <f>SUM('Parametre - Agendové IS'!BQ96:BQ105)</f>
        <v>0</v>
      </c>
      <c r="AC20" s="460"/>
      <c r="AD20" s="460"/>
      <c r="AE20" s="461" t="s">
        <v>114</v>
      </c>
      <c r="AF20" s="472">
        <f>SUM(AG20:AZ20)</f>
        <v>2297284.7196163824</v>
      </c>
      <c r="AG20" s="472">
        <f>'Parametre - Agendové IS'!I96+NPV(Faktory!$D$5,'Parametre - Agendové IS'!I97:I105)</f>
        <v>176714.20920126021</v>
      </c>
      <c r="AH20" s="472">
        <f>'Parametre - Agendové IS'!L96+NPV(Faktory!$D$5,'Parametre - Agendové IS'!L97:L105)</f>
        <v>176714.20920126021</v>
      </c>
      <c r="AI20" s="472">
        <f>'Parametre - Agendové IS'!O96+NPV(Faktory!$D$5,'Parametre - Agendové IS'!O97:O105)</f>
        <v>176714.20920126021</v>
      </c>
      <c r="AJ20" s="472">
        <f>'Parametre - Agendové IS'!R96+NPV(Faktory!$D$5,'Parametre - Agendové IS'!R97:R105)</f>
        <v>176714.20920126021</v>
      </c>
      <c r="AK20" s="472">
        <f>'Parametre - Agendové IS'!U96+NPV(Faktory!$D$5,'Parametre - Agendové IS'!U97:U105)</f>
        <v>176714.20920126021</v>
      </c>
      <c r="AL20" s="472">
        <f>'Parametre - Agendové IS'!X96+NPV(Faktory!$D$5,'Parametre - Agendové IS'!X97:X105)</f>
        <v>176714.20920126021</v>
      </c>
      <c r="AM20" s="472">
        <f>'Parametre - Agendové IS'!AA96+NPV(Faktory!$D$5,'Parametre - Agendové IS'!AA97:AA105)</f>
        <v>176714.20920126021</v>
      </c>
      <c r="AN20" s="472">
        <f>'Parametre - Agendové IS'!AD96+NPV(Faktory!$D$5,'Parametre - Agendové IS'!AD97:AD105)</f>
        <v>176714.20920126021</v>
      </c>
      <c r="AO20" s="472">
        <f>'Parametre - Agendové IS'!AG96+NPV(Faktory!$D$5,'Parametre - Agendové IS'!AG97:AG105)</f>
        <v>176714.20920126021</v>
      </c>
      <c r="AP20" s="472">
        <f>'Parametre - Agendové IS'!AJ96+NPV(Faktory!$D$5,'Parametre - Agendové IS'!AJ97:AJ105)</f>
        <v>176714.20920126021</v>
      </c>
      <c r="AQ20" s="472">
        <f>'Parametre - Agendové IS'!AM96+NPV(Faktory!$D$5,'Parametre - Agendové IS'!AM97:AM105)</f>
        <v>176714.20920126021</v>
      </c>
      <c r="AR20" s="472">
        <f>'Parametre - Agendové IS'!AP96+NPV(Faktory!$D$5,'Parametre - Agendové IS'!AP97:AP105)</f>
        <v>176714.20920126021</v>
      </c>
      <c r="AS20" s="472">
        <f>'Parametre - Agendové IS'!AS96+NPV(Faktory!$D$5,'Parametre - Agendové IS'!AS97:AS105)</f>
        <v>176714.20920126021</v>
      </c>
      <c r="AT20" s="472">
        <f>'Parametre - Agendové IS'!AV96+NPV(Faktory!$D$5,'Parametre - Agendové IS'!AV97:AV105)</f>
        <v>0</v>
      </c>
      <c r="AU20" s="472">
        <f>'Parametre - Agendové IS'!AY96+NPV(Faktory!$D$5,'Parametre - Agendové IS'!AY97:AY105)</f>
        <v>0</v>
      </c>
      <c r="AV20" s="472">
        <f>'Parametre - Agendové IS'!BB96+NPV(Faktory!$D$5,'Parametre - Agendové IS'!BB97:BB105)</f>
        <v>0</v>
      </c>
      <c r="AW20" s="472">
        <f>'Parametre - Agendové IS'!BE96+NPV(Faktory!$D$5,'Parametre - Agendové IS'!BE97:BE105)</f>
        <v>0</v>
      </c>
      <c r="AX20" s="472">
        <f>'Parametre - Agendové IS'!BH96+NPV(Faktory!$D$5,'Parametre - Agendové IS'!BH97:BH105)</f>
        <v>0</v>
      </c>
      <c r="AY20" s="472">
        <f>'Parametre - Agendové IS'!BK96+NPV(Faktory!$D$5,'Parametre - Agendové IS'!BK97:BK105)</f>
        <v>0</v>
      </c>
      <c r="AZ20" s="472">
        <f>'Parametre - Agendové IS'!BN96+NPV(Faktory!$D$5,'Parametre - Agendové IS'!BN97:BN105)</f>
        <v>0</v>
      </c>
      <c r="BA20" s="472">
        <f>'Parametre - Agendové IS'!BQ96+NPV(Faktory!$D$5,'Parametre - Agendové IS'!BQ97:BQC105)</f>
        <v>0</v>
      </c>
    </row>
    <row r="21" spans="1:53">
      <c r="A21" s="460"/>
      <c r="B21" s="460"/>
      <c r="C21" s="461" t="s">
        <v>115</v>
      </c>
      <c r="D21" s="477">
        <f>SUM(E21:X21)</f>
        <v>121996744.5123907</v>
      </c>
      <c r="E21" s="477">
        <f>-(SUM('Parametre - Agendové IS'!I76:I85))</f>
        <v>9384364.9624916017</v>
      </c>
      <c r="F21" s="477">
        <f>-(SUM('Parametre - Agendové IS'!L76:L85))</f>
        <v>9384364.9624916017</v>
      </c>
      <c r="G21" s="477">
        <f>-(SUM('Parametre - Agendové IS'!O76:O85))</f>
        <v>9384364.9624915496</v>
      </c>
      <c r="H21" s="477">
        <f>-(SUM('Parametre - Agendové IS'!R76:R85))</f>
        <v>9384364.9624916017</v>
      </c>
      <c r="I21" s="477">
        <f>-(SUM('Parametre - Agendové IS'!U76:U85))</f>
        <v>9384364.9624916017</v>
      </c>
      <c r="J21" s="477">
        <f>-(SUM('Parametre - Agendové IS'!X76:X85))</f>
        <v>9384364.9624916017</v>
      </c>
      <c r="K21" s="477">
        <f>-(SUM('Parametre - Agendové IS'!AA76:AA85))</f>
        <v>9384364.9624916017</v>
      </c>
      <c r="L21" s="477">
        <f>-(SUM('Parametre - Agendové IS'!AD76:AD85))</f>
        <v>9384364.9624916017</v>
      </c>
      <c r="M21" s="477">
        <f>-(SUM('Parametre - Agendové IS'!AG76:AG85))</f>
        <v>9384364.9624916017</v>
      </c>
      <c r="N21" s="477">
        <f>-(SUM('Parametre - Agendové IS'!AJ76:AJ85))</f>
        <v>9384364.9624915496</v>
      </c>
      <c r="O21" s="477">
        <f>-(SUM('Parametre - Agendové IS'!AM76:AM85))</f>
        <v>9384364.9624916017</v>
      </c>
      <c r="P21" s="477">
        <f>-(SUM('Parametre - Agendové IS'!AP76:AP85))</f>
        <v>9384364.9624916017</v>
      </c>
      <c r="Q21" s="477">
        <f>-(SUM('Parametre - Agendové IS'!AS76:AS85))</f>
        <v>9384364.9624916017</v>
      </c>
      <c r="R21" s="477">
        <f>-(SUM('Parametre - Agendové IS'!AV76:AV85))</f>
        <v>0</v>
      </c>
      <c r="S21" s="477">
        <f>-(SUM('Parametre - Agendové IS'!AY76:AY85))</f>
        <v>0</v>
      </c>
      <c r="T21" s="477">
        <f>-(SUM('Parametre - Agendové IS'!BB76:BB85))</f>
        <v>0</v>
      </c>
      <c r="U21" s="477">
        <f>-(SUM('Parametre - Agendové IS'!BE76:BE85))</f>
        <v>0</v>
      </c>
      <c r="V21" s="477">
        <f>-(SUM('Parametre - Agendové IS'!BH76:BH85))</f>
        <v>0</v>
      </c>
      <c r="W21" s="477">
        <f>-(SUM('Parametre - Agendové IS'!BK76:BK85))</f>
        <v>0</v>
      </c>
      <c r="X21" s="477">
        <f>-(SUM('Parametre - Agendové IS'!BN76:BN85))</f>
        <v>0</v>
      </c>
      <c r="Y21" s="477">
        <f>-(SUM('Parametre - Agendové IS'!BQ76:BQ85))</f>
        <v>0</v>
      </c>
      <c r="AC21" s="460"/>
      <c r="AD21" s="460"/>
      <c r="AE21" s="461" t="s">
        <v>115</v>
      </c>
      <c r="AF21" s="472">
        <f>SUM(AG21:AZ21)</f>
        <v>91469869.389777154</v>
      </c>
      <c r="AG21" s="472">
        <f>-('Parametre - Agendové IS'!I76+NPV(Faktory!$D$5,'Parametre - Agendové IS'!I77:I85))</f>
        <v>7036143.7992136339</v>
      </c>
      <c r="AH21" s="472">
        <f>-('Parametre - Agendové IS'!L76+NPV(Faktory!$D$5,'Parametre - Agendové IS'!L77:L85))</f>
        <v>7036143.7992136339</v>
      </c>
      <c r="AI21" s="472">
        <f>-('Parametre - Agendové IS'!O76+NPV(Faktory!$D$5,'Parametre - Agendové IS'!O77:O85))</f>
        <v>7036143.7992135957</v>
      </c>
      <c r="AJ21" s="472">
        <f>-('Parametre - Agendové IS'!R76+NPV(Faktory!$D$5,'Parametre - Agendové IS'!R77:R85))</f>
        <v>7036143.7992136339</v>
      </c>
      <c r="AK21" s="472">
        <f>-('Parametre - Agendové IS'!U76+NPV(Faktory!$D$5,'Parametre - Agendové IS'!U77:U85))</f>
        <v>7036143.7992136339</v>
      </c>
      <c r="AL21" s="472">
        <f>-('Parametre - Agendové IS'!X76+NPV(Faktory!$D$5,'Parametre - Agendové IS'!X77:X85))</f>
        <v>7036143.7992136339</v>
      </c>
      <c r="AM21" s="472">
        <f>-('Parametre - Agendové IS'!AA76+NPV(Faktory!$D$5,'Parametre - Agendové IS'!AA77:AA85))</f>
        <v>7036143.7992136339</v>
      </c>
      <c r="AN21" s="472">
        <f>-('Parametre - Agendové IS'!AD76+NPV(Faktory!$D$5,'Parametre - Agendové IS'!AD77:AD85))</f>
        <v>7036143.7992136339</v>
      </c>
      <c r="AO21" s="472">
        <f>-('Parametre - Agendové IS'!AG76+NPV(Faktory!$D$5,'Parametre - Agendové IS'!AG77:AG85))</f>
        <v>7036143.7992136339</v>
      </c>
      <c r="AP21" s="472">
        <f>-('Parametre - Agendové IS'!AJ76+NPV(Faktory!$D$5,'Parametre - Agendové IS'!AJ77:AJ85))</f>
        <v>7036143.7992135957</v>
      </c>
      <c r="AQ21" s="472">
        <f>-('Parametre - Agendové IS'!AM76+NPV(Faktory!$D$5,'Parametre - Agendové IS'!AM77:AM85))</f>
        <v>7036143.7992136339</v>
      </c>
      <c r="AR21" s="472">
        <f>-('Parametre - Agendové IS'!AP76+NPV(Faktory!$D$5,'Parametre - Agendové IS'!AP77:AP85))</f>
        <v>7036143.7992136339</v>
      </c>
      <c r="AS21" s="472">
        <f>-('Parametre - Agendové IS'!AS76+NPV(Faktory!$D$5,'Parametre - Agendové IS'!AS77:AS85))</f>
        <v>7036143.7992136339</v>
      </c>
      <c r="AT21" s="472">
        <f>-('Parametre - Agendové IS'!AV76+NPV(Faktory!$D$5,'Parametre - Agendové IS'!AV77:AV85))</f>
        <v>0</v>
      </c>
      <c r="AU21" s="472">
        <f>-('Parametre - Agendové IS'!AY76+NPV(Faktory!$D$5,'Parametre - Agendové IS'!AY77:AY85))</f>
        <v>0</v>
      </c>
      <c r="AV21" s="472">
        <f>-('Parametre - Agendové IS'!BB76+NPV(Faktory!$D$5,'Parametre - Agendové IS'!BB77:BB85))</f>
        <v>0</v>
      </c>
      <c r="AW21" s="472">
        <f>-('Parametre - Agendové IS'!BE76+NPV(Faktory!$D$5,'Parametre - Agendové IS'!BE77:BE85))</f>
        <v>0</v>
      </c>
      <c r="AX21" s="472">
        <f>-('Parametre - Agendové IS'!BH76+NPV(Faktory!$D$5,'Parametre - Agendové IS'!BH77:BH85))</f>
        <v>0</v>
      </c>
      <c r="AY21" s="472">
        <f>-('Parametre - Agendové IS'!BK76+NPV(Faktory!$D$5,'Parametre - Agendové IS'!BK77:BK85))</f>
        <v>0</v>
      </c>
      <c r="AZ21" s="472">
        <f>-('Parametre - Agendové IS'!BN76+NPV(Faktory!$D$5,'Parametre - Agendové IS'!BN77:BN85))</f>
        <v>0</v>
      </c>
      <c r="BA21" s="472">
        <f>-('Parametre - Agendové IS'!BQ76+NPV(Faktory!$D$5,'Parametre - Agendové IS'!BQ77:BQ85))</f>
        <v>0</v>
      </c>
    </row>
    <row r="22" spans="1:53">
      <c r="A22" s="460"/>
      <c r="B22" s="460"/>
      <c r="C22" s="461" t="s">
        <v>116</v>
      </c>
      <c r="D22" s="475" t="s">
        <v>117</v>
      </c>
      <c r="E22" s="475" t="s">
        <v>117</v>
      </c>
      <c r="F22" s="475" t="s">
        <v>117</v>
      </c>
      <c r="G22" s="475" t="s">
        <v>117</v>
      </c>
      <c r="H22" s="475" t="s">
        <v>117</v>
      </c>
      <c r="I22" s="475" t="s">
        <v>117</v>
      </c>
      <c r="J22" s="475" t="s">
        <v>117</v>
      </c>
      <c r="K22" s="475" t="s">
        <v>117</v>
      </c>
      <c r="L22" s="475" t="s">
        <v>117</v>
      </c>
      <c r="M22" s="475" t="s">
        <v>117</v>
      </c>
      <c r="N22" s="475" t="s">
        <v>117</v>
      </c>
      <c r="O22" s="475" t="s">
        <v>117</v>
      </c>
      <c r="P22" s="475" t="s">
        <v>117</v>
      </c>
      <c r="Q22" s="475" t="s">
        <v>117</v>
      </c>
      <c r="R22" s="475" t="s">
        <v>117</v>
      </c>
      <c r="S22" s="475" t="s">
        <v>117</v>
      </c>
      <c r="T22" s="475" t="s">
        <v>117</v>
      </c>
      <c r="U22" s="475" t="s">
        <v>117</v>
      </c>
      <c r="V22" s="475" t="s">
        <v>117</v>
      </c>
      <c r="W22" s="475" t="s">
        <v>117</v>
      </c>
      <c r="X22" s="475" t="s">
        <v>117</v>
      </c>
      <c r="Y22" s="475" t="s">
        <v>117</v>
      </c>
      <c r="AC22" s="460"/>
      <c r="AD22" s="460"/>
      <c r="AE22" s="461" t="s">
        <v>116</v>
      </c>
      <c r="AF22" s="475" t="s">
        <v>117</v>
      </c>
      <c r="AG22" s="475" t="s">
        <v>117</v>
      </c>
      <c r="AH22" s="475" t="s">
        <v>117</v>
      </c>
      <c r="AI22" s="475" t="s">
        <v>117</v>
      </c>
      <c r="AJ22" s="475" t="s">
        <v>117</v>
      </c>
      <c r="AK22" s="475" t="s">
        <v>117</v>
      </c>
      <c r="AL22" s="475" t="s">
        <v>117</v>
      </c>
      <c r="AM22" s="475" t="s">
        <v>117</v>
      </c>
      <c r="AN22" s="475" t="s">
        <v>117</v>
      </c>
      <c r="AO22" s="475" t="s">
        <v>117</v>
      </c>
      <c r="AP22" s="475" t="s">
        <v>117</v>
      </c>
      <c r="AQ22" s="475" t="s">
        <v>117</v>
      </c>
      <c r="AR22" s="475" t="s">
        <v>117</v>
      </c>
      <c r="AS22" s="475" t="s">
        <v>117</v>
      </c>
      <c r="AT22" s="475" t="s">
        <v>117</v>
      </c>
      <c r="AU22" s="475" t="s">
        <v>117</v>
      </c>
      <c r="AV22" s="475" t="s">
        <v>117</v>
      </c>
      <c r="AW22" s="475" t="s">
        <v>117</v>
      </c>
      <c r="AX22" s="475" t="s">
        <v>117</v>
      </c>
      <c r="AY22" s="475" t="s">
        <v>117</v>
      </c>
      <c r="AZ22" s="475" t="s">
        <v>117</v>
      </c>
      <c r="BA22" s="475" t="s">
        <v>117</v>
      </c>
    </row>
    <row r="23" spans="1:53">
      <c r="A23" s="460"/>
      <c r="B23" s="460"/>
      <c r="C23" s="461" t="s">
        <v>118</v>
      </c>
      <c r="D23" s="477">
        <f>SUM(E23:X23)</f>
        <v>0</v>
      </c>
      <c r="E23" s="477">
        <f>SUM('Parametre - Agendové IS'!I126:I135)</f>
        <v>0</v>
      </c>
      <c r="F23" s="477">
        <f>SUM('Parametre - Agendové IS'!L126:L135)</f>
        <v>0</v>
      </c>
      <c r="G23" s="477">
        <f>SUM('Parametre - Agendové IS'!O126:O135)</f>
        <v>0</v>
      </c>
      <c r="H23" s="477">
        <f>SUM('Parametre - Agendové IS'!R126:R135)</f>
        <v>0</v>
      </c>
      <c r="I23" s="477">
        <f>SUM('Parametre - Agendové IS'!U126:U135)</f>
        <v>0</v>
      </c>
      <c r="J23" s="477">
        <f>SUM('Parametre - Agendové IS'!X126:X135)</f>
        <v>0</v>
      </c>
      <c r="K23" s="477">
        <f>SUM('Parametre - Agendové IS'!AA126:AA135)</f>
        <v>0</v>
      </c>
      <c r="L23" s="477">
        <f>SUM('Parametre - Agendové IS'!AD126:AD135)</f>
        <v>0</v>
      </c>
      <c r="M23" s="477">
        <f>SUM('Parametre - Agendové IS'!AG126:AG135)</f>
        <v>0</v>
      </c>
      <c r="N23" s="477">
        <f>SUM('Parametre - Agendové IS'!AJ126:AJ135)</f>
        <v>0</v>
      </c>
      <c r="O23" s="477">
        <f>SUM('Parametre - Agendové IS'!AM126:AM135)</f>
        <v>0</v>
      </c>
      <c r="P23" s="477">
        <f>SUM('Parametre - Agendové IS'!AP126:AP135)</f>
        <v>0</v>
      </c>
      <c r="Q23" s="477">
        <f>SUM('Parametre - Agendové IS'!AS126:AS135)</f>
        <v>0</v>
      </c>
      <c r="R23" s="477">
        <f>SUM('Parametre - Agendové IS'!AV126:AV135)</f>
        <v>0</v>
      </c>
      <c r="S23" s="477">
        <f>SUM('Parametre - Agendové IS'!AY126:AY135)</f>
        <v>0</v>
      </c>
      <c r="T23" s="477">
        <f>SUM('Parametre - Agendové IS'!BB126:BB135)</f>
        <v>0</v>
      </c>
      <c r="U23" s="477">
        <f>SUM('Parametre - Agendové IS'!BE126:BE135)</f>
        <v>0</v>
      </c>
      <c r="V23" s="477">
        <f>SUM('Parametre - Agendové IS'!BH126:BH135)</f>
        <v>0</v>
      </c>
      <c r="W23" s="477">
        <f>SUM('Parametre - Agendové IS'!BK126:BK135)</f>
        <v>0</v>
      </c>
      <c r="X23" s="477">
        <f>SUM('Parametre - Agendové IS'!BN126:BN135)</f>
        <v>0</v>
      </c>
      <c r="Y23" s="477">
        <f>SUM('Parametre - Agendové IS'!BQ126:BQ135)</f>
        <v>0</v>
      </c>
      <c r="AC23" s="460"/>
      <c r="AD23" s="460"/>
      <c r="AE23" s="461" t="s">
        <v>118</v>
      </c>
      <c r="AF23" s="472">
        <f>SUM(AG23:AZ23)</f>
        <v>0</v>
      </c>
      <c r="AG23" s="472">
        <f>'Parametre - Agendové IS'!I126+NPV(Faktory!$D$5,'Parametre - Agendové IS'!I127:I135)</f>
        <v>0</v>
      </c>
      <c r="AH23" s="472">
        <f>'Parametre - Agendové IS'!L126+NPV(Faktory!$D$5,'Parametre - Agendové IS'!L127:L135)</f>
        <v>0</v>
      </c>
      <c r="AI23" s="472">
        <f>'Parametre - Agendové IS'!O126+NPV(Faktory!$D$5,'Parametre - Agendové IS'!O127:O135)</f>
        <v>0</v>
      </c>
      <c r="AJ23" s="472">
        <f>'Parametre - Agendové IS'!R126+NPV(Faktory!$D$5,'Parametre - Agendové IS'!R127:R135)</f>
        <v>0</v>
      </c>
      <c r="AK23" s="472">
        <f>'Parametre - Agendové IS'!U126+NPV(Faktory!$D$5,'Parametre - Agendové IS'!U127:U135)</f>
        <v>0</v>
      </c>
      <c r="AL23" s="472">
        <f>'Parametre - Agendové IS'!X126+NPV(Faktory!$D$5,'Parametre - Agendové IS'!X127:X135)</f>
        <v>0</v>
      </c>
      <c r="AM23" s="472">
        <f>'Parametre - Agendové IS'!AA126+NPV(Faktory!$D$5,'Parametre - Agendové IS'!AA127:AA135)</f>
        <v>0</v>
      </c>
      <c r="AN23" s="472">
        <f>'Parametre - Agendové IS'!AD126+NPV(Faktory!$D$5,'Parametre - Agendové IS'!AD127:AD135)</f>
        <v>0</v>
      </c>
      <c r="AO23" s="472">
        <f>'Parametre - Agendové IS'!AG126+NPV(Faktory!$D$5,'Parametre - Agendové IS'!AG127:AG135)</f>
        <v>0</v>
      </c>
      <c r="AP23" s="472">
        <f>'Parametre - Agendové IS'!AJ126+NPV(Faktory!$D$5,'Parametre - Agendové IS'!AJ127:AJ135)</f>
        <v>0</v>
      </c>
      <c r="AQ23" s="472">
        <f>'Parametre - Agendové IS'!AM126+NPV(Faktory!$D$5,'Parametre - Agendové IS'!AM127:AM135)</f>
        <v>0</v>
      </c>
      <c r="AR23" s="472">
        <f>'Parametre - Agendové IS'!AP126+NPV(Faktory!$D$5,'Parametre - Agendové IS'!AP127:AP135)</f>
        <v>0</v>
      </c>
      <c r="AS23" s="472">
        <f>'Parametre - Agendové IS'!AS126+NPV(Faktory!$D$5,'Parametre - Agendové IS'!AS127:AS135)</f>
        <v>0</v>
      </c>
      <c r="AT23" s="472">
        <f>'Parametre - Agendové IS'!AV126+NPV(Faktory!$D$5,'Parametre - Agendové IS'!AV127:AV135)</f>
        <v>0</v>
      </c>
      <c r="AU23" s="472">
        <f>'Parametre - Agendové IS'!AY126+NPV(Faktory!$D$5,'Parametre - Agendové IS'!AY127:AY135)</f>
        <v>0</v>
      </c>
      <c r="AV23" s="472">
        <f>'Parametre - Agendové IS'!BB126+NPV(Faktory!$D$5,'Parametre - Agendové IS'!BB127:BB135)</f>
        <v>0</v>
      </c>
      <c r="AW23" s="472">
        <f>'Parametre - Agendové IS'!BE126+NPV(Faktory!$D$5,'Parametre - Agendové IS'!BE127:BE135)</f>
        <v>0</v>
      </c>
      <c r="AX23" s="472">
        <f>'Parametre - Agendové IS'!BH126+NPV(Faktory!$D$5,'Parametre - Agendové IS'!BH127:BH135)</f>
        <v>0</v>
      </c>
      <c r="AY23" s="472">
        <f>'Parametre - Agendové IS'!BK126+NPV(Faktory!$D$5,'Parametre - Agendové IS'!BK127:BK135)</f>
        <v>0</v>
      </c>
      <c r="AZ23" s="472">
        <f>'Parametre - Agendové IS'!BN126+NPV(Faktory!$D$5,'Parametre - Agendové IS'!BN127:BN135)</f>
        <v>0</v>
      </c>
      <c r="BA23" s="472">
        <f>'Parametre - Agendové IS'!BQ126+NPV(Faktory!$D$5,'Parametre - Agendové IS'!BQ127:BQ135)</f>
        <v>0</v>
      </c>
    </row>
    <row r="24" spans="1:53">
      <c r="A24" s="457"/>
      <c r="B24" s="458" t="s">
        <v>119</v>
      </c>
      <c r="C24" s="458"/>
      <c r="D24" s="464"/>
      <c r="E24" s="470"/>
      <c r="F24" s="471"/>
      <c r="G24" s="471"/>
      <c r="H24" s="471"/>
      <c r="I24" s="471"/>
      <c r="J24" s="470"/>
      <c r="K24" s="471"/>
      <c r="L24" s="471"/>
      <c r="M24" s="471"/>
      <c r="N24" s="470"/>
      <c r="O24" s="471"/>
      <c r="P24" s="471"/>
      <c r="Q24" s="471"/>
      <c r="R24" s="470"/>
      <c r="S24" s="471"/>
      <c r="T24" s="471"/>
      <c r="U24" s="471"/>
      <c r="V24" s="470"/>
      <c r="W24" s="471"/>
      <c r="X24" s="471"/>
      <c r="Y24" s="471"/>
      <c r="AC24" s="457"/>
      <c r="AD24" s="458" t="s">
        <v>119</v>
      </c>
      <c r="AE24" s="458"/>
      <c r="AF24" s="464"/>
      <c r="AG24" s="465"/>
      <c r="AH24" s="465"/>
      <c r="AI24" s="465"/>
      <c r="AJ24" s="465"/>
      <c r="AK24" s="464"/>
      <c r="AL24" s="465"/>
      <c r="AM24" s="465"/>
      <c r="AN24" s="465"/>
      <c r="AO24" s="464"/>
      <c r="AP24" s="465"/>
      <c r="AQ24" s="465"/>
      <c r="AR24" s="465"/>
      <c r="AS24" s="464"/>
      <c r="AT24" s="465"/>
      <c r="AU24" s="465"/>
      <c r="AV24" s="465"/>
      <c r="AW24" s="464"/>
      <c r="AX24" s="465"/>
      <c r="AY24" s="465"/>
      <c r="AZ24" s="465"/>
      <c r="BA24" s="464"/>
    </row>
    <row r="25" spans="1:53">
      <c r="A25" s="466"/>
      <c r="B25" s="466"/>
      <c r="C25" s="538" t="s">
        <v>120</v>
      </c>
      <c r="D25" s="467"/>
      <c r="E25" s="466"/>
      <c r="F25" s="466"/>
      <c r="G25" s="466"/>
      <c r="H25" s="466"/>
      <c r="I25" s="466"/>
      <c r="J25" s="466"/>
      <c r="K25" s="466"/>
      <c r="L25" s="466"/>
      <c r="M25" s="466"/>
      <c r="N25" s="466"/>
      <c r="O25" s="466"/>
      <c r="P25" s="466"/>
      <c r="Q25" s="466"/>
      <c r="R25" s="466"/>
      <c r="S25" s="466"/>
      <c r="T25" s="466"/>
      <c r="U25" s="466"/>
      <c r="V25" s="466"/>
      <c r="W25" s="466"/>
      <c r="X25" s="466"/>
      <c r="Y25" s="466"/>
      <c r="AC25" s="466"/>
      <c r="AD25" s="466"/>
      <c r="AE25" s="538" t="s">
        <v>120</v>
      </c>
      <c r="AF25" s="467"/>
      <c r="AG25" s="467"/>
      <c r="AH25" s="467"/>
      <c r="AI25" s="467"/>
      <c r="AJ25" s="467"/>
      <c r="AK25" s="467"/>
      <c r="AL25" s="467"/>
      <c r="AM25" s="467"/>
      <c r="AN25" s="467"/>
      <c r="AO25" s="467"/>
      <c r="AP25" s="467"/>
      <c r="AQ25" s="467"/>
      <c r="AR25" s="467"/>
      <c r="AS25" s="467"/>
      <c r="AT25" s="467"/>
      <c r="AU25" s="467"/>
      <c r="AV25" s="467"/>
      <c r="AW25" s="467"/>
      <c r="AX25" s="467"/>
      <c r="AY25" s="467"/>
      <c r="AZ25" s="467"/>
      <c r="BA25" s="467"/>
    </row>
    <row r="26" spans="1:53">
      <c r="A26" s="466"/>
      <c r="B26" s="466"/>
      <c r="C26" s="538" t="s">
        <v>121</v>
      </c>
      <c r="D26" s="467"/>
      <c r="E26" s="466"/>
      <c r="F26" s="466"/>
      <c r="G26" s="466"/>
      <c r="H26" s="466"/>
      <c r="I26" s="466"/>
      <c r="J26" s="466"/>
      <c r="K26" s="466"/>
      <c r="L26" s="466"/>
      <c r="M26" s="466"/>
      <c r="N26" s="466"/>
      <c r="O26" s="466"/>
      <c r="P26" s="466"/>
      <c r="Q26" s="466"/>
      <c r="R26" s="466"/>
      <c r="S26" s="466"/>
      <c r="T26" s="466"/>
      <c r="U26" s="466"/>
      <c r="V26" s="466"/>
      <c r="W26" s="466"/>
      <c r="X26" s="466"/>
      <c r="Y26" s="466"/>
      <c r="AC26" s="466"/>
      <c r="AD26" s="466"/>
      <c r="AE26" s="538" t="s">
        <v>121</v>
      </c>
      <c r="AF26" s="467"/>
      <c r="AG26" s="467"/>
      <c r="AH26" s="467"/>
      <c r="AI26" s="467"/>
      <c r="AJ26" s="467"/>
      <c r="AK26" s="467"/>
      <c r="AL26" s="467"/>
      <c r="AM26" s="467"/>
      <c r="AN26" s="467"/>
      <c r="AO26" s="467"/>
      <c r="AP26" s="467"/>
      <c r="AQ26" s="467"/>
      <c r="AR26" s="467"/>
      <c r="AS26" s="467"/>
      <c r="AT26" s="467"/>
      <c r="AU26" s="467"/>
      <c r="AV26" s="467"/>
      <c r="AW26" s="467"/>
      <c r="AX26" s="467"/>
      <c r="AY26" s="467"/>
      <c r="AZ26" s="467"/>
      <c r="BA26" s="467"/>
    </row>
    <row r="27" spans="1:53">
      <c r="A27" s="466"/>
      <c r="B27" s="466"/>
      <c r="C27" s="538" t="s">
        <v>121</v>
      </c>
      <c r="D27" s="467"/>
      <c r="E27" s="466"/>
      <c r="F27" s="466"/>
      <c r="G27" s="466"/>
      <c r="H27" s="466"/>
      <c r="I27" s="466"/>
      <c r="J27" s="466"/>
      <c r="K27" s="466"/>
      <c r="L27" s="466"/>
      <c r="M27" s="466"/>
      <c r="N27" s="466"/>
      <c r="O27" s="466"/>
      <c r="P27" s="466"/>
      <c r="Q27" s="466"/>
      <c r="R27" s="466"/>
      <c r="S27" s="466"/>
      <c r="T27" s="466"/>
      <c r="U27" s="466"/>
      <c r="V27" s="466"/>
      <c r="W27" s="466"/>
      <c r="X27" s="466"/>
      <c r="Y27" s="466"/>
      <c r="AC27" s="466"/>
      <c r="AD27" s="466"/>
      <c r="AE27" s="538" t="s">
        <v>121</v>
      </c>
      <c r="AF27" s="467"/>
      <c r="AG27" s="467"/>
      <c r="AH27" s="467"/>
      <c r="AI27" s="467"/>
      <c r="AJ27" s="467"/>
      <c r="AK27" s="467"/>
      <c r="AL27" s="467"/>
      <c r="AM27" s="467"/>
      <c r="AN27" s="467"/>
      <c r="AO27" s="467"/>
      <c r="AP27" s="467"/>
      <c r="AQ27" s="467"/>
      <c r="AR27" s="467"/>
      <c r="AS27" s="467"/>
      <c r="AT27" s="467"/>
      <c r="AU27" s="467"/>
      <c r="AV27" s="467"/>
      <c r="AW27" s="467"/>
      <c r="AX27" s="467"/>
      <c r="AY27" s="467"/>
      <c r="AZ27" s="467"/>
      <c r="BA27" s="467"/>
    </row>
  </sheetData>
  <sheetProtection insertColumns="0" insertRows="0" deleteColumns="0" deleteRows="0"/>
  <mergeCells count="2">
    <mergeCell ref="A2:C2"/>
    <mergeCell ref="AC2:AE2"/>
  </mergeCells>
  <conditionalFormatting sqref="E2:Y2">
    <cfRule type="cellIs" dxfId="31" priority="1" operator="equal">
      <formula>0</formula>
    </cfRule>
  </conditionalFormatting>
  <conditionalFormatting sqref="AG2:BA2">
    <cfRule type="cellIs" dxfId="30" priority="3" operator="equal">
      <formula>0</formula>
    </cfRule>
  </conditionalFormatting>
  <pageMargins left="0.7" right="0.7" top="0.75" bottom="0.75" header="0.3" footer="0.3"/>
  <pageSetup paperSize="9" scale="53"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Hárok31"/>
  <dimension ref="A1:A9"/>
  <sheetViews>
    <sheetView workbookViewId="0">
      <selection activeCell="A2" sqref="A2:A9"/>
    </sheetView>
  </sheetViews>
  <sheetFormatPr defaultColWidth="8.81640625" defaultRowHeight="14.5"/>
  <cols>
    <col min="1" max="1" width="37.453125" bestFit="1" customWidth="1"/>
  </cols>
  <sheetData>
    <row r="1" spans="1:1">
      <c r="A1" t="s">
        <v>2168</v>
      </c>
    </row>
    <row r="2" spans="1:1">
      <c r="A2" t="s">
        <v>1881</v>
      </c>
    </row>
    <row r="3" spans="1:1">
      <c r="A3" t="s">
        <v>1880</v>
      </c>
    </row>
    <row r="4" spans="1:1">
      <c r="A4" t="s">
        <v>2169</v>
      </c>
    </row>
    <row r="5" spans="1:1">
      <c r="A5" t="s">
        <v>1882</v>
      </c>
    </row>
    <row r="6" spans="1:1">
      <c r="A6" t="s">
        <v>1883</v>
      </c>
    </row>
    <row r="7" spans="1:1">
      <c r="A7" t="s">
        <v>2170</v>
      </c>
    </row>
    <row r="8" spans="1:1">
      <c r="A8" t="s">
        <v>2171</v>
      </c>
    </row>
    <row r="9" spans="1:1">
      <c r="A9" t="s">
        <v>2172</v>
      </c>
    </row>
  </sheetData>
  <pageMargins left="0.7" right="0.7" top="0.75" bottom="0.75" header="0.3" footer="0.3"/>
  <pageSetup paperSize="9" orientation="portrait" horizontalDpi="1200" verticalDpi="120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Hárok19"/>
  <dimension ref="A1:T3"/>
  <sheetViews>
    <sheetView view="pageBreakPreview" topLeftCell="D1" zoomScale="60" zoomScaleNormal="60" workbookViewId="0">
      <selection activeCell="S17" sqref="S17"/>
    </sheetView>
  </sheetViews>
  <sheetFormatPr defaultColWidth="8.81640625" defaultRowHeight="14.5"/>
  <sheetData>
    <row r="1" spans="1:20">
      <c r="A1" t="s">
        <v>2173</v>
      </c>
      <c r="D1" s="197"/>
      <c r="E1" s="197"/>
      <c r="F1" s="197"/>
      <c r="G1" s="197"/>
      <c r="H1" s="197"/>
      <c r="I1" s="197"/>
      <c r="J1" s="197"/>
      <c r="K1" s="197"/>
      <c r="L1" s="197"/>
      <c r="M1" s="197"/>
      <c r="N1" s="197"/>
      <c r="O1" s="197"/>
      <c r="P1" s="197"/>
      <c r="Q1" s="197"/>
      <c r="R1" s="197"/>
      <c r="S1" s="197"/>
      <c r="T1" s="197"/>
    </row>
    <row r="2" spans="1:20">
      <c r="A2" t="s">
        <v>2174</v>
      </c>
      <c r="D2" s="197"/>
      <c r="E2" s="197"/>
      <c r="F2" s="197"/>
      <c r="G2" s="197"/>
      <c r="H2" s="197"/>
      <c r="I2" s="197"/>
      <c r="J2" s="197"/>
      <c r="K2" s="197"/>
      <c r="L2" s="197"/>
      <c r="M2" s="197"/>
      <c r="N2" s="197"/>
      <c r="O2" s="197"/>
      <c r="P2" s="197"/>
      <c r="Q2" s="197"/>
      <c r="R2" s="197"/>
      <c r="S2" s="197"/>
      <c r="T2" s="197"/>
    </row>
    <row r="3" spans="1:20">
      <c r="A3" s="198" t="s">
        <v>163</v>
      </c>
      <c r="D3" s="197"/>
      <c r="E3" s="197"/>
      <c r="F3" s="197"/>
      <c r="G3" s="197"/>
      <c r="H3" s="197"/>
      <c r="I3" s="197"/>
      <c r="J3" s="197"/>
      <c r="K3" s="197"/>
      <c r="L3" s="197"/>
      <c r="M3" s="197"/>
      <c r="N3" s="197"/>
      <c r="O3" s="197"/>
      <c r="P3" s="197"/>
      <c r="Q3" s="197"/>
      <c r="R3" s="197"/>
      <c r="S3" s="197"/>
      <c r="T3" s="199" t="s">
        <v>164</v>
      </c>
    </row>
  </sheetData>
  <pageMargins left="0.7" right="0.7" top="0.75" bottom="0.75" header="0.3" footer="0.3"/>
  <pageSetup paperSize="9" scale="33" orientation="portrait" r:id="rId1"/>
  <colBreaks count="1" manualBreakCount="1">
    <brk id="15" max="1048575" man="1"/>
  </colBreaks>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Hárok20"/>
  <dimension ref="A1:AC70"/>
  <sheetViews>
    <sheetView view="pageBreakPreview" zoomScale="60" zoomScaleNormal="80" workbookViewId="0">
      <selection activeCell="C39" sqref="C39"/>
    </sheetView>
  </sheetViews>
  <sheetFormatPr defaultColWidth="8.81640625" defaultRowHeight="14.5"/>
  <cols>
    <col min="1" max="1" width="21.453125" customWidth="1"/>
    <col min="2" max="2" width="14.453125" customWidth="1"/>
    <col min="3" max="3" width="14.26953125" style="197" customWidth="1"/>
    <col min="4" max="4" width="14.1796875" style="197" customWidth="1"/>
    <col min="5" max="5" width="14.81640625" style="197" customWidth="1"/>
    <col min="6" max="6" width="11.81640625" style="197" customWidth="1"/>
    <col min="7" max="7" width="15.81640625" style="197" customWidth="1"/>
    <col min="8" max="8" width="13.453125" style="197" customWidth="1"/>
    <col min="9" max="9" width="10" style="197" customWidth="1"/>
    <col min="10" max="28" width="8.453125" style="197" customWidth="1"/>
  </cols>
  <sheetData>
    <row r="1" spans="1:29" ht="15" thickBot="1"/>
    <row r="2" spans="1:29" ht="48.75" customHeight="1" thickBot="1">
      <c r="A2" s="200" t="s">
        <v>2175</v>
      </c>
      <c r="B2" s="217" t="s">
        <v>2176</v>
      </c>
      <c r="C2" s="215" t="s">
        <v>2177</v>
      </c>
      <c r="D2" s="201" t="s">
        <v>2178</v>
      </c>
      <c r="E2" s="201" t="s">
        <v>2179</v>
      </c>
      <c r="F2" s="222" t="s">
        <v>121</v>
      </c>
      <c r="G2" s="217" t="s">
        <v>2180</v>
      </c>
      <c r="H2" s="226" t="s">
        <v>2177</v>
      </c>
      <c r="I2" s="202" t="s">
        <v>121</v>
      </c>
      <c r="O2" s="203"/>
      <c r="P2" s="204"/>
      <c r="Q2" s="204"/>
      <c r="R2" s="97"/>
      <c r="S2" s="97"/>
      <c r="T2" s="97"/>
      <c r="U2" s="97"/>
      <c r="V2" s="97"/>
      <c r="W2" s="97"/>
      <c r="X2" s="97"/>
      <c r="Y2" s="204"/>
      <c r="Z2" s="204"/>
      <c r="AA2" s="97"/>
      <c r="AB2" s="97"/>
      <c r="AC2" s="97"/>
    </row>
    <row r="3" spans="1:29">
      <c r="A3" s="205" t="s">
        <v>177</v>
      </c>
      <c r="B3" s="218"/>
      <c r="C3" s="216"/>
      <c r="D3" s="212"/>
      <c r="E3" s="212"/>
      <c r="F3" s="223"/>
      <c r="G3" s="227"/>
      <c r="H3" s="216"/>
      <c r="I3" s="212"/>
      <c r="O3" s="206"/>
      <c r="P3"/>
      <c r="AC3" s="197"/>
    </row>
    <row r="4" spans="1:29">
      <c r="A4" s="207" t="s">
        <v>2181</v>
      </c>
      <c r="B4" s="219" t="s">
        <v>2182</v>
      </c>
      <c r="C4" s="214"/>
      <c r="D4" s="213"/>
      <c r="E4" s="213"/>
      <c r="F4" s="224"/>
      <c r="G4" s="220"/>
      <c r="H4" s="214"/>
      <c r="I4" s="213"/>
      <c r="O4" s="206"/>
      <c r="P4" s="208"/>
      <c r="AC4" s="197"/>
    </row>
    <row r="5" spans="1:29" ht="15.75" customHeight="1">
      <c r="A5" s="209" t="s">
        <v>2183</v>
      </c>
      <c r="B5" s="220"/>
      <c r="C5" s="214"/>
      <c r="D5" s="213"/>
      <c r="E5" s="213"/>
      <c r="F5" s="224"/>
      <c r="G5" s="220"/>
      <c r="H5" s="214"/>
      <c r="I5" s="213"/>
      <c r="O5" s="206"/>
      <c r="AC5" s="197"/>
    </row>
    <row r="6" spans="1:29">
      <c r="A6" s="209" t="s">
        <v>2184</v>
      </c>
      <c r="B6" s="220"/>
      <c r="C6" s="214"/>
      <c r="D6" s="213"/>
      <c r="E6" s="213"/>
      <c r="F6" s="224"/>
      <c r="G6" s="220"/>
      <c r="H6" s="214"/>
      <c r="I6" s="213"/>
      <c r="O6" s="206"/>
      <c r="AC6" s="197"/>
    </row>
    <row r="7" spans="1:29">
      <c r="A7" s="209" t="s">
        <v>2185</v>
      </c>
      <c r="B7" s="220"/>
      <c r="C7" s="214"/>
      <c r="D7" s="213"/>
      <c r="E7" s="213"/>
      <c r="F7" s="224"/>
      <c r="G7" s="220"/>
      <c r="H7" s="214"/>
      <c r="I7" s="213"/>
      <c r="O7" s="206"/>
      <c r="AC7" s="197"/>
    </row>
    <row r="8" spans="1:29">
      <c r="A8" s="209" t="s">
        <v>2186</v>
      </c>
      <c r="B8" s="220"/>
      <c r="C8" s="214"/>
      <c r="D8" s="213"/>
      <c r="E8" s="213"/>
      <c r="F8" s="224"/>
      <c r="G8" s="220"/>
      <c r="H8" s="214"/>
      <c r="I8" s="213"/>
      <c r="O8" s="206"/>
      <c r="AC8" s="197"/>
    </row>
    <row r="9" spans="1:29">
      <c r="A9" s="209" t="s">
        <v>2187</v>
      </c>
      <c r="B9" s="220"/>
      <c r="C9" s="214"/>
      <c r="D9" s="213"/>
      <c r="E9" s="213"/>
      <c r="F9" s="224"/>
      <c r="G9" s="220"/>
      <c r="H9" s="214"/>
      <c r="I9" s="213"/>
      <c r="O9" s="206"/>
      <c r="AC9" s="197"/>
    </row>
    <row r="10" spans="1:29">
      <c r="A10" s="209" t="s">
        <v>2188</v>
      </c>
      <c r="B10" s="220"/>
      <c r="C10" s="214"/>
      <c r="D10" s="213"/>
      <c r="E10" s="213"/>
      <c r="F10" s="224"/>
      <c r="G10" s="220"/>
      <c r="H10" s="214"/>
      <c r="I10" s="213"/>
      <c r="O10" s="206"/>
      <c r="AC10" s="197"/>
    </row>
    <row r="11" spans="1:29">
      <c r="A11" s="209" t="s">
        <v>2189</v>
      </c>
      <c r="B11" s="220"/>
      <c r="C11" s="214"/>
      <c r="D11" s="213"/>
      <c r="E11" s="213"/>
      <c r="F11" s="224"/>
      <c r="G11" s="220"/>
      <c r="H11" s="214"/>
      <c r="I11" s="213"/>
      <c r="O11" s="206"/>
      <c r="AC11" s="197"/>
    </row>
    <row r="12" spans="1:29">
      <c r="A12" s="209" t="s">
        <v>2190</v>
      </c>
      <c r="B12" s="220"/>
      <c r="C12" s="214"/>
      <c r="D12" s="213"/>
      <c r="E12" s="213"/>
      <c r="F12" s="224"/>
      <c r="G12" s="220"/>
      <c r="H12" s="214"/>
      <c r="I12" s="213"/>
      <c r="O12" s="206"/>
      <c r="AC12" s="197"/>
    </row>
    <row r="13" spans="1:29">
      <c r="A13" s="209" t="s">
        <v>2191</v>
      </c>
      <c r="B13" s="220"/>
      <c r="C13" s="214"/>
      <c r="D13" s="213"/>
      <c r="E13" s="213"/>
      <c r="F13" s="224"/>
      <c r="G13" s="220"/>
      <c r="H13" s="214"/>
      <c r="I13" s="213"/>
      <c r="O13" s="206"/>
      <c r="AC13" s="197"/>
    </row>
    <row r="14" spans="1:29">
      <c r="A14" s="209" t="s">
        <v>2192</v>
      </c>
      <c r="B14" s="220"/>
      <c r="C14" s="214"/>
      <c r="D14" s="213"/>
      <c r="E14" s="213"/>
      <c r="F14" s="224"/>
      <c r="G14" s="220"/>
      <c r="H14" s="214"/>
      <c r="I14" s="213"/>
      <c r="O14" s="206"/>
      <c r="AC14" s="197"/>
    </row>
    <row r="15" spans="1:29">
      <c r="A15" s="209" t="s">
        <v>2193</v>
      </c>
      <c r="B15" s="220"/>
      <c r="C15" s="214"/>
      <c r="D15" s="213"/>
      <c r="E15" s="213"/>
      <c r="F15" s="224"/>
      <c r="G15" s="220"/>
      <c r="H15" s="214"/>
      <c r="I15" s="213"/>
      <c r="O15" s="206"/>
      <c r="AC15" s="197"/>
    </row>
    <row r="16" spans="1:29">
      <c r="A16" s="209" t="s">
        <v>2194</v>
      </c>
      <c r="B16" s="220"/>
      <c r="C16" s="214"/>
      <c r="D16" s="213"/>
      <c r="E16" s="213"/>
      <c r="F16" s="224"/>
      <c r="G16" s="220"/>
      <c r="H16" s="214"/>
      <c r="I16" s="213"/>
      <c r="O16" s="206"/>
      <c r="AC16" s="197"/>
    </row>
    <row r="17" spans="1:29">
      <c r="A17" s="209" t="s">
        <v>2195</v>
      </c>
      <c r="B17" s="220"/>
      <c r="C17" s="214"/>
      <c r="D17" s="213"/>
      <c r="E17" s="213"/>
      <c r="F17" s="224"/>
      <c r="G17" s="220"/>
      <c r="H17" s="214"/>
      <c r="I17" s="213"/>
      <c r="O17" s="206"/>
      <c r="AC17" s="197"/>
    </row>
    <row r="18" spans="1:29">
      <c r="A18" s="209" t="s">
        <v>2196</v>
      </c>
      <c r="B18" s="220"/>
      <c r="C18" s="214"/>
      <c r="D18" s="213"/>
      <c r="E18" s="213"/>
      <c r="F18" s="224"/>
      <c r="G18" s="220"/>
      <c r="H18" s="214"/>
      <c r="I18" s="213"/>
      <c r="O18" s="206"/>
      <c r="AC18" s="197"/>
    </row>
    <row r="19" spans="1:29">
      <c r="A19" s="209" t="s">
        <v>2197</v>
      </c>
      <c r="B19" s="220"/>
      <c r="C19" s="214"/>
      <c r="D19" s="213"/>
      <c r="E19" s="213"/>
      <c r="F19" s="224"/>
      <c r="G19" s="220"/>
      <c r="H19" s="214"/>
      <c r="I19" s="213"/>
      <c r="O19" s="206"/>
      <c r="AC19" s="197"/>
    </row>
    <row r="20" spans="1:29">
      <c r="A20" s="209" t="s">
        <v>2198</v>
      </c>
      <c r="B20" s="220"/>
      <c r="C20" s="214"/>
      <c r="D20" s="213"/>
      <c r="E20" s="213"/>
      <c r="F20" s="224"/>
      <c r="G20" s="220"/>
      <c r="H20" s="214"/>
      <c r="I20" s="213"/>
      <c r="O20" s="206"/>
      <c r="AC20" s="197"/>
    </row>
    <row r="21" spans="1:29">
      <c r="A21" s="209" t="s">
        <v>2199</v>
      </c>
      <c r="B21" s="220"/>
      <c r="C21" s="214"/>
      <c r="D21" s="213"/>
      <c r="E21" s="213"/>
      <c r="F21" s="224"/>
      <c r="G21" s="220"/>
      <c r="H21" s="214"/>
      <c r="I21" s="213"/>
      <c r="O21" s="206"/>
      <c r="AC21" s="197"/>
    </row>
    <row r="22" spans="1:29">
      <c r="A22" s="209" t="s">
        <v>2200</v>
      </c>
      <c r="B22" s="220"/>
      <c r="C22" s="214"/>
      <c r="D22" s="213"/>
      <c r="E22" s="213"/>
      <c r="F22" s="224"/>
      <c r="G22" s="220"/>
      <c r="H22" s="214"/>
      <c r="I22" s="213"/>
      <c r="O22" s="206"/>
      <c r="AC22" s="197"/>
    </row>
    <row r="23" spans="1:29">
      <c r="A23" s="209" t="s">
        <v>2201</v>
      </c>
      <c r="B23" s="220"/>
      <c r="C23" s="214"/>
      <c r="D23" s="213"/>
      <c r="E23" s="213"/>
      <c r="F23" s="224"/>
      <c r="G23" s="220"/>
      <c r="H23" s="214"/>
      <c r="I23" s="213"/>
      <c r="O23" s="206"/>
      <c r="AC23" s="197"/>
    </row>
    <row r="24" spans="1:29">
      <c r="A24" s="209" t="s">
        <v>2202</v>
      </c>
      <c r="B24" s="220"/>
      <c r="C24" s="214"/>
      <c r="D24" s="213"/>
      <c r="E24" s="213"/>
      <c r="F24" s="224"/>
      <c r="G24" s="220"/>
      <c r="H24" s="214"/>
      <c r="I24" s="213"/>
      <c r="O24" s="206"/>
      <c r="AC24" s="197"/>
    </row>
    <row r="25" spans="1:29">
      <c r="A25" s="209" t="s">
        <v>2203</v>
      </c>
      <c r="B25" s="220"/>
      <c r="C25" s="214"/>
      <c r="D25" s="213"/>
      <c r="E25" s="213"/>
      <c r="F25" s="224"/>
      <c r="G25" s="220"/>
      <c r="H25" s="214"/>
      <c r="I25" s="213"/>
      <c r="O25" s="206"/>
      <c r="AC25" s="197"/>
    </row>
    <row r="26" spans="1:29">
      <c r="A26" s="209" t="s">
        <v>2204</v>
      </c>
      <c r="B26" s="220"/>
      <c r="C26" s="214"/>
      <c r="D26" s="213"/>
      <c r="E26" s="213"/>
      <c r="F26" s="224"/>
      <c r="G26" s="220"/>
      <c r="H26" s="214"/>
      <c r="I26" s="213"/>
      <c r="O26" s="206"/>
      <c r="AC26" s="197"/>
    </row>
    <row r="27" spans="1:29">
      <c r="A27" s="209" t="s">
        <v>2205</v>
      </c>
      <c r="B27" s="220"/>
      <c r="C27" s="214"/>
      <c r="D27" s="213"/>
      <c r="E27" s="213"/>
      <c r="F27" s="224"/>
      <c r="G27" s="220"/>
      <c r="H27" s="214"/>
      <c r="I27" s="213"/>
      <c r="O27" s="206"/>
      <c r="AC27" s="197"/>
    </row>
    <row r="28" spans="1:29">
      <c r="A28" s="209" t="s">
        <v>2206</v>
      </c>
      <c r="B28" s="220"/>
      <c r="C28" s="214"/>
      <c r="D28" s="213"/>
      <c r="E28" s="213"/>
      <c r="F28" s="224"/>
      <c r="G28" s="220"/>
      <c r="H28" s="214"/>
      <c r="I28" s="213"/>
      <c r="O28" s="206"/>
      <c r="AC28" s="197"/>
    </row>
    <row r="29" spans="1:29">
      <c r="A29" s="209" t="s">
        <v>2207</v>
      </c>
      <c r="B29" s="220"/>
      <c r="C29" s="214"/>
      <c r="D29" s="213"/>
      <c r="E29" s="213"/>
      <c r="F29" s="224"/>
      <c r="G29" s="220"/>
      <c r="H29" s="214"/>
      <c r="I29" s="213"/>
      <c r="O29" s="206"/>
      <c r="AC29" s="197"/>
    </row>
    <row r="30" spans="1:29">
      <c r="A30" s="209" t="s">
        <v>2208</v>
      </c>
      <c r="B30" s="220"/>
      <c r="C30" s="214"/>
      <c r="D30" s="213"/>
      <c r="E30" s="213"/>
      <c r="F30" s="224"/>
      <c r="G30" s="220"/>
      <c r="H30" s="214"/>
      <c r="I30" s="213"/>
      <c r="O30" s="206"/>
      <c r="AC30" s="197"/>
    </row>
    <row r="31" spans="1:29">
      <c r="A31" s="209" t="s">
        <v>2209</v>
      </c>
      <c r="B31" s="220"/>
      <c r="C31" s="214"/>
      <c r="D31" s="213"/>
      <c r="E31" s="213"/>
      <c r="F31" s="224"/>
      <c r="G31" s="220"/>
      <c r="H31" s="214"/>
      <c r="I31" s="213"/>
      <c r="O31" s="206"/>
      <c r="AC31" s="197"/>
    </row>
    <row r="32" spans="1:29">
      <c r="A32" s="209" t="s">
        <v>2210</v>
      </c>
      <c r="B32" s="220"/>
      <c r="C32" s="214"/>
      <c r="D32" s="213"/>
      <c r="E32" s="213"/>
      <c r="F32" s="224"/>
      <c r="G32" s="220"/>
      <c r="H32" s="214"/>
      <c r="I32" s="213"/>
      <c r="O32" s="206"/>
      <c r="AC32" s="197"/>
    </row>
    <row r="33" spans="1:29">
      <c r="A33" s="209" t="s">
        <v>2211</v>
      </c>
      <c r="B33" s="220"/>
      <c r="C33" s="214"/>
      <c r="D33" s="213"/>
      <c r="E33" s="213"/>
      <c r="F33" s="224"/>
      <c r="G33" s="220"/>
      <c r="H33" s="214"/>
      <c r="I33" s="213"/>
      <c r="O33" s="206"/>
      <c r="AC33" s="197"/>
    </row>
    <row r="34" spans="1:29" ht="15" thickBot="1">
      <c r="A34" s="210" t="s">
        <v>2212</v>
      </c>
      <c r="B34" s="221"/>
      <c r="C34" s="211"/>
      <c r="D34" s="194"/>
      <c r="E34" s="194"/>
      <c r="F34" s="225"/>
      <c r="G34" s="221"/>
      <c r="H34" s="211"/>
      <c r="I34" s="194"/>
      <c r="O34" s="206"/>
      <c r="P34"/>
      <c r="Q34"/>
      <c r="R34"/>
      <c r="S34"/>
      <c r="T34"/>
      <c r="U34"/>
      <c r="V34"/>
      <c r="W34"/>
      <c r="X34"/>
      <c r="Y34"/>
      <c r="Z34"/>
      <c r="AA34"/>
      <c r="AB34"/>
    </row>
    <row r="37" spans="1:29" ht="15" thickBot="1"/>
    <row r="38" spans="1:29" ht="44" thickBot="1">
      <c r="A38" s="200" t="s">
        <v>2213</v>
      </c>
      <c r="B38" s="217" t="s">
        <v>2176</v>
      </c>
      <c r="C38" s="215" t="s">
        <v>2177</v>
      </c>
      <c r="D38" s="201" t="s">
        <v>2178</v>
      </c>
      <c r="E38" s="201" t="s">
        <v>2179</v>
      </c>
      <c r="F38" s="222" t="s">
        <v>121</v>
      </c>
      <c r="G38" s="217" t="s">
        <v>2180</v>
      </c>
      <c r="H38" s="226" t="s">
        <v>2177</v>
      </c>
      <c r="I38" s="202" t="s">
        <v>121</v>
      </c>
    </row>
    <row r="39" spans="1:29">
      <c r="A39" s="205" t="s">
        <v>177</v>
      </c>
      <c r="B39" s="218"/>
      <c r="C39" s="216"/>
      <c r="D39" s="212"/>
      <c r="E39" s="212"/>
      <c r="F39" s="223"/>
      <c r="G39" s="227"/>
      <c r="H39" s="216"/>
      <c r="I39" s="212"/>
    </row>
    <row r="40" spans="1:29">
      <c r="A40" s="207" t="s">
        <v>2181</v>
      </c>
      <c r="B40" s="219" t="s">
        <v>2182</v>
      </c>
      <c r="C40" s="214"/>
      <c r="D40" s="213"/>
      <c r="E40" s="213"/>
      <c r="F40" s="224"/>
      <c r="G40" s="220"/>
      <c r="H40" s="214"/>
      <c r="I40" s="213"/>
    </row>
    <row r="41" spans="1:29">
      <c r="A41" s="209" t="s">
        <v>2183</v>
      </c>
      <c r="B41" s="220"/>
      <c r="C41" s="214"/>
      <c r="D41" s="213"/>
      <c r="E41" s="213"/>
      <c r="F41" s="224"/>
      <c r="G41" s="220"/>
      <c r="H41" s="214"/>
      <c r="I41" s="213"/>
    </row>
    <row r="42" spans="1:29">
      <c r="A42" s="209" t="s">
        <v>2184</v>
      </c>
      <c r="B42" s="220"/>
      <c r="C42" s="214"/>
      <c r="D42" s="213"/>
      <c r="E42" s="213"/>
      <c r="F42" s="224"/>
      <c r="G42" s="220"/>
      <c r="H42" s="214"/>
      <c r="I42" s="213"/>
    </row>
    <row r="43" spans="1:29">
      <c r="A43" s="209" t="s">
        <v>2185</v>
      </c>
      <c r="B43" s="220"/>
      <c r="C43" s="214"/>
      <c r="D43" s="213"/>
      <c r="E43" s="213"/>
      <c r="F43" s="224"/>
      <c r="G43" s="220"/>
      <c r="H43" s="214"/>
      <c r="I43" s="213"/>
    </row>
    <row r="44" spans="1:29">
      <c r="A44" s="209" t="s">
        <v>2186</v>
      </c>
      <c r="B44" s="220"/>
      <c r="C44" s="214"/>
      <c r="D44" s="213"/>
      <c r="E44" s="213"/>
      <c r="F44" s="224"/>
      <c r="G44" s="220"/>
      <c r="H44" s="214"/>
      <c r="I44" s="213"/>
    </row>
    <row r="45" spans="1:29">
      <c r="A45" s="209" t="s">
        <v>2187</v>
      </c>
      <c r="B45" s="220"/>
      <c r="C45" s="214"/>
      <c r="D45" s="213"/>
      <c r="E45" s="213"/>
      <c r="F45" s="224"/>
      <c r="G45" s="220"/>
      <c r="H45" s="214"/>
      <c r="I45" s="213"/>
    </row>
    <row r="46" spans="1:29">
      <c r="A46" s="209" t="s">
        <v>2188</v>
      </c>
      <c r="B46" s="220"/>
      <c r="C46" s="214"/>
      <c r="D46" s="213"/>
      <c r="E46" s="213"/>
      <c r="F46" s="224"/>
      <c r="G46" s="220"/>
      <c r="H46" s="214"/>
      <c r="I46" s="213"/>
    </row>
    <row r="47" spans="1:29">
      <c r="A47" s="209" t="s">
        <v>2189</v>
      </c>
      <c r="B47" s="220"/>
      <c r="C47" s="214"/>
      <c r="D47" s="213"/>
      <c r="E47" s="213"/>
      <c r="F47" s="224"/>
      <c r="G47" s="220"/>
      <c r="H47" s="214"/>
      <c r="I47" s="213"/>
    </row>
    <row r="48" spans="1:29">
      <c r="A48" s="209" t="s">
        <v>2190</v>
      </c>
      <c r="B48" s="220"/>
      <c r="C48" s="214"/>
      <c r="D48" s="213"/>
      <c r="E48" s="213"/>
      <c r="F48" s="224"/>
      <c r="G48" s="220"/>
      <c r="H48" s="214"/>
      <c r="I48" s="213"/>
    </row>
    <row r="49" spans="1:9">
      <c r="A49" s="209" t="s">
        <v>2191</v>
      </c>
      <c r="B49" s="220"/>
      <c r="C49" s="214"/>
      <c r="D49" s="213"/>
      <c r="E49" s="213"/>
      <c r="F49" s="224"/>
      <c r="G49" s="220"/>
      <c r="H49" s="214"/>
      <c r="I49" s="213"/>
    </row>
    <row r="50" spans="1:9">
      <c r="A50" s="209" t="s">
        <v>2192</v>
      </c>
      <c r="B50" s="220"/>
      <c r="C50" s="214"/>
      <c r="D50" s="213"/>
      <c r="E50" s="213"/>
      <c r="F50" s="224"/>
      <c r="G50" s="220"/>
      <c r="H50" s="214"/>
      <c r="I50" s="213"/>
    </row>
    <row r="51" spans="1:9">
      <c r="A51" s="209" t="s">
        <v>2193</v>
      </c>
      <c r="B51" s="220"/>
      <c r="C51" s="214"/>
      <c r="D51" s="213"/>
      <c r="E51" s="213"/>
      <c r="F51" s="224"/>
      <c r="G51" s="220"/>
      <c r="H51" s="214"/>
      <c r="I51" s="213"/>
    </row>
    <row r="52" spans="1:9">
      <c r="A52" s="209" t="s">
        <v>2194</v>
      </c>
      <c r="B52" s="220"/>
      <c r="C52" s="214"/>
      <c r="D52" s="213"/>
      <c r="E52" s="213"/>
      <c r="F52" s="224"/>
      <c r="G52" s="220"/>
      <c r="H52" s="214"/>
      <c r="I52" s="213"/>
    </row>
    <row r="53" spans="1:9">
      <c r="A53" s="209" t="s">
        <v>2195</v>
      </c>
      <c r="B53" s="220"/>
      <c r="C53" s="214"/>
      <c r="D53" s="213"/>
      <c r="E53" s="213"/>
      <c r="F53" s="224"/>
      <c r="G53" s="220"/>
      <c r="H53" s="214"/>
      <c r="I53" s="213"/>
    </row>
    <row r="54" spans="1:9">
      <c r="A54" s="209" t="s">
        <v>2196</v>
      </c>
      <c r="B54" s="220"/>
      <c r="C54" s="214"/>
      <c r="D54" s="213"/>
      <c r="E54" s="213"/>
      <c r="F54" s="224"/>
      <c r="G54" s="220"/>
      <c r="H54" s="214"/>
      <c r="I54" s="213"/>
    </row>
    <row r="55" spans="1:9">
      <c r="A55" s="209" t="s">
        <v>2197</v>
      </c>
      <c r="B55" s="220"/>
      <c r="C55" s="214"/>
      <c r="D55" s="213"/>
      <c r="E55" s="213"/>
      <c r="F55" s="224"/>
      <c r="G55" s="220"/>
      <c r="H55" s="214"/>
      <c r="I55" s="213"/>
    </row>
    <row r="56" spans="1:9">
      <c r="A56" s="209" t="s">
        <v>2198</v>
      </c>
      <c r="B56" s="220"/>
      <c r="C56" s="214"/>
      <c r="D56" s="213"/>
      <c r="E56" s="213"/>
      <c r="F56" s="224"/>
      <c r="G56" s="220"/>
      <c r="H56" s="214"/>
      <c r="I56" s="213"/>
    </row>
    <row r="57" spans="1:9">
      <c r="A57" s="209" t="s">
        <v>2199</v>
      </c>
      <c r="B57" s="220"/>
      <c r="C57" s="214"/>
      <c r="D57" s="213"/>
      <c r="E57" s="213"/>
      <c r="F57" s="224"/>
      <c r="G57" s="220"/>
      <c r="H57" s="214"/>
      <c r="I57" s="213"/>
    </row>
    <row r="58" spans="1:9">
      <c r="A58" s="209" t="s">
        <v>2200</v>
      </c>
      <c r="B58" s="220"/>
      <c r="C58" s="214"/>
      <c r="D58" s="213"/>
      <c r="E58" s="213"/>
      <c r="F58" s="224"/>
      <c r="G58" s="220"/>
      <c r="H58" s="214"/>
      <c r="I58" s="213"/>
    </row>
    <row r="59" spans="1:9">
      <c r="A59" s="209" t="s">
        <v>2201</v>
      </c>
      <c r="B59" s="220"/>
      <c r="C59" s="214"/>
      <c r="D59" s="213"/>
      <c r="E59" s="213"/>
      <c r="F59" s="224"/>
      <c r="G59" s="220"/>
      <c r="H59" s="214"/>
      <c r="I59" s="213"/>
    </row>
    <row r="60" spans="1:9">
      <c r="A60" s="209" t="s">
        <v>2202</v>
      </c>
      <c r="B60" s="220"/>
      <c r="C60" s="214"/>
      <c r="D60" s="213"/>
      <c r="E60" s="213"/>
      <c r="F60" s="224"/>
      <c r="G60" s="220"/>
      <c r="H60" s="214"/>
      <c r="I60" s="213"/>
    </row>
    <row r="61" spans="1:9">
      <c r="A61" s="209" t="s">
        <v>2203</v>
      </c>
      <c r="B61" s="220"/>
      <c r="C61" s="214"/>
      <c r="D61" s="213"/>
      <c r="E61" s="213"/>
      <c r="F61" s="224"/>
      <c r="G61" s="220"/>
      <c r="H61" s="214"/>
      <c r="I61" s="213"/>
    </row>
    <row r="62" spans="1:9">
      <c r="A62" s="209" t="s">
        <v>2204</v>
      </c>
      <c r="B62" s="220"/>
      <c r="C62" s="214"/>
      <c r="D62" s="213"/>
      <c r="E62" s="213"/>
      <c r="F62" s="224"/>
      <c r="G62" s="220"/>
      <c r="H62" s="214"/>
      <c r="I62" s="213"/>
    </row>
    <row r="63" spans="1:9">
      <c r="A63" s="209" t="s">
        <v>2205</v>
      </c>
      <c r="B63" s="220"/>
      <c r="C63" s="214"/>
      <c r="D63" s="213"/>
      <c r="E63" s="213"/>
      <c r="F63" s="224"/>
      <c r="G63" s="220"/>
      <c r="H63" s="214"/>
      <c r="I63" s="213"/>
    </row>
    <row r="64" spans="1:9">
      <c r="A64" s="209" t="s">
        <v>2206</v>
      </c>
      <c r="B64" s="220"/>
      <c r="C64" s="214"/>
      <c r="D64" s="213"/>
      <c r="E64" s="213"/>
      <c r="F64" s="224"/>
      <c r="G64" s="220"/>
      <c r="H64" s="214"/>
      <c r="I64" s="213"/>
    </row>
    <row r="65" spans="1:9">
      <c r="A65" s="209" t="s">
        <v>2207</v>
      </c>
      <c r="B65" s="220"/>
      <c r="C65" s="214"/>
      <c r="D65" s="213"/>
      <c r="E65" s="213"/>
      <c r="F65" s="224"/>
      <c r="G65" s="220"/>
      <c r="H65" s="214"/>
      <c r="I65" s="213"/>
    </row>
    <row r="66" spans="1:9">
      <c r="A66" s="209" t="s">
        <v>2208</v>
      </c>
      <c r="B66" s="220"/>
      <c r="C66" s="214"/>
      <c r="D66" s="213"/>
      <c r="E66" s="213"/>
      <c r="F66" s="224"/>
      <c r="G66" s="220"/>
      <c r="H66" s="214"/>
      <c r="I66" s="213"/>
    </row>
    <row r="67" spans="1:9">
      <c r="A67" s="209" t="s">
        <v>2209</v>
      </c>
      <c r="B67" s="220"/>
      <c r="C67" s="214"/>
      <c r="D67" s="213"/>
      <c r="E67" s="213"/>
      <c r="F67" s="224"/>
      <c r="G67" s="220"/>
      <c r="H67" s="214"/>
      <c r="I67" s="213"/>
    </row>
    <row r="68" spans="1:9">
      <c r="A68" s="209" t="s">
        <v>2210</v>
      </c>
      <c r="B68" s="220"/>
      <c r="C68" s="214"/>
      <c r="D68" s="213"/>
      <c r="E68" s="213"/>
      <c r="F68" s="224"/>
      <c r="G68" s="220"/>
      <c r="H68" s="214"/>
      <c r="I68" s="213"/>
    </row>
    <row r="69" spans="1:9">
      <c r="A69" s="209" t="s">
        <v>2211</v>
      </c>
      <c r="B69" s="220"/>
      <c r="C69" s="214"/>
      <c r="D69" s="213"/>
      <c r="E69" s="213"/>
      <c r="F69" s="224"/>
      <c r="G69" s="220"/>
      <c r="H69" s="214"/>
      <c r="I69" s="213"/>
    </row>
    <row r="70" spans="1:9" ht="15" thickBot="1">
      <c r="A70" s="210" t="s">
        <v>2212</v>
      </c>
      <c r="B70" s="221"/>
      <c r="C70" s="211"/>
      <c r="D70" s="194"/>
      <c r="E70" s="194"/>
      <c r="F70" s="225"/>
      <c r="G70" s="221"/>
      <c r="H70" s="211"/>
      <c r="I70" s="194"/>
    </row>
  </sheetData>
  <pageMargins left="0.7" right="0.7" top="0.75" bottom="0.75" header="0.3" footer="0.3"/>
  <pageSetup paperSize="9" scale="67"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Hárok21"/>
  <dimension ref="A1:AC70"/>
  <sheetViews>
    <sheetView view="pageBreakPreview" zoomScale="60" zoomScaleNormal="100" workbookViewId="0">
      <selection activeCell="Q35" sqref="Q35"/>
    </sheetView>
  </sheetViews>
  <sheetFormatPr defaultColWidth="8.81640625" defaultRowHeight="14.5"/>
  <cols>
    <col min="1" max="1" width="21.453125" customWidth="1"/>
    <col min="2" max="2" width="14.453125" customWidth="1"/>
    <col min="3" max="3" width="14.26953125" style="197" customWidth="1"/>
    <col min="4" max="4" width="14.1796875" style="197" customWidth="1"/>
    <col min="5" max="5" width="14.81640625" style="197" customWidth="1"/>
    <col min="6" max="6" width="11.81640625" style="197" customWidth="1"/>
    <col min="7" max="7" width="15.81640625" style="197" customWidth="1"/>
    <col min="8" max="8" width="13.453125" style="197" customWidth="1"/>
    <col min="9" max="28" width="8.453125" style="197" customWidth="1"/>
  </cols>
  <sheetData>
    <row r="1" spans="1:29" ht="15" thickBot="1"/>
    <row r="2" spans="1:29" ht="48.75" customHeight="1" thickBot="1">
      <c r="A2" s="200" t="s">
        <v>2175</v>
      </c>
      <c r="B2" s="217" t="s">
        <v>2176</v>
      </c>
      <c r="C2" s="215" t="s">
        <v>2177</v>
      </c>
      <c r="D2" s="201" t="s">
        <v>2178</v>
      </c>
      <c r="E2" s="201" t="s">
        <v>2179</v>
      </c>
      <c r="F2" s="222" t="s">
        <v>121</v>
      </c>
      <c r="G2" s="217" t="s">
        <v>2180</v>
      </c>
      <c r="H2" s="226" t="s">
        <v>2177</v>
      </c>
      <c r="I2" s="202" t="s">
        <v>121</v>
      </c>
      <c r="O2" s="203"/>
      <c r="P2" s="204"/>
      <c r="Q2" s="204"/>
      <c r="R2" s="97"/>
      <c r="S2" s="97"/>
      <c r="T2" s="97"/>
      <c r="U2" s="97"/>
      <c r="V2" s="97"/>
      <c r="W2" s="97"/>
      <c r="X2" s="97"/>
      <c r="Y2" s="204"/>
      <c r="Z2" s="204"/>
      <c r="AA2" s="97"/>
      <c r="AB2" s="97"/>
      <c r="AC2" s="97"/>
    </row>
    <row r="3" spans="1:29">
      <c r="A3" s="205" t="s">
        <v>177</v>
      </c>
      <c r="B3" s="218"/>
      <c r="C3" s="216"/>
      <c r="D3" s="212"/>
      <c r="E3" s="212"/>
      <c r="F3" s="223"/>
      <c r="G3" s="227"/>
      <c r="H3" s="216"/>
      <c r="I3" s="212"/>
      <c r="O3" s="206"/>
      <c r="P3"/>
      <c r="AC3" s="197"/>
    </row>
    <row r="4" spans="1:29">
      <c r="A4" s="207" t="s">
        <v>2181</v>
      </c>
      <c r="B4" s="219" t="s">
        <v>2182</v>
      </c>
      <c r="C4" s="214"/>
      <c r="D4" s="213"/>
      <c r="E4" s="213"/>
      <c r="F4" s="224"/>
      <c r="G4" s="220"/>
      <c r="H4" s="214"/>
      <c r="I4" s="213"/>
      <c r="O4" s="206"/>
      <c r="P4" s="208"/>
      <c r="AC4" s="197"/>
    </row>
    <row r="5" spans="1:29" ht="15.75" customHeight="1">
      <c r="A5" s="209" t="s">
        <v>2183</v>
      </c>
      <c r="B5" s="220"/>
      <c r="C5" s="214"/>
      <c r="D5" s="213"/>
      <c r="E5" s="213"/>
      <c r="F5" s="224"/>
      <c r="G5" s="220"/>
      <c r="H5" s="214"/>
      <c r="I5" s="213"/>
      <c r="O5" s="206"/>
      <c r="AC5" s="197"/>
    </row>
    <row r="6" spans="1:29">
      <c r="A6" s="209" t="s">
        <v>2184</v>
      </c>
      <c r="B6" s="220"/>
      <c r="C6" s="214"/>
      <c r="D6" s="213"/>
      <c r="E6" s="213"/>
      <c r="F6" s="224"/>
      <c r="G6" s="220"/>
      <c r="H6" s="214"/>
      <c r="I6" s="213"/>
      <c r="O6" s="206"/>
      <c r="AC6" s="197"/>
    </row>
    <row r="7" spans="1:29">
      <c r="A7" s="209" t="s">
        <v>2185</v>
      </c>
      <c r="B7" s="220"/>
      <c r="C7" s="214"/>
      <c r="D7" s="213"/>
      <c r="E7" s="213"/>
      <c r="F7" s="224"/>
      <c r="G7" s="220"/>
      <c r="H7" s="214"/>
      <c r="I7" s="213"/>
      <c r="O7" s="206"/>
      <c r="AC7" s="197"/>
    </row>
    <row r="8" spans="1:29">
      <c r="A8" s="209" t="s">
        <v>2186</v>
      </c>
      <c r="B8" s="220"/>
      <c r="C8" s="214"/>
      <c r="D8" s="213"/>
      <c r="E8" s="213"/>
      <c r="F8" s="224"/>
      <c r="G8" s="220"/>
      <c r="H8" s="214"/>
      <c r="I8" s="213"/>
      <c r="O8" s="206"/>
      <c r="AC8" s="197"/>
    </row>
    <row r="9" spans="1:29">
      <c r="A9" s="209" t="s">
        <v>2187</v>
      </c>
      <c r="B9" s="220"/>
      <c r="C9" s="214"/>
      <c r="D9" s="213"/>
      <c r="E9" s="213"/>
      <c r="F9" s="224"/>
      <c r="G9" s="220"/>
      <c r="H9" s="214"/>
      <c r="I9" s="213"/>
      <c r="O9" s="206"/>
      <c r="AC9" s="197"/>
    </row>
    <row r="10" spans="1:29">
      <c r="A10" s="209" t="s">
        <v>2188</v>
      </c>
      <c r="B10" s="220"/>
      <c r="C10" s="214"/>
      <c r="D10" s="213"/>
      <c r="E10" s="213"/>
      <c r="F10" s="224"/>
      <c r="G10" s="220"/>
      <c r="H10" s="214"/>
      <c r="I10" s="213"/>
      <c r="O10" s="206"/>
      <c r="AC10" s="197"/>
    </row>
    <row r="11" spans="1:29">
      <c r="A11" s="209" t="s">
        <v>2189</v>
      </c>
      <c r="B11" s="220"/>
      <c r="C11" s="214"/>
      <c r="D11" s="213"/>
      <c r="E11" s="213"/>
      <c r="F11" s="224"/>
      <c r="G11" s="220"/>
      <c r="H11" s="214"/>
      <c r="I11" s="213"/>
      <c r="O11" s="206"/>
      <c r="AC11" s="197"/>
    </row>
    <row r="12" spans="1:29">
      <c r="A12" s="209" t="s">
        <v>2190</v>
      </c>
      <c r="B12" s="220"/>
      <c r="C12" s="214"/>
      <c r="D12" s="213"/>
      <c r="E12" s="213"/>
      <c r="F12" s="224"/>
      <c r="G12" s="220"/>
      <c r="H12" s="214"/>
      <c r="I12" s="213"/>
      <c r="O12" s="206"/>
      <c r="AC12" s="197"/>
    </row>
    <row r="13" spans="1:29">
      <c r="A13" s="209" t="s">
        <v>2191</v>
      </c>
      <c r="B13" s="220"/>
      <c r="C13" s="214"/>
      <c r="D13" s="213"/>
      <c r="E13" s="213"/>
      <c r="F13" s="224"/>
      <c r="G13" s="220"/>
      <c r="H13" s="214"/>
      <c r="I13" s="213"/>
      <c r="O13" s="206"/>
      <c r="AC13" s="197"/>
    </row>
    <row r="14" spans="1:29">
      <c r="A14" s="209" t="s">
        <v>2192</v>
      </c>
      <c r="B14" s="220"/>
      <c r="C14" s="214"/>
      <c r="D14" s="213"/>
      <c r="E14" s="213"/>
      <c r="F14" s="224"/>
      <c r="G14" s="220"/>
      <c r="H14" s="214"/>
      <c r="I14" s="213"/>
      <c r="O14" s="206"/>
      <c r="AC14" s="197"/>
    </row>
    <row r="15" spans="1:29">
      <c r="A15" s="209" t="s">
        <v>2193</v>
      </c>
      <c r="B15" s="220"/>
      <c r="C15" s="214"/>
      <c r="D15" s="213"/>
      <c r="E15" s="213"/>
      <c r="F15" s="224"/>
      <c r="G15" s="220"/>
      <c r="H15" s="214"/>
      <c r="I15" s="213"/>
      <c r="O15" s="206"/>
      <c r="AC15" s="197"/>
    </row>
    <row r="16" spans="1:29">
      <c r="A16" s="209" t="s">
        <v>2194</v>
      </c>
      <c r="B16" s="220"/>
      <c r="C16" s="214"/>
      <c r="D16" s="213"/>
      <c r="E16" s="213"/>
      <c r="F16" s="224"/>
      <c r="G16" s="220"/>
      <c r="H16" s="214"/>
      <c r="I16" s="213"/>
      <c r="O16" s="206"/>
      <c r="AC16" s="197"/>
    </row>
    <row r="17" spans="1:29">
      <c r="A17" s="209" t="s">
        <v>2195</v>
      </c>
      <c r="B17" s="220"/>
      <c r="C17" s="214"/>
      <c r="D17" s="213"/>
      <c r="E17" s="213"/>
      <c r="F17" s="224"/>
      <c r="G17" s="220"/>
      <c r="H17" s="214"/>
      <c r="I17" s="213"/>
      <c r="O17" s="206"/>
      <c r="AC17" s="197"/>
    </row>
    <row r="18" spans="1:29">
      <c r="A18" s="209" t="s">
        <v>2196</v>
      </c>
      <c r="B18" s="220"/>
      <c r="C18" s="214"/>
      <c r="D18" s="213"/>
      <c r="E18" s="213"/>
      <c r="F18" s="224"/>
      <c r="G18" s="220"/>
      <c r="H18" s="214"/>
      <c r="I18" s="213"/>
      <c r="O18" s="206"/>
      <c r="AC18" s="197"/>
    </row>
    <row r="19" spans="1:29">
      <c r="A19" s="209" t="s">
        <v>2197</v>
      </c>
      <c r="B19" s="220"/>
      <c r="C19" s="214"/>
      <c r="D19" s="213"/>
      <c r="E19" s="213"/>
      <c r="F19" s="224"/>
      <c r="G19" s="220"/>
      <c r="H19" s="214"/>
      <c r="I19" s="213"/>
      <c r="O19" s="206"/>
      <c r="AC19" s="197"/>
    </row>
    <row r="20" spans="1:29">
      <c r="A20" s="209" t="s">
        <v>2198</v>
      </c>
      <c r="B20" s="220"/>
      <c r="C20" s="214"/>
      <c r="D20" s="213"/>
      <c r="E20" s="213"/>
      <c r="F20" s="224"/>
      <c r="G20" s="220"/>
      <c r="H20" s="214"/>
      <c r="I20" s="213"/>
      <c r="O20" s="206"/>
      <c r="AC20" s="197"/>
    </row>
    <row r="21" spans="1:29">
      <c r="A21" s="209" t="s">
        <v>2199</v>
      </c>
      <c r="B21" s="220"/>
      <c r="C21" s="214"/>
      <c r="D21" s="213"/>
      <c r="E21" s="213"/>
      <c r="F21" s="224"/>
      <c r="G21" s="220"/>
      <c r="H21" s="214"/>
      <c r="I21" s="213"/>
      <c r="O21" s="206"/>
      <c r="AC21" s="197"/>
    </row>
    <row r="22" spans="1:29">
      <c r="A22" s="209" t="s">
        <v>2200</v>
      </c>
      <c r="B22" s="220"/>
      <c r="C22" s="214"/>
      <c r="D22" s="213"/>
      <c r="E22" s="213"/>
      <c r="F22" s="224"/>
      <c r="G22" s="220"/>
      <c r="H22" s="214"/>
      <c r="I22" s="213"/>
      <c r="O22" s="206"/>
      <c r="AC22" s="197"/>
    </row>
    <row r="23" spans="1:29">
      <c r="A23" s="209" t="s">
        <v>2201</v>
      </c>
      <c r="B23" s="220"/>
      <c r="C23" s="214"/>
      <c r="D23" s="213"/>
      <c r="E23" s="213"/>
      <c r="F23" s="224"/>
      <c r="G23" s="220"/>
      <c r="H23" s="214"/>
      <c r="I23" s="213"/>
      <c r="O23" s="206"/>
      <c r="AC23" s="197"/>
    </row>
    <row r="24" spans="1:29">
      <c r="A24" s="209" t="s">
        <v>2202</v>
      </c>
      <c r="B24" s="220"/>
      <c r="C24" s="214"/>
      <c r="D24" s="213"/>
      <c r="E24" s="213"/>
      <c r="F24" s="224"/>
      <c r="G24" s="220"/>
      <c r="H24" s="214"/>
      <c r="I24" s="213"/>
      <c r="O24" s="206"/>
      <c r="AC24" s="197"/>
    </row>
    <row r="25" spans="1:29">
      <c r="A25" s="209" t="s">
        <v>2203</v>
      </c>
      <c r="B25" s="220"/>
      <c r="C25" s="214"/>
      <c r="D25" s="213"/>
      <c r="E25" s="213"/>
      <c r="F25" s="224"/>
      <c r="G25" s="220"/>
      <c r="H25" s="214"/>
      <c r="I25" s="213"/>
      <c r="O25" s="206"/>
      <c r="AC25" s="197"/>
    </row>
    <row r="26" spans="1:29">
      <c r="A26" s="209" t="s">
        <v>2204</v>
      </c>
      <c r="B26" s="220"/>
      <c r="C26" s="214"/>
      <c r="D26" s="213"/>
      <c r="E26" s="213"/>
      <c r="F26" s="224"/>
      <c r="G26" s="220"/>
      <c r="H26" s="214"/>
      <c r="I26" s="213"/>
      <c r="O26" s="206"/>
      <c r="AC26" s="197"/>
    </row>
    <row r="27" spans="1:29">
      <c r="A27" s="209" t="s">
        <v>2205</v>
      </c>
      <c r="B27" s="220"/>
      <c r="C27" s="214"/>
      <c r="D27" s="213"/>
      <c r="E27" s="213"/>
      <c r="F27" s="224"/>
      <c r="G27" s="220"/>
      <c r="H27" s="214"/>
      <c r="I27" s="213"/>
      <c r="O27" s="206"/>
      <c r="AC27" s="197"/>
    </row>
    <row r="28" spans="1:29">
      <c r="A28" s="209" t="s">
        <v>2206</v>
      </c>
      <c r="B28" s="220"/>
      <c r="C28" s="214"/>
      <c r="D28" s="213"/>
      <c r="E28" s="213"/>
      <c r="F28" s="224"/>
      <c r="G28" s="220"/>
      <c r="H28" s="214"/>
      <c r="I28" s="213"/>
      <c r="O28" s="206"/>
      <c r="AC28" s="197"/>
    </row>
    <row r="29" spans="1:29">
      <c r="A29" s="209" t="s">
        <v>2207</v>
      </c>
      <c r="B29" s="220"/>
      <c r="C29" s="214"/>
      <c r="D29" s="213"/>
      <c r="E29" s="213"/>
      <c r="F29" s="224"/>
      <c r="G29" s="220"/>
      <c r="H29" s="214"/>
      <c r="I29" s="213"/>
      <c r="O29" s="206"/>
      <c r="AC29" s="197"/>
    </row>
    <row r="30" spans="1:29">
      <c r="A30" s="209" t="s">
        <v>2208</v>
      </c>
      <c r="B30" s="220"/>
      <c r="C30" s="214"/>
      <c r="D30" s="213"/>
      <c r="E30" s="213"/>
      <c r="F30" s="224"/>
      <c r="G30" s="220"/>
      <c r="H30" s="214"/>
      <c r="I30" s="213"/>
      <c r="O30" s="206"/>
      <c r="AC30" s="197"/>
    </row>
    <row r="31" spans="1:29">
      <c r="A31" s="209" t="s">
        <v>2209</v>
      </c>
      <c r="B31" s="220"/>
      <c r="C31" s="214"/>
      <c r="D31" s="213"/>
      <c r="E31" s="213"/>
      <c r="F31" s="224"/>
      <c r="G31" s="220"/>
      <c r="H31" s="214"/>
      <c r="I31" s="213"/>
      <c r="O31" s="206"/>
      <c r="AC31" s="197"/>
    </row>
    <row r="32" spans="1:29">
      <c r="A32" s="209" t="s">
        <v>2210</v>
      </c>
      <c r="B32" s="220"/>
      <c r="C32" s="214"/>
      <c r="D32" s="213"/>
      <c r="E32" s="213"/>
      <c r="F32" s="224"/>
      <c r="G32" s="220"/>
      <c r="H32" s="214"/>
      <c r="I32" s="213"/>
      <c r="O32" s="206"/>
      <c r="AC32" s="197"/>
    </row>
    <row r="33" spans="1:29">
      <c r="A33" s="209" t="s">
        <v>2211</v>
      </c>
      <c r="B33" s="220"/>
      <c r="C33" s="214"/>
      <c r="D33" s="213"/>
      <c r="E33" s="213"/>
      <c r="F33" s="224"/>
      <c r="G33" s="220"/>
      <c r="H33" s="214"/>
      <c r="I33" s="213"/>
      <c r="O33" s="206"/>
      <c r="AC33" s="197"/>
    </row>
    <row r="34" spans="1:29" ht="15" thickBot="1">
      <c r="A34" s="210" t="s">
        <v>2212</v>
      </c>
      <c r="B34" s="221"/>
      <c r="C34" s="211"/>
      <c r="D34" s="194"/>
      <c r="E34" s="194"/>
      <c r="F34" s="225"/>
      <c r="G34" s="221"/>
      <c r="H34" s="211"/>
      <c r="I34" s="194"/>
      <c r="O34" s="206"/>
      <c r="P34"/>
      <c r="Q34"/>
      <c r="R34"/>
      <c r="S34"/>
      <c r="T34"/>
      <c r="U34"/>
      <c r="V34"/>
      <c r="W34"/>
      <c r="X34"/>
      <c r="Y34"/>
      <c r="Z34"/>
      <c r="AA34"/>
      <c r="AB34"/>
    </row>
    <row r="37" spans="1:29" ht="15" thickBot="1"/>
    <row r="38" spans="1:29" ht="44" thickBot="1">
      <c r="A38" s="200" t="s">
        <v>2213</v>
      </c>
      <c r="B38" s="217" t="s">
        <v>2176</v>
      </c>
      <c r="C38" s="215" t="s">
        <v>2177</v>
      </c>
      <c r="D38" s="201" t="s">
        <v>2178</v>
      </c>
      <c r="E38" s="201" t="s">
        <v>2179</v>
      </c>
      <c r="F38" s="222" t="s">
        <v>121</v>
      </c>
      <c r="G38" s="217" t="s">
        <v>2180</v>
      </c>
      <c r="H38" s="226" t="s">
        <v>2177</v>
      </c>
      <c r="I38" s="202" t="s">
        <v>121</v>
      </c>
    </row>
    <row r="39" spans="1:29">
      <c r="A39" s="205" t="s">
        <v>177</v>
      </c>
      <c r="B39" s="218"/>
      <c r="C39" s="216"/>
      <c r="D39" s="212"/>
      <c r="E39" s="212"/>
      <c r="F39" s="223"/>
      <c r="G39" s="227"/>
      <c r="H39" s="216"/>
      <c r="I39" s="212"/>
    </row>
    <row r="40" spans="1:29">
      <c r="A40" s="207" t="s">
        <v>2181</v>
      </c>
      <c r="B40" s="219" t="s">
        <v>2182</v>
      </c>
      <c r="C40" s="214"/>
      <c r="D40" s="213"/>
      <c r="E40" s="213"/>
      <c r="F40" s="224"/>
      <c r="G40" s="220"/>
      <c r="H40" s="214"/>
      <c r="I40" s="213"/>
    </row>
    <row r="41" spans="1:29">
      <c r="A41" s="209" t="s">
        <v>2183</v>
      </c>
      <c r="B41" s="220"/>
      <c r="C41" s="214"/>
      <c r="D41" s="213"/>
      <c r="E41" s="213"/>
      <c r="F41" s="224"/>
      <c r="G41" s="220"/>
      <c r="H41" s="214"/>
      <c r="I41" s="213"/>
    </row>
    <row r="42" spans="1:29">
      <c r="A42" s="209" t="s">
        <v>2184</v>
      </c>
      <c r="B42" s="220"/>
      <c r="C42" s="214"/>
      <c r="D42" s="213"/>
      <c r="E42" s="213"/>
      <c r="F42" s="224"/>
      <c r="G42" s="220"/>
      <c r="H42" s="214"/>
      <c r="I42" s="213"/>
    </row>
    <row r="43" spans="1:29">
      <c r="A43" s="209" t="s">
        <v>2185</v>
      </c>
      <c r="B43" s="220"/>
      <c r="C43" s="214"/>
      <c r="D43" s="213"/>
      <c r="E43" s="213"/>
      <c r="F43" s="224"/>
      <c r="G43" s="220"/>
      <c r="H43" s="214"/>
      <c r="I43" s="213"/>
    </row>
    <row r="44" spans="1:29">
      <c r="A44" s="209" t="s">
        <v>2186</v>
      </c>
      <c r="B44" s="220"/>
      <c r="C44" s="214"/>
      <c r="D44" s="213"/>
      <c r="E44" s="213"/>
      <c r="F44" s="224"/>
      <c r="G44" s="220"/>
      <c r="H44" s="214"/>
      <c r="I44" s="213"/>
    </row>
    <row r="45" spans="1:29">
      <c r="A45" s="209" t="s">
        <v>2187</v>
      </c>
      <c r="B45" s="220"/>
      <c r="C45" s="214"/>
      <c r="D45" s="213"/>
      <c r="E45" s="213"/>
      <c r="F45" s="224"/>
      <c r="G45" s="220"/>
      <c r="H45" s="214"/>
      <c r="I45" s="213"/>
    </row>
    <row r="46" spans="1:29">
      <c r="A46" s="209" t="s">
        <v>2188</v>
      </c>
      <c r="B46" s="220"/>
      <c r="C46" s="214"/>
      <c r="D46" s="213"/>
      <c r="E46" s="213"/>
      <c r="F46" s="224"/>
      <c r="G46" s="220"/>
      <c r="H46" s="214"/>
      <c r="I46" s="213"/>
    </row>
    <row r="47" spans="1:29">
      <c r="A47" s="209" t="s">
        <v>2189</v>
      </c>
      <c r="B47" s="220"/>
      <c r="C47" s="214"/>
      <c r="D47" s="213"/>
      <c r="E47" s="213"/>
      <c r="F47" s="224"/>
      <c r="G47" s="220"/>
      <c r="H47" s="214"/>
      <c r="I47" s="213"/>
    </row>
    <row r="48" spans="1:29">
      <c r="A48" s="209" t="s">
        <v>2190</v>
      </c>
      <c r="B48" s="220"/>
      <c r="C48" s="214"/>
      <c r="D48" s="213"/>
      <c r="E48" s="213"/>
      <c r="F48" s="224"/>
      <c r="G48" s="220"/>
      <c r="H48" s="214"/>
      <c r="I48" s="213"/>
    </row>
    <row r="49" spans="1:9">
      <c r="A49" s="209" t="s">
        <v>2191</v>
      </c>
      <c r="B49" s="220"/>
      <c r="C49" s="214"/>
      <c r="D49" s="213"/>
      <c r="E49" s="213"/>
      <c r="F49" s="224"/>
      <c r="G49" s="220"/>
      <c r="H49" s="214"/>
      <c r="I49" s="213"/>
    </row>
    <row r="50" spans="1:9">
      <c r="A50" s="209" t="s">
        <v>2192</v>
      </c>
      <c r="B50" s="220"/>
      <c r="C50" s="214"/>
      <c r="D50" s="213"/>
      <c r="E50" s="213"/>
      <c r="F50" s="224"/>
      <c r="G50" s="220"/>
      <c r="H50" s="214"/>
      <c r="I50" s="213"/>
    </row>
    <row r="51" spans="1:9">
      <c r="A51" s="209" t="s">
        <v>2193</v>
      </c>
      <c r="B51" s="220"/>
      <c r="C51" s="214"/>
      <c r="D51" s="213"/>
      <c r="E51" s="213"/>
      <c r="F51" s="224"/>
      <c r="G51" s="220"/>
      <c r="H51" s="214"/>
      <c r="I51" s="213"/>
    </row>
    <row r="52" spans="1:9">
      <c r="A52" s="209" t="s">
        <v>2194</v>
      </c>
      <c r="B52" s="220"/>
      <c r="C52" s="214"/>
      <c r="D52" s="213"/>
      <c r="E52" s="213"/>
      <c r="F52" s="224"/>
      <c r="G52" s="220"/>
      <c r="H52" s="214"/>
      <c r="I52" s="213"/>
    </row>
    <row r="53" spans="1:9">
      <c r="A53" s="209" t="s">
        <v>2195</v>
      </c>
      <c r="B53" s="220"/>
      <c r="C53" s="214"/>
      <c r="D53" s="213"/>
      <c r="E53" s="213"/>
      <c r="F53" s="224"/>
      <c r="G53" s="220"/>
      <c r="H53" s="214"/>
      <c r="I53" s="213"/>
    </row>
    <row r="54" spans="1:9">
      <c r="A54" s="209" t="s">
        <v>2196</v>
      </c>
      <c r="B54" s="220"/>
      <c r="C54" s="214"/>
      <c r="D54" s="213"/>
      <c r="E54" s="213"/>
      <c r="F54" s="224"/>
      <c r="G54" s="220"/>
      <c r="H54" s="214"/>
      <c r="I54" s="213"/>
    </row>
    <row r="55" spans="1:9">
      <c r="A55" s="209" t="s">
        <v>2197</v>
      </c>
      <c r="B55" s="220"/>
      <c r="C55" s="214"/>
      <c r="D55" s="213"/>
      <c r="E55" s="213"/>
      <c r="F55" s="224"/>
      <c r="G55" s="220"/>
      <c r="H55" s="214"/>
      <c r="I55" s="213"/>
    </row>
    <row r="56" spans="1:9">
      <c r="A56" s="209" t="s">
        <v>2198</v>
      </c>
      <c r="B56" s="220"/>
      <c r="C56" s="214"/>
      <c r="D56" s="213"/>
      <c r="E56" s="213"/>
      <c r="F56" s="224"/>
      <c r="G56" s="220"/>
      <c r="H56" s="214"/>
      <c r="I56" s="213"/>
    </row>
    <row r="57" spans="1:9">
      <c r="A57" s="209" t="s">
        <v>2199</v>
      </c>
      <c r="B57" s="220"/>
      <c r="C57" s="214"/>
      <c r="D57" s="213"/>
      <c r="E57" s="213"/>
      <c r="F57" s="224"/>
      <c r="G57" s="220"/>
      <c r="H57" s="214"/>
      <c r="I57" s="213"/>
    </row>
    <row r="58" spans="1:9">
      <c r="A58" s="209" t="s">
        <v>2200</v>
      </c>
      <c r="B58" s="220"/>
      <c r="C58" s="214"/>
      <c r="D58" s="213"/>
      <c r="E58" s="213"/>
      <c r="F58" s="224"/>
      <c r="G58" s="220"/>
      <c r="H58" s="214"/>
      <c r="I58" s="213"/>
    </row>
    <row r="59" spans="1:9">
      <c r="A59" s="209" t="s">
        <v>2201</v>
      </c>
      <c r="B59" s="220"/>
      <c r="C59" s="214"/>
      <c r="D59" s="213"/>
      <c r="E59" s="213"/>
      <c r="F59" s="224"/>
      <c r="G59" s="220"/>
      <c r="H59" s="214"/>
      <c r="I59" s="213"/>
    </row>
    <row r="60" spans="1:9">
      <c r="A60" s="209" t="s">
        <v>2202</v>
      </c>
      <c r="B60" s="220"/>
      <c r="C60" s="214"/>
      <c r="D60" s="213"/>
      <c r="E60" s="213"/>
      <c r="F60" s="224"/>
      <c r="G60" s="220"/>
      <c r="H60" s="214"/>
      <c r="I60" s="213"/>
    </row>
    <row r="61" spans="1:9">
      <c r="A61" s="209" t="s">
        <v>2203</v>
      </c>
      <c r="B61" s="220"/>
      <c r="C61" s="214"/>
      <c r="D61" s="213"/>
      <c r="E61" s="213"/>
      <c r="F61" s="224"/>
      <c r="G61" s="220"/>
      <c r="H61" s="214"/>
      <c r="I61" s="213"/>
    </row>
    <row r="62" spans="1:9">
      <c r="A62" s="209" t="s">
        <v>2204</v>
      </c>
      <c r="B62" s="220"/>
      <c r="C62" s="214"/>
      <c r="D62" s="213"/>
      <c r="E62" s="213"/>
      <c r="F62" s="224"/>
      <c r="G62" s="220"/>
      <c r="H62" s="214"/>
      <c r="I62" s="213"/>
    </row>
    <row r="63" spans="1:9">
      <c r="A63" s="209" t="s">
        <v>2205</v>
      </c>
      <c r="B63" s="220"/>
      <c r="C63" s="214"/>
      <c r="D63" s="213"/>
      <c r="E63" s="213"/>
      <c r="F63" s="224"/>
      <c r="G63" s="220"/>
      <c r="H63" s="214"/>
      <c r="I63" s="213"/>
    </row>
    <row r="64" spans="1:9">
      <c r="A64" s="209" t="s">
        <v>2206</v>
      </c>
      <c r="B64" s="220"/>
      <c r="C64" s="214"/>
      <c r="D64" s="213"/>
      <c r="E64" s="213"/>
      <c r="F64" s="224"/>
      <c r="G64" s="220"/>
      <c r="H64" s="214"/>
      <c r="I64" s="213"/>
    </row>
    <row r="65" spans="1:9">
      <c r="A65" s="209" t="s">
        <v>2207</v>
      </c>
      <c r="B65" s="220"/>
      <c r="C65" s="214"/>
      <c r="D65" s="213"/>
      <c r="E65" s="213"/>
      <c r="F65" s="224"/>
      <c r="G65" s="220"/>
      <c r="H65" s="214"/>
      <c r="I65" s="213"/>
    </row>
    <row r="66" spans="1:9">
      <c r="A66" s="209" t="s">
        <v>2208</v>
      </c>
      <c r="B66" s="220"/>
      <c r="C66" s="214"/>
      <c r="D66" s="213"/>
      <c r="E66" s="213"/>
      <c r="F66" s="224"/>
      <c r="G66" s="220"/>
      <c r="H66" s="214"/>
      <c r="I66" s="213"/>
    </row>
    <row r="67" spans="1:9">
      <c r="A67" s="209" t="s">
        <v>2209</v>
      </c>
      <c r="B67" s="220"/>
      <c r="C67" s="214"/>
      <c r="D67" s="213"/>
      <c r="E67" s="213"/>
      <c r="F67" s="224"/>
      <c r="G67" s="220"/>
      <c r="H67" s="214"/>
      <c r="I67" s="213"/>
    </row>
    <row r="68" spans="1:9">
      <c r="A68" s="209" t="s">
        <v>2210</v>
      </c>
      <c r="B68" s="220"/>
      <c r="C68" s="214"/>
      <c r="D68" s="213"/>
      <c r="E68" s="213"/>
      <c r="F68" s="224"/>
      <c r="G68" s="220"/>
      <c r="H68" s="214"/>
      <c r="I68" s="213"/>
    </row>
    <row r="69" spans="1:9">
      <c r="A69" s="209" t="s">
        <v>2211</v>
      </c>
      <c r="B69" s="220"/>
      <c r="C69" s="214"/>
      <c r="D69" s="213"/>
      <c r="E69" s="213"/>
      <c r="F69" s="224"/>
      <c r="G69" s="220"/>
      <c r="H69" s="214"/>
      <c r="I69" s="213"/>
    </row>
    <row r="70" spans="1:9" ht="15" thickBot="1">
      <c r="A70" s="210" t="s">
        <v>2212</v>
      </c>
      <c r="B70" s="221"/>
      <c r="C70" s="211"/>
      <c r="D70" s="194"/>
      <c r="E70" s="194"/>
      <c r="F70" s="225"/>
      <c r="G70" s="221"/>
      <c r="H70" s="211"/>
      <c r="I70" s="194"/>
    </row>
  </sheetData>
  <pageMargins left="0.7" right="0.7" top="0.75" bottom="0.75" header="0.3" footer="0.3"/>
  <pageSetup paperSize="9" scale="67"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Hárok5"/>
  <dimension ref="A2:R53"/>
  <sheetViews>
    <sheetView view="pageBreakPreview" zoomScale="60" zoomScaleNormal="80" workbookViewId="0">
      <selection activeCell="O10" sqref="O10"/>
    </sheetView>
  </sheetViews>
  <sheetFormatPr defaultColWidth="8.81640625" defaultRowHeight="14.5"/>
  <cols>
    <col min="1" max="1" width="7.81640625" style="57" customWidth="1"/>
    <col min="2" max="2" width="12.7265625" style="57" customWidth="1"/>
    <col min="3" max="3" width="14" style="57" customWidth="1"/>
    <col min="4" max="4" width="9.453125" style="57" customWidth="1"/>
    <col min="5" max="5" width="11.81640625" style="57" customWidth="1"/>
    <col min="6" max="6" width="11.7265625" style="57" customWidth="1"/>
    <col min="7" max="7" width="9.7265625" customWidth="1"/>
    <col min="8" max="8" width="11.453125" customWidth="1"/>
    <col min="9" max="9" width="10.81640625" customWidth="1"/>
    <col min="10" max="10" width="9.453125" customWidth="1"/>
    <col min="11" max="11" width="12.7265625" customWidth="1"/>
    <col min="12" max="12" width="11.453125" customWidth="1"/>
    <col min="13" max="13" width="10.453125" customWidth="1"/>
    <col min="14" max="14" width="13.26953125" customWidth="1"/>
    <col min="15" max="15" width="11.26953125" customWidth="1"/>
    <col min="16" max="16" width="9.7265625" customWidth="1"/>
    <col min="17" max="17" width="14.7265625" customWidth="1"/>
    <col min="18" max="18" width="15.7265625" customWidth="1"/>
  </cols>
  <sheetData>
    <row r="2" spans="1:18">
      <c r="A2" s="174" t="s">
        <v>179</v>
      </c>
      <c r="B2" s="175">
        <f>'CBA - Agendové IS'!J17</f>
        <v>1.3630588842951152</v>
      </c>
    </row>
    <row r="5" spans="1:18" ht="30" customHeight="1">
      <c r="B5" s="891" t="s">
        <v>2214</v>
      </c>
      <c r="C5" s="892"/>
      <c r="D5" s="182"/>
      <c r="E5" s="891" t="s">
        <v>2215</v>
      </c>
      <c r="F5" s="892"/>
      <c r="H5" s="889" t="s">
        <v>2216</v>
      </c>
      <c r="I5" s="890"/>
      <c r="J5" s="57"/>
      <c r="K5" s="891" t="s">
        <v>2217</v>
      </c>
      <c r="L5" s="892"/>
      <c r="N5" s="889" t="s">
        <v>2218</v>
      </c>
      <c r="O5" s="890"/>
      <c r="Q5" s="889" t="s">
        <v>2219</v>
      </c>
      <c r="R5" s="890"/>
    </row>
    <row r="6" spans="1:18">
      <c r="B6" s="177" t="s">
        <v>2151</v>
      </c>
      <c r="C6" s="176" t="s">
        <v>179</v>
      </c>
      <c r="D6" s="183"/>
      <c r="E6" s="177" t="s">
        <v>2151</v>
      </c>
      <c r="F6" s="176" t="s">
        <v>179</v>
      </c>
      <c r="H6" s="177" t="s">
        <v>2151</v>
      </c>
      <c r="I6" s="176" t="s">
        <v>179</v>
      </c>
      <c r="J6" s="57"/>
      <c r="K6" s="177" t="s">
        <v>2151</v>
      </c>
      <c r="L6" s="176" t="s">
        <v>179</v>
      </c>
      <c r="N6" s="178" t="s">
        <v>2151</v>
      </c>
      <c r="O6" s="179" t="s">
        <v>179</v>
      </c>
      <c r="Q6" s="178" t="s">
        <v>2151</v>
      </c>
      <c r="R6" s="179" t="s">
        <v>179</v>
      </c>
    </row>
    <row r="7" spans="1:18" ht="15" customHeight="1">
      <c r="B7" s="170">
        <v>0</v>
      </c>
      <c r="C7" s="162">
        <f>B2</f>
        <v>1.3630588842951152</v>
      </c>
      <c r="D7" s="180"/>
      <c r="E7" s="170">
        <v>0</v>
      </c>
      <c r="F7" s="162">
        <f>B2</f>
        <v>1.3630588842951152</v>
      </c>
      <c r="H7" s="170">
        <v>0</v>
      </c>
      <c r="I7" s="162">
        <f>B2</f>
        <v>1.3630588842951152</v>
      </c>
      <c r="J7" s="57"/>
      <c r="K7" s="170">
        <v>0</v>
      </c>
      <c r="L7" s="162">
        <f>B2</f>
        <v>1.3630588842951152</v>
      </c>
      <c r="N7" s="172">
        <v>0</v>
      </c>
      <c r="O7" s="164">
        <f>B2</f>
        <v>1.3630588842951152</v>
      </c>
      <c r="Q7" s="172">
        <v>0</v>
      </c>
      <c r="R7" s="164">
        <f>B2</f>
        <v>1.3630588842951152</v>
      </c>
    </row>
    <row r="8" spans="1:18">
      <c r="B8" s="170">
        <v>0.1</v>
      </c>
      <c r="C8" s="166">
        <f t="dataTable" ref="C8:C17" dt2D="0" dtr="0" r1="B7"/>
        <v>1.2391444402682863</v>
      </c>
      <c r="D8" s="181"/>
      <c r="E8" s="170">
        <v>0.1</v>
      </c>
      <c r="F8" s="166">
        <f t="dataTable" ref="F8:F17" dt2D="0" dtr="0" r1="E7" ca="1"/>
        <v>1.2859871869113575</v>
      </c>
      <c r="H8" s="170">
        <v>-0.1</v>
      </c>
      <c r="I8" s="166">
        <f t="dataTable" ref="I8:I17" dt2D="0" dtr="0" r1="H7" ca="1"/>
        <v>1.3630588842951152</v>
      </c>
      <c r="J8" s="57"/>
      <c r="K8" s="170">
        <v>-0.1</v>
      </c>
      <c r="L8" s="166">
        <f t="dataTable" ref="L8:L17" dt2D="0" dtr="0" r1="K7" ca="1"/>
        <v>1.6375501491970073</v>
      </c>
      <c r="N8" s="172">
        <v>-0.1</v>
      </c>
      <c r="O8" s="168">
        <f t="dataTable" ref="O8:O17" dt2D="0" dtr="0" r1="N7" ca="1"/>
        <v>1.3528306989483496</v>
      </c>
      <c r="Q8" s="172">
        <v>-0.1</v>
      </c>
      <c r="R8" s="168">
        <f t="dataTable" ref="R8:R17" dt2D="0" dtr="0" r1="Q7" ca="1"/>
        <v>1.3597194053735562</v>
      </c>
    </row>
    <row r="9" spans="1:18">
      <c r="A9" s="165"/>
      <c r="B9" s="170">
        <v>0.2</v>
      </c>
      <c r="C9" s="166">
        <v>1.1358824035792623</v>
      </c>
      <c r="D9" s="181"/>
      <c r="E9" s="170">
        <v>0.2</v>
      </c>
      <c r="F9" s="166">
        <v>1.2171648061009466</v>
      </c>
      <c r="H9" s="170">
        <v>-0.2</v>
      </c>
      <c r="I9" s="166">
        <v>1.3630588842951152</v>
      </c>
      <c r="J9" s="57"/>
      <c r="K9" s="170">
        <v>-0.2</v>
      </c>
      <c r="L9" s="166">
        <v>1.9120414140988984</v>
      </c>
      <c r="N9" s="172">
        <v>-0.2</v>
      </c>
      <c r="O9" s="168">
        <v>1.3426025136015842</v>
      </c>
      <c r="Q9" s="172">
        <v>-0.2</v>
      </c>
      <c r="R9" s="168">
        <v>1.356379926451998</v>
      </c>
    </row>
    <row r="10" spans="1:18">
      <c r="A10" s="165"/>
      <c r="B10" s="170">
        <v>0.3</v>
      </c>
      <c r="C10" s="166">
        <v>1.0485068340731651</v>
      </c>
      <c r="D10" s="181"/>
      <c r="E10" s="170">
        <v>0.3</v>
      </c>
      <c r="F10" s="166">
        <v>1.1553345815511058</v>
      </c>
      <c r="H10" s="170">
        <v>-0.3</v>
      </c>
      <c r="I10" s="166">
        <v>1.3630588842951152</v>
      </c>
      <c r="J10" s="57"/>
      <c r="K10" s="170">
        <v>-0.3</v>
      </c>
      <c r="L10" s="166">
        <v>2.1865326790007913</v>
      </c>
      <c r="N10" s="172">
        <v>-0.3</v>
      </c>
      <c r="O10" s="168">
        <v>1.3323743282548184</v>
      </c>
      <c r="Q10" s="172">
        <v>-0.3</v>
      </c>
      <c r="R10" s="168">
        <v>1.3530404475304394</v>
      </c>
    </row>
    <row r="11" spans="1:18">
      <c r="A11" s="165"/>
      <c r="B11" s="170">
        <v>0.4</v>
      </c>
      <c r="C11" s="166">
        <v>0.97361348878222498</v>
      </c>
      <c r="D11" s="181"/>
      <c r="E11" s="170">
        <v>0.4</v>
      </c>
      <c r="F11" s="166">
        <v>1.0994824516400512</v>
      </c>
      <c r="H11" s="170">
        <v>-0.4</v>
      </c>
      <c r="I11" s="166">
        <v>1.3630588842951152</v>
      </c>
      <c r="J11" s="57"/>
      <c r="K11" s="170">
        <v>-0.4</v>
      </c>
      <c r="L11" s="166">
        <v>2.4610239439026835</v>
      </c>
      <c r="N11" s="172">
        <v>-0.4</v>
      </c>
      <c r="O11" s="168">
        <v>1.3221461429080521</v>
      </c>
      <c r="Q11" s="172">
        <v>-0.4</v>
      </c>
      <c r="R11" s="168">
        <v>1.349700968608881</v>
      </c>
    </row>
    <row r="12" spans="1:18">
      <c r="A12" s="165"/>
      <c r="B12" s="170">
        <v>0.5</v>
      </c>
      <c r="C12" s="166">
        <v>0.90870592286341001</v>
      </c>
      <c r="D12" s="181"/>
      <c r="E12" s="170">
        <v>0.5</v>
      </c>
      <c r="F12" s="166">
        <v>1.0487814027078088</v>
      </c>
      <c r="H12" s="170">
        <v>-0.5</v>
      </c>
      <c r="I12" s="166">
        <v>1.3630588842951152</v>
      </c>
      <c r="J12" s="57"/>
      <c r="K12" s="170">
        <v>-0.5</v>
      </c>
      <c r="L12" s="166">
        <v>2.7355152088045753</v>
      </c>
      <c r="N12" s="172">
        <v>-0.5</v>
      </c>
      <c r="O12" s="168">
        <v>1.3119179575612872</v>
      </c>
      <c r="Q12" s="172">
        <v>-0.5</v>
      </c>
      <c r="R12" s="168">
        <v>1.3463614896873224</v>
      </c>
    </row>
    <row r="13" spans="1:18">
      <c r="A13" s="165"/>
      <c r="B13" s="170">
        <v>0.6</v>
      </c>
      <c r="C13" s="166">
        <v>0.85191180268444677</v>
      </c>
      <c r="D13" s="181"/>
      <c r="E13" s="170">
        <v>0.6</v>
      </c>
      <c r="F13" s="166">
        <v>1.0025502429046498</v>
      </c>
      <c r="H13" s="170">
        <v>-0.6</v>
      </c>
      <c r="I13" s="166">
        <v>1.3630588842951152</v>
      </c>
      <c r="J13" s="57"/>
      <c r="K13" s="170">
        <v>-0.6</v>
      </c>
      <c r="L13" s="166">
        <v>3.0100064737064667</v>
      </c>
      <c r="N13" s="172">
        <v>-0.6</v>
      </c>
      <c r="O13" s="168">
        <v>1.3016897722145218</v>
      </c>
      <c r="Q13" s="172">
        <v>-0.6</v>
      </c>
      <c r="R13" s="168">
        <v>1.3430220107657636</v>
      </c>
    </row>
    <row r="14" spans="1:18">
      <c r="A14" s="161"/>
      <c r="B14" s="170">
        <v>0.7</v>
      </c>
      <c r="C14" s="166">
        <v>0.80179934370300887</v>
      </c>
      <c r="D14" s="181"/>
      <c r="E14" s="170">
        <v>0.7</v>
      </c>
      <c r="F14" s="166">
        <v>0.96022281938711707</v>
      </c>
      <c r="H14" s="170">
        <v>-0.7</v>
      </c>
      <c r="I14" s="166">
        <v>1.3630588842951152</v>
      </c>
      <c r="J14" s="57"/>
      <c r="K14" s="170">
        <v>-0.7</v>
      </c>
      <c r="L14" s="166">
        <v>3.2844977386083585</v>
      </c>
      <c r="N14" s="172">
        <v>-0.7</v>
      </c>
      <c r="O14" s="168">
        <v>1.2914615868677555</v>
      </c>
      <c r="Q14" s="172">
        <v>-0.7</v>
      </c>
      <c r="R14" s="168">
        <v>1.3396825318442052</v>
      </c>
    </row>
    <row r="15" spans="1:18">
      <c r="A15" s="161"/>
      <c r="B15" s="170">
        <v>0.8</v>
      </c>
      <c r="C15" s="166">
        <v>0.75725493571950853</v>
      </c>
      <c r="D15" s="181"/>
      <c r="E15" s="170">
        <v>0.8</v>
      </c>
      <c r="F15" s="166">
        <v>0.92132471748149547</v>
      </c>
      <c r="H15" s="170">
        <v>-0.8</v>
      </c>
      <c r="I15" s="166">
        <v>1.3630588842951152</v>
      </c>
      <c r="J15" s="57"/>
      <c r="K15" s="170">
        <v>-0.8</v>
      </c>
      <c r="L15" s="166">
        <v>3.5589890035102507</v>
      </c>
      <c r="N15" s="172">
        <v>-0.8</v>
      </c>
      <c r="O15" s="168">
        <v>1.2812334015209899</v>
      </c>
      <c r="Q15" s="172">
        <v>-0.8</v>
      </c>
      <c r="R15" s="168">
        <v>1.3363430529226463</v>
      </c>
    </row>
    <row r="16" spans="1:18">
      <c r="A16" s="161"/>
      <c r="B16" s="170">
        <v>0.9</v>
      </c>
      <c r="C16" s="166">
        <v>0.71739941278690256</v>
      </c>
      <c r="D16" s="181"/>
      <c r="E16" s="170">
        <v>0.9</v>
      </c>
      <c r="F16" s="166">
        <v>0.88545540278193602</v>
      </c>
      <c r="H16" s="170">
        <v>-0.9</v>
      </c>
      <c r="I16" s="166">
        <v>1.3630588842951152</v>
      </c>
      <c r="J16" s="57"/>
      <c r="K16" s="170">
        <v>-0.9</v>
      </c>
      <c r="L16" s="166">
        <v>3.8334802684121425</v>
      </c>
      <c r="N16" s="172">
        <v>-0.9</v>
      </c>
      <c r="O16" s="168">
        <v>1.2710052161742249</v>
      </c>
      <c r="Q16" s="172">
        <v>-0.9</v>
      </c>
      <c r="R16" s="168">
        <v>1.3330035740010886</v>
      </c>
    </row>
    <row r="17" spans="1:18">
      <c r="A17" s="161"/>
      <c r="B17" s="171">
        <v>1</v>
      </c>
      <c r="C17" s="167">
        <v>0.68152944214755762</v>
      </c>
      <c r="D17" s="181"/>
      <c r="E17" s="171">
        <v>1</v>
      </c>
      <c r="F17" s="167">
        <v>0.852274378426361</v>
      </c>
      <c r="H17" s="171">
        <v>-1</v>
      </c>
      <c r="I17" s="167">
        <v>1.3630588842951152</v>
      </c>
      <c r="J17" s="57"/>
      <c r="K17" s="171">
        <v>-1</v>
      </c>
      <c r="L17" s="167">
        <v>4.1079715333140348</v>
      </c>
      <c r="N17" s="173">
        <v>-1</v>
      </c>
      <c r="O17" s="169">
        <v>1.2607770308274591</v>
      </c>
      <c r="Q17" s="173">
        <v>-1</v>
      </c>
      <c r="R17" s="169">
        <v>1.3296640950795295</v>
      </c>
    </row>
    <row r="18" spans="1:18">
      <c r="A18" s="165"/>
      <c r="N18" s="97"/>
    </row>
    <row r="19" spans="1:18">
      <c r="A19" s="165"/>
    </row>
    <row r="25" spans="1:18" ht="18.75" customHeight="1">
      <c r="D25" s="883" t="s">
        <v>2219</v>
      </c>
      <c r="E25" s="884"/>
      <c r="F25" s="884"/>
      <c r="G25" s="884"/>
      <c r="H25" s="884"/>
      <c r="I25" s="884"/>
      <c r="J25" s="884"/>
      <c r="K25" s="884"/>
      <c r="L25" s="884"/>
      <c r="M25" s="884"/>
      <c r="N25" s="885"/>
    </row>
    <row r="26" spans="1:18">
      <c r="C26" s="184">
        <f>B2</f>
        <v>1.3630588842951152</v>
      </c>
      <c r="D26" s="190">
        <v>0</v>
      </c>
      <c r="E26" s="187">
        <v>-0.1</v>
      </c>
      <c r="F26" s="187">
        <v>-0.2</v>
      </c>
      <c r="G26" s="187">
        <v>-0.3</v>
      </c>
      <c r="H26" s="187">
        <v>-0.4</v>
      </c>
      <c r="I26" s="187">
        <v>-0.5</v>
      </c>
      <c r="J26" s="187">
        <v>-0.6</v>
      </c>
      <c r="K26" s="187">
        <v>-0.7</v>
      </c>
      <c r="L26" s="187">
        <v>-0.8</v>
      </c>
      <c r="M26" s="187">
        <v>-0.9</v>
      </c>
      <c r="N26" s="191">
        <v>-1</v>
      </c>
    </row>
    <row r="27" spans="1:18" ht="14.25" customHeight="1">
      <c r="B27" s="886" t="s">
        <v>2218</v>
      </c>
      <c r="C27" s="192">
        <v>0</v>
      </c>
      <c r="D27" s="181">
        <f t="dataTable" ref="D27:N37" dt2D="1" dtr="1" r1="Q7" r2="N7" ca="1"/>
        <v>1.3630588842951152</v>
      </c>
      <c r="E27" s="181">
        <v>1.3597194053735562</v>
      </c>
      <c r="F27" s="181">
        <v>1.356379926451998</v>
      </c>
      <c r="G27" s="186">
        <v>1.3530404475304394</v>
      </c>
      <c r="H27" s="186">
        <v>1.349700968608881</v>
      </c>
      <c r="I27" s="186">
        <v>1.3463614896873224</v>
      </c>
      <c r="J27" s="186">
        <v>1.3430220107657636</v>
      </c>
      <c r="K27" s="186">
        <v>1.3396825318442052</v>
      </c>
      <c r="L27" s="186">
        <v>1.3363430529226463</v>
      </c>
      <c r="M27" s="186">
        <v>1.3330035740010886</v>
      </c>
      <c r="N27" s="168">
        <v>1.3296640950795295</v>
      </c>
    </row>
    <row r="28" spans="1:18">
      <c r="B28" s="887"/>
      <c r="C28" s="185">
        <v>-0.1</v>
      </c>
      <c r="D28" s="181">
        <v>1.3528306989483496</v>
      </c>
      <c r="E28" s="181">
        <v>1.349491220026791</v>
      </c>
      <c r="F28" s="181">
        <v>1.3461517411052326</v>
      </c>
      <c r="G28" s="186">
        <v>1.342812262183674</v>
      </c>
      <c r="H28" s="186">
        <v>1.3394727832621156</v>
      </c>
      <c r="I28" s="186">
        <v>1.3361333043405568</v>
      </c>
      <c r="J28" s="186">
        <v>1.3327938254189982</v>
      </c>
      <c r="K28" s="186">
        <v>1.32945434649744</v>
      </c>
      <c r="L28" s="186">
        <v>1.3261148675758809</v>
      </c>
      <c r="M28" s="186">
        <v>1.3227753886543228</v>
      </c>
      <c r="N28" s="168">
        <v>1.3194359097327641</v>
      </c>
    </row>
    <row r="29" spans="1:18">
      <c r="B29" s="887"/>
      <c r="C29" s="185">
        <v>-0.2</v>
      </c>
      <c r="D29" s="181">
        <v>1.3426025136015842</v>
      </c>
      <c r="E29" s="181">
        <v>1.3392630346800256</v>
      </c>
      <c r="F29" s="181">
        <v>1.3359235557584672</v>
      </c>
      <c r="G29" s="186">
        <v>1.3325840768369084</v>
      </c>
      <c r="H29" s="186">
        <v>1.3292445979153504</v>
      </c>
      <c r="I29" s="186">
        <v>1.3259051189937916</v>
      </c>
      <c r="J29" s="186">
        <v>1.322565640072233</v>
      </c>
      <c r="K29" s="186">
        <v>1.3192261611506748</v>
      </c>
      <c r="L29" s="186">
        <v>1.315886682229116</v>
      </c>
      <c r="M29" s="186">
        <v>1.3125472033075576</v>
      </c>
      <c r="N29" s="168">
        <v>1.309207724385999</v>
      </c>
    </row>
    <row r="30" spans="1:18">
      <c r="B30" s="887"/>
      <c r="C30" s="185">
        <v>-0.3</v>
      </c>
      <c r="D30" s="181">
        <v>1.3323743282548184</v>
      </c>
      <c r="E30" s="181">
        <v>1.3290348493332595</v>
      </c>
      <c r="F30" s="181">
        <v>1.3256953704117016</v>
      </c>
      <c r="G30" s="186">
        <v>1.3223558914901425</v>
      </c>
      <c r="H30" s="186">
        <v>1.3190164125685844</v>
      </c>
      <c r="I30" s="186">
        <v>1.3156769336470258</v>
      </c>
      <c r="J30" s="186">
        <v>1.3123374547254667</v>
      </c>
      <c r="K30" s="186">
        <v>1.3089979758039088</v>
      </c>
      <c r="L30" s="186">
        <v>1.3056584968823499</v>
      </c>
      <c r="M30" s="186">
        <v>1.3023190179607913</v>
      </c>
      <c r="N30" s="168">
        <v>1.2989795390392329</v>
      </c>
    </row>
    <row r="31" spans="1:18">
      <c r="B31" s="887"/>
      <c r="C31" s="185">
        <v>-0.4</v>
      </c>
      <c r="D31" s="181">
        <v>1.3221461429080521</v>
      </c>
      <c r="E31" s="181">
        <v>1.3188066639864935</v>
      </c>
      <c r="F31" s="181">
        <v>1.3154671850649355</v>
      </c>
      <c r="G31" s="186">
        <v>1.3121277061433765</v>
      </c>
      <c r="H31" s="186">
        <v>1.3087882272218183</v>
      </c>
      <c r="I31" s="186">
        <v>1.3054487483002595</v>
      </c>
      <c r="J31" s="186">
        <v>1.3021092693787011</v>
      </c>
      <c r="K31" s="186">
        <v>1.2987697904571427</v>
      </c>
      <c r="L31" s="186">
        <v>1.2954303115355841</v>
      </c>
      <c r="M31" s="186">
        <v>1.2920908326140257</v>
      </c>
      <c r="N31" s="168">
        <v>1.2887513536924666</v>
      </c>
    </row>
    <row r="32" spans="1:18">
      <c r="B32" s="887"/>
      <c r="C32" s="185">
        <v>-0.5</v>
      </c>
      <c r="D32" s="181">
        <v>1.3119179575612872</v>
      </c>
      <c r="E32" s="181">
        <v>1.3085784786397281</v>
      </c>
      <c r="F32" s="181">
        <v>1.3052389997181699</v>
      </c>
      <c r="G32" s="186">
        <v>1.3018995207966113</v>
      </c>
      <c r="H32" s="186">
        <v>1.2985600418750534</v>
      </c>
      <c r="I32" s="186">
        <v>1.2952205629534941</v>
      </c>
      <c r="J32" s="186">
        <v>1.2918810840319355</v>
      </c>
      <c r="K32" s="186">
        <v>1.2885416051103773</v>
      </c>
      <c r="L32" s="186">
        <v>1.2852021261888185</v>
      </c>
      <c r="M32" s="186">
        <v>1.2818626472672603</v>
      </c>
      <c r="N32" s="168">
        <v>1.2785231683457015</v>
      </c>
    </row>
    <row r="33" spans="2:14">
      <c r="B33" s="887"/>
      <c r="C33" s="185">
        <v>-0.6</v>
      </c>
      <c r="D33" s="181">
        <v>1.3016897722145218</v>
      </c>
      <c r="E33" s="181">
        <v>1.2983502932929629</v>
      </c>
      <c r="F33" s="181">
        <v>1.2950108143714045</v>
      </c>
      <c r="G33" s="186">
        <v>1.2916713354498459</v>
      </c>
      <c r="H33" s="186">
        <v>1.2883318565282875</v>
      </c>
      <c r="I33" s="186">
        <v>1.2849923776067287</v>
      </c>
      <c r="J33" s="186">
        <v>1.2816528986851703</v>
      </c>
      <c r="K33" s="186">
        <v>1.2783134197636119</v>
      </c>
      <c r="L33" s="186">
        <v>1.2749739408420531</v>
      </c>
      <c r="M33" s="186">
        <v>1.2716344619204949</v>
      </c>
      <c r="N33" s="168">
        <v>1.2682949829989361</v>
      </c>
    </row>
    <row r="34" spans="2:14">
      <c r="B34" s="887"/>
      <c r="C34" s="185">
        <v>-0.7</v>
      </c>
      <c r="D34" s="181">
        <v>1.2914615868677555</v>
      </c>
      <c r="E34" s="181">
        <v>1.2881221079461969</v>
      </c>
      <c r="F34" s="181">
        <v>1.2847826290246385</v>
      </c>
      <c r="G34" s="186">
        <v>1.2814431501030799</v>
      </c>
      <c r="H34" s="186">
        <v>1.2781036711815219</v>
      </c>
      <c r="I34" s="186">
        <v>1.2747641922599626</v>
      </c>
      <c r="J34" s="186">
        <v>1.2714247133384042</v>
      </c>
      <c r="K34" s="186">
        <v>1.2680852344168461</v>
      </c>
      <c r="L34" s="186">
        <v>1.264745755495287</v>
      </c>
      <c r="M34" s="186">
        <v>1.2614062765737293</v>
      </c>
      <c r="N34" s="168">
        <v>1.2580667976521704</v>
      </c>
    </row>
    <row r="35" spans="2:14">
      <c r="B35" s="887"/>
      <c r="C35" s="185">
        <v>-0.8</v>
      </c>
      <c r="D35" s="181">
        <v>1.2812334015209899</v>
      </c>
      <c r="E35" s="181">
        <v>1.277893922599431</v>
      </c>
      <c r="F35" s="181">
        <v>1.2745544436778729</v>
      </c>
      <c r="G35" s="186">
        <v>1.2712149647563138</v>
      </c>
      <c r="H35" s="186">
        <v>1.2678754858347561</v>
      </c>
      <c r="I35" s="186">
        <v>1.2645360069131972</v>
      </c>
      <c r="J35" s="186">
        <v>1.261196527991638</v>
      </c>
      <c r="K35" s="186">
        <v>1.2578570490700802</v>
      </c>
      <c r="L35" s="186">
        <v>1.2545175701485212</v>
      </c>
      <c r="M35" s="186">
        <v>1.251178091226963</v>
      </c>
      <c r="N35" s="168">
        <v>1.2478386123054044</v>
      </c>
    </row>
    <row r="36" spans="2:14">
      <c r="B36" s="887"/>
      <c r="C36" s="185">
        <v>-0.9</v>
      </c>
      <c r="D36" s="181">
        <v>1.2710052161742249</v>
      </c>
      <c r="E36" s="181">
        <v>1.2676657372526661</v>
      </c>
      <c r="F36" s="181">
        <v>1.2643262583311083</v>
      </c>
      <c r="G36" s="186">
        <v>1.2609867794095488</v>
      </c>
      <c r="H36" s="186">
        <v>1.2576473004879911</v>
      </c>
      <c r="I36" s="186">
        <v>1.2543078215664323</v>
      </c>
      <c r="J36" s="186">
        <v>1.2509683426448732</v>
      </c>
      <c r="K36" s="186">
        <v>1.2476288637233153</v>
      </c>
      <c r="L36" s="186">
        <v>1.2442893848017562</v>
      </c>
      <c r="M36" s="186">
        <v>1.240949905880198</v>
      </c>
      <c r="N36" s="168">
        <v>1.2376104269586392</v>
      </c>
    </row>
    <row r="37" spans="2:14">
      <c r="B37" s="888"/>
      <c r="C37" s="191">
        <v>-1</v>
      </c>
      <c r="D37" s="188">
        <v>1.2607770308274591</v>
      </c>
      <c r="E37" s="188">
        <v>1.2574375519059</v>
      </c>
      <c r="F37" s="188">
        <v>1.2540980729843421</v>
      </c>
      <c r="G37" s="189">
        <v>1.2507585940627832</v>
      </c>
      <c r="H37" s="189">
        <v>1.2474191151412248</v>
      </c>
      <c r="I37" s="189">
        <v>1.2440796362196664</v>
      </c>
      <c r="J37" s="189">
        <v>1.2407401572981076</v>
      </c>
      <c r="K37" s="189">
        <v>1.2374006783765492</v>
      </c>
      <c r="L37" s="189">
        <v>1.2340611994549906</v>
      </c>
      <c r="M37" s="189">
        <v>1.2307217205334324</v>
      </c>
      <c r="N37" s="169">
        <v>1.2273822416118734</v>
      </c>
    </row>
    <row r="41" spans="2:14">
      <c r="D41" s="883" t="s">
        <v>2217</v>
      </c>
      <c r="E41" s="884"/>
      <c r="F41" s="884"/>
      <c r="G41" s="884"/>
      <c r="H41" s="884"/>
      <c r="I41" s="884"/>
      <c r="J41" s="884"/>
      <c r="K41" s="884"/>
      <c r="L41" s="884"/>
      <c r="M41" s="884"/>
      <c r="N41" s="885"/>
    </row>
    <row r="42" spans="2:14">
      <c r="C42" s="184">
        <f>B2</f>
        <v>1.3630588842951152</v>
      </c>
      <c r="D42" s="190">
        <v>0</v>
      </c>
      <c r="E42" s="187">
        <v>-0.1</v>
      </c>
      <c r="F42" s="187">
        <v>-0.2</v>
      </c>
      <c r="G42" s="187">
        <v>-0.3</v>
      </c>
      <c r="H42" s="187">
        <v>-0.4</v>
      </c>
      <c r="I42" s="187">
        <v>-0.5</v>
      </c>
      <c r="J42" s="187">
        <v>-0.6</v>
      </c>
      <c r="K42" s="187">
        <v>-0.7</v>
      </c>
      <c r="L42" s="187">
        <v>-0.8</v>
      </c>
      <c r="M42" s="187">
        <v>-0.9</v>
      </c>
      <c r="N42" s="191">
        <v>-1</v>
      </c>
    </row>
    <row r="43" spans="2:14">
      <c r="B43" s="886" t="s">
        <v>2215</v>
      </c>
      <c r="C43" s="192">
        <v>0</v>
      </c>
      <c r="D43" s="181">
        <f t="dataTable" ref="D43:N53" dt2D="1" dtr="1" r1="K7" r2="E7" ca="1"/>
        <v>1.3630588842951152</v>
      </c>
      <c r="E43" s="181">
        <v>1.6375501491970073</v>
      </c>
      <c r="F43" s="181">
        <v>1.9120414140988984</v>
      </c>
      <c r="G43" s="186">
        <v>2.1865326790007913</v>
      </c>
      <c r="H43" s="186">
        <v>2.4610239439026835</v>
      </c>
      <c r="I43" s="186">
        <v>2.7355152088045753</v>
      </c>
      <c r="J43" s="186">
        <v>3.0100064737064667</v>
      </c>
      <c r="K43" s="186">
        <v>3.2844977386083585</v>
      </c>
      <c r="L43" s="186">
        <v>3.5589890035102507</v>
      </c>
      <c r="M43" s="186">
        <v>3.8334802684121425</v>
      </c>
      <c r="N43" s="168">
        <v>4.1079715333140348</v>
      </c>
    </row>
    <row r="44" spans="2:14">
      <c r="B44" s="887"/>
      <c r="C44" s="185">
        <v>0.1</v>
      </c>
      <c r="D44" s="181">
        <v>1.2859871869113575</v>
      </c>
      <c r="E44" s="181">
        <v>1.5449578400871145</v>
      </c>
      <c r="F44" s="181">
        <v>1.8039284932628705</v>
      </c>
      <c r="G44" s="186">
        <v>2.0628991464386282</v>
      </c>
      <c r="H44" s="186">
        <v>2.3218697996143849</v>
      </c>
      <c r="I44" s="186">
        <v>2.5808404527901416</v>
      </c>
      <c r="J44" s="186">
        <v>2.8398111059658979</v>
      </c>
      <c r="K44" s="186">
        <v>3.0987817591416547</v>
      </c>
      <c r="L44" s="186">
        <v>3.3577524123174118</v>
      </c>
      <c r="M44" s="186">
        <v>3.6167230654931686</v>
      </c>
      <c r="N44" s="168">
        <v>3.8756937186689258</v>
      </c>
    </row>
    <row r="45" spans="2:14">
      <c r="B45" s="887"/>
      <c r="C45" s="185">
        <v>0.2</v>
      </c>
      <c r="D45" s="181">
        <v>1.2171648061009466</v>
      </c>
      <c r="E45" s="181">
        <v>1.4622760856429822</v>
      </c>
      <c r="F45" s="181">
        <v>1.7073873651850169</v>
      </c>
      <c r="G45" s="186">
        <v>1.9524986447270529</v>
      </c>
      <c r="H45" s="186">
        <v>2.1976099242690887</v>
      </c>
      <c r="I45" s="186">
        <v>2.4427212038111237</v>
      </c>
      <c r="J45" s="186">
        <v>2.6878324833531586</v>
      </c>
      <c r="K45" s="186">
        <v>2.9329437628951944</v>
      </c>
      <c r="L45" s="186">
        <v>3.1780550424372298</v>
      </c>
      <c r="M45" s="186">
        <v>3.4231663219792652</v>
      </c>
      <c r="N45" s="168">
        <v>3.668277601521301</v>
      </c>
    </row>
    <row r="46" spans="2:14">
      <c r="B46" s="887"/>
      <c r="C46" s="185">
        <v>0.3</v>
      </c>
      <c r="D46" s="181">
        <v>1.1553345815511058</v>
      </c>
      <c r="E46" s="181">
        <v>1.3879945600221459</v>
      </c>
      <c r="F46" s="181">
        <v>1.620654538493185</v>
      </c>
      <c r="G46" s="186">
        <v>1.8533145169642256</v>
      </c>
      <c r="H46" s="186">
        <v>2.0859744954352655</v>
      </c>
      <c r="I46" s="186">
        <v>2.3186344739063052</v>
      </c>
      <c r="J46" s="186">
        <v>2.5512944523773444</v>
      </c>
      <c r="K46" s="186">
        <v>2.7839544308483846</v>
      </c>
      <c r="L46" s="186">
        <v>3.0166144093194247</v>
      </c>
      <c r="M46" s="186">
        <v>3.2492743877904644</v>
      </c>
      <c r="N46" s="168">
        <v>3.4819343662615045</v>
      </c>
    </row>
    <row r="47" spans="2:14">
      <c r="B47" s="887"/>
      <c r="C47" s="185">
        <v>0.4</v>
      </c>
      <c r="D47" s="181">
        <v>1.0994824516400512</v>
      </c>
      <c r="E47" s="181">
        <v>1.3208949910140795</v>
      </c>
      <c r="F47" s="181">
        <v>1.5423075303881069</v>
      </c>
      <c r="G47" s="186">
        <v>1.7637200697621356</v>
      </c>
      <c r="H47" s="186">
        <v>1.9851326091361639</v>
      </c>
      <c r="I47" s="186">
        <v>2.2065451485101919</v>
      </c>
      <c r="J47" s="186">
        <v>2.4279576878842195</v>
      </c>
      <c r="K47" s="186">
        <v>2.6493702272582476</v>
      </c>
      <c r="L47" s="186">
        <v>2.8707827666322756</v>
      </c>
      <c r="M47" s="186">
        <v>3.0921953060063037</v>
      </c>
      <c r="N47" s="168">
        <v>3.3136078453803322</v>
      </c>
    </row>
    <row r="48" spans="2:14">
      <c r="B48" s="887"/>
      <c r="C48" s="185">
        <v>0.5</v>
      </c>
      <c r="D48" s="181">
        <v>1.0487814027078088</v>
      </c>
      <c r="E48" s="181">
        <v>1.259983821878218</v>
      </c>
      <c r="F48" s="181">
        <v>1.4711862410486265</v>
      </c>
      <c r="G48" s="186">
        <v>1.6823886602190361</v>
      </c>
      <c r="H48" s="186">
        <v>1.8935910793894453</v>
      </c>
      <c r="I48" s="186">
        <v>2.1047934985598542</v>
      </c>
      <c r="J48" s="186">
        <v>2.3159959177302629</v>
      </c>
      <c r="K48" s="186">
        <v>2.5271983369006721</v>
      </c>
      <c r="L48" s="186">
        <v>2.7384007560710812</v>
      </c>
      <c r="M48" s="186">
        <v>2.94960317524149</v>
      </c>
      <c r="N48" s="168">
        <v>3.1608055944118996</v>
      </c>
    </row>
    <row r="49" spans="2:14">
      <c r="B49" s="887"/>
      <c r="C49" s="185">
        <v>0.6</v>
      </c>
      <c r="D49" s="181">
        <v>1.0025502429046498</v>
      </c>
      <c r="E49" s="181">
        <v>1.2044426831163635</v>
      </c>
      <c r="F49" s="181">
        <v>1.4063351233280763</v>
      </c>
      <c r="G49" s="186">
        <v>1.6082275635397902</v>
      </c>
      <c r="H49" s="186">
        <v>1.8101200037515039</v>
      </c>
      <c r="I49" s="186">
        <v>2.0120124439632172</v>
      </c>
      <c r="J49" s="186">
        <v>2.21390488417493</v>
      </c>
      <c r="K49" s="186">
        <v>2.4157973243866437</v>
      </c>
      <c r="L49" s="186">
        <v>2.6176897645983574</v>
      </c>
      <c r="M49" s="186">
        <v>2.8195822048100707</v>
      </c>
      <c r="N49" s="168">
        <v>3.0214746450217844</v>
      </c>
    </row>
    <row r="50" spans="2:14">
      <c r="B50" s="887"/>
      <c r="C50" s="185">
        <v>0.7</v>
      </c>
      <c r="D50" s="181">
        <v>0.96022281938711707</v>
      </c>
      <c r="E50" s="181">
        <v>1.153591410662272</v>
      </c>
      <c r="F50" s="181">
        <v>1.3469600019374264</v>
      </c>
      <c r="G50" s="186">
        <v>1.5403285932125819</v>
      </c>
      <c r="H50" s="186">
        <v>1.7336971844877367</v>
      </c>
      <c r="I50" s="186">
        <v>1.9270657757628915</v>
      </c>
      <c r="J50" s="186">
        <v>2.1204343670380457</v>
      </c>
      <c r="K50" s="186">
        <v>2.3138029583132007</v>
      </c>
      <c r="L50" s="186">
        <v>2.5071715495883558</v>
      </c>
      <c r="M50" s="186">
        <v>2.7005401408635104</v>
      </c>
      <c r="N50" s="168">
        <v>2.8939087321386658</v>
      </c>
    </row>
    <row r="51" spans="2:14">
      <c r="B51" s="887"/>
      <c r="C51" s="185">
        <v>0.8</v>
      </c>
      <c r="D51" s="181">
        <v>0.92132471748149547</v>
      </c>
      <c r="E51" s="181">
        <v>1.1068600527488748</v>
      </c>
      <c r="F51" s="181">
        <v>1.2923953880162533</v>
      </c>
      <c r="G51" s="186">
        <v>1.477930723283633</v>
      </c>
      <c r="H51" s="186">
        <v>1.6634660585510124</v>
      </c>
      <c r="I51" s="186">
        <v>1.8490013938183913</v>
      </c>
      <c r="J51" s="186">
        <v>2.0345367290857701</v>
      </c>
      <c r="K51" s="186">
        <v>2.2200720643531491</v>
      </c>
      <c r="L51" s="186">
        <v>2.4056073996205285</v>
      </c>
      <c r="M51" s="186">
        <v>2.5911427348879075</v>
      </c>
      <c r="N51" s="168">
        <v>2.7766780701552869</v>
      </c>
    </row>
    <row r="52" spans="2:14">
      <c r="B52" s="887"/>
      <c r="C52" s="185">
        <v>0.9</v>
      </c>
      <c r="D52" s="181">
        <v>0.88545540278193602</v>
      </c>
      <c r="E52" s="181">
        <v>1.0637674158022081</v>
      </c>
      <c r="F52" s="181">
        <v>1.2420794288224792</v>
      </c>
      <c r="G52" s="186">
        <v>1.4203914418427517</v>
      </c>
      <c r="H52" s="186">
        <v>1.5987034548630239</v>
      </c>
      <c r="I52" s="186">
        <v>1.7770154678832955</v>
      </c>
      <c r="J52" s="186">
        <v>1.955327480903567</v>
      </c>
      <c r="K52" s="186">
        <v>2.1336394939238392</v>
      </c>
      <c r="L52" s="186">
        <v>2.3119515069441112</v>
      </c>
      <c r="M52" s="186">
        <v>2.4902635199643828</v>
      </c>
      <c r="N52" s="168">
        <v>2.6685755329846552</v>
      </c>
    </row>
    <row r="53" spans="2:14">
      <c r="B53" s="888"/>
      <c r="C53" s="191">
        <v>1</v>
      </c>
      <c r="D53" s="188">
        <v>0.852274378426361</v>
      </c>
      <c r="E53" s="188">
        <v>1.023904434085112</v>
      </c>
      <c r="F53" s="188">
        <v>1.1955344897438624</v>
      </c>
      <c r="G53" s="189">
        <v>1.367164545402614</v>
      </c>
      <c r="H53" s="189">
        <v>1.5387946010613649</v>
      </c>
      <c r="I53" s="189">
        <v>1.7104246567201158</v>
      </c>
      <c r="J53" s="189">
        <v>1.8820547123788662</v>
      </c>
      <c r="K53" s="189">
        <v>2.0536847680376176</v>
      </c>
      <c r="L53" s="189">
        <v>2.2253148236963685</v>
      </c>
      <c r="M53" s="189">
        <v>2.3969448793551194</v>
      </c>
      <c r="N53" s="169">
        <v>2.5685749350138707</v>
      </c>
    </row>
  </sheetData>
  <mergeCells count="10">
    <mergeCell ref="D25:N25"/>
    <mergeCell ref="B27:B37"/>
    <mergeCell ref="D41:N41"/>
    <mergeCell ref="B43:B53"/>
    <mergeCell ref="Q5:R5"/>
    <mergeCell ref="N5:O5"/>
    <mergeCell ref="K5:L5"/>
    <mergeCell ref="B5:C5"/>
    <mergeCell ref="H5:I5"/>
    <mergeCell ref="E5:F5"/>
  </mergeCells>
  <conditionalFormatting sqref="D27:N37">
    <cfRule type="colorScale" priority="2">
      <colorScale>
        <cfvo type="min"/>
        <cfvo type="num" val="1"/>
        <cfvo type="max"/>
        <color rgb="FFF8696B"/>
        <color rgb="FFFFEB84"/>
        <color rgb="FF63BE7B"/>
      </colorScale>
    </cfRule>
  </conditionalFormatting>
  <conditionalFormatting sqref="D43:N53">
    <cfRule type="colorScale" priority="1">
      <colorScale>
        <cfvo type="min"/>
        <cfvo type="num" val="1"/>
        <cfvo type="max"/>
        <color rgb="FFF8696B"/>
        <color rgb="FFFFEB84"/>
        <color rgb="FF63BE7B"/>
      </colorScale>
    </cfRule>
  </conditionalFormatting>
  <pageMargins left="0.7" right="0.7" top="0.75" bottom="0.75" header="0.3" footer="0.3"/>
  <pageSetup paperSize="9" scale="41"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Hárok22">
    <tabColor rgb="FFFFFFCC"/>
  </sheetPr>
  <dimension ref="A1:I138"/>
  <sheetViews>
    <sheetView view="pageBreakPreview" zoomScale="80" zoomScaleNormal="80" zoomScaleSheetLayoutView="80" workbookViewId="0">
      <selection activeCell="S53" sqref="S53"/>
    </sheetView>
  </sheetViews>
  <sheetFormatPr defaultColWidth="8.81640625" defaultRowHeight="14.5"/>
  <cols>
    <col min="1" max="1" width="26" customWidth="1"/>
    <col min="2" max="2" width="11.453125" customWidth="1"/>
    <col min="4" max="4" width="20.81640625" customWidth="1"/>
    <col min="6" max="8" width="12.453125" bestFit="1" customWidth="1"/>
    <col min="9" max="9" width="13.1796875" bestFit="1" customWidth="1"/>
  </cols>
  <sheetData>
    <row r="1" spans="1:9" ht="15" thickBot="1"/>
    <row r="2" spans="1:9">
      <c r="A2" s="897" t="str">
        <f>'Parametre - Agendové IS'!G2</f>
        <v>Grafické rozhranie agendového systému -  správa podaní a konaní</v>
      </c>
      <c r="B2" s="898"/>
      <c r="C2" s="899"/>
      <c r="D2" s="903" t="s">
        <v>99</v>
      </c>
      <c r="E2" s="904"/>
      <c r="F2" s="235" t="s">
        <v>2220</v>
      </c>
      <c r="G2" s="235" t="s">
        <v>2221</v>
      </c>
      <c r="H2" s="235" t="s">
        <v>2222</v>
      </c>
      <c r="I2" s="235" t="s">
        <v>2223</v>
      </c>
    </row>
    <row r="3" spans="1:9" ht="15" thickBot="1">
      <c r="A3" s="900"/>
      <c r="B3" s="901"/>
      <c r="C3" s="902"/>
      <c r="D3" s="334" t="s">
        <v>2224</v>
      </c>
      <c r="E3" s="335" t="s">
        <v>164</v>
      </c>
      <c r="F3" s="132" t="s">
        <v>164</v>
      </c>
      <c r="G3" s="132" t="s">
        <v>164</v>
      </c>
      <c r="H3" s="132" t="s">
        <v>164</v>
      </c>
      <c r="I3" s="132" t="s">
        <v>164</v>
      </c>
    </row>
    <row r="4" spans="1:9" ht="15" customHeight="1">
      <c r="A4" s="775" t="s">
        <v>2225</v>
      </c>
      <c r="B4" s="894" t="s">
        <v>222</v>
      </c>
      <c r="C4" s="133" t="s">
        <v>166</v>
      </c>
      <c r="D4" s="336" t="str">
        <f>IF(E4='Parametre - Agendové IS'!H86,"OK","Chyba počtu FTE")</f>
        <v>OK</v>
      </c>
      <c r="E4" s="337">
        <f t="shared" ref="E4:E33" si="0">F4+G4+H4+I4</f>
        <v>0</v>
      </c>
      <c r="F4" s="193"/>
      <c r="G4" s="193"/>
      <c r="H4" s="193"/>
      <c r="I4" s="193"/>
    </row>
    <row r="5" spans="1:9">
      <c r="A5" s="893"/>
      <c r="B5" s="895"/>
      <c r="C5" s="130" t="s">
        <v>167</v>
      </c>
      <c r="D5" s="338" t="str">
        <f>IF(E5='Parametre - Agendové IS'!H87,"OK","Chyba počtu FTE")</f>
        <v>OK</v>
      </c>
      <c r="E5" s="339">
        <f t="shared" si="0"/>
        <v>0</v>
      </c>
      <c r="F5" s="194"/>
      <c r="G5" s="194"/>
      <c r="H5" s="194"/>
      <c r="I5" s="194"/>
    </row>
    <row r="6" spans="1:9">
      <c r="A6" s="893"/>
      <c r="B6" s="895"/>
      <c r="C6" s="130" t="s">
        <v>168</v>
      </c>
      <c r="D6" s="338" t="str">
        <f>IF(E6='Parametre - Agendové IS'!H88,"OK","Chyba počtu FTE")</f>
        <v>OK</v>
      </c>
      <c r="E6" s="339">
        <f t="shared" si="0"/>
        <v>0</v>
      </c>
      <c r="F6" s="194"/>
      <c r="G6" s="194"/>
      <c r="H6" s="194"/>
      <c r="I6" s="194"/>
    </row>
    <row r="7" spans="1:9">
      <c r="A7" s="893"/>
      <c r="B7" s="895"/>
      <c r="C7" s="130" t="s">
        <v>169</v>
      </c>
      <c r="D7" s="338" t="str">
        <f>IF(E7='Parametre - Agendové IS'!H89,"OK","Chyba počtu FTE")</f>
        <v>Chyba počtu FTE</v>
      </c>
      <c r="E7" s="339">
        <f t="shared" si="0"/>
        <v>0</v>
      </c>
      <c r="F7" s="194"/>
      <c r="G7" s="194"/>
      <c r="H7" s="194"/>
      <c r="I7" s="194"/>
    </row>
    <row r="8" spans="1:9">
      <c r="A8" s="893"/>
      <c r="B8" s="895"/>
      <c r="C8" s="130" t="s">
        <v>170</v>
      </c>
      <c r="D8" s="338" t="str">
        <f>IF(E8='Parametre - Agendové IS'!H90,"OK","Chyba počtu FTE")</f>
        <v>Chyba počtu FTE</v>
      </c>
      <c r="E8" s="339">
        <f t="shared" si="0"/>
        <v>0</v>
      </c>
      <c r="F8" s="194"/>
      <c r="G8" s="194"/>
      <c r="H8" s="194"/>
      <c r="I8" s="194"/>
    </row>
    <row r="9" spans="1:9">
      <c r="A9" s="893"/>
      <c r="B9" s="895"/>
      <c r="C9" s="130" t="s">
        <v>171</v>
      </c>
      <c r="D9" s="338" t="str">
        <f>IF(E9='Parametre - Agendové IS'!H91,"OK","Chyba počtu FTE")</f>
        <v>Chyba počtu FTE</v>
      </c>
      <c r="E9" s="339">
        <f t="shared" si="0"/>
        <v>0</v>
      </c>
      <c r="F9" s="194"/>
      <c r="G9" s="194"/>
      <c r="H9" s="194"/>
      <c r="I9" s="194"/>
    </row>
    <row r="10" spans="1:9">
      <c r="A10" s="893"/>
      <c r="B10" s="895"/>
      <c r="C10" s="130" t="s">
        <v>172</v>
      </c>
      <c r="D10" s="338" t="str">
        <f>IF(E10='Parametre - Agendové IS'!H92,"OK","Chyba počtu FTE")</f>
        <v>Chyba počtu FTE</v>
      </c>
      <c r="E10" s="339">
        <f t="shared" si="0"/>
        <v>0</v>
      </c>
      <c r="F10" s="194"/>
      <c r="G10" s="194"/>
      <c r="H10" s="194"/>
      <c r="I10" s="194"/>
    </row>
    <row r="11" spans="1:9">
      <c r="A11" s="893"/>
      <c r="B11" s="895"/>
      <c r="C11" s="130" t="s">
        <v>173</v>
      </c>
      <c r="D11" s="338" t="str">
        <f>IF(E11='Parametre - Agendové IS'!H93,"OK","Chyba počtu FTE")</f>
        <v>Chyba počtu FTE</v>
      </c>
      <c r="E11" s="339">
        <f t="shared" si="0"/>
        <v>0</v>
      </c>
      <c r="F11" s="194"/>
      <c r="G11" s="194"/>
      <c r="H11" s="194"/>
      <c r="I11" s="194"/>
    </row>
    <row r="12" spans="1:9">
      <c r="A12" s="893"/>
      <c r="B12" s="895"/>
      <c r="C12" s="130" t="s">
        <v>174</v>
      </c>
      <c r="D12" s="338" t="str">
        <f>IF(E12='Parametre - Agendové IS'!H94,"OK","Chyba počtu FTE")</f>
        <v>Chyba počtu FTE</v>
      </c>
      <c r="E12" s="339">
        <f t="shared" si="0"/>
        <v>0</v>
      </c>
      <c r="F12" s="194"/>
      <c r="G12" s="194"/>
      <c r="H12" s="194"/>
      <c r="I12" s="194"/>
    </row>
    <row r="13" spans="1:9" ht="15" thickBot="1">
      <c r="A13" s="893"/>
      <c r="B13" s="895"/>
      <c r="C13" s="130" t="s">
        <v>175</v>
      </c>
      <c r="D13" s="340" t="str">
        <f>IF(E13='Parametre - Agendové IS'!H95,"OK","Chyba počtu FTE")</f>
        <v>Chyba počtu FTE</v>
      </c>
      <c r="E13" s="341">
        <f t="shared" si="0"/>
        <v>0</v>
      </c>
      <c r="F13" s="195"/>
      <c r="G13" s="195"/>
      <c r="H13" s="195"/>
      <c r="I13" s="195"/>
    </row>
    <row r="14" spans="1:9" ht="15" customHeight="1">
      <c r="A14" s="775" t="s">
        <v>2226</v>
      </c>
      <c r="B14" s="894" t="s">
        <v>212</v>
      </c>
      <c r="C14" s="133" t="s">
        <v>166</v>
      </c>
      <c r="D14" s="337" t="str">
        <f>IF(E14='Parametre - Agendové IS'!H5,"OK","Chyba počtu podaní")</f>
        <v>Chyba počtu podaní</v>
      </c>
      <c r="E14" s="342">
        <f t="shared" si="0"/>
        <v>0</v>
      </c>
      <c r="F14" s="193"/>
      <c r="G14" s="193"/>
      <c r="H14" s="193"/>
      <c r="I14" s="193"/>
    </row>
    <row r="15" spans="1:9">
      <c r="A15" s="893"/>
      <c r="B15" s="895"/>
      <c r="C15" s="130" t="s">
        <v>167</v>
      </c>
      <c r="D15" s="338" t="str">
        <f>IF(E15='Parametre - Agendové IS'!H6,"OK","Chyba počtu podaní")</f>
        <v>Chyba počtu podaní</v>
      </c>
      <c r="E15" s="339">
        <f t="shared" si="0"/>
        <v>0</v>
      </c>
      <c r="F15" s="194"/>
      <c r="G15" s="194"/>
      <c r="H15" s="194"/>
      <c r="I15" s="194"/>
    </row>
    <row r="16" spans="1:9">
      <c r="A16" s="893"/>
      <c r="B16" s="895"/>
      <c r="C16" s="130" t="s">
        <v>168</v>
      </c>
      <c r="D16" s="338" t="str">
        <f>IF(E16='Parametre - Agendové IS'!H7,"OK","Chyba počtu podaní")</f>
        <v>Chyba počtu podaní</v>
      </c>
      <c r="E16" s="339">
        <f t="shared" si="0"/>
        <v>0</v>
      </c>
      <c r="F16" s="194"/>
      <c r="G16" s="194"/>
      <c r="H16" s="194"/>
      <c r="I16" s="194"/>
    </row>
    <row r="17" spans="1:9">
      <c r="A17" s="893"/>
      <c r="B17" s="895"/>
      <c r="C17" s="130" t="s">
        <v>169</v>
      </c>
      <c r="D17" s="338" t="str">
        <f>IF(E17='Parametre - Agendové IS'!H8,"OK","Chyba počtu podaní")</f>
        <v>Chyba počtu podaní</v>
      </c>
      <c r="E17" s="339">
        <f t="shared" si="0"/>
        <v>0</v>
      </c>
      <c r="F17" s="194"/>
      <c r="G17" s="194"/>
      <c r="H17" s="194"/>
      <c r="I17" s="194"/>
    </row>
    <row r="18" spans="1:9">
      <c r="A18" s="893"/>
      <c r="B18" s="895"/>
      <c r="C18" s="130" t="s">
        <v>170</v>
      </c>
      <c r="D18" s="338" t="str">
        <f>IF(E18='Parametre - Agendové IS'!H9,"OK","Chyba počtu podaní")</f>
        <v>Chyba počtu podaní</v>
      </c>
      <c r="E18" s="339">
        <f t="shared" si="0"/>
        <v>0</v>
      </c>
      <c r="F18" s="194"/>
      <c r="G18" s="194"/>
      <c r="H18" s="194"/>
      <c r="I18" s="194"/>
    </row>
    <row r="19" spans="1:9">
      <c r="A19" s="893"/>
      <c r="B19" s="895"/>
      <c r="C19" s="130" t="s">
        <v>171</v>
      </c>
      <c r="D19" s="338" t="str">
        <f>IF(E19='Parametre - Agendové IS'!H10,"OK","Chyba počtu podaní")</f>
        <v>Chyba počtu podaní</v>
      </c>
      <c r="E19" s="339">
        <f t="shared" si="0"/>
        <v>0</v>
      </c>
      <c r="F19" s="194"/>
      <c r="G19" s="194"/>
      <c r="H19" s="194"/>
      <c r="I19" s="194"/>
    </row>
    <row r="20" spans="1:9">
      <c r="A20" s="893"/>
      <c r="B20" s="895"/>
      <c r="C20" s="130" t="s">
        <v>172</v>
      </c>
      <c r="D20" s="338" t="str">
        <f>IF(E20='Parametre - Agendové IS'!H11,"OK","Chyba počtu podaní")</f>
        <v>Chyba počtu podaní</v>
      </c>
      <c r="E20" s="339">
        <f t="shared" si="0"/>
        <v>0</v>
      </c>
      <c r="F20" s="194"/>
      <c r="G20" s="194"/>
      <c r="H20" s="194"/>
      <c r="I20" s="194"/>
    </row>
    <row r="21" spans="1:9">
      <c r="A21" s="893"/>
      <c r="B21" s="895"/>
      <c r="C21" s="130" t="s">
        <v>173</v>
      </c>
      <c r="D21" s="338" t="str">
        <f>IF(E21='Parametre - Agendové IS'!H12,"OK","Chyba počtu podaní")</f>
        <v>Chyba počtu podaní</v>
      </c>
      <c r="E21" s="339">
        <f t="shared" si="0"/>
        <v>0</v>
      </c>
      <c r="F21" s="194"/>
      <c r="G21" s="194"/>
      <c r="H21" s="194"/>
      <c r="I21" s="194"/>
    </row>
    <row r="22" spans="1:9">
      <c r="A22" s="893"/>
      <c r="B22" s="895"/>
      <c r="C22" s="130" t="s">
        <v>174</v>
      </c>
      <c r="D22" s="338" t="str">
        <f>IF(E22='Parametre - Agendové IS'!H13,"OK","Chyba počtu podaní")</f>
        <v>Chyba počtu podaní</v>
      </c>
      <c r="E22" s="339">
        <f t="shared" si="0"/>
        <v>0</v>
      </c>
      <c r="F22" s="194"/>
      <c r="G22" s="194"/>
      <c r="H22" s="194"/>
      <c r="I22" s="194"/>
    </row>
    <row r="23" spans="1:9" ht="15" thickBot="1">
      <c r="A23" s="777"/>
      <c r="B23" s="896"/>
      <c r="C23" s="131" t="s">
        <v>175</v>
      </c>
      <c r="D23" s="338" t="str">
        <f>IF(E23='Parametre - Agendové IS'!H14,"OK","Chyba počtu podaní")</f>
        <v>Chyba počtu podaní</v>
      </c>
      <c r="E23" s="339">
        <f t="shared" si="0"/>
        <v>0</v>
      </c>
      <c r="F23" s="194"/>
      <c r="G23" s="194"/>
      <c r="H23" s="194"/>
      <c r="I23" s="194"/>
    </row>
    <row r="24" spans="1:9">
      <c r="A24" s="775" t="s">
        <v>118</v>
      </c>
      <c r="B24" s="894" t="s">
        <v>214</v>
      </c>
      <c r="C24" s="133" t="s">
        <v>166</v>
      </c>
      <c r="D24" s="337" t="str">
        <f>IF(E24='Parametre - Agendové IS'!H126,"OK","Chyba")</f>
        <v>OK</v>
      </c>
      <c r="E24" s="342">
        <f t="shared" si="0"/>
        <v>0</v>
      </c>
      <c r="F24" s="193"/>
      <c r="G24" s="193"/>
      <c r="H24" s="193"/>
      <c r="I24" s="193"/>
    </row>
    <row r="25" spans="1:9">
      <c r="A25" s="893"/>
      <c r="B25" s="895"/>
      <c r="C25" s="130" t="s">
        <v>167</v>
      </c>
      <c r="D25" s="338" t="str">
        <f>IF(E25='Parametre - Agendové IS'!H127,"OK","Chyba")</f>
        <v>OK</v>
      </c>
      <c r="E25" s="339">
        <f t="shared" si="0"/>
        <v>0</v>
      </c>
      <c r="F25" s="194"/>
      <c r="G25" s="194"/>
      <c r="H25" s="194"/>
      <c r="I25" s="194"/>
    </row>
    <row r="26" spans="1:9">
      <c r="A26" s="893"/>
      <c r="B26" s="895"/>
      <c r="C26" s="130" t="s">
        <v>168</v>
      </c>
      <c r="D26" s="338" t="str">
        <f>IF(E26='Parametre - Agendové IS'!H128,"OK","Chyba")</f>
        <v>OK</v>
      </c>
      <c r="E26" s="339">
        <f t="shared" si="0"/>
        <v>0</v>
      </c>
      <c r="F26" s="194"/>
      <c r="G26" s="194"/>
      <c r="H26" s="194"/>
      <c r="I26" s="194"/>
    </row>
    <row r="27" spans="1:9">
      <c r="A27" s="893"/>
      <c r="B27" s="895"/>
      <c r="C27" s="130" t="s">
        <v>169</v>
      </c>
      <c r="D27" s="338" t="str">
        <f>IF(E27='Parametre - Agendové IS'!H129,"OK","Chyba")</f>
        <v>OK</v>
      </c>
      <c r="E27" s="339">
        <f t="shared" si="0"/>
        <v>0</v>
      </c>
      <c r="F27" s="194"/>
      <c r="G27" s="194"/>
      <c r="H27" s="194"/>
      <c r="I27" s="194"/>
    </row>
    <row r="28" spans="1:9">
      <c r="A28" s="893"/>
      <c r="B28" s="895"/>
      <c r="C28" s="130" t="s">
        <v>170</v>
      </c>
      <c r="D28" s="338" t="str">
        <f>IF(E28='Parametre - Agendové IS'!H130,"OK","Chyba")</f>
        <v>OK</v>
      </c>
      <c r="E28" s="339">
        <f t="shared" si="0"/>
        <v>0</v>
      </c>
      <c r="F28" s="194"/>
      <c r="G28" s="194"/>
      <c r="H28" s="194"/>
      <c r="I28" s="194"/>
    </row>
    <row r="29" spans="1:9">
      <c r="A29" s="893"/>
      <c r="B29" s="895"/>
      <c r="C29" s="130" t="s">
        <v>171</v>
      </c>
      <c r="D29" s="338" t="str">
        <f>IF(E29='Parametre - Agendové IS'!H131,"OK","Chyba")</f>
        <v>OK</v>
      </c>
      <c r="E29" s="339">
        <f t="shared" si="0"/>
        <v>0</v>
      </c>
      <c r="F29" s="194"/>
      <c r="G29" s="194"/>
      <c r="H29" s="194"/>
      <c r="I29" s="194"/>
    </row>
    <row r="30" spans="1:9">
      <c r="A30" s="893"/>
      <c r="B30" s="895"/>
      <c r="C30" s="130" t="s">
        <v>172</v>
      </c>
      <c r="D30" s="338" t="str">
        <f>IF(E30='Parametre - Agendové IS'!H132,"OK","Chyba")</f>
        <v>OK</v>
      </c>
      <c r="E30" s="339">
        <f t="shared" si="0"/>
        <v>0</v>
      </c>
      <c r="F30" s="194"/>
      <c r="G30" s="194"/>
      <c r="H30" s="194"/>
      <c r="I30" s="194"/>
    </row>
    <row r="31" spans="1:9">
      <c r="A31" s="893"/>
      <c r="B31" s="895"/>
      <c r="C31" s="130" t="s">
        <v>173</v>
      </c>
      <c r="D31" s="338" t="str">
        <f>IF(E31='Parametre - Agendové IS'!H133,"OK","Chyba")</f>
        <v>OK</v>
      </c>
      <c r="E31" s="339">
        <f t="shared" si="0"/>
        <v>0</v>
      </c>
      <c r="F31" s="194"/>
      <c r="G31" s="194"/>
      <c r="H31" s="194"/>
      <c r="I31" s="194"/>
    </row>
    <row r="32" spans="1:9">
      <c r="A32" s="893"/>
      <c r="B32" s="895"/>
      <c r="C32" s="130" t="s">
        <v>174</v>
      </c>
      <c r="D32" s="338" t="str">
        <f>IF(E32='Parametre - Agendové IS'!H134,"OK","Chyba")</f>
        <v>OK</v>
      </c>
      <c r="E32" s="339">
        <f t="shared" si="0"/>
        <v>0</v>
      </c>
      <c r="F32" s="194"/>
      <c r="G32" s="194"/>
      <c r="H32" s="194"/>
      <c r="I32" s="194"/>
    </row>
    <row r="33" spans="1:9" ht="15" thickBot="1">
      <c r="A33" s="777"/>
      <c r="B33" s="896"/>
      <c r="C33" s="131" t="s">
        <v>175</v>
      </c>
      <c r="D33" s="338" t="str">
        <f>IF(E33='Parametre - Agendové IS'!H135,"OK","Chyba")</f>
        <v>OK</v>
      </c>
      <c r="E33" s="339">
        <f t="shared" si="0"/>
        <v>0</v>
      </c>
      <c r="F33" s="194"/>
      <c r="G33" s="194"/>
      <c r="H33" s="194"/>
      <c r="I33" s="194"/>
    </row>
    <row r="34" spans="1:9">
      <c r="A34" s="128"/>
      <c r="B34" s="129"/>
    </row>
    <row r="35" spans="1:9">
      <c r="A35" s="128"/>
      <c r="B35" s="129"/>
    </row>
    <row r="36" spans="1:9" ht="15" thickBot="1">
      <c r="A36" s="128"/>
      <c r="B36" s="129"/>
    </row>
    <row r="37" spans="1:9">
      <c r="A37" s="897" t="str">
        <f>'Parametre - Agendové IS'!BI2</f>
        <v>Dokumentácia riešenia</v>
      </c>
      <c r="B37" s="898"/>
      <c r="C37" s="899"/>
      <c r="D37" s="903" t="s">
        <v>99</v>
      </c>
      <c r="E37" s="904"/>
      <c r="F37" s="235" t="s">
        <v>2220</v>
      </c>
      <c r="G37" s="235" t="s">
        <v>2221</v>
      </c>
      <c r="H37" s="235" t="s">
        <v>2222</v>
      </c>
      <c r="I37" s="235" t="s">
        <v>2223</v>
      </c>
    </row>
    <row r="38" spans="1:9" ht="15" thickBot="1">
      <c r="A38" s="900"/>
      <c r="B38" s="901"/>
      <c r="C38" s="902"/>
      <c r="D38" s="334" t="s">
        <v>2224</v>
      </c>
      <c r="E38" s="335" t="s">
        <v>164</v>
      </c>
      <c r="F38" s="132" t="s">
        <v>164</v>
      </c>
      <c r="G38" s="132" t="s">
        <v>164</v>
      </c>
      <c r="H38" s="132" t="s">
        <v>164</v>
      </c>
      <c r="I38" s="132" t="s">
        <v>164</v>
      </c>
    </row>
    <row r="39" spans="1:9">
      <c r="A39" s="775" t="s">
        <v>2225</v>
      </c>
      <c r="B39" s="894" t="s">
        <v>222</v>
      </c>
      <c r="C39" s="133" t="s">
        <v>166</v>
      </c>
      <c r="D39" s="336" t="str">
        <f>IF(E39='Parametre - Agendové IS'!BJ86,"OK","Chyba počtu FTE")</f>
        <v>OK</v>
      </c>
      <c r="E39" s="337">
        <f t="shared" ref="E39:E68" si="1">F39+G39+H39+I39</f>
        <v>0</v>
      </c>
      <c r="F39" s="193"/>
      <c r="G39" s="193"/>
      <c r="H39" s="193"/>
      <c r="I39" s="193"/>
    </row>
    <row r="40" spans="1:9">
      <c r="A40" s="893"/>
      <c r="B40" s="895"/>
      <c r="C40" s="130" t="s">
        <v>167</v>
      </c>
      <c r="D40" s="338" t="str">
        <f>IF(E40='Parametre - Agendové IS'!BJ87,"OK","Chyba počtu FTE")</f>
        <v>OK</v>
      </c>
      <c r="E40" s="339">
        <f t="shared" si="1"/>
        <v>0</v>
      </c>
      <c r="F40" s="194"/>
      <c r="G40" s="194"/>
      <c r="H40" s="194"/>
      <c r="I40" s="194"/>
    </row>
    <row r="41" spans="1:9">
      <c r="A41" s="893"/>
      <c r="B41" s="895"/>
      <c r="C41" s="130" t="s">
        <v>168</v>
      </c>
      <c r="D41" s="338" t="str">
        <f>IF(E41='Parametre - Agendové IS'!BJ88,"OK","Chyba počtu FTE")</f>
        <v>OK</v>
      </c>
      <c r="E41" s="339">
        <f t="shared" si="1"/>
        <v>0</v>
      </c>
      <c r="F41" s="194"/>
      <c r="G41" s="194"/>
      <c r="H41" s="194"/>
      <c r="I41" s="194"/>
    </row>
    <row r="42" spans="1:9">
      <c r="A42" s="893"/>
      <c r="B42" s="895"/>
      <c r="C42" s="130" t="s">
        <v>169</v>
      </c>
      <c r="D42" s="338" t="str">
        <f>IF(E42='Parametre - Agendové IS'!BJ89,"OK","Chyba počtu FTE")</f>
        <v>OK</v>
      </c>
      <c r="E42" s="339">
        <f t="shared" si="1"/>
        <v>0</v>
      </c>
      <c r="F42" s="194"/>
      <c r="G42" s="194"/>
      <c r="H42" s="194"/>
      <c r="I42" s="194"/>
    </row>
    <row r="43" spans="1:9">
      <c r="A43" s="893"/>
      <c r="B43" s="895"/>
      <c r="C43" s="130" t="s">
        <v>170</v>
      </c>
      <c r="D43" s="338" t="str">
        <f>IF(E43='Parametre - Agendové IS'!BJ90,"OK","Chyba počtu FTE")</f>
        <v>OK</v>
      </c>
      <c r="E43" s="339">
        <f t="shared" si="1"/>
        <v>0</v>
      </c>
      <c r="F43" s="194"/>
      <c r="G43" s="194"/>
      <c r="H43" s="194"/>
      <c r="I43" s="194"/>
    </row>
    <row r="44" spans="1:9" ht="15" customHeight="1">
      <c r="A44" s="893"/>
      <c r="B44" s="895"/>
      <c r="C44" s="130" t="s">
        <v>171</v>
      </c>
      <c r="D44" s="338" t="str">
        <f>IF(E44='Parametre - Agendové IS'!BJ91,"OK","Chyba počtu FTE")</f>
        <v>OK</v>
      </c>
      <c r="E44" s="339">
        <f t="shared" si="1"/>
        <v>0</v>
      </c>
      <c r="F44" s="194"/>
      <c r="G44" s="194"/>
      <c r="H44" s="194"/>
      <c r="I44" s="194"/>
    </row>
    <row r="45" spans="1:9">
      <c r="A45" s="893"/>
      <c r="B45" s="895"/>
      <c r="C45" s="130" t="s">
        <v>172</v>
      </c>
      <c r="D45" s="338" t="str">
        <f>IF(E45='Parametre - Agendové IS'!BJ92,"OK","Chyba počtu FTE")</f>
        <v>OK</v>
      </c>
      <c r="E45" s="339">
        <f t="shared" si="1"/>
        <v>0</v>
      </c>
      <c r="F45" s="194"/>
      <c r="G45" s="194"/>
      <c r="H45" s="194"/>
      <c r="I45" s="194"/>
    </row>
    <row r="46" spans="1:9">
      <c r="A46" s="893"/>
      <c r="B46" s="895"/>
      <c r="C46" s="130" t="s">
        <v>173</v>
      </c>
      <c r="D46" s="338" t="str">
        <f>IF(E46='Parametre - Agendové IS'!BJ93,"OK","Chyba počtu FTE")</f>
        <v>OK</v>
      </c>
      <c r="E46" s="339">
        <f t="shared" si="1"/>
        <v>0</v>
      </c>
      <c r="F46" s="194"/>
      <c r="G46" s="194"/>
      <c r="H46" s="194"/>
      <c r="I46" s="194"/>
    </row>
    <row r="47" spans="1:9">
      <c r="A47" s="893"/>
      <c r="B47" s="895"/>
      <c r="C47" s="130" t="s">
        <v>174</v>
      </c>
      <c r="D47" s="338" t="str">
        <f>IF(E47='Parametre - Agendové IS'!BJ94,"OK","Chyba počtu FTE")</f>
        <v>OK</v>
      </c>
      <c r="E47" s="339">
        <f t="shared" si="1"/>
        <v>0</v>
      </c>
      <c r="F47" s="194"/>
      <c r="G47" s="194"/>
      <c r="H47" s="194"/>
      <c r="I47" s="194"/>
    </row>
    <row r="48" spans="1:9" ht="15" thickBot="1">
      <c r="A48" s="893"/>
      <c r="B48" s="895"/>
      <c r="C48" s="130" t="s">
        <v>175</v>
      </c>
      <c r="D48" s="340" t="str">
        <f>IF(E48='Parametre - Agendové IS'!BJ95,"OK","Chyba počtu FTE")</f>
        <v>OK</v>
      </c>
      <c r="E48" s="341">
        <f t="shared" si="1"/>
        <v>0</v>
      </c>
      <c r="F48" s="195"/>
      <c r="G48" s="195"/>
      <c r="H48" s="195"/>
      <c r="I48" s="195"/>
    </row>
    <row r="49" spans="1:9">
      <c r="A49" s="775" t="s">
        <v>2226</v>
      </c>
      <c r="B49" s="894" t="s">
        <v>212</v>
      </c>
      <c r="C49" s="133" t="s">
        <v>166</v>
      </c>
      <c r="D49" s="337" t="str">
        <f>IF(E49='Parametre - Agendové IS'!BJ5,"OK","Chyba počtu podaní")</f>
        <v>OK</v>
      </c>
      <c r="E49" s="342">
        <f t="shared" si="1"/>
        <v>0</v>
      </c>
      <c r="F49" s="193"/>
      <c r="G49" s="193"/>
      <c r="H49" s="193"/>
      <c r="I49" s="193"/>
    </row>
    <row r="50" spans="1:9">
      <c r="A50" s="893"/>
      <c r="B50" s="895"/>
      <c r="C50" s="130" t="s">
        <v>167</v>
      </c>
      <c r="D50" s="338" t="str">
        <f>IF(E50='Parametre - Agendové IS'!BJ6,"OK","Chyba počtu podaní")</f>
        <v>OK</v>
      </c>
      <c r="E50" s="339">
        <f t="shared" si="1"/>
        <v>0</v>
      </c>
      <c r="F50" s="194"/>
      <c r="G50" s="194"/>
      <c r="H50" s="194"/>
      <c r="I50" s="194"/>
    </row>
    <row r="51" spans="1:9">
      <c r="A51" s="893"/>
      <c r="B51" s="895"/>
      <c r="C51" s="130" t="s">
        <v>168</v>
      </c>
      <c r="D51" s="338" t="str">
        <f>IF(E51='Parametre - Agendové IS'!BJ7,"OK","Chyba počtu podaní")</f>
        <v>OK</v>
      </c>
      <c r="E51" s="339">
        <f t="shared" si="1"/>
        <v>0</v>
      </c>
      <c r="F51" s="194"/>
      <c r="G51" s="194"/>
      <c r="H51" s="194"/>
      <c r="I51" s="194"/>
    </row>
    <row r="52" spans="1:9">
      <c r="A52" s="893"/>
      <c r="B52" s="895"/>
      <c r="C52" s="130" t="s">
        <v>169</v>
      </c>
      <c r="D52" s="338" t="str">
        <f>IF(E52='Parametre - Agendové IS'!BJ8,"OK","Chyba počtu podaní")</f>
        <v>OK</v>
      </c>
      <c r="E52" s="339">
        <f t="shared" si="1"/>
        <v>0</v>
      </c>
      <c r="F52" s="194"/>
      <c r="G52" s="194"/>
      <c r="H52" s="194"/>
      <c r="I52" s="194"/>
    </row>
    <row r="53" spans="1:9">
      <c r="A53" s="893"/>
      <c r="B53" s="895"/>
      <c r="C53" s="130" t="s">
        <v>170</v>
      </c>
      <c r="D53" s="338" t="str">
        <f>IF(E53='Parametre - Agendové IS'!BJ9,"OK","Chyba počtu podaní")</f>
        <v>OK</v>
      </c>
      <c r="E53" s="339">
        <f t="shared" si="1"/>
        <v>0</v>
      </c>
      <c r="F53" s="194"/>
      <c r="G53" s="194"/>
      <c r="H53" s="194"/>
      <c r="I53" s="194"/>
    </row>
    <row r="54" spans="1:9">
      <c r="A54" s="893"/>
      <c r="B54" s="895"/>
      <c r="C54" s="130" t="s">
        <v>171</v>
      </c>
      <c r="D54" s="338" t="str">
        <f>IF(E54='Parametre - Agendové IS'!BJ10,"OK","Chyba počtu podaní")</f>
        <v>OK</v>
      </c>
      <c r="E54" s="339">
        <f t="shared" si="1"/>
        <v>0</v>
      </c>
      <c r="F54" s="194"/>
      <c r="G54" s="194"/>
      <c r="H54" s="194"/>
      <c r="I54" s="194"/>
    </row>
    <row r="55" spans="1:9">
      <c r="A55" s="893"/>
      <c r="B55" s="895"/>
      <c r="C55" s="130" t="s">
        <v>172</v>
      </c>
      <c r="D55" s="338" t="str">
        <f>IF(E55='Parametre - Agendové IS'!BJ11,"OK","Chyba počtu podaní")</f>
        <v>OK</v>
      </c>
      <c r="E55" s="339">
        <f t="shared" si="1"/>
        <v>0</v>
      </c>
      <c r="F55" s="194"/>
      <c r="G55" s="194"/>
      <c r="H55" s="194"/>
      <c r="I55" s="194"/>
    </row>
    <row r="56" spans="1:9">
      <c r="A56" s="893"/>
      <c r="B56" s="895"/>
      <c r="C56" s="130" t="s">
        <v>173</v>
      </c>
      <c r="D56" s="338" t="str">
        <f>IF(E56='Parametre - Agendové IS'!BJ12,"OK","Chyba počtu podaní")</f>
        <v>OK</v>
      </c>
      <c r="E56" s="339">
        <f t="shared" si="1"/>
        <v>0</v>
      </c>
      <c r="F56" s="194"/>
      <c r="G56" s="194"/>
      <c r="H56" s="194"/>
      <c r="I56" s="194"/>
    </row>
    <row r="57" spans="1:9">
      <c r="A57" s="893"/>
      <c r="B57" s="895"/>
      <c r="C57" s="130" t="s">
        <v>174</v>
      </c>
      <c r="D57" s="338" t="str">
        <f>IF(E57='Parametre - Agendové IS'!BJ13,"OK","Chyba počtu podaní")</f>
        <v>OK</v>
      </c>
      <c r="E57" s="339">
        <f t="shared" si="1"/>
        <v>0</v>
      </c>
      <c r="F57" s="194"/>
      <c r="G57" s="194"/>
      <c r="H57" s="194"/>
      <c r="I57" s="194"/>
    </row>
    <row r="58" spans="1:9" ht="15" thickBot="1">
      <c r="A58" s="777"/>
      <c r="B58" s="896"/>
      <c r="C58" s="131" t="s">
        <v>175</v>
      </c>
      <c r="D58" s="338" t="str">
        <f>IF(E58='Parametre - Agendové IS'!BJ14,"OK","Chyba počtu podaní")</f>
        <v>OK</v>
      </c>
      <c r="E58" s="339">
        <f t="shared" si="1"/>
        <v>0</v>
      </c>
      <c r="F58" s="194"/>
      <c r="G58" s="194"/>
      <c r="H58" s="194"/>
      <c r="I58" s="194"/>
    </row>
    <row r="59" spans="1:9">
      <c r="A59" s="775" t="s">
        <v>118</v>
      </c>
      <c r="B59" s="894" t="s">
        <v>214</v>
      </c>
      <c r="C59" s="133" t="s">
        <v>166</v>
      </c>
      <c r="D59" s="337" t="str">
        <f>IF(E59='Parametre - Agendové IS'!BJ126,"OK","Chyba")</f>
        <v>OK</v>
      </c>
      <c r="E59" s="342">
        <f t="shared" si="1"/>
        <v>0</v>
      </c>
      <c r="F59" s="193"/>
      <c r="G59" s="193"/>
      <c r="H59" s="193"/>
      <c r="I59" s="193"/>
    </row>
    <row r="60" spans="1:9">
      <c r="A60" s="893"/>
      <c r="B60" s="895"/>
      <c r="C60" s="130" t="s">
        <v>167</v>
      </c>
      <c r="D60" s="338" t="str">
        <f>IF(E60='Parametre - Agendové IS'!BJ127,"OK","Chyba")</f>
        <v>OK</v>
      </c>
      <c r="E60" s="339">
        <f t="shared" si="1"/>
        <v>0</v>
      </c>
      <c r="F60" s="194"/>
      <c r="G60" s="194"/>
      <c r="H60" s="194"/>
      <c r="I60" s="194"/>
    </row>
    <row r="61" spans="1:9">
      <c r="A61" s="893"/>
      <c r="B61" s="895"/>
      <c r="C61" s="130" t="s">
        <v>168</v>
      </c>
      <c r="D61" s="338" t="str">
        <f>IF(E61='Parametre - Agendové IS'!BJ128,"OK","Chyba")</f>
        <v>OK</v>
      </c>
      <c r="E61" s="339">
        <f t="shared" si="1"/>
        <v>0</v>
      </c>
      <c r="F61" s="194"/>
      <c r="G61" s="194"/>
      <c r="H61" s="194"/>
      <c r="I61" s="194"/>
    </row>
    <row r="62" spans="1:9">
      <c r="A62" s="893"/>
      <c r="B62" s="895"/>
      <c r="C62" s="130" t="s">
        <v>169</v>
      </c>
      <c r="D62" s="338" t="str">
        <f>IF(E62='Parametre - Agendové IS'!BJ129,"OK","Chyba")</f>
        <v>OK</v>
      </c>
      <c r="E62" s="339">
        <f t="shared" si="1"/>
        <v>0</v>
      </c>
      <c r="F62" s="194"/>
      <c r="G62" s="194"/>
      <c r="H62" s="194"/>
      <c r="I62" s="194"/>
    </row>
    <row r="63" spans="1:9">
      <c r="A63" s="893"/>
      <c r="B63" s="895"/>
      <c r="C63" s="130" t="s">
        <v>170</v>
      </c>
      <c r="D63" s="338" t="str">
        <f>IF(E63='Parametre - Agendové IS'!BJ130,"OK","Chyba")</f>
        <v>OK</v>
      </c>
      <c r="E63" s="339">
        <f t="shared" si="1"/>
        <v>0</v>
      </c>
      <c r="F63" s="194"/>
      <c r="G63" s="194"/>
      <c r="H63" s="194"/>
      <c r="I63" s="194"/>
    </row>
    <row r="64" spans="1:9">
      <c r="A64" s="893"/>
      <c r="B64" s="895"/>
      <c r="C64" s="130" t="s">
        <v>171</v>
      </c>
      <c r="D64" s="338" t="str">
        <f>IF(E64='Parametre - Agendové IS'!BJ131,"OK","Chyba")</f>
        <v>OK</v>
      </c>
      <c r="E64" s="339">
        <f t="shared" si="1"/>
        <v>0</v>
      </c>
      <c r="F64" s="194"/>
      <c r="G64" s="194"/>
      <c r="H64" s="194"/>
      <c r="I64" s="194"/>
    </row>
    <row r="65" spans="1:9">
      <c r="A65" s="893"/>
      <c r="B65" s="895"/>
      <c r="C65" s="130" t="s">
        <v>172</v>
      </c>
      <c r="D65" s="338" t="str">
        <f>IF(E65='Parametre - Agendové IS'!BJ132,"OK","Chyba")</f>
        <v>OK</v>
      </c>
      <c r="E65" s="339">
        <f t="shared" si="1"/>
        <v>0</v>
      </c>
      <c r="F65" s="194"/>
      <c r="G65" s="194"/>
      <c r="H65" s="194"/>
      <c r="I65" s="194"/>
    </row>
    <row r="66" spans="1:9">
      <c r="A66" s="893"/>
      <c r="B66" s="895"/>
      <c r="C66" s="130" t="s">
        <v>173</v>
      </c>
      <c r="D66" s="338" t="str">
        <f>IF(E66='Parametre - Agendové IS'!BJ133,"OK","Chyba")</f>
        <v>OK</v>
      </c>
      <c r="E66" s="339">
        <f t="shared" si="1"/>
        <v>0</v>
      </c>
      <c r="F66" s="194"/>
      <c r="G66" s="194"/>
      <c r="H66" s="194"/>
      <c r="I66" s="194"/>
    </row>
    <row r="67" spans="1:9">
      <c r="A67" s="893"/>
      <c r="B67" s="895"/>
      <c r="C67" s="130" t="s">
        <v>174</v>
      </c>
      <c r="D67" s="338" t="str">
        <f>IF(E67='Parametre - Agendové IS'!BJ134,"OK","Chyba")</f>
        <v>OK</v>
      </c>
      <c r="E67" s="339">
        <f t="shared" si="1"/>
        <v>0</v>
      </c>
      <c r="F67" s="194"/>
      <c r="G67" s="194"/>
      <c r="H67" s="194"/>
      <c r="I67" s="194"/>
    </row>
    <row r="68" spans="1:9" ht="15" thickBot="1">
      <c r="A68" s="777"/>
      <c r="B68" s="896"/>
      <c r="C68" s="131" t="s">
        <v>175</v>
      </c>
      <c r="D68" s="338" t="str">
        <f>IF(E68='Parametre - Agendové IS'!BJ135,"OK","Chyba")</f>
        <v>OK</v>
      </c>
      <c r="E68" s="339">
        <f t="shared" si="1"/>
        <v>0</v>
      </c>
      <c r="F68" s="194"/>
      <c r="G68" s="194"/>
      <c r="H68" s="194"/>
      <c r="I68" s="194"/>
    </row>
    <row r="71" spans="1:9" ht="15" thickBot="1"/>
    <row r="72" spans="1:9">
      <c r="A72" s="897" t="str">
        <f>'Parametre - Agendové IS'!BL2</f>
        <v>ISKN 2.0</v>
      </c>
      <c r="B72" s="898"/>
      <c r="C72" s="899"/>
      <c r="D72" s="903" t="s">
        <v>99</v>
      </c>
      <c r="E72" s="904"/>
      <c r="F72" s="235" t="s">
        <v>2220</v>
      </c>
      <c r="G72" s="235" t="s">
        <v>2221</v>
      </c>
      <c r="H72" s="235" t="s">
        <v>2222</v>
      </c>
      <c r="I72" s="235" t="s">
        <v>2223</v>
      </c>
    </row>
    <row r="73" spans="1:9" ht="15" thickBot="1">
      <c r="A73" s="900"/>
      <c r="B73" s="901"/>
      <c r="C73" s="902"/>
      <c r="D73" s="334" t="s">
        <v>2224</v>
      </c>
      <c r="E73" s="335" t="s">
        <v>164</v>
      </c>
      <c r="F73" s="132" t="s">
        <v>164</v>
      </c>
      <c r="G73" s="132" t="s">
        <v>164</v>
      </c>
      <c r="H73" s="132" t="s">
        <v>164</v>
      </c>
      <c r="I73" s="132" t="s">
        <v>164</v>
      </c>
    </row>
    <row r="74" spans="1:9">
      <c r="A74" s="775" t="s">
        <v>2225</v>
      </c>
      <c r="B74" s="894" t="s">
        <v>222</v>
      </c>
      <c r="C74" s="133" t="s">
        <v>166</v>
      </c>
      <c r="D74" s="336" t="str">
        <f>IF(E74='Parametre - Agendové IS'!BM86,"OK","Chyba počtu FTE")</f>
        <v>OK</v>
      </c>
      <c r="E74" s="337">
        <f t="shared" ref="E74:E103" si="2">F74+G74+H74+I74</f>
        <v>0</v>
      </c>
      <c r="F74" s="193"/>
      <c r="G74" s="193"/>
      <c r="H74" s="193"/>
      <c r="I74" s="193"/>
    </row>
    <row r="75" spans="1:9">
      <c r="A75" s="893"/>
      <c r="B75" s="895"/>
      <c r="C75" s="130" t="s">
        <v>167</v>
      </c>
      <c r="D75" s="338" t="str">
        <f>IF(E75='Parametre - Agendové IS'!BM87,"OK","Chyba počtu FTE")</f>
        <v>OK</v>
      </c>
      <c r="E75" s="339">
        <f t="shared" si="2"/>
        <v>0</v>
      </c>
      <c r="F75" s="194"/>
      <c r="G75" s="194"/>
      <c r="H75" s="194"/>
      <c r="I75" s="194"/>
    </row>
    <row r="76" spans="1:9">
      <c r="A76" s="893"/>
      <c r="B76" s="895"/>
      <c r="C76" s="130" t="s">
        <v>168</v>
      </c>
      <c r="D76" s="338" t="str">
        <f>IF(E76='Parametre - Agendové IS'!BM88,"OK","Chyba počtu FTE")</f>
        <v>OK</v>
      </c>
      <c r="E76" s="339">
        <f t="shared" si="2"/>
        <v>0</v>
      </c>
      <c r="F76" s="194"/>
      <c r="G76" s="194"/>
      <c r="H76" s="194"/>
      <c r="I76" s="194"/>
    </row>
    <row r="77" spans="1:9">
      <c r="A77" s="893"/>
      <c r="B77" s="895"/>
      <c r="C77" s="130" t="s">
        <v>169</v>
      </c>
      <c r="D77" s="338" t="str">
        <f>IF(E77='Parametre - Agendové IS'!BM89,"OK","Chyba počtu FTE")</f>
        <v>OK</v>
      </c>
      <c r="E77" s="339">
        <f t="shared" si="2"/>
        <v>0</v>
      </c>
      <c r="F77" s="194"/>
      <c r="G77" s="194"/>
      <c r="H77" s="194"/>
      <c r="I77" s="194"/>
    </row>
    <row r="78" spans="1:9">
      <c r="A78" s="893"/>
      <c r="B78" s="895"/>
      <c r="C78" s="130" t="s">
        <v>170</v>
      </c>
      <c r="D78" s="338" t="str">
        <f>IF(E78='Parametre - Agendové IS'!BM90,"OK","Chyba počtu FTE")</f>
        <v>OK</v>
      </c>
      <c r="E78" s="339">
        <f t="shared" si="2"/>
        <v>0</v>
      </c>
      <c r="F78" s="194"/>
      <c r="G78" s="194"/>
      <c r="H78" s="194"/>
      <c r="I78" s="194"/>
    </row>
    <row r="79" spans="1:9">
      <c r="A79" s="893"/>
      <c r="B79" s="895"/>
      <c r="C79" s="130" t="s">
        <v>171</v>
      </c>
      <c r="D79" s="338" t="str">
        <f>IF(E79='Parametre - Agendové IS'!BM91,"OK","Chyba počtu FTE")</f>
        <v>OK</v>
      </c>
      <c r="E79" s="339">
        <f t="shared" si="2"/>
        <v>0</v>
      </c>
      <c r="F79" s="194"/>
      <c r="G79" s="194"/>
      <c r="H79" s="194"/>
      <c r="I79" s="194"/>
    </row>
    <row r="80" spans="1:9">
      <c r="A80" s="893"/>
      <c r="B80" s="895"/>
      <c r="C80" s="130" t="s">
        <v>172</v>
      </c>
      <c r="D80" s="338" t="str">
        <f>IF(E80='Parametre - Agendové IS'!BM92,"OK","Chyba počtu FTE")</f>
        <v>OK</v>
      </c>
      <c r="E80" s="339">
        <f t="shared" si="2"/>
        <v>0</v>
      </c>
      <c r="F80" s="194"/>
      <c r="G80" s="194"/>
      <c r="H80" s="194"/>
      <c r="I80" s="194"/>
    </row>
    <row r="81" spans="1:9">
      <c r="A81" s="893"/>
      <c r="B81" s="895"/>
      <c r="C81" s="130" t="s">
        <v>173</v>
      </c>
      <c r="D81" s="338" t="str">
        <f>IF(E81='Parametre - Agendové IS'!BM93,"OK","Chyba počtu FTE")</f>
        <v>OK</v>
      </c>
      <c r="E81" s="339">
        <f t="shared" si="2"/>
        <v>0</v>
      </c>
      <c r="F81" s="194"/>
      <c r="G81" s="194"/>
      <c r="H81" s="194"/>
      <c r="I81" s="194"/>
    </row>
    <row r="82" spans="1:9">
      <c r="A82" s="893"/>
      <c r="B82" s="895"/>
      <c r="C82" s="130" t="s">
        <v>174</v>
      </c>
      <c r="D82" s="338" t="str">
        <f>IF(E82='Parametre - Agendové IS'!BM94,"OK","Chyba počtu FTE")</f>
        <v>OK</v>
      </c>
      <c r="E82" s="339">
        <f t="shared" si="2"/>
        <v>0</v>
      </c>
      <c r="F82" s="194"/>
      <c r="G82" s="194"/>
      <c r="H82" s="194"/>
      <c r="I82" s="194"/>
    </row>
    <row r="83" spans="1:9" ht="15" thickBot="1">
      <c r="A83" s="893"/>
      <c r="B83" s="895"/>
      <c r="C83" s="130" t="s">
        <v>175</v>
      </c>
      <c r="D83" s="340" t="str">
        <f>IF(E83='Parametre - Agendové IS'!BM95,"OK","Chyba počtu FTE")</f>
        <v>OK</v>
      </c>
      <c r="E83" s="341">
        <f t="shared" si="2"/>
        <v>0</v>
      </c>
      <c r="F83" s="195"/>
      <c r="G83" s="195"/>
      <c r="H83" s="195"/>
      <c r="I83" s="195"/>
    </row>
    <row r="84" spans="1:9">
      <c r="A84" s="775" t="s">
        <v>2226</v>
      </c>
      <c r="B84" s="894" t="s">
        <v>212</v>
      </c>
      <c r="C84" s="133" t="s">
        <v>166</v>
      </c>
      <c r="D84" s="337" t="str">
        <f>IF(E84='Parametre - Agendové IS'!BM5,"OK","Chyba počtu podaní")</f>
        <v>OK</v>
      </c>
      <c r="E84" s="342">
        <f t="shared" si="2"/>
        <v>0</v>
      </c>
      <c r="F84" s="193"/>
      <c r="G84" s="193"/>
      <c r="H84" s="193"/>
      <c r="I84" s="193"/>
    </row>
    <row r="85" spans="1:9">
      <c r="A85" s="893"/>
      <c r="B85" s="895"/>
      <c r="C85" s="130" t="s">
        <v>167</v>
      </c>
      <c r="D85" s="338" t="str">
        <f>IF(E85='Parametre - Agendové IS'!BM6,"OK","Chyba počtu podaní")</f>
        <v>OK</v>
      </c>
      <c r="E85" s="339">
        <f t="shared" si="2"/>
        <v>0</v>
      </c>
      <c r="F85" s="194"/>
      <c r="G85" s="194"/>
      <c r="H85" s="194"/>
      <c r="I85" s="194"/>
    </row>
    <row r="86" spans="1:9">
      <c r="A86" s="893"/>
      <c r="B86" s="895"/>
      <c r="C86" s="130" t="s">
        <v>168</v>
      </c>
      <c r="D86" s="338" t="str">
        <f>IF(E86='Parametre - Agendové IS'!BM7,"OK","Chyba počtu podaní")</f>
        <v>OK</v>
      </c>
      <c r="E86" s="339">
        <f t="shared" si="2"/>
        <v>0</v>
      </c>
      <c r="F86" s="194"/>
      <c r="G86" s="194"/>
      <c r="H86" s="194"/>
      <c r="I86" s="194"/>
    </row>
    <row r="87" spans="1:9">
      <c r="A87" s="893"/>
      <c r="B87" s="895"/>
      <c r="C87" s="130" t="s">
        <v>169</v>
      </c>
      <c r="D87" s="338" t="str">
        <f>IF(E87='Parametre - Agendové IS'!BM8,"OK","Chyba počtu podaní")</f>
        <v>OK</v>
      </c>
      <c r="E87" s="339">
        <f t="shared" si="2"/>
        <v>0</v>
      </c>
      <c r="F87" s="194"/>
      <c r="G87" s="194"/>
      <c r="H87" s="194"/>
      <c r="I87" s="194"/>
    </row>
    <row r="88" spans="1:9">
      <c r="A88" s="893"/>
      <c r="B88" s="895"/>
      <c r="C88" s="130" t="s">
        <v>170</v>
      </c>
      <c r="D88" s="338" t="str">
        <f>IF(E88='Parametre - Agendové IS'!BM9,"OK","Chyba počtu podaní")</f>
        <v>OK</v>
      </c>
      <c r="E88" s="339">
        <f t="shared" si="2"/>
        <v>0</v>
      </c>
      <c r="F88" s="194"/>
      <c r="G88" s="194"/>
      <c r="H88" s="194"/>
      <c r="I88" s="194"/>
    </row>
    <row r="89" spans="1:9">
      <c r="A89" s="893"/>
      <c r="B89" s="895"/>
      <c r="C89" s="130" t="s">
        <v>171</v>
      </c>
      <c r="D89" s="338" t="str">
        <f>IF(E89='Parametre - Agendové IS'!BM10,"OK","Chyba počtu podaní")</f>
        <v>OK</v>
      </c>
      <c r="E89" s="339">
        <f t="shared" si="2"/>
        <v>0</v>
      </c>
      <c r="F89" s="194"/>
      <c r="G89" s="194"/>
      <c r="H89" s="194"/>
      <c r="I89" s="194"/>
    </row>
    <row r="90" spans="1:9">
      <c r="A90" s="893"/>
      <c r="B90" s="895"/>
      <c r="C90" s="130" t="s">
        <v>172</v>
      </c>
      <c r="D90" s="338" t="str">
        <f>IF(E90='Parametre - Agendové IS'!BM11,"OK","Chyba počtu podaní")</f>
        <v>OK</v>
      </c>
      <c r="E90" s="339">
        <f t="shared" si="2"/>
        <v>0</v>
      </c>
      <c r="F90" s="194"/>
      <c r="G90" s="194"/>
      <c r="H90" s="194"/>
      <c r="I90" s="194"/>
    </row>
    <row r="91" spans="1:9">
      <c r="A91" s="893"/>
      <c r="B91" s="895"/>
      <c r="C91" s="130" t="s">
        <v>173</v>
      </c>
      <c r="D91" s="338" t="str">
        <f>IF(E91='Parametre - Agendové IS'!BM12,"OK","Chyba počtu podaní")</f>
        <v>OK</v>
      </c>
      <c r="E91" s="339">
        <f t="shared" si="2"/>
        <v>0</v>
      </c>
      <c r="F91" s="194"/>
      <c r="G91" s="194"/>
      <c r="H91" s="194"/>
      <c r="I91" s="194"/>
    </row>
    <row r="92" spans="1:9">
      <c r="A92" s="893"/>
      <c r="B92" s="895"/>
      <c r="C92" s="130" t="s">
        <v>174</v>
      </c>
      <c r="D92" s="338" t="str">
        <f>IF(E92='Parametre - Agendové IS'!BM13,"OK","Chyba počtu podaní")</f>
        <v>OK</v>
      </c>
      <c r="E92" s="339">
        <f t="shared" si="2"/>
        <v>0</v>
      </c>
      <c r="F92" s="194"/>
      <c r="G92" s="194"/>
      <c r="H92" s="194"/>
      <c r="I92" s="194"/>
    </row>
    <row r="93" spans="1:9" ht="15" thickBot="1">
      <c r="A93" s="777"/>
      <c r="B93" s="896"/>
      <c r="C93" s="131" t="s">
        <v>175</v>
      </c>
      <c r="D93" s="338" t="str">
        <f>IF(E93='Parametre - Agendové IS'!BM14,"OK","Chyba počtu podaní")</f>
        <v>OK</v>
      </c>
      <c r="E93" s="339">
        <f t="shared" si="2"/>
        <v>0</v>
      </c>
      <c r="F93" s="194"/>
      <c r="G93" s="194"/>
      <c r="H93" s="194"/>
      <c r="I93" s="194"/>
    </row>
    <row r="94" spans="1:9">
      <c r="A94" s="775" t="s">
        <v>118</v>
      </c>
      <c r="B94" s="894" t="s">
        <v>214</v>
      </c>
      <c r="C94" s="133" t="s">
        <v>166</v>
      </c>
      <c r="D94" s="337" t="str">
        <f>IF(E94='Parametre - Agendové IS'!BM126,"OK","Chyba")</f>
        <v>OK</v>
      </c>
      <c r="E94" s="342">
        <f t="shared" si="2"/>
        <v>0</v>
      </c>
      <c r="F94" s="193"/>
      <c r="G94" s="193"/>
      <c r="H94" s="193"/>
      <c r="I94" s="193"/>
    </row>
    <row r="95" spans="1:9">
      <c r="A95" s="893"/>
      <c r="B95" s="895"/>
      <c r="C95" s="130" t="s">
        <v>167</v>
      </c>
      <c r="D95" s="338" t="str">
        <f>IF(E95='Parametre - Agendové IS'!BM127,"OK","Chyba")</f>
        <v>OK</v>
      </c>
      <c r="E95" s="339">
        <f t="shared" si="2"/>
        <v>0</v>
      </c>
      <c r="F95" s="194"/>
      <c r="G95" s="194"/>
      <c r="H95" s="194"/>
      <c r="I95" s="194"/>
    </row>
    <row r="96" spans="1:9">
      <c r="A96" s="893"/>
      <c r="B96" s="895"/>
      <c r="C96" s="130" t="s">
        <v>168</v>
      </c>
      <c r="D96" s="338" t="str">
        <f>IF(E96='Parametre - Agendové IS'!BM128,"OK","Chyba")</f>
        <v>OK</v>
      </c>
      <c r="E96" s="339">
        <f t="shared" si="2"/>
        <v>0</v>
      </c>
      <c r="F96" s="194"/>
      <c r="G96" s="194"/>
      <c r="H96" s="194"/>
      <c r="I96" s="194"/>
    </row>
    <row r="97" spans="1:9">
      <c r="A97" s="893"/>
      <c r="B97" s="895"/>
      <c r="C97" s="130" t="s">
        <v>169</v>
      </c>
      <c r="D97" s="338" t="str">
        <f>IF(E97='Parametre - Agendové IS'!BM129,"OK","Chyba")</f>
        <v>OK</v>
      </c>
      <c r="E97" s="339">
        <f t="shared" si="2"/>
        <v>0</v>
      </c>
      <c r="F97" s="194"/>
      <c r="G97" s="194"/>
      <c r="H97" s="194"/>
      <c r="I97" s="194"/>
    </row>
    <row r="98" spans="1:9">
      <c r="A98" s="893"/>
      <c r="B98" s="895"/>
      <c r="C98" s="130" t="s">
        <v>170</v>
      </c>
      <c r="D98" s="338" t="str">
        <f>IF(E98='Parametre - Agendové IS'!BM130,"OK","Chyba")</f>
        <v>OK</v>
      </c>
      <c r="E98" s="339">
        <f t="shared" si="2"/>
        <v>0</v>
      </c>
      <c r="F98" s="194"/>
      <c r="G98" s="194"/>
      <c r="H98" s="194"/>
      <c r="I98" s="194"/>
    </row>
    <row r="99" spans="1:9">
      <c r="A99" s="893"/>
      <c r="B99" s="895"/>
      <c r="C99" s="130" t="s">
        <v>171</v>
      </c>
      <c r="D99" s="338" t="str">
        <f>IF(E99='Parametre - Agendové IS'!BM131,"OK","Chyba")</f>
        <v>OK</v>
      </c>
      <c r="E99" s="339">
        <f t="shared" si="2"/>
        <v>0</v>
      </c>
      <c r="F99" s="194"/>
      <c r="G99" s="194"/>
      <c r="H99" s="194"/>
      <c r="I99" s="194"/>
    </row>
    <row r="100" spans="1:9">
      <c r="A100" s="893"/>
      <c r="B100" s="895"/>
      <c r="C100" s="130" t="s">
        <v>172</v>
      </c>
      <c r="D100" s="338" t="str">
        <f>IF(E100='Parametre - Agendové IS'!BM132,"OK","Chyba")</f>
        <v>OK</v>
      </c>
      <c r="E100" s="339">
        <f t="shared" si="2"/>
        <v>0</v>
      </c>
      <c r="F100" s="194"/>
      <c r="G100" s="194"/>
      <c r="H100" s="194"/>
      <c r="I100" s="194"/>
    </row>
    <row r="101" spans="1:9">
      <c r="A101" s="893"/>
      <c r="B101" s="895"/>
      <c r="C101" s="130" t="s">
        <v>173</v>
      </c>
      <c r="D101" s="338" t="str">
        <f>IF(E101='Parametre - Agendové IS'!BM133,"OK","Chyba")</f>
        <v>OK</v>
      </c>
      <c r="E101" s="339">
        <f t="shared" si="2"/>
        <v>0</v>
      </c>
      <c r="F101" s="194"/>
      <c r="G101" s="194"/>
      <c r="H101" s="194"/>
      <c r="I101" s="194"/>
    </row>
    <row r="102" spans="1:9">
      <c r="A102" s="893"/>
      <c r="B102" s="895"/>
      <c r="C102" s="130" t="s">
        <v>174</v>
      </c>
      <c r="D102" s="338" t="str">
        <f>IF(E102='Parametre - Agendové IS'!BM134,"OK","Chyba")</f>
        <v>OK</v>
      </c>
      <c r="E102" s="339">
        <f t="shared" si="2"/>
        <v>0</v>
      </c>
      <c r="F102" s="194"/>
      <c r="G102" s="194"/>
      <c r="H102" s="194"/>
      <c r="I102" s="194"/>
    </row>
    <row r="103" spans="1:9" ht="15" thickBot="1">
      <c r="A103" s="777"/>
      <c r="B103" s="896"/>
      <c r="C103" s="131" t="s">
        <v>175</v>
      </c>
      <c r="D103" s="338" t="str">
        <f>IF(E103='Parametre - Agendové IS'!BM135,"OK","Chyba")</f>
        <v>OK</v>
      </c>
      <c r="E103" s="339">
        <f t="shared" si="2"/>
        <v>0</v>
      </c>
      <c r="F103" s="194"/>
      <c r="G103" s="194"/>
      <c r="H103" s="194"/>
      <c r="I103" s="194"/>
    </row>
    <row r="106" spans="1:9" ht="15" thickBot="1"/>
    <row r="107" spans="1:9">
      <c r="A107" s="897">
        <f>'Parametre - Agendové IS'!BO2</f>
        <v>0</v>
      </c>
      <c r="B107" s="898"/>
      <c r="C107" s="899"/>
      <c r="D107" s="903" t="s">
        <v>99</v>
      </c>
      <c r="E107" s="904"/>
      <c r="F107" s="235" t="s">
        <v>2220</v>
      </c>
      <c r="G107" s="235" t="s">
        <v>2221</v>
      </c>
      <c r="H107" s="235" t="s">
        <v>2222</v>
      </c>
      <c r="I107" s="235" t="s">
        <v>2223</v>
      </c>
    </row>
    <row r="108" spans="1:9" ht="15" thickBot="1">
      <c r="A108" s="900"/>
      <c r="B108" s="901"/>
      <c r="C108" s="902"/>
      <c r="D108" s="334" t="s">
        <v>2224</v>
      </c>
      <c r="E108" s="335" t="s">
        <v>164</v>
      </c>
      <c r="F108" s="132" t="s">
        <v>164</v>
      </c>
      <c r="G108" s="132" t="s">
        <v>164</v>
      </c>
      <c r="H108" s="132" t="s">
        <v>164</v>
      </c>
      <c r="I108" s="132" t="s">
        <v>164</v>
      </c>
    </row>
    <row r="109" spans="1:9">
      <c r="A109" s="775" t="s">
        <v>2225</v>
      </c>
      <c r="B109" s="894" t="s">
        <v>222</v>
      </c>
      <c r="C109" s="133" t="s">
        <v>166</v>
      </c>
      <c r="D109" s="336" t="str">
        <f>IF(E109='Parametre - Agendové IS'!BP86,"OK","Chyba počtu FTE")</f>
        <v>OK</v>
      </c>
      <c r="E109" s="337">
        <f t="shared" ref="E109:E138" si="3">F109+G109+H109+I109</f>
        <v>0</v>
      </c>
      <c r="F109" s="193"/>
      <c r="G109" s="193"/>
      <c r="H109" s="193"/>
      <c r="I109" s="193"/>
    </row>
    <row r="110" spans="1:9">
      <c r="A110" s="893"/>
      <c r="B110" s="895"/>
      <c r="C110" s="130" t="s">
        <v>167</v>
      </c>
      <c r="D110" s="338" t="str">
        <f>IF(E110='Parametre - Agendové IS'!BP87,"OK","Chyba počtu FTE")</f>
        <v>OK</v>
      </c>
      <c r="E110" s="339">
        <f t="shared" si="3"/>
        <v>0</v>
      </c>
      <c r="F110" s="194"/>
      <c r="G110" s="194"/>
      <c r="H110" s="194"/>
      <c r="I110" s="194"/>
    </row>
    <row r="111" spans="1:9">
      <c r="A111" s="893"/>
      <c r="B111" s="895"/>
      <c r="C111" s="130" t="s">
        <v>168</v>
      </c>
      <c r="D111" s="338" t="str">
        <f>IF(E111='Parametre - Agendové IS'!BP88,"OK","Chyba počtu FTE")</f>
        <v>OK</v>
      </c>
      <c r="E111" s="339">
        <f t="shared" si="3"/>
        <v>0</v>
      </c>
      <c r="F111" s="194"/>
      <c r="G111" s="194"/>
      <c r="H111" s="194"/>
      <c r="I111" s="194"/>
    </row>
    <row r="112" spans="1:9">
      <c r="A112" s="893"/>
      <c r="B112" s="895"/>
      <c r="C112" s="130" t="s">
        <v>169</v>
      </c>
      <c r="D112" s="338" t="str">
        <f>IF(E112='Parametre - Agendové IS'!BP89,"OK","Chyba počtu FTE")</f>
        <v>OK</v>
      </c>
      <c r="E112" s="339">
        <f t="shared" si="3"/>
        <v>0</v>
      </c>
      <c r="F112" s="194"/>
      <c r="G112" s="194"/>
      <c r="H112" s="194"/>
      <c r="I112" s="194"/>
    </row>
    <row r="113" spans="1:9">
      <c r="A113" s="893"/>
      <c r="B113" s="895"/>
      <c r="C113" s="130" t="s">
        <v>170</v>
      </c>
      <c r="D113" s="338" t="str">
        <f>IF(E113='Parametre - Agendové IS'!BP90,"OK","Chyba počtu FTE")</f>
        <v>OK</v>
      </c>
      <c r="E113" s="339">
        <f t="shared" si="3"/>
        <v>0</v>
      </c>
      <c r="F113" s="194"/>
      <c r="G113" s="194"/>
      <c r="H113" s="194"/>
      <c r="I113" s="194"/>
    </row>
    <row r="114" spans="1:9">
      <c r="A114" s="893"/>
      <c r="B114" s="895"/>
      <c r="C114" s="130" t="s">
        <v>171</v>
      </c>
      <c r="D114" s="338" t="str">
        <f>IF(E114='Parametre - Agendové IS'!BP91,"OK","Chyba počtu FTE")</f>
        <v>OK</v>
      </c>
      <c r="E114" s="339">
        <f t="shared" si="3"/>
        <v>0</v>
      </c>
      <c r="F114" s="194"/>
      <c r="G114" s="194"/>
      <c r="H114" s="194"/>
      <c r="I114" s="194"/>
    </row>
    <row r="115" spans="1:9">
      <c r="A115" s="893"/>
      <c r="B115" s="895"/>
      <c r="C115" s="130" t="s">
        <v>172</v>
      </c>
      <c r="D115" s="338" t="str">
        <f>IF(E115='Parametre - Agendové IS'!BP92,"OK","Chyba počtu FTE")</f>
        <v>OK</v>
      </c>
      <c r="E115" s="339">
        <f t="shared" si="3"/>
        <v>0</v>
      </c>
      <c r="F115" s="194"/>
      <c r="G115" s="194"/>
      <c r="H115" s="194"/>
      <c r="I115" s="194"/>
    </row>
    <row r="116" spans="1:9">
      <c r="A116" s="893"/>
      <c r="B116" s="895"/>
      <c r="C116" s="130" t="s">
        <v>173</v>
      </c>
      <c r="D116" s="338" t="str">
        <f>IF(E116='Parametre - Agendové IS'!BP93,"OK","Chyba počtu FTE")</f>
        <v>OK</v>
      </c>
      <c r="E116" s="339">
        <f t="shared" si="3"/>
        <v>0</v>
      </c>
      <c r="F116" s="194"/>
      <c r="G116" s="194"/>
      <c r="H116" s="194"/>
      <c r="I116" s="194"/>
    </row>
    <row r="117" spans="1:9">
      <c r="A117" s="893"/>
      <c r="B117" s="895"/>
      <c r="C117" s="130" t="s">
        <v>174</v>
      </c>
      <c r="D117" s="338" t="str">
        <f>IF(E117='Parametre - Agendové IS'!BP94,"OK","Chyba počtu FTE")</f>
        <v>OK</v>
      </c>
      <c r="E117" s="339">
        <f t="shared" si="3"/>
        <v>0</v>
      </c>
      <c r="F117" s="194"/>
      <c r="G117" s="194"/>
      <c r="H117" s="194"/>
      <c r="I117" s="194"/>
    </row>
    <row r="118" spans="1:9" ht="15" thickBot="1">
      <c r="A118" s="893"/>
      <c r="B118" s="895"/>
      <c r="C118" s="130" t="s">
        <v>175</v>
      </c>
      <c r="D118" s="340" t="str">
        <f>IF(E118='Parametre - Agendové IS'!BP95,"OK","Chyba počtu FTE")</f>
        <v>OK</v>
      </c>
      <c r="E118" s="341">
        <f t="shared" si="3"/>
        <v>0</v>
      </c>
      <c r="F118" s="195"/>
      <c r="G118" s="195"/>
      <c r="H118" s="195"/>
      <c r="I118" s="195"/>
    </row>
    <row r="119" spans="1:9">
      <c r="A119" s="775" t="s">
        <v>2226</v>
      </c>
      <c r="B119" s="894" t="s">
        <v>212</v>
      </c>
      <c r="C119" s="133" t="s">
        <v>166</v>
      </c>
      <c r="D119" s="337" t="str">
        <f>IF(E119='Parametre - Agendové IS'!BP5,"OK","Chyba počtu podaní")</f>
        <v>OK</v>
      </c>
      <c r="E119" s="342">
        <f t="shared" si="3"/>
        <v>0</v>
      </c>
      <c r="F119" s="193"/>
      <c r="G119" s="193"/>
      <c r="H119" s="193"/>
      <c r="I119" s="193"/>
    </row>
    <row r="120" spans="1:9">
      <c r="A120" s="893"/>
      <c r="B120" s="895"/>
      <c r="C120" s="130" t="s">
        <v>167</v>
      </c>
      <c r="D120" s="338" t="str">
        <f>IF(E120='Parametre - Agendové IS'!BP6,"OK","Chyba počtu podaní")</f>
        <v>OK</v>
      </c>
      <c r="E120" s="339">
        <f t="shared" si="3"/>
        <v>0</v>
      </c>
      <c r="F120" s="194"/>
      <c r="G120" s="194"/>
      <c r="H120" s="194"/>
      <c r="I120" s="194"/>
    </row>
    <row r="121" spans="1:9">
      <c r="A121" s="893"/>
      <c r="B121" s="895"/>
      <c r="C121" s="130" t="s">
        <v>168</v>
      </c>
      <c r="D121" s="338" t="str">
        <f>IF(E121='Parametre - Agendové IS'!BP7,"OK","Chyba počtu podaní")</f>
        <v>OK</v>
      </c>
      <c r="E121" s="339">
        <f t="shared" si="3"/>
        <v>0</v>
      </c>
      <c r="F121" s="194"/>
      <c r="G121" s="194"/>
      <c r="H121" s="194"/>
      <c r="I121" s="194"/>
    </row>
    <row r="122" spans="1:9">
      <c r="A122" s="893"/>
      <c r="B122" s="895"/>
      <c r="C122" s="130" t="s">
        <v>169</v>
      </c>
      <c r="D122" s="338" t="str">
        <f>IF(E122='Parametre - Agendové IS'!BP8,"OK","Chyba počtu podaní")</f>
        <v>OK</v>
      </c>
      <c r="E122" s="339">
        <f t="shared" si="3"/>
        <v>0</v>
      </c>
      <c r="F122" s="194"/>
      <c r="G122" s="194"/>
      <c r="H122" s="194"/>
      <c r="I122" s="194"/>
    </row>
    <row r="123" spans="1:9">
      <c r="A123" s="893"/>
      <c r="B123" s="895"/>
      <c r="C123" s="130" t="s">
        <v>170</v>
      </c>
      <c r="D123" s="338" t="str">
        <f>IF(E123='Parametre - Agendové IS'!BP9,"OK","Chyba počtu podaní")</f>
        <v>OK</v>
      </c>
      <c r="E123" s="339">
        <f t="shared" si="3"/>
        <v>0</v>
      </c>
      <c r="F123" s="194"/>
      <c r="G123" s="194"/>
      <c r="H123" s="194"/>
      <c r="I123" s="194"/>
    </row>
    <row r="124" spans="1:9">
      <c r="A124" s="893"/>
      <c r="B124" s="895"/>
      <c r="C124" s="130" t="s">
        <v>171</v>
      </c>
      <c r="D124" s="338" t="str">
        <f>IF(E124='Parametre - Agendové IS'!BP10,"OK","Chyba počtu podaní")</f>
        <v>OK</v>
      </c>
      <c r="E124" s="339">
        <f t="shared" si="3"/>
        <v>0</v>
      </c>
      <c r="F124" s="194"/>
      <c r="G124" s="194"/>
      <c r="H124" s="194"/>
      <c r="I124" s="194"/>
    </row>
    <row r="125" spans="1:9">
      <c r="A125" s="893"/>
      <c r="B125" s="895"/>
      <c r="C125" s="130" t="s">
        <v>172</v>
      </c>
      <c r="D125" s="338" t="str">
        <f>IF(E125='Parametre - Agendové IS'!BP11,"OK","Chyba počtu podaní")</f>
        <v>OK</v>
      </c>
      <c r="E125" s="339">
        <f t="shared" si="3"/>
        <v>0</v>
      </c>
      <c r="F125" s="194"/>
      <c r="G125" s="194"/>
      <c r="H125" s="194"/>
      <c r="I125" s="194"/>
    </row>
    <row r="126" spans="1:9">
      <c r="A126" s="893"/>
      <c r="B126" s="895"/>
      <c r="C126" s="130" t="s">
        <v>173</v>
      </c>
      <c r="D126" s="338" t="str">
        <f>IF(E126='Parametre - Agendové IS'!BP12,"OK","Chyba počtu podaní")</f>
        <v>OK</v>
      </c>
      <c r="E126" s="339">
        <f t="shared" si="3"/>
        <v>0</v>
      </c>
      <c r="F126" s="194"/>
      <c r="G126" s="194"/>
      <c r="H126" s="194"/>
      <c r="I126" s="194"/>
    </row>
    <row r="127" spans="1:9">
      <c r="A127" s="893"/>
      <c r="B127" s="895"/>
      <c r="C127" s="130" t="s">
        <v>174</v>
      </c>
      <c r="D127" s="338" t="str">
        <f>IF(E127='Parametre - Agendové IS'!BP13,"OK","Chyba počtu podaní")</f>
        <v>OK</v>
      </c>
      <c r="E127" s="339">
        <f t="shared" si="3"/>
        <v>0</v>
      </c>
      <c r="F127" s="194"/>
      <c r="G127" s="194"/>
      <c r="H127" s="194"/>
      <c r="I127" s="194"/>
    </row>
    <row r="128" spans="1:9" ht="15" thickBot="1">
      <c r="A128" s="777"/>
      <c r="B128" s="896"/>
      <c r="C128" s="131" t="s">
        <v>175</v>
      </c>
      <c r="D128" s="338" t="str">
        <f>IF(E128='Parametre - Agendové IS'!BP14,"OK","Chyba počtu podaní")</f>
        <v>OK</v>
      </c>
      <c r="E128" s="339">
        <f t="shared" si="3"/>
        <v>0</v>
      </c>
      <c r="F128" s="194"/>
      <c r="G128" s="194"/>
      <c r="H128" s="194"/>
      <c r="I128" s="194"/>
    </row>
    <row r="129" spans="1:9">
      <c r="A129" s="775" t="s">
        <v>118</v>
      </c>
      <c r="B129" s="894" t="s">
        <v>214</v>
      </c>
      <c r="C129" s="133" t="s">
        <v>166</v>
      </c>
      <c r="D129" s="337" t="str">
        <f>IF(E129='Parametre - Agendové IS'!BP126,"OK","Chyba")</f>
        <v>OK</v>
      </c>
      <c r="E129" s="342">
        <f t="shared" si="3"/>
        <v>0</v>
      </c>
      <c r="F129" s="193"/>
      <c r="G129" s="193"/>
      <c r="H129" s="193"/>
      <c r="I129" s="193"/>
    </row>
    <row r="130" spans="1:9">
      <c r="A130" s="893"/>
      <c r="B130" s="895"/>
      <c r="C130" s="130" t="s">
        <v>167</v>
      </c>
      <c r="D130" s="338" t="str">
        <f>IF(E130='Parametre - Agendové IS'!BP127,"OK","Chyba")</f>
        <v>OK</v>
      </c>
      <c r="E130" s="339">
        <f t="shared" si="3"/>
        <v>0</v>
      </c>
      <c r="F130" s="194"/>
      <c r="G130" s="194"/>
      <c r="H130" s="194"/>
      <c r="I130" s="194"/>
    </row>
    <row r="131" spans="1:9">
      <c r="A131" s="893"/>
      <c r="B131" s="895"/>
      <c r="C131" s="130" t="s">
        <v>168</v>
      </c>
      <c r="D131" s="338" t="str">
        <f>IF(E131='Parametre - Agendové IS'!BP128,"OK","Chyba")</f>
        <v>OK</v>
      </c>
      <c r="E131" s="339">
        <f t="shared" si="3"/>
        <v>0</v>
      </c>
      <c r="F131" s="194"/>
      <c r="G131" s="194"/>
      <c r="H131" s="194"/>
      <c r="I131" s="194"/>
    </row>
    <row r="132" spans="1:9">
      <c r="A132" s="893"/>
      <c r="B132" s="895"/>
      <c r="C132" s="130" t="s">
        <v>169</v>
      </c>
      <c r="D132" s="338" t="str">
        <f>IF(E132='Parametre - Agendové IS'!BP129,"OK","Chyba")</f>
        <v>OK</v>
      </c>
      <c r="E132" s="339">
        <f t="shared" si="3"/>
        <v>0</v>
      </c>
      <c r="F132" s="194"/>
      <c r="G132" s="194"/>
      <c r="H132" s="194"/>
      <c r="I132" s="194"/>
    </row>
    <row r="133" spans="1:9">
      <c r="A133" s="893"/>
      <c r="B133" s="895"/>
      <c r="C133" s="130" t="s">
        <v>170</v>
      </c>
      <c r="D133" s="338" t="str">
        <f>IF(E133='Parametre - Agendové IS'!BP130,"OK","Chyba")</f>
        <v>OK</v>
      </c>
      <c r="E133" s="339">
        <f t="shared" si="3"/>
        <v>0</v>
      </c>
      <c r="F133" s="194"/>
      <c r="G133" s="194"/>
      <c r="H133" s="194"/>
      <c r="I133" s="194"/>
    </row>
    <row r="134" spans="1:9">
      <c r="A134" s="893"/>
      <c r="B134" s="895"/>
      <c r="C134" s="130" t="s">
        <v>171</v>
      </c>
      <c r="D134" s="338" t="str">
        <f>IF(E134='Parametre - Agendové IS'!BP131,"OK","Chyba")</f>
        <v>OK</v>
      </c>
      <c r="E134" s="339">
        <f t="shared" si="3"/>
        <v>0</v>
      </c>
      <c r="F134" s="194"/>
      <c r="G134" s="194"/>
      <c r="H134" s="194"/>
      <c r="I134" s="194"/>
    </row>
    <row r="135" spans="1:9">
      <c r="A135" s="893"/>
      <c r="B135" s="895"/>
      <c r="C135" s="130" t="s">
        <v>172</v>
      </c>
      <c r="D135" s="338" t="str">
        <f>IF(E135='Parametre - Agendové IS'!BP132,"OK","Chyba")</f>
        <v>OK</v>
      </c>
      <c r="E135" s="339">
        <f t="shared" si="3"/>
        <v>0</v>
      </c>
      <c r="F135" s="194"/>
      <c r="G135" s="194"/>
      <c r="H135" s="194"/>
      <c r="I135" s="194"/>
    </row>
    <row r="136" spans="1:9">
      <c r="A136" s="893"/>
      <c r="B136" s="895"/>
      <c r="C136" s="130" t="s">
        <v>173</v>
      </c>
      <c r="D136" s="338" t="str">
        <f>IF(E136='Parametre - Agendové IS'!BP133,"OK","Chyba")</f>
        <v>OK</v>
      </c>
      <c r="E136" s="339">
        <f t="shared" si="3"/>
        <v>0</v>
      </c>
      <c r="F136" s="194"/>
      <c r="G136" s="194"/>
      <c r="H136" s="194"/>
      <c r="I136" s="194"/>
    </row>
    <row r="137" spans="1:9">
      <c r="A137" s="893"/>
      <c r="B137" s="895"/>
      <c r="C137" s="130" t="s">
        <v>174</v>
      </c>
      <c r="D137" s="338" t="str">
        <f>IF(E137='Parametre - Agendové IS'!BP134,"OK","Chyba")</f>
        <v>OK</v>
      </c>
      <c r="E137" s="339">
        <f t="shared" si="3"/>
        <v>0</v>
      </c>
      <c r="F137" s="194"/>
      <c r="G137" s="194"/>
      <c r="H137" s="194"/>
      <c r="I137" s="194"/>
    </row>
    <row r="138" spans="1:9" ht="15" thickBot="1">
      <c r="A138" s="777"/>
      <c r="B138" s="896"/>
      <c r="C138" s="131" t="s">
        <v>175</v>
      </c>
      <c r="D138" s="338" t="str">
        <f>IF(E138='Parametre - Agendové IS'!BP135,"OK","Chyba")</f>
        <v>OK</v>
      </c>
      <c r="E138" s="339">
        <f t="shared" si="3"/>
        <v>0</v>
      </c>
      <c r="F138" s="194"/>
      <c r="G138" s="194"/>
      <c r="H138" s="194"/>
      <c r="I138" s="194"/>
    </row>
  </sheetData>
  <mergeCells count="32">
    <mergeCell ref="A129:A138"/>
    <mergeCell ref="B129:B138"/>
    <mergeCell ref="A24:A33"/>
    <mergeCell ref="B24:B33"/>
    <mergeCell ref="A59:A68"/>
    <mergeCell ref="B59:B68"/>
    <mergeCell ref="A94:A103"/>
    <mergeCell ref="B94:B103"/>
    <mergeCell ref="A37:C38"/>
    <mergeCell ref="A39:A48"/>
    <mergeCell ref="B39:B48"/>
    <mergeCell ref="A49:A58"/>
    <mergeCell ref="B49:B58"/>
    <mergeCell ref="A72:C73"/>
    <mergeCell ref="A74:A83"/>
    <mergeCell ref="B74:B83"/>
    <mergeCell ref="D107:E107"/>
    <mergeCell ref="D72:E72"/>
    <mergeCell ref="D37:E37"/>
    <mergeCell ref="D2:E2"/>
    <mergeCell ref="A2:C3"/>
    <mergeCell ref="B4:B13"/>
    <mergeCell ref="A14:A23"/>
    <mergeCell ref="B14:B23"/>
    <mergeCell ref="A4:A13"/>
    <mergeCell ref="A119:A128"/>
    <mergeCell ref="B119:B128"/>
    <mergeCell ref="A109:A118"/>
    <mergeCell ref="B109:B118"/>
    <mergeCell ref="A84:A93"/>
    <mergeCell ref="B84:B93"/>
    <mergeCell ref="A107:C108"/>
  </mergeCells>
  <pageMargins left="0.7" right="0.7" top="0.75" bottom="0.75" header="0.3" footer="0.3"/>
  <pageSetup paperSize="9" scale="3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árok23">
    <tabColor theme="0" tint="-0.34998626667073579"/>
  </sheetPr>
  <dimension ref="A1:V22"/>
  <sheetViews>
    <sheetView tabSelected="1" zoomScale="115" zoomScaleNormal="115" workbookViewId="0">
      <pane xSplit="6" ySplit="2" topLeftCell="G3" activePane="bottomRight" state="frozen"/>
      <selection pane="topRight" activeCell="G1" sqref="G1"/>
      <selection pane="bottomLeft" activeCell="A3" sqref="A3"/>
      <selection pane="bottomRight" activeCell="G4" sqref="G4"/>
    </sheetView>
  </sheetViews>
  <sheetFormatPr defaultColWidth="8.81640625" defaultRowHeight="13"/>
  <cols>
    <col min="1" max="1" width="15.26953125" style="519" bestFit="1" customWidth="1"/>
    <col min="2" max="2" width="19.26953125" style="519" bestFit="1" customWidth="1"/>
    <col min="3" max="4" width="12.81640625" style="519" customWidth="1"/>
    <col min="5" max="5" width="12.7265625" style="519" bestFit="1" customWidth="1"/>
    <col min="6" max="6" width="6.7265625" style="519" customWidth="1"/>
    <col min="7" max="7" width="13.1796875" style="519" customWidth="1"/>
    <col min="8" max="8" width="11.7265625" style="519" customWidth="1"/>
    <col min="9" max="13" width="8.453125" style="519" customWidth="1"/>
    <col min="14" max="14" width="10.453125" style="519" customWidth="1"/>
    <col min="15" max="15" width="13.7265625" style="519" customWidth="1"/>
    <col min="16" max="16" width="12.453125" style="519" customWidth="1"/>
    <col min="17" max="17" width="13.7265625" style="519" customWidth="1"/>
    <col min="18" max="19" width="12.453125" style="519" customWidth="1"/>
    <col min="20" max="20" width="13.7265625" style="519" customWidth="1"/>
    <col min="21" max="22" width="13.453125" style="519" customWidth="1"/>
    <col min="23" max="16384" width="8.81640625" style="519"/>
  </cols>
  <sheetData>
    <row r="1" spans="1:22" s="512" customFormat="1" ht="14.5" customHeight="1">
      <c r="A1" s="732" t="s">
        <v>122</v>
      </c>
      <c r="B1" s="732" t="s">
        <v>123</v>
      </c>
      <c r="C1" s="732" t="s">
        <v>124</v>
      </c>
      <c r="D1" s="740" t="s">
        <v>125</v>
      </c>
      <c r="E1" s="736" t="s">
        <v>126</v>
      </c>
      <c r="F1" s="737"/>
      <c r="G1" s="732" t="s">
        <v>124</v>
      </c>
      <c r="H1" s="733" t="s">
        <v>127</v>
      </c>
      <c r="I1" s="734"/>
      <c r="J1" s="734"/>
      <c r="K1" s="734"/>
      <c r="L1" s="735"/>
      <c r="M1" s="662"/>
      <c r="N1" s="662"/>
      <c r="O1" s="729" t="s">
        <v>128</v>
      </c>
      <c r="P1" s="729"/>
      <c r="Q1" s="729"/>
      <c r="R1" s="729"/>
      <c r="S1" s="729"/>
      <c r="T1" s="729"/>
      <c r="U1" s="727" t="s">
        <v>129</v>
      </c>
      <c r="V1" s="728"/>
    </row>
    <row r="2" spans="1:22" s="512" customFormat="1" ht="39">
      <c r="A2" s="732"/>
      <c r="B2" s="732"/>
      <c r="C2" s="732"/>
      <c r="D2" s="741"/>
      <c r="E2" s="738"/>
      <c r="F2" s="739"/>
      <c r="G2" s="732"/>
      <c r="H2" s="513" t="s">
        <v>130</v>
      </c>
      <c r="I2" s="514" t="s">
        <v>131</v>
      </c>
      <c r="J2" s="514" t="s">
        <v>132</v>
      </c>
      <c r="K2" s="514" t="s">
        <v>133</v>
      </c>
      <c r="L2" s="514" t="s">
        <v>134</v>
      </c>
      <c r="M2" s="514" t="s">
        <v>135</v>
      </c>
      <c r="N2" s="514" t="s">
        <v>136</v>
      </c>
      <c r="O2" s="514" t="s">
        <v>131</v>
      </c>
      <c r="P2" s="514" t="s">
        <v>137</v>
      </c>
      <c r="Q2" s="514" t="s">
        <v>132</v>
      </c>
      <c r="R2" s="514" t="s">
        <v>137</v>
      </c>
      <c r="S2" s="514" t="s">
        <v>133</v>
      </c>
      <c r="T2" s="514" t="s">
        <v>134</v>
      </c>
      <c r="U2" s="514" t="s">
        <v>131</v>
      </c>
      <c r="V2" s="514" t="s">
        <v>132</v>
      </c>
    </row>
    <row r="3" spans="1:22">
      <c r="A3" s="742" t="s">
        <v>138</v>
      </c>
      <c r="B3" s="742" t="s">
        <v>139</v>
      </c>
      <c r="C3" s="745">
        <f>'TCO TO BE- SW'!E36</f>
        <v>26775626.07</v>
      </c>
      <c r="D3" s="650" t="s">
        <v>140</v>
      </c>
      <c r="E3" s="730" t="s">
        <v>141</v>
      </c>
      <c r="F3" s="731"/>
      <c r="G3" s="516">
        <f>SUM('TCO TO BE- SW'!E47:E56,'TCO TO BE- SW'!E67:E76)</f>
        <v>0</v>
      </c>
      <c r="H3" s="517" t="str">
        <f t="shared" ref="H3:H21" si="0">IF(SUM(I3:L3)=0,"",SUM(I3:L3))</f>
        <v/>
      </c>
      <c r="I3" s="623"/>
      <c r="J3" s="623"/>
      <c r="K3" s="623"/>
      <c r="L3" s="623"/>
      <c r="M3" s="623"/>
      <c r="N3" s="623"/>
      <c r="O3" s="518">
        <f>$G3*I3</f>
        <v>0</v>
      </c>
      <c r="P3" s="627"/>
      <c r="Q3" s="518">
        <f t="shared" ref="Q3:Q21" si="1">$G3*J3</f>
        <v>0</v>
      </c>
      <c r="R3" s="627"/>
      <c r="S3" s="518">
        <f>$G3*K3</f>
        <v>0</v>
      </c>
      <c r="T3" s="518">
        <f>$G3*L3</f>
        <v>0</v>
      </c>
      <c r="U3" s="517">
        <f>IFERROR(P3/O3,0)</f>
        <v>0</v>
      </c>
      <c r="V3" s="517">
        <f>IFERROR(R3/Q3,0)</f>
        <v>0</v>
      </c>
    </row>
    <row r="4" spans="1:22">
      <c r="A4" s="743"/>
      <c r="B4" s="743"/>
      <c r="C4" s="745"/>
      <c r="D4" s="650" t="s">
        <v>142</v>
      </c>
      <c r="E4" s="730" t="s">
        <v>141</v>
      </c>
      <c r="F4" s="731"/>
      <c r="G4" s="516">
        <f>SUM('TCO TO BE- SW'!E37:E46)</f>
        <v>25910920.469999999</v>
      </c>
      <c r="H4" s="517">
        <f t="shared" si="0"/>
        <v>1</v>
      </c>
      <c r="I4" s="623"/>
      <c r="J4" s="623"/>
      <c r="K4" s="623"/>
      <c r="L4" s="623">
        <v>1</v>
      </c>
      <c r="M4" s="623"/>
      <c r="N4" s="623"/>
      <c r="O4" s="518">
        <f t="shared" ref="O4:O21" si="2">$G4*I4</f>
        <v>0</v>
      </c>
      <c r="P4" s="627"/>
      <c r="Q4" s="518">
        <f t="shared" si="1"/>
        <v>0</v>
      </c>
      <c r="R4" s="627"/>
      <c r="S4" s="518">
        <f t="shared" ref="S4:S21" si="3">$G4*K4</f>
        <v>0</v>
      </c>
      <c r="T4" s="518">
        <f t="shared" ref="T4:T21" si="4">$G4*L4</f>
        <v>25910920.469999999</v>
      </c>
      <c r="U4" s="517">
        <f t="shared" ref="U4:U21" si="5">IFERROR(P4/O4,0)</f>
        <v>0</v>
      </c>
      <c r="V4" s="517">
        <f t="shared" ref="V4:V21" si="6">IFERROR(R4/Q4,0)</f>
        <v>0</v>
      </c>
    </row>
    <row r="5" spans="1:22">
      <c r="A5" s="743"/>
      <c r="B5" s="744"/>
      <c r="C5" s="745"/>
      <c r="D5" s="650" t="s">
        <v>140</v>
      </c>
      <c r="E5" s="730" t="s">
        <v>143</v>
      </c>
      <c r="F5" s="731"/>
      <c r="G5" s="516">
        <f>SUM('TCO TO BE- SW'!E57:E66)</f>
        <v>864705.60000000009</v>
      </c>
      <c r="H5" s="517">
        <f t="shared" si="0"/>
        <v>1</v>
      </c>
      <c r="I5" s="623"/>
      <c r="J5" s="623"/>
      <c r="K5" s="623">
        <v>1</v>
      </c>
      <c r="L5" s="623"/>
      <c r="M5" s="623"/>
      <c r="N5" s="623"/>
      <c r="O5" s="518">
        <f t="shared" si="2"/>
        <v>0</v>
      </c>
      <c r="P5" s="627"/>
      <c r="Q5" s="518">
        <f t="shared" si="1"/>
        <v>0</v>
      </c>
      <c r="R5" s="627"/>
      <c r="S5" s="518">
        <f t="shared" si="3"/>
        <v>864705.60000000009</v>
      </c>
      <c r="T5" s="518">
        <f t="shared" si="4"/>
        <v>0</v>
      </c>
      <c r="U5" s="517">
        <f t="shared" si="5"/>
        <v>0</v>
      </c>
      <c r="V5" s="517">
        <f t="shared" si="6"/>
        <v>0</v>
      </c>
    </row>
    <row r="6" spans="1:22">
      <c r="A6" s="743"/>
      <c r="B6" s="742" t="s">
        <v>144</v>
      </c>
      <c r="C6" s="745">
        <f>'TCO TO BE - HW'!E4+'TCO TO BE- SW'!E5</f>
        <v>16360749</v>
      </c>
      <c r="D6" s="650" t="s">
        <v>140</v>
      </c>
      <c r="E6" s="730" t="s">
        <v>141</v>
      </c>
      <c r="F6" s="731"/>
      <c r="G6" s="516">
        <f>SUM('TCO TO BE- SW'!E26:E35)+SUM('TCO TO BE - HW'!E15:E34)+SUM('TCO TO BE - HW'!E45:E54)</f>
        <v>0</v>
      </c>
      <c r="H6" s="517" t="str">
        <f t="shared" si="0"/>
        <v/>
      </c>
      <c r="I6" s="623"/>
      <c r="J6" s="623"/>
      <c r="K6" s="623"/>
      <c r="L6" s="623"/>
      <c r="M6" s="623"/>
      <c r="N6" s="623"/>
      <c r="O6" s="518">
        <f t="shared" si="2"/>
        <v>0</v>
      </c>
      <c r="P6" s="627"/>
      <c r="Q6" s="518">
        <f t="shared" si="1"/>
        <v>0</v>
      </c>
      <c r="R6" s="627"/>
      <c r="S6" s="518">
        <f t="shared" si="3"/>
        <v>0</v>
      </c>
      <c r="T6" s="518">
        <f t="shared" si="4"/>
        <v>0</v>
      </c>
      <c r="U6" s="517">
        <f t="shared" si="5"/>
        <v>0</v>
      </c>
      <c r="V6" s="517">
        <f t="shared" si="6"/>
        <v>0</v>
      </c>
    </row>
    <row r="7" spans="1:22">
      <c r="A7" s="743"/>
      <c r="B7" s="743"/>
      <c r="C7" s="745"/>
      <c r="D7" s="650" t="s">
        <v>142</v>
      </c>
      <c r="E7" s="730" t="s">
        <v>141</v>
      </c>
      <c r="F7" s="731"/>
      <c r="G7" s="516">
        <f>SUM('TCO TO BE- SW'!E6:E15)+SUM('TCO TO BE - HW'!E5:E14)</f>
        <v>16360749</v>
      </c>
      <c r="H7" s="517">
        <f t="shared" si="0"/>
        <v>1</v>
      </c>
      <c r="I7" s="623"/>
      <c r="J7" s="623"/>
      <c r="K7" s="623"/>
      <c r="L7" s="623">
        <v>1</v>
      </c>
      <c r="M7" s="623"/>
      <c r="N7" s="623"/>
      <c r="O7" s="518">
        <f t="shared" si="2"/>
        <v>0</v>
      </c>
      <c r="P7" s="627"/>
      <c r="Q7" s="518">
        <f t="shared" si="1"/>
        <v>0</v>
      </c>
      <c r="R7" s="627"/>
      <c r="S7" s="518">
        <f t="shared" si="3"/>
        <v>0</v>
      </c>
      <c r="T7" s="518">
        <f t="shared" si="4"/>
        <v>16360749</v>
      </c>
      <c r="U7" s="517">
        <f t="shared" si="5"/>
        <v>0</v>
      </c>
      <c r="V7" s="517">
        <f t="shared" si="6"/>
        <v>0</v>
      </c>
    </row>
    <row r="8" spans="1:22">
      <c r="A8" s="744"/>
      <c r="B8" s="744"/>
      <c r="C8" s="745"/>
      <c r="D8" s="650" t="s">
        <v>140</v>
      </c>
      <c r="E8" s="730" t="s">
        <v>143</v>
      </c>
      <c r="F8" s="731"/>
      <c r="G8" s="516">
        <f>SUM('TCO TO BE- SW'!E16:E25)+SUM('TCO TO BE - HW'!E35:E44)</f>
        <v>0</v>
      </c>
      <c r="H8" s="517" t="str">
        <f t="shared" si="0"/>
        <v/>
      </c>
      <c r="I8" s="623"/>
      <c r="J8" s="623"/>
      <c r="K8" s="623"/>
      <c r="L8" s="623"/>
      <c r="M8" s="623"/>
      <c r="N8" s="623"/>
      <c r="O8" s="518">
        <f t="shared" si="2"/>
        <v>0</v>
      </c>
      <c r="P8" s="627"/>
      <c r="Q8" s="518">
        <f t="shared" si="1"/>
        <v>0</v>
      </c>
      <c r="R8" s="627"/>
      <c r="S8" s="518">
        <f t="shared" si="3"/>
        <v>0</v>
      </c>
      <c r="T8" s="518">
        <f t="shared" si="4"/>
        <v>0</v>
      </c>
      <c r="U8" s="517">
        <f t="shared" si="5"/>
        <v>0</v>
      </c>
      <c r="V8" s="517">
        <f t="shared" si="6"/>
        <v>0</v>
      </c>
    </row>
    <row r="9" spans="1:22">
      <c r="A9" s="742" t="s">
        <v>145</v>
      </c>
      <c r="B9" s="742" t="s">
        <v>103</v>
      </c>
      <c r="C9" s="745">
        <f>'TCO TO BE- SW'!E99</f>
        <v>31874402.169160787</v>
      </c>
      <c r="D9" s="650" t="s">
        <v>140</v>
      </c>
      <c r="E9" s="730" t="s">
        <v>141</v>
      </c>
      <c r="F9" s="731"/>
      <c r="G9" s="516">
        <f>SUM('TCO TO BE- SW'!E100:E119,'TCO TO BE- SW'!E140:E149)</f>
        <v>14874721.012275033</v>
      </c>
      <c r="H9" s="517">
        <f t="shared" si="0"/>
        <v>1</v>
      </c>
      <c r="I9" s="623"/>
      <c r="J9" s="623"/>
      <c r="K9" s="623">
        <v>1</v>
      </c>
      <c r="L9" s="623"/>
      <c r="M9" s="623"/>
      <c r="N9" s="623"/>
      <c r="O9" s="518">
        <f t="shared" si="2"/>
        <v>0</v>
      </c>
      <c r="P9" s="627"/>
      <c r="Q9" s="518">
        <f t="shared" si="1"/>
        <v>0</v>
      </c>
      <c r="R9" s="627"/>
      <c r="S9" s="518">
        <f t="shared" si="3"/>
        <v>14874721.012275033</v>
      </c>
      <c r="T9" s="518">
        <f t="shared" si="4"/>
        <v>0</v>
      </c>
      <c r="U9" s="517">
        <f t="shared" si="5"/>
        <v>0</v>
      </c>
      <c r="V9" s="517">
        <f t="shared" si="6"/>
        <v>0</v>
      </c>
    </row>
    <row r="10" spans="1:22">
      <c r="A10" s="743"/>
      <c r="B10" s="743"/>
      <c r="C10" s="745"/>
      <c r="D10" s="650" t="s">
        <v>142</v>
      </c>
      <c r="E10" s="730" t="s">
        <v>141</v>
      </c>
      <c r="F10" s="731"/>
      <c r="G10" s="516">
        <f>SUM('TCO TO BE- SW'!E120:E129)</f>
        <v>16999681.156885754</v>
      </c>
      <c r="H10" s="517">
        <f t="shared" si="0"/>
        <v>1</v>
      </c>
      <c r="I10" s="623"/>
      <c r="J10" s="623">
        <v>1</v>
      </c>
      <c r="K10" s="623"/>
      <c r="L10" s="623"/>
      <c r="M10" s="623"/>
      <c r="N10" s="623"/>
      <c r="O10" s="518">
        <f t="shared" si="2"/>
        <v>0</v>
      </c>
      <c r="P10" s="627"/>
      <c r="Q10" s="518">
        <f t="shared" si="1"/>
        <v>16999681.156885754</v>
      </c>
      <c r="R10" s="627"/>
      <c r="S10" s="518">
        <f t="shared" si="3"/>
        <v>0</v>
      </c>
      <c r="T10" s="518">
        <f t="shared" si="4"/>
        <v>0</v>
      </c>
      <c r="U10" s="517">
        <f t="shared" si="5"/>
        <v>0</v>
      </c>
      <c r="V10" s="517">
        <f t="shared" si="6"/>
        <v>0</v>
      </c>
    </row>
    <row r="11" spans="1:22">
      <c r="A11" s="743"/>
      <c r="B11" s="744"/>
      <c r="C11" s="745"/>
      <c r="D11" s="650" t="s">
        <v>140</v>
      </c>
      <c r="E11" s="730" t="s">
        <v>143</v>
      </c>
      <c r="F11" s="731"/>
      <c r="G11" s="516">
        <f>SUM('TCO TO BE- SW'!E130:E139)</f>
        <v>0</v>
      </c>
      <c r="H11" s="517" t="str">
        <f t="shared" si="0"/>
        <v/>
      </c>
      <c r="I11" s="623"/>
      <c r="J11" s="623"/>
      <c r="K11" s="623"/>
      <c r="L11" s="623"/>
      <c r="M11" s="623"/>
      <c r="N11" s="623"/>
      <c r="O11" s="518">
        <f t="shared" si="2"/>
        <v>0</v>
      </c>
      <c r="P11" s="627"/>
      <c r="Q11" s="518">
        <f t="shared" si="1"/>
        <v>0</v>
      </c>
      <c r="R11" s="627"/>
      <c r="S11" s="518">
        <f t="shared" si="3"/>
        <v>0</v>
      </c>
      <c r="T11" s="518">
        <f t="shared" si="4"/>
        <v>0</v>
      </c>
      <c r="U11" s="517">
        <f t="shared" si="5"/>
        <v>0</v>
      </c>
      <c r="V11" s="517">
        <f t="shared" si="6"/>
        <v>0</v>
      </c>
    </row>
    <row r="12" spans="1:22">
      <c r="A12" s="743"/>
      <c r="B12" s="742" t="s">
        <v>146</v>
      </c>
      <c r="C12" s="745">
        <f>'TCO TO BE - HW'!E55+'TCO TO BE- SW'!E78</f>
        <v>0</v>
      </c>
      <c r="D12" s="650" t="s">
        <v>140</v>
      </c>
      <c r="E12" s="730" t="s">
        <v>141</v>
      </c>
      <c r="F12" s="731"/>
      <c r="G12" s="516">
        <f>SUM('TCO TO BE- SW'!E79:E88)+SUM('TCO TO BE - HW'!E56:E65,'TCO TO BE - HW'!E76:E85,'TCO TO BE - HW'!E96:E105)</f>
        <v>0</v>
      </c>
      <c r="H12" s="517">
        <f t="shared" si="0"/>
        <v>1</v>
      </c>
      <c r="I12" s="623">
        <v>1</v>
      </c>
      <c r="J12" s="623"/>
      <c r="K12" s="623"/>
      <c r="L12" s="623"/>
      <c r="M12" s="623"/>
      <c r="N12" s="623"/>
      <c r="O12" s="518">
        <f t="shared" si="2"/>
        <v>0</v>
      </c>
      <c r="P12" s="627"/>
      <c r="Q12" s="518">
        <f t="shared" si="1"/>
        <v>0</v>
      </c>
      <c r="R12" s="627"/>
      <c r="S12" s="518">
        <f t="shared" si="3"/>
        <v>0</v>
      </c>
      <c r="T12" s="518">
        <f t="shared" si="4"/>
        <v>0</v>
      </c>
      <c r="U12" s="517">
        <f t="shared" si="5"/>
        <v>0</v>
      </c>
      <c r="V12" s="517">
        <f t="shared" si="6"/>
        <v>0</v>
      </c>
    </row>
    <row r="13" spans="1:22">
      <c r="A13" s="743"/>
      <c r="B13" s="743"/>
      <c r="C13" s="745"/>
      <c r="D13" s="650" t="s">
        <v>142</v>
      </c>
      <c r="E13" s="730" t="s">
        <v>141</v>
      </c>
      <c r="F13" s="731"/>
      <c r="G13" s="516">
        <f>SUM('TCO TO BE- SW'!E89:E98)+SUM('TCO TO BE - HW'!E66:E75)</f>
        <v>0</v>
      </c>
      <c r="H13" s="517">
        <f t="shared" si="0"/>
        <v>1</v>
      </c>
      <c r="I13" s="623"/>
      <c r="J13" s="623">
        <v>1</v>
      </c>
      <c r="K13" s="623"/>
      <c r="L13" s="623"/>
      <c r="M13" s="623"/>
      <c r="N13" s="623"/>
      <c r="O13" s="518">
        <f t="shared" si="2"/>
        <v>0</v>
      </c>
      <c r="P13" s="627"/>
      <c r="Q13" s="518">
        <f t="shared" si="1"/>
        <v>0</v>
      </c>
      <c r="R13" s="627"/>
      <c r="S13" s="518">
        <f t="shared" si="3"/>
        <v>0</v>
      </c>
      <c r="T13" s="518">
        <f t="shared" si="4"/>
        <v>0</v>
      </c>
      <c r="U13" s="517">
        <f t="shared" si="5"/>
        <v>0</v>
      </c>
      <c r="V13" s="517">
        <f t="shared" si="6"/>
        <v>0</v>
      </c>
    </row>
    <row r="14" spans="1:22">
      <c r="A14" s="744"/>
      <c r="B14" s="744"/>
      <c r="C14" s="745"/>
      <c r="D14" s="650" t="s">
        <v>140</v>
      </c>
      <c r="E14" s="730" t="s">
        <v>143</v>
      </c>
      <c r="F14" s="731"/>
      <c r="G14" s="516">
        <f>SUM('TCO TO BE - HW'!E86:E95)</f>
        <v>0</v>
      </c>
      <c r="H14" s="517" t="str">
        <f t="shared" si="0"/>
        <v/>
      </c>
      <c r="I14" s="623"/>
      <c r="J14" s="623"/>
      <c r="K14" s="623"/>
      <c r="L14" s="623"/>
      <c r="M14" s="623"/>
      <c r="N14" s="623"/>
      <c r="O14" s="518">
        <f t="shared" si="2"/>
        <v>0</v>
      </c>
      <c r="P14" s="627"/>
      <c r="Q14" s="518">
        <f t="shared" si="1"/>
        <v>0</v>
      </c>
      <c r="R14" s="627"/>
      <c r="S14" s="518">
        <f t="shared" si="3"/>
        <v>0</v>
      </c>
      <c r="T14" s="518">
        <f t="shared" si="4"/>
        <v>0</v>
      </c>
      <c r="U14" s="517">
        <f t="shared" si="5"/>
        <v>0</v>
      </c>
      <c r="V14" s="517">
        <f t="shared" si="6"/>
        <v>0</v>
      </c>
    </row>
    <row r="15" spans="1:22" ht="14.5" customHeight="1">
      <c r="A15" s="752" t="s">
        <v>147</v>
      </c>
      <c r="B15" s="742" t="s">
        <v>148</v>
      </c>
      <c r="C15" s="745">
        <f>SUM('TCO TO BE- SW'!E151:E160)</f>
        <v>234892.80000000002</v>
      </c>
      <c r="D15" s="650" t="s">
        <v>140</v>
      </c>
      <c r="E15" s="730" t="s">
        <v>141</v>
      </c>
      <c r="F15" s="731"/>
      <c r="G15" s="518">
        <f>SUM(EXTERNE_POZICIE!M41:M52)</f>
        <v>0</v>
      </c>
      <c r="H15" s="517">
        <f t="shared" si="0"/>
        <v>1</v>
      </c>
      <c r="I15" s="623"/>
      <c r="J15" s="623"/>
      <c r="K15" s="623">
        <v>1</v>
      </c>
      <c r="L15" s="623"/>
      <c r="M15" s="623"/>
      <c r="N15" s="623"/>
      <c r="O15" s="518">
        <f t="shared" si="2"/>
        <v>0</v>
      </c>
      <c r="P15" s="627"/>
      <c r="Q15" s="518">
        <f t="shared" si="1"/>
        <v>0</v>
      </c>
      <c r="R15" s="627"/>
      <c r="S15" s="518">
        <f t="shared" si="3"/>
        <v>0</v>
      </c>
      <c r="T15" s="518">
        <f t="shared" si="4"/>
        <v>0</v>
      </c>
      <c r="U15" s="517">
        <f t="shared" si="5"/>
        <v>0</v>
      </c>
      <c r="V15" s="517">
        <f t="shared" si="6"/>
        <v>0</v>
      </c>
    </row>
    <row r="16" spans="1:22">
      <c r="A16" s="753"/>
      <c r="B16" s="744"/>
      <c r="C16" s="745"/>
      <c r="D16" s="650" t="s">
        <v>140</v>
      </c>
      <c r="E16" s="730" t="s">
        <v>143</v>
      </c>
      <c r="F16" s="731"/>
      <c r="G16" s="516">
        <f>SUM(POZICIE_INTERNE!I40:I51)</f>
        <v>234892.80000000002</v>
      </c>
      <c r="H16" s="517">
        <f t="shared" si="0"/>
        <v>1</v>
      </c>
      <c r="I16" s="623"/>
      <c r="J16" s="623"/>
      <c r="K16" s="623">
        <v>1</v>
      </c>
      <c r="L16" s="623"/>
      <c r="M16" s="623"/>
      <c r="N16" s="623"/>
      <c r="O16" s="518">
        <f t="shared" si="2"/>
        <v>0</v>
      </c>
      <c r="P16" s="627"/>
      <c r="Q16" s="518">
        <f t="shared" si="1"/>
        <v>0</v>
      </c>
      <c r="R16" s="627"/>
      <c r="S16" s="518">
        <f t="shared" si="3"/>
        <v>234892.80000000002</v>
      </c>
      <c r="T16" s="518">
        <f t="shared" si="4"/>
        <v>0</v>
      </c>
      <c r="U16" s="517">
        <f t="shared" si="5"/>
        <v>0</v>
      </c>
      <c r="V16" s="517">
        <f t="shared" si="6"/>
        <v>0</v>
      </c>
    </row>
    <row r="17" spans="1:22">
      <c r="A17" s="753"/>
      <c r="B17" s="742" t="s">
        <v>149</v>
      </c>
      <c r="C17" s="745">
        <f>SUM('TCO TO BE- SW'!E161:E170)</f>
        <v>2784653.4548999998</v>
      </c>
      <c r="D17" s="650" t="s">
        <v>140</v>
      </c>
      <c r="E17" s="730" t="s">
        <v>141</v>
      </c>
      <c r="F17" s="731"/>
      <c r="G17" s="516">
        <f>SUM(EXTERNE_POZICIE!M53:M64)</f>
        <v>0</v>
      </c>
      <c r="H17" s="517">
        <f t="shared" si="0"/>
        <v>1</v>
      </c>
      <c r="I17" s="623"/>
      <c r="J17" s="623"/>
      <c r="K17" s="623">
        <v>1</v>
      </c>
      <c r="L17" s="623"/>
      <c r="M17" s="623"/>
      <c r="N17" s="623"/>
      <c r="O17" s="518">
        <f t="shared" si="2"/>
        <v>0</v>
      </c>
      <c r="P17" s="627"/>
      <c r="Q17" s="518">
        <f t="shared" si="1"/>
        <v>0</v>
      </c>
      <c r="R17" s="627"/>
      <c r="S17" s="518">
        <f t="shared" si="3"/>
        <v>0</v>
      </c>
      <c r="T17" s="518">
        <f t="shared" si="4"/>
        <v>0</v>
      </c>
      <c r="U17" s="517">
        <f t="shared" si="5"/>
        <v>0</v>
      </c>
      <c r="V17" s="517">
        <f t="shared" si="6"/>
        <v>0</v>
      </c>
    </row>
    <row r="18" spans="1:22">
      <c r="A18" s="753"/>
      <c r="B18" s="744"/>
      <c r="C18" s="745"/>
      <c r="D18" s="650" t="s">
        <v>140</v>
      </c>
      <c r="E18" s="730" t="s">
        <v>143</v>
      </c>
      <c r="F18" s="731"/>
      <c r="G18" s="516">
        <f>SUM(POZICIE_INTERNE!I52:I62)</f>
        <v>117446.40000000001</v>
      </c>
      <c r="H18" s="517">
        <f t="shared" si="0"/>
        <v>1</v>
      </c>
      <c r="I18" s="623"/>
      <c r="J18" s="623"/>
      <c r="K18" s="623">
        <v>1</v>
      </c>
      <c r="L18" s="623"/>
      <c r="M18" s="623"/>
      <c r="N18" s="623"/>
      <c r="O18" s="518">
        <f t="shared" si="2"/>
        <v>0</v>
      </c>
      <c r="P18" s="627"/>
      <c r="Q18" s="518">
        <f t="shared" si="1"/>
        <v>0</v>
      </c>
      <c r="R18" s="627"/>
      <c r="S18" s="518">
        <f t="shared" si="3"/>
        <v>117446.40000000001</v>
      </c>
      <c r="T18" s="518">
        <f t="shared" si="4"/>
        <v>0</v>
      </c>
      <c r="U18" s="517">
        <f t="shared" si="5"/>
        <v>0</v>
      </c>
      <c r="V18" s="517">
        <f t="shared" si="6"/>
        <v>0</v>
      </c>
    </row>
    <row r="19" spans="1:22">
      <c r="A19" s="754"/>
      <c r="B19" s="665" t="s">
        <v>150</v>
      </c>
      <c r="C19" s="649"/>
      <c r="D19" s="755" t="s">
        <v>151</v>
      </c>
      <c r="E19" s="756"/>
      <c r="F19" s="664"/>
      <c r="G19" s="516">
        <f>POZICIE_INTERNE!I63</f>
        <v>2667207.0549000003</v>
      </c>
      <c r="H19" s="517">
        <f t="shared" si="0"/>
        <v>1</v>
      </c>
      <c r="I19" s="623"/>
      <c r="J19" s="623"/>
      <c r="K19" s="623">
        <v>1</v>
      </c>
      <c r="L19" s="623"/>
      <c r="M19" s="623"/>
      <c r="N19" s="623"/>
      <c r="O19" s="518"/>
      <c r="P19" s="627"/>
      <c r="Q19" s="518"/>
      <c r="R19" s="627"/>
      <c r="S19" s="518">
        <f t="shared" si="3"/>
        <v>2667207.0549000003</v>
      </c>
      <c r="T19" s="518"/>
      <c r="U19" s="517"/>
      <c r="V19" s="517"/>
    </row>
    <row r="20" spans="1:22">
      <c r="A20" s="748" t="s">
        <v>108</v>
      </c>
      <c r="B20" s="749"/>
      <c r="C20" s="745">
        <f>'TCO TO BE- SW'!E171</f>
        <v>0</v>
      </c>
      <c r="D20" s="649"/>
      <c r="E20" s="515" t="s">
        <v>141</v>
      </c>
      <c r="F20" s="623"/>
      <c r="G20" s="516">
        <f>C20*F20</f>
        <v>0</v>
      </c>
      <c r="H20" s="517" t="str">
        <f t="shared" si="0"/>
        <v/>
      </c>
      <c r="I20" s="623"/>
      <c r="J20" s="623"/>
      <c r="K20" s="623"/>
      <c r="L20" s="623"/>
      <c r="M20" s="623"/>
      <c r="N20" s="623"/>
      <c r="O20" s="518">
        <f t="shared" si="2"/>
        <v>0</v>
      </c>
      <c r="P20" s="627"/>
      <c r="Q20" s="518">
        <f t="shared" si="1"/>
        <v>0</v>
      </c>
      <c r="R20" s="627"/>
      <c r="S20" s="518">
        <f t="shared" si="3"/>
        <v>0</v>
      </c>
      <c r="T20" s="518">
        <f t="shared" si="4"/>
        <v>0</v>
      </c>
      <c r="U20" s="517">
        <f t="shared" si="5"/>
        <v>0</v>
      </c>
      <c r="V20" s="517">
        <f t="shared" si="6"/>
        <v>0</v>
      </c>
    </row>
    <row r="21" spans="1:22">
      <c r="A21" s="750"/>
      <c r="B21" s="751"/>
      <c r="C21" s="745"/>
      <c r="D21" s="649"/>
      <c r="E21" s="515" t="s">
        <v>143</v>
      </c>
      <c r="F21" s="623"/>
      <c r="G21" s="516">
        <f>F21*C20</f>
        <v>0</v>
      </c>
      <c r="H21" s="517" t="str">
        <f t="shared" si="0"/>
        <v/>
      </c>
      <c r="I21" s="623"/>
      <c r="J21" s="623"/>
      <c r="K21" s="623"/>
      <c r="L21" s="623"/>
      <c r="M21" s="623"/>
      <c r="N21" s="623"/>
      <c r="O21" s="518">
        <f t="shared" si="2"/>
        <v>0</v>
      </c>
      <c r="P21" s="627"/>
      <c r="Q21" s="518">
        <f t="shared" si="1"/>
        <v>0</v>
      </c>
      <c r="R21" s="627"/>
      <c r="S21" s="518">
        <f t="shared" si="3"/>
        <v>0</v>
      </c>
      <c r="T21" s="518">
        <f t="shared" si="4"/>
        <v>0</v>
      </c>
      <c r="U21" s="517">
        <f t="shared" si="5"/>
        <v>0</v>
      </c>
      <c r="V21" s="517">
        <f t="shared" si="6"/>
        <v>0</v>
      </c>
    </row>
    <row r="22" spans="1:22">
      <c r="A22" s="746" t="s">
        <v>152</v>
      </c>
      <c r="B22" s="747"/>
      <c r="C22" s="520">
        <f>SUM(C3:C21)</f>
        <v>78030323.494060785</v>
      </c>
      <c r="D22" s="520"/>
      <c r="E22" s="515" t="s">
        <v>153</v>
      </c>
      <c r="F22" s="515"/>
      <c r="G22" s="516">
        <f>SUM(G3:G21)</f>
        <v>78030323.494060799</v>
      </c>
      <c r="H22" s="521"/>
      <c r="I22" s="522"/>
      <c r="J22" s="522"/>
      <c r="K22" s="522"/>
      <c r="L22" s="522"/>
      <c r="M22" s="522"/>
      <c r="N22" s="522"/>
      <c r="O22" s="516">
        <f t="shared" ref="O22:T22" si="7">SUM(O3:O21)</f>
        <v>0</v>
      </c>
      <c r="P22" s="516">
        <f>SUM(P3:P21)</f>
        <v>0</v>
      </c>
      <c r="Q22" s="516">
        <f t="shared" si="7"/>
        <v>16999681.156885754</v>
      </c>
      <c r="R22" s="516">
        <f>SUM(R3:R21)</f>
        <v>0</v>
      </c>
      <c r="S22" s="516">
        <f t="shared" si="7"/>
        <v>18758972.867175035</v>
      </c>
      <c r="T22" s="516">
        <f t="shared" si="7"/>
        <v>42271669.469999999</v>
      </c>
      <c r="U22" s="628"/>
      <c r="V22" s="628"/>
    </row>
  </sheetData>
  <mergeCells count="44">
    <mergeCell ref="C20:C21"/>
    <mergeCell ref="C15:C16"/>
    <mergeCell ref="C17:C18"/>
    <mergeCell ref="E15:F15"/>
    <mergeCell ref="E16:F16"/>
    <mergeCell ref="E17:F17"/>
    <mergeCell ref="E18:F18"/>
    <mergeCell ref="D19:E19"/>
    <mergeCell ref="A22:B22"/>
    <mergeCell ref="A20:B21"/>
    <mergeCell ref="B15:B16"/>
    <mergeCell ref="B17:B18"/>
    <mergeCell ref="A15:A19"/>
    <mergeCell ref="C9:C11"/>
    <mergeCell ref="C12:C14"/>
    <mergeCell ref="E3:F3"/>
    <mergeCell ref="E5:F5"/>
    <mergeCell ref="E6:F6"/>
    <mergeCell ref="E9:F9"/>
    <mergeCell ref="E11:F11"/>
    <mergeCell ref="E12:F12"/>
    <mergeCell ref="E14:F14"/>
    <mergeCell ref="E4:F4"/>
    <mergeCell ref="E7:F7"/>
    <mergeCell ref="E10:F10"/>
    <mergeCell ref="E13:F13"/>
    <mergeCell ref="B9:B11"/>
    <mergeCell ref="B12:B14"/>
    <mergeCell ref="A9:A14"/>
    <mergeCell ref="A3:A8"/>
    <mergeCell ref="B3:B5"/>
    <mergeCell ref="U1:V1"/>
    <mergeCell ref="O1:T1"/>
    <mergeCell ref="E8:F8"/>
    <mergeCell ref="A1:A2"/>
    <mergeCell ref="B1:B2"/>
    <mergeCell ref="C1:C2"/>
    <mergeCell ref="G1:G2"/>
    <mergeCell ref="H1:L1"/>
    <mergeCell ref="E1:F2"/>
    <mergeCell ref="D1:D2"/>
    <mergeCell ref="B6:B8"/>
    <mergeCell ref="C3:C5"/>
    <mergeCell ref="C6:C8"/>
  </mergeCells>
  <conditionalFormatting sqref="G22">
    <cfRule type="expression" dxfId="29" priority="6">
      <formula>$C$22=$G$22</formula>
    </cfRule>
    <cfRule type="expression" dxfId="28" priority="7">
      <formula>$C$22&lt;&gt;$G$22</formula>
    </cfRule>
  </conditionalFormatting>
  <conditionalFormatting sqref="H3:H21">
    <cfRule type="expression" dxfId="27" priority="10">
      <formula>H3=1</formula>
    </cfRule>
    <cfRule type="expression" dxfId="26" priority="11">
      <formula>H3&lt;&gt;1</formula>
    </cfRule>
  </conditionalFormatting>
  <conditionalFormatting sqref="O22 Q22">
    <cfRule type="expression" dxfId="25" priority="8">
      <formula>SUM($O$22,$Q$22,$S$22,$T$22)=$G$22</formula>
    </cfRule>
    <cfRule type="expression" dxfId="24" priority="9">
      <formula>SUM($O$22,$Q$22,$S$22,$T$22)&lt;&gt;$G$22</formula>
    </cfRule>
  </conditionalFormatting>
  <conditionalFormatting sqref="S22:T22">
    <cfRule type="expression" dxfId="23" priority="1">
      <formula>SUM($O$22,$Q$22,$S$22,$T$22)=$G$22</formula>
    </cfRule>
    <cfRule type="expression" dxfId="22" priority="2">
      <formula>SUM($O$22,$Q$22,$S$22,$T$22)&lt;&gt;$G$22</formula>
    </cfRule>
  </conditionalFormatting>
  <conditionalFormatting sqref="U3:V21">
    <cfRule type="cellIs" dxfId="21" priority="3" operator="greaterThan">
      <formula>0</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árok4">
    <tabColor theme="0" tint="-0.34998626667073579"/>
  </sheetPr>
  <dimension ref="A1:L22"/>
  <sheetViews>
    <sheetView topLeftCell="A2" zoomScale="121" zoomScaleNormal="85" workbookViewId="0">
      <selection activeCell="F19" sqref="F19"/>
    </sheetView>
  </sheetViews>
  <sheetFormatPr defaultColWidth="8.81640625" defaultRowHeight="14.5"/>
  <cols>
    <col min="1" max="1" width="9.26953125" customWidth="1"/>
    <col min="2" max="2" width="13.81640625" customWidth="1"/>
    <col min="3" max="3" width="15.54296875" customWidth="1"/>
    <col min="4" max="4" width="15.81640625" customWidth="1"/>
    <col min="5" max="5" width="17.54296875" customWidth="1"/>
    <col min="6" max="6" width="17.26953125" customWidth="1"/>
    <col min="7" max="7" width="15.54296875" customWidth="1"/>
    <col min="8" max="8" width="9.81640625" customWidth="1"/>
    <col min="9" max="9" width="15.26953125" customWidth="1"/>
    <col min="10" max="10" width="15.1796875" bestFit="1" customWidth="1"/>
    <col min="11" max="11" width="14.26953125" customWidth="1"/>
    <col min="12" max="12" width="23.1796875" customWidth="1"/>
  </cols>
  <sheetData>
    <row r="1" spans="1:12" ht="15" thickBot="1">
      <c r="A1" s="9"/>
      <c r="B1" s="759" t="s">
        <v>154</v>
      </c>
      <c r="C1" s="760"/>
      <c r="D1" s="760"/>
      <c r="E1" s="760"/>
      <c r="F1" s="760"/>
      <c r="G1" s="761"/>
      <c r="H1" s="762" t="s">
        <v>155</v>
      </c>
      <c r="I1" s="763"/>
      <c r="J1" s="763"/>
      <c r="K1" s="763"/>
      <c r="L1" s="764"/>
    </row>
    <row r="2" spans="1:12" ht="29">
      <c r="A2" s="10"/>
      <c r="B2" s="762" t="s">
        <v>156</v>
      </c>
      <c r="C2" s="763"/>
      <c r="D2" s="764"/>
      <c r="E2" s="762" t="s">
        <v>157</v>
      </c>
      <c r="F2" s="763"/>
      <c r="G2" s="764"/>
      <c r="H2" s="50" t="s">
        <v>158</v>
      </c>
      <c r="I2" s="45" t="s">
        <v>159</v>
      </c>
      <c r="J2" s="12" t="s">
        <v>160</v>
      </c>
      <c r="K2" s="765" t="s">
        <v>161</v>
      </c>
      <c r="L2" s="766"/>
    </row>
    <row r="3" spans="1:12" ht="15" thickBot="1">
      <c r="A3" s="11" t="s">
        <v>162</v>
      </c>
      <c r="B3" s="14" t="s">
        <v>163</v>
      </c>
      <c r="C3" s="15" t="s">
        <v>164</v>
      </c>
      <c r="D3" s="16" t="s">
        <v>165</v>
      </c>
      <c r="E3" s="14" t="s">
        <v>163</v>
      </c>
      <c r="F3" s="15" t="s">
        <v>164</v>
      </c>
      <c r="G3" s="16" t="s">
        <v>165</v>
      </c>
      <c r="H3" s="51"/>
      <c r="I3" s="46"/>
      <c r="J3" s="13"/>
      <c r="K3" s="757"/>
      <c r="L3" s="758"/>
    </row>
    <row r="4" spans="1:12">
      <c r="A4" s="44" t="s">
        <v>166</v>
      </c>
      <c r="B4" s="26">
        <f>'Prínosy - Agendové IS'!V4-'Výdavky - Agendové IS'!U4</f>
        <v>0</v>
      </c>
      <c r="C4" s="25">
        <f>'Prínosy - Agendové IS'!W4-'Výdavky - Agendové IS'!V4</f>
        <v>-25393752.165744003</v>
      </c>
      <c r="D4" s="32">
        <f>C4-B4</f>
        <v>-25393752.165744003</v>
      </c>
      <c r="E4" s="26">
        <f>'Prínosy - Agendové IS'!Y4-('Výdavky - Agendové IS'!U4/1.23)</f>
        <v>0</v>
      </c>
      <c r="F4" s="26">
        <f>'Prínosy - Agendové IS'!Z4-('Výdavky - Agendové IS'!V4/1.23)</f>
        <v>-20645326.964019515</v>
      </c>
      <c r="G4" s="32">
        <f t="shared" ref="G4:G13" si="0">F4-E4</f>
        <v>-20645326.964019515</v>
      </c>
      <c r="H4" s="52">
        <v>0</v>
      </c>
      <c r="I4" s="47">
        <f>D4*(1/(1+Faktory!$D$3)^H4)</f>
        <v>-25393752.165744003</v>
      </c>
      <c r="J4" s="54">
        <f>G4*(1/(1+Faktory!$D$5)^H4)</f>
        <v>-20645326.964019515</v>
      </c>
      <c r="K4" s="53">
        <f>J4</f>
        <v>-20645326.964019515</v>
      </c>
      <c r="L4" s="30" t="str">
        <f>IF(K4&gt;0,"Rok návratu investície","&lt;")</f>
        <v>&lt;</v>
      </c>
    </row>
    <row r="5" spans="1:12">
      <c r="A5" s="31" t="s">
        <v>167</v>
      </c>
      <c r="B5" s="26">
        <f>'Prínosy - Agendové IS'!V5-'Výdavky - Agendové IS'!U5</f>
        <v>0</v>
      </c>
      <c r="C5" s="25">
        <f>'Prínosy - Agendové IS'!W5-'Výdavky - Agendové IS'!V5</f>
        <v>-2171606.8626629161</v>
      </c>
      <c r="D5" s="28">
        <f t="shared" ref="D5:D13" si="1">C5-B5</f>
        <v>-2171606.8626629161</v>
      </c>
      <c r="E5" s="26">
        <f>'Prínosy - Agendové IS'!Y5-('Výdavky - Agendové IS'!U5/1.23)</f>
        <v>0</v>
      </c>
      <c r="F5" s="26">
        <f>'Prínosy - Agendové IS'!Z5-('Výdavky - Agendové IS'!V5/1.23)</f>
        <v>-1765534.0346852976</v>
      </c>
      <c r="G5" s="28">
        <f t="shared" si="0"/>
        <v>-1765534.0346852976</v>
      </c>
      <c r="H5" s="52">
        <v>1</v>
      </c>
      <c r="I5" s="48">
        <f>D5*(1/(1+Faktory!$D$3)^H5)</f>
        <v>-2088083.5217912653</v>
      </c>
      <c r="J5" s="55">
        <f>G5*(1/(1+Faktory!$D$5)^H5)</f>
        <v>-1681460.985414569</v>
      </c>
      <c r="K5" s="53">
        <f>J5+K4</f>
        <v>-22326787.949434083</v>
      </c>
      <c r="L5" s="30" t="str">
        <f>IF(L4="&lt;",IF(K5&gt;0,"Rok návratu investície","&lt;"),"&gt;")</f>
        <v>&lt;</v>
      </c>
    </row>
    <row r="6" spans="1:12">
      <c r="A6" s="31" t="s">
        <v>168</v>
      </c>
      <c r="B6" s="26">
        <f>'Prínosy - Agendové IS'!V6-'Výdavky - Agendové IS'!U6</f>
        <v>0</v>
      </c>
      <c r="C6" s="25">
        <f>'Prínosy - Agendové IS'!W6-'Výdavky - Agendové IS'!V6</f>
        <v>-19437050.76637901</v>
      </c>
      <c r="D6" s="28">
        <f t="shared" si="1"/>
        <v>-19437050.76637901</v>
      </c>
      <c r="E6" s="26">
        <f>'Prínosy - Agendové IS'!Y6-('Výdavky - Agendové IS'!U6/1.23)</f>
        <v>0</v>
      </c>
      <c r="F6" s="26">
        <f>'Prínosy - Agendové IS'!Z6-('Výdavky - Agendové IS'!V6/1.23)</f>
        <v>-15802480.297869114</v>
      </c>
      <c r="G6" s="28">
        <f t="shared" si="0"/>
        <v>-15802480.297869114</v>
      </c>
      <c r="H6" s="52">
        <v>2</v>
      </c>
      <c r="I6" s="48">
        <f>D6*(1/(1+Faktory!$D$3)^H6)</f>
        <v>-17970646.04879716</v>
      </c>
      <c r="J6" s="55">
        <f>G6*(1/(1+Faktory!$D$5)^H6)</f>
        <v>-14333315.462919831</v>
      </c>
      <c r="K6" s="53">
        <f t="shared" ref="K6:K13" si="2">J6+K5</f>
        <v>-36660103.412353918</v>
      </c>
      <c r="L6" s="30" t="str">
        <f t="shared" ref="L6:L13" si="3">IF(L5="&lt;",IF(K6&gt;0,"Rok návratu investície","&lt;"),"&gt;")</f>
        <v>&lt;</v>
      </c>
    </row>
    <row r="7" spans="1:12">
      <c r="A7" s="31" t="s">
        <v>169</v>
      </c>
      <c r="B7" s="26">
        <f>'Prínosy - Agendové IS'!V7-'Výdavky - Agendové IS'!U7</f>
        <v>0</v>
      </c>
      <c r="C7" s="25">
        <f>'Prínosy - Agendové IS'!W7-'Výdavky - Agendové IS'!V7</f>
        <v>-7708085.2762748487</v>
      </c>
      <c r="D7" s="28">
        <f t="shared" si="1"/>
        <v>-7708085.2762748487</v>
      </c>
      <c r="E7" s="26">
        <f>'Prínosy - Agendové IS'!Y7-('Výdavky - Agendové IS'!U7/1.23)</f>
        <v>-53624942.64280916</v>
      </c>
      <c r="F7" s="26">
        <f>'Prínosy - Agendové IS'!Z7-('Výdavky - Agendové IS'!V7/1.23)</f>
        <v>-42025861.779067591</v>
      </c>
      <c r="G7" s="28">
        <f t="shared" si="0"/>
        <v>11599080.863741569</v>
      </c>
      <c r="H7" s="52">
        <v>3</v>
      </c>
      <c r="I7" s="48">
        <f>D7*(1/(1+Faktory!$D$3)^H7)</f>
        <v>-6852459.7429332333</v>
      </c>
      <c r="J7" s="55">
        <f>G7*(1/(1+Faktory!$D$5)^H7)</f>
        <v>10019722.158506915</v>
      </c>
      <c r="K7" s="53">
        <f t="shared" si="2"/>
        <v>-26640381.253847003</v>
      </c>
      <c r="L7" s="30" t="str">
        <f t="shared" si="3"/>
        <v>&lt;</v>
      </c>
    </row>
    <row r="8" spans="1:12">
      <c r="A8" s="31" t="s">
        <v>170</v>
      </c>
      <c r="B8" s="26">
        <f>'Prínosy - Agendové IS'!V8-'Výdavky - Agendové IS'!U8</f>
        <v>0</v>
      </c>
      <c r="C8" s="25">
        <f>'Prínosy - Agendové IS'!W8-'Výdavky - Agendové IS'!V8</f>
        <v>-3886638.0705000004</v>
      </c>
      <c r="D8" s="28">
        <f t="shared" si="1"/>
        <v>-3886638.0705000004</v>
      </c>
      <c r="E8" s="26">
        <f>'Prínosy - Agendové IS'!Y8-('Výdavky - Agendové IS'!U8/1.23)</f>
        <v>-53624942.64280916</v>
      </c>
      <c r="F8" s="26">
        <f>'Prínosy - Agendové IS'!Z8-('Výdavky - Agendové IS'!V8/1.23)</f>
        <v>-38918994.132096171</v>
      </c>
      <c r="G8" s="28">
        <f t="shared" si="0"/>
        <v>14705948.510712989</v>
      </c>
      <c r="H8" s="52">
        <v>4</v>
      </c>
      <c r="I8" s="48">
        <f>D8*(1/(1+Faktory!$D$3)^H8)</f>
        <v>-3322314.5116790868</v>
      </c>
      <c r="J8" s="55">
        <f>G8*(1/(1+Faktory!$D$5)^H8)</f>
        <v>12098620.233925566</v>
      </c>
      <c r="K8" s="53">
        <f t="shared" si="2"/>
        <v>-14541761.019921437</v>
      </c>
      <c r="L8" s="30" t="str">
        <f t="shared" si="3"/>
        <v>&lt;</v>
      </c>
    </row>
    <row r="9" spans="1:12">
      <c r="A9" s="31" t="s">
        <v>171</v>
      </c>
      <c r="B9" s="26">
        <f>'Prínosy - Agendové IS'!V9-'Výdavky - Agendové IS'!U9</f>
        <v>0</v>
      </c>
      <c r="C9" s="25">
        <f>'Prínosy - Agendové IS'!W9-'Výdavky - Agendové IS'!V9</f>
        <v>-3886638.0705000004</v>
      </c>
      <c r="D9" s="28">
        <f t="shared" si="1"/>
        <v>-3886638.0705000004</v>
      </c>
      <c r="E9" s="26">
        <f>'Prínosy - Agendové IS'!Y9-('Výdavky - Agendové IS'!U9/1.23)</f>
        <v>-53624942.64280916</v>
      </c>
      <c r="F9" s="26">
        <f>'Prínosy - Agendové IS'!Z9-('Výdavky - Agendové IS'!V9/1.23)</f>
        <v>-38918994.132096171</v>
      </c>
      <c r="G9" s="28">
        <f t="shared" si="0"/>
        <v>14705948.510712989</v>
      </c>
      <c r="H9" s="52">
        <v>5</v>
      </c>
      <c r="I9" s="48">
        <f>D9*(1/(1+Faktory!$D$3)^H9)</f>
        <v>-3194533.1843068139</v>
      </c>
      <c r="J9" s="55">
        <f>G9*(1/(1+Faktory!$D$5)^H9)</f>
        <v>11522495.460881492</v>
      </c>
      <c r="K9" s="53">
        <f t="shared" si="2"/>
        <v>-3019265.5590399448</v>
      </c>
      <c r="L9" s="30" t="str">
        <f t="shared" si="3"/>
        <v>&lt;</v>
      </c>
    </row>
    <row r="10" spans="1:12">
      <c r="A10" s="31" t="s">
        <v>172</v>
      </c>
      <c r="B10" s="26">
        <f>'Prínosy - Agendové IS'!V10-'Výdavky - Agendové IS'!U10</f>
        <v>0</v>
      </c>
      <c r="C10" s="25">
        <f>'Prínosy - Agendové IS'!W10-'Výdavky - Agendové IS'!V10</f>
        <v>-3886638.0705000004</v>
      </c>
      <c r="D10" s="28">
        <f t="shared" si="1"/>
        <v>-3886638.0705000004</v>
      </c>
      <c r="E10" s="26">
        <f>'Prínosy - Agendové IS'!Y10-('Výdavky - Agendové IS'!U10/1.23)</f>
        <v>-53624942.64280916</v>
      </c>
      <c r="F10" s="26">
        <f>'Prínosy - Agendové IS'!Z10-('Výdavky - Agendové IS'!V10/1.23)</f>
        <v>-38918994.132096171</v>
      </c>
      <c r="G10" s="28">
        <f t="shared" si="0"/>
        <v>14705948.510712989</v>
      </c>
      <c r="H10" s="52">
        <v>6</v>
      </c>
      <c r="I10" s="48">
        <f>D10*(1/(1+Faktory!$D$3)^H10)</f>
        <v>-3071666.5233719363</v>
      </c>
      <c r="J10" s="55">
        <f>G10*(1/(1+Faktory!$D$5)^H10)</f>
        <v>10973805.200839516</v>
      </c>
      <c r="K10" s="53">
        <f t="shared" si="2"/>
        <v>7954539.641799571</v>
      </c>
      <c r="L10" s="30" t="str">
        <f t="shared" si="3"/>
        <v>Rok návratu investície</v>
      </c>
    </row>
    <row r="11" spans="1:12">
      <c r="A11" s="31" t="s">
        <v>173</v>
      </c>
      <c r="B11" s="26">
        <f>'Prínosy - Agendové IS'!V11-'Výdavky - Agendové IS'!U11</f>
        <v>0</v>
      </c>
      <c r="C11" s="25">
        <f>'Prínosy - Agendové IS'!W11-'Výdavky - Agendové IS'!V11</f>
        <v>-3886638.0705000004</v>
      </c>
      <c r="D11" s="28">
        <f t="shared" si="1"/>
        <v>-3886638.0705000004</v>
      </c>
      <c r="E11" s="26">
        <f>'Prínosy - Agendové IS'!Y11-('Výdavky - Agendové IS'!U11/1.23)</f>
        <v>-53624942.64280916</v>
      </c>
      <c r="F11" s="26">
        <f>'Prínosy - Agendové IS'!Z11-('Výdavky - Agendové IS'!V11/1.23)</f>
        <v>-38918994.132096171</v>
      </c>
      <c r="G11" s="28">
        <f t="shared" si="0"/>
        <v>14705948.510712989</v>
      </c>
      <c r="H11" s="52">
        <v>7</v>
      </c>
      <c r="I11" s="48">
        <f>D11*(1/(1+Faktory!$D$3)^H11)</f>
        <v>-2953525.5032422473</v>
      </c>
      <c r="J11" s="55">
        <f>G11*(1/(1+Faktory!$D$5)^H11)</f>
        <v>10451243.048418585</v>
      </c>
      <c r="K11" s="53">
        <f t="shared" si="2"/>
        <v>18405782.690218158</v>
      </c>
      <c r="L11" s="30" t="str">
        <f t="shared" si="3"/>
        <v>&gt;</v>
      </c>
    </row>
    <row r="12" spans="1:12">
      <c r="A12" s="31" t="s">
        <v>174</v>
      </c>
      <c r="B12" s="26">
        <f>'Prínosy - Agendové IS'!V12-'Výdavky - Agendové IS'!U12</f>
        <v>0</v>
      </c>
      <c r="C12" s="25">
        <f>'Prínosy - Agendové IS'!W12-'Výdavky - Agendové IS'!V12</f>
        <v>-3886638.0705000004</v>
      </c>
      <c r="D12" s="28">
        <f t="shared" si="1"/>
        <v>-3886638.0705000004</v>
      </c>
      <c r="E12" s="26">
        <f>'Prínosy - Agendové IS'!Y12-('Výdavky - Agendové IS'!U12/1.23)</f>
        <v>-53624942.64280916</v>
      </c>
      <c r="F12" s="26">
        <f>'Prínosy - Agendové IS'!Z12-('Výdavky - Agendové IS'!V12/1.23)</f>
        <v>-38918994.132096171</v>
      </c>
      <c r="G12" s="28">
        <f t="shared" si="0"/>
        <v>14705948.510712989</v>
      </c>
      <c r="H12" s="52">
        <v>8</v>
      </c>
      <c r="I12" s="48">
        <f>D12*(1/(1+Faktory!$D$3)^H12)</f>
        <v>-2839928.3685021601</v>
      </c>
      <c r="J12" s="55">
        <f>G12*(1/(1+Faktory!$D$5)^H12)</f>
        <v>9953564.8080177028</v>
      </c>
      <c r="K12" s="53">
        <f t="shared" si="2"/>
        <v>28359347.498235859</v>
      </c>
      <c r="L12" s="30" t="str">
        <f t="shared" si="3"/>
        <v>&gt;</v>
      </c>
    </row>
    <row r="13" spans="1:12" ht="15" thickBot="1">
      <c r="A13" s="31" t="s">
        <v>175</v>
      </c>
      <c r="B13" s="43">
        <f>'Prínosy - Agendové IS'!V13-'Výdavky - Agendové IS'!U13</f>
        <v>0</v>
      </c>
      <c r="C13" s="39">
        <f>'Prínosy - Agendové IS'!W13-'Výdavky - Agendové IS'!V13</f>
        <v>-3886638.0705000004</v>
      </c>
      <c r="D13" s="33">
        <f t="shared" si="1"/>
        <v>-3886638.0705000004</v>
      </c>
      <c r="E13" s="26">
        <f>'Prínosy - Agendové IS'!Y13-('Výdavky - Agendové IS'!U13/1.23)</f>
        <v>-53624942.64280916</v>
      </c>
      <c r="F13" s="26">
        <f>'Prínosy - Agendové IS'!Z13-('Výdavky - Agendové IS'!V13/1.23)</f>
        <v>-38918994.132096171</v>
      </c>
      <c r="G13" s="33">
        <f t="shared" si="0"/>
        <v>14705948.510712989</v>
      </c>
      <c r="H13" s="52">
        <v>9</v>
      </c>
      <c r="I13" s="49">
        <f>D13*(1/(1+Faktory!$D$3)^H13)</f>
        <v>-2730700.3543289998</v>
      </c>
      <c r="J13" s="56">
        <f>G13*(1/(1+Faktory!$D$5)^H13)</f>
        <v>9479585.5314454287</v>
      </c>
      <c r="K13" s="53">
        <f t="shared" si="2"/>
        <v>37838933.029681288</v>
      </c>
      <c r="L13" s="30" t="str">
        <f t="shared" si="3"/>
        <v>&gt;</v>
      </c>
    </row>
    <row r="14" spans="1:12" ht="15" thickBot="1">
      <c r="A14" s="58" t="s">
        <v>152</v>
      </c>
      <c r="B14" s="40">
        <f t="shared" ref="B14:G14" si="4">SUM(B4:B13)</f>
        <v>0</v>
      </c>
      <c r="C14" s="41">
        <f t="shared" si="4"/>
        <v>-78030323.494060785</v>
      </c>
      <c r="D14" s="41">
        <f t="shared" si="4"/>
        <v>-78030323.494060785</v>
      </c>
      <c r="E14" s="41">
        <f t="shared" si="4"/>
        <v>-375374598.49966413</v>
      </c>
      <c r="F14" s="41">
        <f t="shared" si="4"/>
        <v>-313753167.86821854</v>
      </c>
      <c r="G14" s="42">
        <f t="shared" si="4"/>
        <v>61621430.631445572</v>
      </c>
      <c r="H14" s="59" t="s">
        <v>152</v>
      </c>
      <c r="I14" s="134">
        <f>SUM(I4:I13)</f>
        <v>-70417609.924696922</v>
      </c>
      <c r="J14" s="135">
        <f>SUM(J4:J13)</f>
        <v>37838933.029681288</v>
      </c>
      <c r="K14" s="7"/>
      <c r="L14" s="7"/>
    </row>
    <row r="16" spans="1:12" ht="15" thickBot="1">
      <c r="H16" s="97" t="s">
        <v>176</v>
      </c>
      <c r="J16" s="145" t="s">
        <v>177</v>
      </c>
      <c r="K16" s="145" t="s">
        <v>178</v>
      </c>
    </row>
    <row r="17" spans="5:11" s="114" customFormat="1" ht="21.5" thickBot="1">
      <c r="H17" s="139" t="s">
        <v>179</v>
      </c>
      <c r="I17" s="141" t="s">
        <v>180</v>
      </c>
      <c r="J17" s="142">
        <f>'Prínosy - Agendové IS'!AA16/('Výdavky - Agendové IS'!V15)</f>
        <v>1.3630588842951152</v>
      </c>
      <c r="K17" s="146">
        <v>1</v>
      </c>
    </row>
    <row r="18" spans="5:11" s="114" customFormat="1" ht="21.5" thickBot="1">
      <c r="H18" s="140" t="s">
        <v>181</v>
      </c>
      <c r="I18" s="141" t="s">
        <v>182</v>
      </c>
      <c r="J18" s="143" t="e">
        <f>IRR($D$4:$D$13,0.01)</f>
        <v>#NUM!</v>
      </c>
      <c r="K18" s="147" t="s">
        <v>183</v>
      </c>
    </row>
    <row r="19" spans="5:11" s="114" customFormat="1" ht="21.5" thickBot="1">
      <c r="E19" s="136"/>
      <c r="H19" s="140" t="s">
        <v>184</v>
      </c>
      <c r="I19" s="141" t="s">
        <v>185</v>
      </c>
      <c r="J19" s="143">
        <f>IRR($G$4:$G$13,0.01)</f>
        <v>0.21456217300088909</v>
      </c>
      <c r="K19" s="147">
        <v>0.05</v>
      </c>
    </row>
    <row r="20" spans="5:11" ht="15" thickBot="1">
      <c r="H20" s="137"/>
      <c r="I20" s="138"/>
      <c r="J20" s="137"/>
      <c r="K20" s="148"/>
    </row>
    <row r="21" spans="5:11" s="114" customFormat="1" ht="21.5" thickBot="1">
      <c r="H21" s="140" t="s">
        <v>186</v>
      </c>
      <c r="I21" s="141" t="s">
        <v>187</v>
      </c>
      <c r="J21" s="144">
        <f>I14</f>
        <v>-70417609.924696922</v>
      </c>
      <c r="K21" s="149" t="s">
        <v>183</v>
      </c>
    </row>
    <row r="22" spans="5:11" s="114" customFormat="1" ht="32" thickBot="1">
      <c r="H22" s="140" t="s">
        <v>188</v>
      </c>
      <c r="I22" s="141" t="s">
        <v>189</v>
      </c>
      <c r="J22" s="144">
        <f>J14</f>
        <v>37838933.029681288</v>
      </c>
      <c r="K22" s="149">
        <v>0</v>
      </c>
    </row>
  </sheetData>
  <mergeCells count="6">
    <mergeCell ref="K3:L3"/>
    <mergeCell ref="B1:G1"/>
    <mergeCell ref="H1:L1"/>
    <mergeCell ref="B2:D2"/>
    <mergeCell ref="E2:G2"/>
    <mergeCell ref="K2:L2"/>
  </mergeCells>
  <conditionalFormatting sqref="L4:L13">
    <cfRule type="cellIs" dxfId="20" priority="1" stopIfTrue="1" operator="equal">
      <formula>"Rok návratu investície"</formula>
    </cfRule>
  </conditionalFormatting>
  <pageMargins left="0.7" right="0.7" top="0.75" bottom="0.75" header="0.3" footer="0.3"/>
  <pageSetup paperSize="9" scale="44"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árok7">
    <tabColor theme="0" tint="-0.34998626667073579"/>
  </sheetPr>
  <dimension ref="A1:X22"/>
  <sheetViews>
    <sheetView view="pageBreakPreview" topLeftCell="D1" zoomScaleNormal="80" zoomScaleSheetLayoutView="100" workbookViewId="0">
      <selection activeCell="K9" sqref="K9"/>
    </sheetView>
  </sheetViews>
  <sheetFormatPr defaultColWidth="8.81640625" defaultRowHeight="14.5"/>
  <cols>
    <col min="2" max="2" width="4.453125" bestFit="1" customWidth="1"/>
    <col min="3" max="3" width="14.26953125" customWidth="1"/>
    <col min="4" max="4" width="15.81640625" bestFit="1" customWidth="1"/>
    <col min="5" max="5" width="16.7265625" bestFit="1" customWidth="1"/>
    <col min="6" max="7" width="13.453125" bestFit="1" customWidth="1"/>
    <col min="8" max="8" width="16.7265625" bestFit="1" customWidth="1"/>
    <col min="9" max="9" width="14.453125" bestFit="1" customWidth="1"/>
    <col min="10" max="10" width="13.453125" bestFit="1" customWidth="1"/>
    <col min="11" max="11" width="16.7265625" bestFit="1" customWidth="1"/>
    <col min="12" max="17" width="16.7265625" customWidth="1"/>
    <col min="18" max="18" width="13.453125" bestFit="1" customWidth="1"/>
    <col min="19" max="19" width="15.81640625" bestFit="1" customWidth="1"/>
    <col min="20" max="20" width="15.26953125" customWidth="1"/>
    <col min="21" max="22" width="17" bestFit="1" customWidth="1"/>
    <col min="23" max="23" width="14.26953125" bestFit="1" customWidth="1"/>
  </cols>
  <sheetData>
    <row r="1" spans="1:24" ht="15.75" customHeight="1" thickBot="1">
      <c r="A1" s="655"/>
      <c r="B1" s="656"/>
      <c r="C1" s="773" t="s">
        <v>190</v>
      </c>
      <c r="D1" s="773"/>
      <c r="E1" s="773"/>
      <c r="F1" s="773"/>
      <c r="G1" s="773"/>
      <c r="H1" s="773"/>
      <c r="I1" s="773"/>
      <c r="J1" s="773"/>
      <c r="K1" s="773"/>
      <c r="L1" s="773"/>
      <c r="M1" s="773"/>
      <c r="N1" s="774"/>
      <c r="O1" s="772" t="s">
        <v>107</v>
      </c>
      <c r="P1" s="773"/>
      <c r="Q1" s="774"/>
      <c r="R1" s="771" t="s">
        <v>191</v>
      </c>
      <c r="S1" s="771"/>
      <c r="T1" s="771"/>
      <c r="U1" s="759" t="s">
        <v>192</v>
      </c>
      <c r="V1" s="760"/>
      <c r="W1" s="761"/>
    </row>
    <row r="2" spans="1:24" ht="15.75" customHeight="1" thickBot="1">
      <c r="A2" s="657"/>
      <c r="B2" s="651"/>
      <c r="C2" s="760" t="s">
        <v>105</v>
      </c>
      <c r="D2" s="760"/>
      <c r="E2" s="761"/>
      <c r="F2" s="760" t="s">
        <v>104</v>
      </c>
      <c r="G2" s="760"/>
      <c r="H2" s="761"/>
      <c r="I2" s="760" t="s">
        <v>103</v>
      </c>
      <c r="J2" s="760"/>
      <c r="K2" s="761"/>
      <c r="L2" s="760" t="s">
        <v>193</v>
      </c>
      <c r="M2" s="760"/>
      <c r="N2" s="761"/>
      <c r="O2" s="760"/>
      <c r="P2" s="760"/>
      <c r="Q2" s="761"/>
      <c r="R2" s="760" t="s">
        <v>101</v>
      </c>
      <c r="S2" s="760"/>
      <c r="T2" s="761"/>
      <c r="U2" s="8"/>
      <c r="V2" s="8"/>
      <c r="W2" s="35"/>
    </row>
    <row r="3" spans="1:24" ht="19.399999999999999" customHeight="1" thickBot="1">
      <c r="A3" s="36" t="s">
        <v>162</v>
      </c>
      <c r="B3" s="654" t="s">
        <v>194</v>
      </c>
      <c r="C3" s="37" t="s">
        <v>163</v>
      </c>
      <c r="D3" s="37" t="s">
        <v>164</v>
      </c>
      <c r="E3" s="38" t="s">
        <v>165</v>
      </c>
      <c r="F3" s="37" t="s">
        <v>163</v>
      </c>
      <c r="G3" s="37" t="s">
        <v>164</v>
      </c>
      <c r="H3" s="38" t="s">
        <v>165</v>
      </c>
      <c r="I3" s="37" t="s">
        <v>163</v>
      </c>
      <c r="J3" s="37" t="s">
        <v>164</v>
      </c>
      <c r="K3" s="38" t="s">
        <v>165</v>
      </c>
      <c r="L3" s="37" t="s">
        <v>163</v>
      </c>
      <c r="M3" s="37" t="s">
        <v>164</v>
      </c>
      <c r="N3" s="38" t="s">
        <v>165</v>
      </c>
      <c r="O3" s="37" t="s">
        <v>163</v>
      </c>
      <c r="P3" s="37" t="s">
        <v>164</v>
      </c>
      <c r="Q3" s="38" t="s">
        <v>165</v>
      </c>
      <c r="R3" s="37" t="s">
        <v>163</v>
      </c>
      <c r="S3" s="37" t="s">
        <v>164</v>
      </c>
      <c r="T3" s="38" t="s">
        <v>165</v>
      </c>
      <c r="U3" s="37" t="s">
        <v>163</v>
      </c>
      <c r="V3" s="37" t="s">
        <v>164</v>
      </c>
      <c r="W3" s="38" t="s">
        <v>165</v>
      </c>
    </row>
    <row r="4" spans="1:24">
      <c r="A4" s="24" t="s">
        <v>166</v>
      </c>
      <c r="B4" s="63">
        <v>1</v>
      </c>
      <c r="C4" s="26">
        <f>TCO!D26+TCO!D27</f>
        <v>0</v>
      </c>
      <c r="D4" s="25">
        <f>(TCO!D$12*(1+$X$5))+TCO!D$13</f>
        <v>0</v>
      </c>
      <c r="E4" s="32">
        <f>D4-C4</f>
        <v>0</v>
      </c>
      <c r="F4" s="26">
        <f>TCO!D22+TCO!D23</f>
        <v>0</v>
      </c>
      <c r="G4" s="25">
        <f>(TCO!D$7*(1+$X$5))+TCO!D$8</f>
        <v>16360749</v>
      </c>
      <c r="H4" s="32">
        <f>G4-F4</f>
        <v>16360749</v>
      </c>
      <c r="I4" s="25">
        <f>TCO!D24+TCO!D25</f>
        <v>0</v>
      </c>
      <c r="J4" s="25">
        <f>(TCO!D$9*(1+$X$5))+TCO!D$10</f>
        <v>8026487.7474440038</v>
      </c>
      <c r="K4" s="32">
        <f>J4-I4</f>
        <v>8026487.7474440038</v>
      </c>
      <c r="L4" s="26">
        <v>0</v>
      </c>
      <c r="M4" s="26">
        <f>TCO!D11</f>
        <v>0</v>
      </c>
      <c r="N4" s="32">
        <f>M4-L4</f>
        <v>0</v>
      </c>
      <c r="O4" s="26">
        <v>0</v>
      </c>
      <c r="P4" s="26">
        <f>TCO!D14</f>
        <v>1006515.4182999999</v>
      </c>
      <c r="Q4" s="32">
        <f>P4-O4</f>
        <v>1006515.4182999999</v>
      </c>
      <c r="R4" s="26">
        <f>'Parametre - Agendové IS'!D106</f>
        <v>0</v>
      </c>
      <c r="S4" s="26">
        <f>'Parametre - Agendové IS'!E106</f>
        <v>0</v>
      </c>
      <c r="T4" s="32">
        <f t="shared" ref="T4:T13" si="0">IF(ISERR(S4-R4),"-",S4-R4)</f>
        <v>0</v>
      </c>
      <c r="U4" s="25">
        <f>SUM(C4,F4,I4,L4,O4,R4)</f>
        <v>0</v>
      </c>
      <c r="V4" s="25">
        <f>((D4+G4+M4+P4+J4)*(1+$X$4))+S4</f>
        <v>25393752.165744003</v>
      </c>
      <c r="W4" s="32">
        <f>V4-U4</f>
        <v>25393752.165744003</v>
      </c>
      <c r="X4" s="163">
        <f>'Analyza citlivosti - AgendovéIS'!B7</f>
        <v>0</v>
      </c>
    </row>
    <row r="5" spans="1:24">
      <c r="A5" s="24" t="s">
        <v>167</v>
      </c>
      <c r="B5" s="64">
        <v>2</v>
      </c>
      <c r="C5" s="26">
        <f>TCO!E26+TCO!E27</f>
        <v>0</v>
      </c>
      <c r="D5" s="25">
        <f>(TCO!E$12*(1+$X$5))+TCO!E$13</f>
        <v>0</v>
      </c>
      <c r="E5" s="28">
        <f t="shared" ref="E5:E13" si="1">D5-C5</f>
        <v>0</v>
      </c>
      <c r="F5" s="26">
        <f>TCO!E22+TCO!E23</f>
        <v>0</v>
      </c>
      <c r="G5" s="25">
        <f>(TCO!E$7*(1+$X$5))+TCO!E$8</f>
        <v>0</v>
      </c>
      <c r="H5" s="28">
        <f t="shared" ref="H5:H13" si="2">G5-F5</f>
        <v>0</v>
      </c>
      <c r="I5" s="25">
        <f>TCO!E24+TCO!E25</f>
        <v>0</v>
      </c>
      <c r="J5" s="25">
        <f>(TCO!E$9*(1+$X$5))+TCO!E$10</f>
        <v>1165091.4443629163</v>
      </c>
      <c r="K5" s="28">
        <f t="shared" ref="K5:K13" si="3">J5-I5</f>
        <v>1165091.4443629163</v>
      </c>
      <c r="L5" s="26">
        <v>0</v>
      </c>
      <c r="M5" s="26">
        <f>TCO!E11</f>
        <v>0</v>
      </c>
      <c r="N5" s="28">
        <f t="shared" ref="N5:N13" si="4">M5-L5</f>
        <v>0</v>
      </c>
      <c r="O5" s="26">
        <v>0</v>
      </c>
      <c r="P5" s="26">
        <f>TCO!E14</f>
        <v>1006515.4182999999</v>
      </c>
      <c r="Q5" s="28">
        <f t="shared" ref="Q5:Q13" si="5">P5-O5</f>
        <v>1006515.4182999999</v>
      </c>
      <c r="R5" s="26">
        <f>'Parametre - Agendové IS'!D107</f>
        <v>0</v>
      </c>
      <c r="S5" s="26">
        <f>'Parametre - Agendové IS'!E107</f>
        <v>0</v>
      </c>
      <c r="T5" s="28">
        <f t="shared" si="0"/>
        <v>0</v>
      </c>
      <c r="U5" s="25">
        <f t="shared" ref="U5:U13" si="6">SUM(C5,F5,I5,L5,O5,R5)</f>
        <v>0</v>
      </c>
      <c r="V5" s="25">
        <f t="shared" ref="V5:V13" si="7">((D5+G5+M5+P5+J5)*(1+$X$4))+S5</f>
        <v>2171606.8626629161</v>
      </c>
      <c r="W5" s="28">
        <f t="shared" ref="W5:W13" si="8">V5-U5</f>
        <v>2171606.8626629161</v>
      </c>
      <c r="X5" s="163">
        <f>'Analyza citlivosti - AgendovéIS'!E7</f>
        <v>0</v>
      </c>
    </row>
    <row r="6" spans="1:24">
      <c r="A6" s="24" t="s">
        <v>168</v>
      </c>
      <c r="B6" s="64">
        <v>3</v>
      </c>
      <c r="C6" s="26">
        <f>TCO!F26+TCO!F27</f>
        <v>0</v>
      </c>
      <c r="D6" s="25">
        <f>(TCO!F$12*(1+$X$5))+TCO!F$13</f>
        <v>0</v>
      </c>
      <c r="E6" s="28">
        <f t="shared" si="1"/>
        <v>0</v>
      </c>
      <c r="F6" s="26">
        <f>TCO!F22+TCO!F23</f>
        <v>0</v>
      </c>
      <c r="G6" s="25">
        <f>(TCO!F$7*(1+$X$5))+TCO!F$8</f>
        <v>0</v>
      </c>
      <c r="H6" s="28">
        <f t="shared" si="2"/>
        <v>0</v>
      </c>
      <c r="I6" s="25">
        <f>TCO!F24+TCO!F25</f>
        <v>0</v>
      </c>
      <c r="J6" s="25">
        <f>(TCO!F$9*(1+$X$5))+TCO!F$10</f>
        <v>18430535.348079011</v>
      </c>
      <c r="K6" s="28">
        <f t="shared" si="3"/>
        <v>18430535.348079011</v>
      </c>
      <c r="L6" s="26">
        <v>0</v>
      </c>
      <c r="M6" s="26">
        <f>TCO!F11</f>
        <v>0</v>
      </c>
      <c r="N6" s="28">
        <f t="shared" si="4"/>
        <v>0</v>
      </c>
      <c r="O6" s="26">
        <v>0</v>
      </c>
      <c r="P6" s="26">
        <f>TCO!F14</f>
        <v>1006515.4182999999</v>
      </c>
      <c r="Q6" s="28">
        <f t="shared" si="5"/>
        <v>1006515.4182999999</v>
      </c>
      <c r="R6" s="26">
        <f>'Parametre - Agendové IS'!D108</f>
        <v>0</v>
      </c>
      <c r="S6" s="26">
        <f>'Parametre - Agendové IS'!E108</f>
        <v>0</v>
      </c>
      <c r="T6" s="28">
        <f t="shared" si="0"/>
        <v>0</v>
      </c>
      <c r="U6" s="25">
        <f t="shared" si="6"/>
        <v>0</v>
      </c>
      <c r="V6" s="25">
        <f t="shared" si="7"/>
        <v>19437050.76637901</v>
      </c>
      <c r="W6" s="28">
        <f t="shared" si="8"/>
        <v>19437050.76637901</v>
      </c>
    </row>
    <row r="7" spans="1:24">
      <c r="A7" s="24" t="s">
        <v>169</v>
      </c>
      <c r="B7" s="64">
        <v>4</v>
      </c>
      <c r="C7" s="26">
        <f>TCO!G26+TCO!G27</f>
        <v>0</v>
      </c>
      <c r="D7" s="25">
        <f>(TCO!G$12*(1+$X$5))+TCO!G$13</f>
        <v>0</v>
      </c>
      <c r="E7" s="28">
        <f t="shared" si="1"/>
        <v>0</v>
      </c>
      <c r="F7" s="26">
        <f>TCO!G22+TCO!G23</f>
        <v>0</v>
      </c>
      <c r="G7" s="25">
        <f>(TCO!G$7*(1+$X$5))+TCO!G$8</f>
        <v>0</v>
      </c>
      <c r="H7" s="28">
        <f t="shared" si="2"/>
        <v>0</v>
      </c>
      <c r="I7" s="25">
        <f>TCO!G24+TCO!G25</f>
        <v>0</v>
      </c>
      <c r="J7" s="25">
        <f>(TCO!G$9*(1+$X$5))+TCO!G$10</f>
        <v>7708085.2762748487</v>
      </c>
      <c r="K7" s="28">
        <f t="shared" si="3"/>
        <v>7708085.2762748487</v>
      </c>
      <c r="L7" s="26">
        <v>0</v>
      </c>
      <c r="M7" s="26">
        <f>TCO!G11</f>
        <v>0</v>
      </c>
      <c r="N7" s="28">
        <f t="shared" si="4"/>
        <v>0</v>
      </c>
      <c r="O7" s="26">
        <v>0</v>
      </c>
      <c r="P7" s="26">
        <f>TCO!G14</f>
        <v>0</v>
      </c>
      <c r="Q7" s="28">
        <f t="shared" si="5"/>
        <v>0</v>
      </c>
      <c r="R7" s="26">
        <f>'Parametre - Agendové IS'!D109</f>
        <v>0</v>
      </c>
      <c r="S7" s="26">
        <f>'Parametre - Agendové IS'!E109</f>
        <v>0</v>
      </c>
      <c r="T7" s="28">
        <f t="shared" si="0"/>
        <v>0</v>
      </c>
      <c r="U7" s="25">
        <f t="shared" si="6"/>
        <v>0</v>
      </c>
      <c r="V7" s="25">
        <f t="shared" si="7"/>
        <v>7708085.2762748487</v>
      </c>
      <c r="W7" s="28">
        <f t="shared" si="8"/>
        <v>7708085.2762748487</v>
      </c>
    </row>
    <row r="8" spans="1:24">
      <c r="A8" s="24" t="s">
        <v>170</v>
      </c>
      <c r="B8" s="64">
        <v>5</v>
      </c>
      <c r="C8" s="26">
        <f>TCO!H26+TCO!H27</f>
        <v>0</v>
      </c>
      <c r="D8" s="25">
        <f>(TCO!H$12*(1+$X$5))+TCO!H$13</f>
        <v>0</v>
      </c>
      <c r="E8" s="28">
        <f t="shared" si="1"/>
        <v>0</v>
      </c>
      <c r="F8" s="26">
        <f>TCO!H22+TCO!H23</f>
        <v>0</v>
      </c>
      <c r="G8" s="25">
        <f>(TCO!H$7*(1+$X$5))+TCO!H$8</f>
        <v>0</v>
      </c>
      <c r="H8" s="28">
        <f t="shared" si="2"/>
        <v>0</v>
      </c>
      <c r="I8" s="25">
        <f>TCO!H24+TCO!H25</f>
        <v>0</v>
      </c>
      <c r="J8" s="25">
        <f>(TCO!H$9*(1+$X$5))+TCO!H$10</f>
        <v>3886638.0705000004</v>
      </c>
      <c r="K8" s="28">
        <f t="shared" si="3"/>
        <v>3886638.0705000004</v>
      </c>
      <c r="L8" s="26">
        <v>0</v>
      </c>
      <c r="M8" s="26">
        <f>TCO!H11</f>
        <v>0</v>
      </c>
      <c r="N8" s="28">
        <f t="shared" si="4"/>
        <v>0</v>
      </c>
      <c r="O8" s="26">
        <v>0</v>
      </c>
      <c r="P8" s="26">
        <f>TCO!H14</f>
        <v>0</v>
      </c>
      <c r="Q8" s="28">
        <f t="shared" si="5"/>
        <v>0</v>
      </c>
      <c r="R8" s="26">
        <f>'Parametre - Agendové IS'!D110</f>
        <v>0</v>
      </c>
      <c r="S8" s="26">
        <f>'Parametre - Agendové IS'!E110</f>
        <v>0</v>
      </c>
      <c r="T8" s="28">
        <f t="shared" si="0"/>
        <v>0</v>
      </c>
      <c r="U8" s="25">
        <f t="shared" si="6"/>
        <v>0</v>
      </c>
      <c r="V8" s="25">
        <f t="shared" si="7"/>
        <v>3886638.0705000004</v>
      </c>
      <c r="W8" s="28">
        <f t="shared" si="8"/>
        <v>3886638.0705000004</v>
      </c>
    </row>
    <row r="9" spans="1:24">
      <c r="A9" s="24" t="s">
        <v>171</v>
      </c>
      <c r="B9" s="64">
        <v>6</v>
      </c>
      <c r="C9" s="26">
        <f>TCO!I26+TCO!I27</f>
        <v>0</v>
      </c>
      <c r="D9" s="25">
        <f>(TCO!I$12*(1+$X$5))+TCO!I$13</f>
        <v>0</v>
      </c>
      <c r="E9" s="28">
        <f t="shared" si="1"/>
        <v>0</v>
      </c>
      <c r="F9" s="26">
        <f>TCO!I22+TCO!I23</f>
        <v>0</v>
      </c>
      <c r="G9" s="25">
        <f>(TCO!I$7*(1+$X$5))+TCO!I$8</f>
        <v>0</v>
      </c>
      <c r="H9" s="28">
        <f t="shared" si="2"/>
        <v>0</v>
      </c>
      <c r="I9" s="25">
        <f>TCO!I24+TCO!I25</f>
        <v>0</v>
      </c>
      <c r="J9" s="25">
        <f>(TCO!I$9*(1+$X$5))+TCO!I$10</f>
        <v>3886638.0705000004</v>
      </c>
      <c r="K9" s="28">
        <f t="shared" si="3"/>
        <v>3886638.0705000004</v>
      </c>
      <c r="L9" s="26">
        <v>0</v>
      </c>
      <c r="M9" s="26">
        <f>TCO!I11</f>
        <v>0</v>
      </c>
      <c r="N9" s="28">
        <f t="shared" si="4"/>
        <v>0</v>
      </c>
      <c r="O9" s="26">
        <v>0</v>
      </c>
      <c r="P9" s="26">
        <f>TCO!I14</f>
        <v>0</v>
      </c>
      <c r="Q9" s="28">
        <f t="shared" si="5"/>
        <v>0</v>
      </c>
      <c r="R9" s="26">
        <f>'Parametre - Agendové IS'!D111</f>
        <v>0</v>
      </c>
      <c r="S9" s="26">
        <f>'Parametre - Agendové IS'!E111</f>
        <v>0</v>
      </c>
      <c r="T9" s="28">
        <f t="shared" si="0"/>
        <v>0</v>
      </c>
      <c r="U9" s="25">
        <f t="shared" si="6"/>
        <v>0</v>
      </c>
      <c r="V9" s="25">
        <f t="shared" si="7"/>
        <v>3886638.0705000004</v>
      </c>
      <c r="W9" s="28">
        <f t="shared" si="8"/>
        <v>3886638.0705000004</v>
      </c>
    </row>
    <row r="10" spans="1:24">
      <c r="A10" s="24" t="s">
        <v>172</v>
      </c>
      <c r="B10" s="64">
        <v>7</v>
      </c>
      <c r="C10" s="26">
        <f>TCO!J26+TCO!J27</f>
        <v>0</v>
      </c>
      <c r="D10" s="25">
        <f>(TCO!J$12*(1+$X$5))+TCO!J$13</f>
        <v>0</v>
      </c>
      <c r="E10" s="28">
        <f t="shared" si="1"/>
        <v>0</v>
      </c>
      <c r="F10" s="26">
        <f>TCO!J22+TCO!J23</f>
        <v>0</v>
      </c>
      <c r="G10" s="25">
        <f>(TCO!J$7*(1+$X$5))+TCO!J$8</f>
        <v>0</v>
      </c>
      <c r="H10" s="28">
        <f t="shared" si="2"/>
        <v>0</v>
      </c>
      <c r="I10" s="25">
        <f>TCO!J24+TCO!J25</f>
        <v>0</v>
      </c>
      <c r="J10" s="25">
        <f>(TCO!J$9*(1+$X$5))+TCO!J$10</f>
        <v>3886638.0705000004</v>
      </c>
      <c r="K10" s="28">
        <f t="shared" si="3"/>
        <v>3886638.0705000004</v>
      </c>
      <c r="L10" s="26">
        <v>0</v>
      </c>
      <c r="M10" s="26">
        <f>TCO!J11</f>
        <v>0</v>
      </c>
      <c r="N10" s="28">
        <f t="shared" si="4"/>
        <v>0</v>
      </c>
      <c r="O10" s="26">
        <v>0</v>
      </c>
      <c r="P10" s="26">
        <f>TCO!J14</f>
        <v>0</v>
      </c>
      <c r="Q10" s="28">
        <f t="shared" si="5"/>
        <v>0</v>
      </c>
      <c r="R10" s="26">
        <f>'Parametre - Agendové IS'!D112</f>
        <v>0</v>
      </c>
      <c r="S10" s="26">
        <f>'Parametre - Agendové IS'!E112</f>
        <v>0</v>
      </c>
      <c r="T10" s="28">
        <f t="shared" si="0"/>
        <v>0</v>
      </c>
      <c r="U10" s="25">
        <f t="shared" si="6"/>
        <v>0</v>
      </c>
      <c r="V10" s="25">
        <f t="shared" si="7"/>
        <v>3886638.0705000004</v>
      </c>
      <c r="W10" s="28">
        <f t="shared" si="8"/>
        <v>3886638.0705000004</v>
      </c>
    </row>
    <row r="11" spans="1:24">
      <c r="A11" s="24" t="s">
        <v>173</v>
      </c>
      <c r="B11" s="64">
        <v>8</v>
      </c>
      <c r="C11" s="26">
        <f>TCO!K26+TCO!K27</f>
        <v>0</v>
      </c>
      <c r="D11" s="25">
        <f>(TCO!K$12*(1+$X$5))+TCO!K$13</f>
        <v>0</v>
      </c>
      <c r="E11" s="28">
        <f t="shared" si="1"/>
        <v>0</v>
      </c>
      <c r="F11" s="26">
        <f>TCO!K22+TCO!K23</f>
        <v>0</v>
      </c>
      <c r="G11" s="25">
        <f>(TCO!K$7*(1+$X$5))+TCO!K$8</f>
        <v>0</v>
      </c>
      <c r="H11" s="28">
        <f t="shared" si="2"/>
        <v>0</v>
      </c>
      <c r="I11" s="25">
        <f>TCO!K24+TCO!K25</f>
        <v>0</v>
      </c>
      <c r="J11" s="25">
        <f>(TCO!K$9*(1+$X$5))+TCO!K$10</f>
        <v>3886638.0705000004</v>
      </c>
      <c r="K11" s="28">
        <f t="shared" si="3"/>
        <v>3886638.0705000004</v>
      </c>
      <c r="L11" s="26">
        <v>0</v>
      </c>
      <c r="M11" s="26">
        <f>TCO!K11</f>
        <v>0</v>
      </c>
      <c r="N11" s="28">
        <f t="shared" si="4"/>
        <v>0</v>
      </c>
      <c r="O11" s="26">
        <v>0</v>
      </c>
      <c r="P11" s="26">
        <f>TCO!K14</f>
        <v>0</v>
      </c>
      <c r="Q11" s="28">
        <f t="shared" si="5"/>
        <v>0</v>
      </c>
      <c r="R11" s="26">
        <f>'Parametre - Agendové IS'!D113</f>
        <v>0</v>
      </c>
      <c r="S11" s="26">
        <f>'Parametre - Agendové IS'!E113</f>
        <v>0</v>
      </c>
      <c r="T11" s="28">
        <f t="shared" si="0"/>
        <v>0</v>
      </c>
      <c r="U11" s="25">
        <f t="shared" si="6"/>
        <v>0</v>
      </c>
      <c r="V11" s="25">
        <f t="shared" si="7"/>
        <v>3886638.0705000004</v>
      </c>
      <c r="W11" s="28">
        <f t="shared" si="8"/>
        <v>3886638.0705000004</v>
      </c>
    </row>
    <row r="12" spans="1:24">
      <c r="A12" s="24" t="s">
        <v>174</v>
      </c>
      <c r="B12" s="64">
        <v>9</v>
      </c>
      <c r="C12" s="26">
        <f>TCO!L26+TCO!L27</f>
        <v>0</v>
      </c>
      <c r="D12" s="25">
        <f>(TCO!L$12*(1+$X$5))+TCO!L$13</f>
        <v>0</v>
      </c>
      <c r="E12" s="28">
        <f t="shared" si="1"/>
        <v>0</v>
      </c>
      <c r="F12" s="26">
        <f>TCO!L22+TCO!L23</f>
        <v>0</v>
      </c>
      <c r="G12" s="25">
        <f>(TCO!L$7*(1+$X$5))+TCO!L$8</f>
        <v>0</v>
      </c>
      <c r="H12" s="28">
        <f t="shared" si="2"/>
        <v>0</v>
      </c>
      <c r="I12" s="25">
        <f>TCO!L24+TCO!L25</f>
        <v>0</v>
      </c>
      <c r="J12" s="25">
        <f>(TCO!L$9*(1+$X$5))+TCO!L$10</f>
        <v>3886638.0705000004</v>
      </c>
      <c r="K12" s="28">
        <f t="shared" si="3"/>
        <v>3886638.0705000004</v>
      </c>
      <c r="L12" s="26">
        <v>0</v>
      </c>
      <c r="M12" s="26">
        <f>TCO!L11</f>
        <v>0</v>
      </c>
      <c r="N12" s="28">
        <f t="shared" si="4"/>
        <v>0</v>
      </c>
      <c r="O12" s="26">
        <v>0</v>
      </c>
      <c r="P12" s="26">
        <f>TCO!L14</f>
        <v>0</v>
      </c>
      <c r="Q12" s="28">
        <f t="shared" si="5"/>
        <v>0</v>
      </c>
      <c r="R12" s="26">
        <f>'Parametre - Agendové IS'!D114</f>
        <v>0</v>
      </c>
      <c r="S12" s="26">
        <f>'Parametre - Agendové IS'!E114</f>
        <v>0</v>
      </c>
      <c r="T12" s="28">
        <f t="shared" si="0"/>
        <v>0</v>
      </c>
      <c r="U12" s="25">
        <f t="shared" si="6"/>
        <v>0</v>
      </c>
      <c r="V12" s="25">
        <f t="shared" si="7"/>
        <v>3886638.0705000004</v>
      </c>
      <c r="W12" s="28">
        <f t="shared" si="8"/>
        <v>3886638.0705000004</v>
      </c>
    </row>
    <row r="13" spans="1:24" ht="15" thickBot="1">
      <c r="A13" s="24" t="s">
        <v>175</v>
      </c>
      <c r="B13" s="65">
        <v>10</v>
      </c>
      <c r="C13" s="43">
        <f>TCO!M26+TCO!M27</f>
        <v>0</v>
      </c>
      <c r="D13" s="39">
        <f>(TCO!M$12*(1+$X$5))+TCO!M$13</f>
        <v>0</v>
      </c>
      <c r="E13" s="124">
        <f t="shared" si="1"/>
        <v>0</v>
      </c>
      <c r="F13" s="26">
        <f>TCO!M22+TCO!M23</f>
        <v>0</v>
      </c>
      <c r="G13" s="39">
        <f>(TCO!M$7*(1+$X$5))+TCO!M$8</f>
        <v>0</v>
      </c>
      <c r="H13" s="124">
        <f t="shared" si="2"/>
        <v>0</v>
      </c>
      <c r="I13" s="39">
        <f>TCO!M24+TCO!M25</f>
        <v>0</v>
      </c>
      <c r="J13" s="39">
        <f>(TCO!M$9*(1+$X$5))+TCO!M$10</f>
        <v>3886638.0705000004</v>
      </c>
      <c r="K13" s="124">
        <f t="shared" si="3"/>
        <v>3886638.0705000004</v>
      </c>
      <c r="L13" s="43">
        <v>0</v>
      </c>
      <c r="M13" s="43">
        <f>TCO!M11</f>
        <v>0</v>
      </c>
      <c r="N13" s="124">
        <f t="shared" si="4"/>
        <v>0</v>
      </c>
      <c r="O13" s="43">
        <v>0</v>
      </c>
      <c r="P13" s="43">
        <f>TCO!M14</f>
        <v>0</v>
      </c>
      <c r="Q13" s="124">
        <f t="shared" si="5"/>
        <v>0</v>
      </c>
      <c r="R13" s="43">
        <f>'Parametre - Agendové IS'!D115</f>
        <v>0</v>
      </c>
      <c r="S13" s="43">
        <f>'Parametre - Agendové IS'!E115</f>
        <v>0</v>
      </c>
      <c r="T13" s="124">
        <f t="shared" si="0"/>
        <v>0</v>
      </c>
      <c r="U13" s="25">
        <f t="shared" si="6"/>
        <v>0</v>
      </c>
      <c r="V13" s="25">
        <f t="shared" si="7"/>
        <v>3886638.0705000004</v>
      </c>
      <c r="W13" s="124">
        <f t="shared" si="8"/>
        <v>3886638.0705000004</v>
      </c>
    </row>
    <row r="14" spans="1:24">
      <c r="A14" s="767" t="s">
        <v>99</v>
      </c>
      <c r="B14" s="768"/>
      <c r="C14" s="347">
        <f>SUM(C4:C13)</f>
        <v>0</v>
      </c>
      <c r="D14" s="345">
        <f t="shared" ref="D14:T14" si="9">SUM(D4:D13)</f>
        <v>0</v>
      </c>
      <c r="E14" s="344">
        <f t="shared" si="9"/>
        <v>0</v>
      </c>
      <c r="F14" s="347">
        <f t="shared" si="9"/>
        <v>0</v>
      </c>
      <c r="G14" s="345">
        <f t="shared" si="9"/>
        <v>16360749</v>
      </c>
      <c r="H14" s="344">
        <f t="shared" si="9"/>
        <v>16360749</v>
      </c>
      <c r="I14" s="347">
        <f t="shared" si="9"/>
        <v>0</v>
      </c>
      <c r="J14" s="345">
        <f t="shared" si="9"/>
        <v>58650028.239160791</v>
      </c>
      <c r="K14" s="344">
        <f t="shared" si="9"/>
        <v>58650028.239160791</v>
      </c>
      <c r="L14" s="347">
        <f t="shared" ref="L14:Q14" si="10">SUM(L4:L13)</f>
        <v>0</v>
      </c>
      <c r="M14" s="345">
        <f t="shared" si="10"/>
        <v>0</v>
      </c>
      <c r="N14" s="344">
        <f t="shared" si="10"/>
        <v>0</v>
      </c>
      <c r="O14" s="347">
        <f t="shared" si="10"/>
        <v>0</v>
      </c>
      <c r="P14" s="345">
        <f t="shared" si="10"/>
        <v>3019546.2548999996</v>
      </c>
      <c r="Q14" s="344">
        <f t="shared" si="10"/>
        <v>3019546.2548999996</v>
      </c>
      <c r="R14" s="347">
        <f t="shared" si="9"/>
        <v>0</v>
      </c>
      <c r="S14" s="345">
        <f t="shared" si="9"/>
        <v>0</v>
      </c>
      <c r="T14" s="344">
        <f t="shared" si="9"/>
        <v>0</v>
      </c>
      <c r="U14" s="356">
        <f>SUM(U4:U13)</f>
        <v>0</v>
      </c>
      <c r="V14" s="357">
        <f>SUM(V4:V13)</f>
        <v>78030323.494060785</v>
      </c>
      <c r="W14" s="358">
        <f>SUM(W4:W13)</f>
        <v>78030323.494060785</v>
      </c>
    </row>
    <row r="15" spans="1:24" ht="15" thickBot="1">
      <c r="A15" s="769" t="s">
        <v>195</v>
      </c>
      <c r="B15" s="770"/>
      <c r="C15" s="355"/>
      <c r="D15" s="353">
        <f>D4+NPV(Faktory!$D$5,D5:D13)</f>
        <v>0</v>
      </c>
      <c r="E15" s="351">
        <f>E4+NPV(Faktory!$D$5,E5:E13)</f>
        <v>0</v>
      </c>
      <c r="F15" s="355"/>
      <c r="G15" s="353">
        <f>G4+NPV(Faktory!$D$5,G5:G13)</f>
        <v>16360749</v>
      </c>
      <c r="H15" s="351">
        <f>H4+NPV(Faktory!$D$5,H5:H13)</f>
        <v>16360749</v>
      </c>
      <c r="I15" s="355"/>
      <c r="J15" s="353">
        <f>J4+NPV(Faktory!$D$5,J5:J13)</f>
        <v>49552922.242158979</v>
      </c>
      <c r="K15" s="351">
        <f>K4+NPV(Faktory!$D$5,K5:K13)</f>
        <v>49552922.242158979</v>
      </c>
      <c r="L15" s="355"/>
      <c r="M15" s="353">
        <f>M4+NPV(Faktory!$D$5,M5:M13)</f>
        <v>0</v>
      </c>
      <c r="N15" s="351">
        <f>N4+NPV(Faktory!$D$5,N5:N13)</f>
        <v>0</v>
      </c>
      <c r="O15" s="355"/>
      <c r="P15" s="353">
        <f>P4+NPV(Faktory!$D$5,P5:P13)</f>
        <v>2878040.6858873013</v>
      </c>
      <c r="Q15" s="351">
        <f>Q4+NPV(Faktory!$D$5,Q5:Q13)</f>
        <v>2878040.6858873013</v>
      </c>
      <c r="R15" s="355"/>
      <c r="S15" s="353">
        <f>S4+NPV(Faktory!$D$5,S5:S13)</f>
        <v>0</v>
      </c>
      <c r="T15" s="351">
        <f>T4+NPV(Faktory!$D$5,T5:T13)</f>
        <v>0</v>
      </c>
      <c r="U15" s="359"/>
      <c r="V15" s="353">
        <f>V4+NPV(Faktory!$D$5,V5:V13)</f>
        <v>68791711.928046271</v>
      </c>
      <c r="W15" s="360">
        <f>W4+NPV(Faktory!$D$5,W5:W13)</f>
        <v>68791711.928046271</v>
      </c>
    </row>
    <row r="16" spans="1:24">
      <c r="A16" s="7"/>
      <c r="B16" s="7"/>
      <c r="C16" s="7"/>
      <c r="D16" s="7"/>
      <c r="E16" s="116"/>
      <c r="F16" s="7"/>
      <c r="G16" s="7"/>
      <c r="H16" s="116"/>
      <c r="I16" s="7"/>
      <c r="J16" s="7"/>
      <c r="K16" s="116"/>
      <c r="L16" s="116"/>
      <c r="M16" s="116"/>
      <c r="N16" s="116"/>
      <c r="O16" s="116"/>
      <c r="P16" s="116"/>
      <c r="Q16" s="116"/>
      <c r="R16" s="7"/>
      <c r="S16" s="7"/>
      <c r="T16" s="116"/>
      <c r="U16" s="125"/>
      <c r="V16" s="125"/>
      <c r="W16" s="125"/>
    </row>
    <row r="17" spans="1:3">
      <c r="A17" s="7"/>
      <c r="B17" s="7"/>
      <c r="C17" s="97" t="s">
        <v>196</v>
      </c>
    </row>
    <row r="22" spans="1:3">
      <c r="C22" s="126"/>
    </row>
  </sheetData>
  <mergeCells count="12">
    <mergeCell ref="A14:B14"/>
    <mergeCell ref="A15:B15"/>
    <mergeCell ref="R1:T1"/>
    <mergeCell ref="U1:W1"/>
    <mergeCell ref="C2:E2"/>
    <mergeCell ref="F2:H2"/>
    <mergeCell ref="I2:K2"/>
    <mergeCell ref="R2:T2"/>
    <mergeCell ref="O1:Q1"/>
    <mergeCell ref="O2:Q2"/>
    <mergeCell ref="L2:N2"/>
    <mergeCell ref="C1:N1"/>
  </mergeCells>
  <pageMargins left="0.7" right="0.7" top="0.75" bottom="0.75" header="0.3" footer="0.3"/>
  <pageSetup paperSize="9" scale="2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árok6"/>
  <dimension ref="A1:AA38"/>
  <sheetViews>
    <sheetView view="pageBreakPreview" topLeftCell="E1" zoomScaleNormal="85" zoomScaleSheetLayoutView="100" workbookViewId="0">
      <selection activeCell="U7" sqref="U7"/>
    </sheetView>
  </sheetViews>
  <sheetFormatPr defaultColWidth="8.81640625" defaultRowHeight="14.5"/>
  <cols>
    <col min="1" max="1" width="9.453125" customWidth="1"/>
    <col min="2" max="2" width="4.453125" bestFit="1" customWidth="1"/>
    <col min="3" max="4" width="14.26953125" bestFit="1" customWidth="1"/>
    <col min="5" max="9" width="13.453125" customWidth="1"/>
    <col min="10" max="10" width="11.1796875" customWidth="1"/>
    <col min="11" max="11" width="12" customWidth="1"/>
    <col min="13" max="13" width="12" customWidth="1"/>
    <col min="14" max="14" width="14" customWidth="1"/>
    <col min="15" max="15" width="14.81640625" customWidth="1"/>
    <col min="16" max="16" width="13.453125" customWidth="1"/>
    <col min="17" max="17" width="13.453125" bestFit="1" customWidth="1"/>
    <col min="18" max="18" width="13.81640625" customWidth="1"/>
    <col min="19" max="19" width="20.453125" customWidth="1"/>
    <col min="20" max="20" width="17.54296875" customWidth="1"/>
    <col min="21" max="21" width="18" customWidth="1"/>
    <col min="22" max="22" width="14.7265625" customWidth="1"/>
    <col min="23" max="23" width="14" customWidth="1"/>
    <col min="24" max="24" width="14.453125" customWidth="1"/>
    <col min="25" max="25" width="14.26953125" bestFit="1" customWidth="1"/>
    <col min="26" max="27" width="15.453125" customWidth="1"/>
  </cols>
  <sheetData>
    <row r="1" spans="1:27" ht="15.75" customHeight="1" thickBot="1">
      <c r="A1" s="18"/>
      <c r="B1" s="35"/>
      <c r="C1" s="759" t="s">
        <v>197</v>
      </c>
      <c r="D1" s="760"/>
      <c r="E1" s="760"/>
      <c r="F1" s="760"/>
      <c r="G1" s="760"/>
      <c r="H1" s="760"/>
      <c r="I1" s="761"/>
      <c r="J1" s="759" t="s">
        <v>198</v>
      </c>
      <c r="K1" s="760"/>
      <c r="L1" s="760"/>
      <c r="M1" s="760"/>
      <c r="N1" s="760"/>
      <c r="O1" s="760"/>
      <c r="P1" s="760"/>
      <c r="Q1" s="760"/>
      <c r="R1" s="760"/>
      <c r="S1" s="760"/>
      <c r="T1" s="760"/>
      <c r="U1" s="761"/>
      <c r="V1" s="762" t="s">
        <v>199</v>
      </c>
      <c r="W1" s="763"/>
      <c r="X1" s="763"/>
      <c r="Y1" s="763"/>
      <c r="Z1" s="763"/>
      <c r="AA1" s="764"/>
    </row>
    <row r="2" spans="1:27" ht="15" thickBot="1">
      <c r="A2" s="653"/>
      <c r="B2" s="651"/>
      <c r="C2" s="762" t="s">
        <v>111</v>
      </c>
      <c r="D2" s="763"/>
      <c r="E2" s="764"/>
      <c r="F2" s="762" t="s">
        <v>200</v>
      </c>
      <c r="G2" s="763"/>
      <c r="H2" s="763"/>
      <c r="I2" s="764"/>
      <c r="J2" s="779" t="s">
        <v>112</v>
      </c>
      <c r="K2" s="780"/>
      <c r="L2" s="781"/>
      <c r="M2" s="782" t="s">
        <v>201</v>
      </c>
      <c r="N2" s="780"/>
      <c r="O2" s="781"/>
      <c r="P2" s="782" t="s">
        <v>202</v>
      </c>
      <c r="Q2" s="780"/>
      <c r="R2" s="781"/>
      <c r="S2" s="782" t="s">
        <v>203</v>
      </c>
      <c r="T2" s="780"/>
      <c r="U2" s="783"/>
      <c r="V2" s="763" t="s">
        <v>110</v>
      </c>
      <c r="W2" s="763"/>
      <c r="X2" s="764"/>
      <c r="Y2" s="763" t="s">
        <v>113</v>
      </c>
      <c r="Z2" s="763"/>
      <c r="AA2" s="764"/>
    </row>
    <row r="3" spans="1:27" ht="18.649999999999999" customHeight="1" thickBot="1">
      <c r="A3" s="661" t="s">
        <v>162</v>
      </c>
      <c r="B3" s="70" t="s">
        <v>194</v>
      </c>
      <c r="C3" s="22" t="s">
        <v>163</v>
      </c>
      <c r="D3" s="19" t="s">
        <v>164</v>
      </c>
      <c r="E3" s="23" t="s">
        <v>165</v>
      </c>
      <c r="F3" s="22" t="s">
        <v>105</v>
      </c>
      <c r="G3" s="19" t="s">
        <v>104</v>
      </c>
      <c r="H3" s="19" t="s">
        <v>204</v>
      </c>
      <c r="I3" s="19" t="s">
        <v>103</v>
      </c>
      <c r="J3" s="14" t="s">
        <v>163</v>
      </c>
      <c r="K3" s="15" t="s">
        <v>164</v>
      </c>
      <c r="L3" s="21" t="s">
        <v>165</v>
      </c>
      <c r="M3" s="20" t="s">
        <v>163</v>
      </c>
      <c r="N3" s="15" t="s">
        <v>164</v>
      </c>
      <c r="O3" s="21" t="s">
        <v>165</v>
      </c>
      <c r="P3" s="20" t="s">
        <v>163</v>
      </c>
      <c r="Q3" s="15" t="s">
        <v>164</v>
      </c>
      <c r="R3" s="21" t="s">
        <v>165</v>
      </c>
      <c r="S3" s="20" t="s">
        <v>163</v>
      </c>
      <c r="T3" s="15" t="s">
        <v>164</v>
      </c>
      <c r="U3" s="16" t="s">
        <v>165</v>
      </c>
      <c r="V3" s="15" t="s">
        <v>163</v>
      </c>
      <c r="W3" s="15" t="s">
        <v>164</v>
      </c>
      <c r="X3" s="16" t="s">
        <v>165</v>
      </c>
      <c r="Y3" s="15" t="s">
        <v>163</v>
      </c>
      <c r="Z3" s="15" t="s">
        <v>164</v>
      </c>
      <c r="AA3" s="16" t="s">
        <v>165</v>
      </c>
    </row>
    <row r="4" spans="1:27">
      <c r="A4" s="31" t="s">
        <v>166</v>
      </c>
      <c r="B4" s="63">
        <v>1</v>
      </c>
      <c r="C4" s="26">
        <f>'Parametre - Agendové IS'!D116</f>
        <v>0</v>
      </c>
      <c r="D4" s="26">
        <f>'Parametre - Agendové IS'!E116</f>
        <v>0</v>
      </c>
      <c r="E4" s="28">
        <f>IF(ISERR(D4-C4),"-",D4-C4)</f>
        <v>0</v>
      </c>
      <c r="F4" s="26">
        <f>IF(B4&lt;=MIN(MODULY_CBA!$N$3:$N$23),0,TCO!D26+TCO!D27)</f>
        <v>0</v>
      </c>
      <c r="G4" s="26">
        <f>IF(B4&lt;=MIN(MODULY_CBA!$N$3:$N$23),0,TCO!D22+TCO!D23)</f>
        <v>0</v>
      </c>
      <c r="H4" s="652">
        <f>IF(B4&lt;=MIN(MODULY_CBA!$N$3:$N$23),0,'Parametre - Agendové IS'!D106)</f>
        <v>0</v>
      </c>
      <c r="I4" s="28">
        <f>IF(B4&lt;=MIN(MODULY_CBA!$N$3:$N$23),0,TCO!D24+TCO!D25)</f>
        <v>0</v>
      </c>
      <c r="J4" s="238"/>
      <c r="K4" s="239"/>
      <c r="L4" s="32">
        <f t="shared" ref="L4:L13" si="0">IF(ISERR(K4-J4),"-",K4-J4)</f>
        <v>0</v>
      </c>
      <c r="M4" s="29">
        <v>0</v>
      </c>
      <c r="N4" s="25">
        <f>'Parametre - Agendové IS'!E96</f>
        <v>0</v>
      </c>
      <c r="O4" s="32">
        <f>IF(ISERR(N4-M4),"-",N4-M4)</f>
        <v>0</v>
      </c>
      <c r="P4" s="26">
        <f>'Parametre - Agendové IS'!D126</f>
        <v>0</v>
      </c>
      <c r="Q4" s="26">
        <f>'Parametre - Agendové IS'!E126</f>
        <v>0</v>
      </c>
      <c r="R4" s="28">
        <f>IF(ISERR(Q4-P4),"-",Q4-P4)</f>
        <v>0</v>
      </c>
      <c r="S4" s="25">
        <f>-'Parametre - Agendové IS'!D76</f>
        <v>0</v>
      </c>
      <c r="T4" s="25">
        <f>-'Parametre - Agendové IS'!E76</f>
        <v>0</v>
      </c>
      <c r="U4" s="32">
        <f t="shared" ref="U4:U13" si="1">IF(ISERR(T4-S4),"-",T4-S4)</f>
        <v>0</v>
      </c>
      <c r="V4" s="26">
        <f t="shared" ref="V4:V13" si="2">SUM(C4,J4)</f>
        <v>0</v>
      </c>
      <c r="W4" s="25">
        <f t="shared" ref="W4:W13" si="3">SUM(D4,K4)</f>
        <v>0</v>
      </c>
      <c r="X4" s="28">
        <f>W4-V4</f>
        <v>0</v>
      </c>
      <c r="Y4" s="26">
        <f>SUM(M4,P4,S4)</f>
        <v>0</v>
      </c>
      <c r="Z4" s="25">
        <f>SUM(N4,Q4,T4)</f>
        <v>0</v>
      </c>
      <c r="AA4" s="28">
        <f>Z4-Y4</f>
        <v>0</v>
      </c>
    </row>
    <row r="5" spans="1:27">
      <c r="A5" s="31" t="s">
        <v>167</v>
      </c>
      <c r="B5" s="64">
        <v>2</v>
      </c>
      <c r="C5" s="26">
        <f>'Parametre - Agendové IS'!D117</f>
        <v>0</v>
      </c>
      <c r="D5" s="26">
        <f>'Parametre - Agendové IS'!E117</f>
        <v>0</v>
      </c>
      <c r="E5" s="28">
        <f t="shared" ref="E5:E13" si="4">IF(ISERR(D5-C5),"-",D5-C5)</f>
        <v>0</v>
      </c>
      <c r="F5" s="26">
        <f>IF(B5&lt;=MIN(MODULY_CBA!$N$3:$N$23),0,TCO!E26+TCO!E27)</f>
        <v>0</v>
      </c>
      <c r="G5" s="26">
        <f>IF(B5&lt;=MIN(MODULY_CBA!$N$3:$N$23),0,TCO!E22+TCO!E23)</f>
        <v>0</v>
      </c>
      <c r="H5" s="652">
        <f>IF(B5&lt;=MIN(MODULY_CBA!$N$3:$N$23),0,'Parametre - Agendové IS'!D107)</f>
        <v>0</v>
      </c>
      <c r="I5" s="28">
        <f>IF(B5&lt;=MIN(MODULY_CBA!$N$3:$N$23),0,TCO!E24+TCO!E25)</f>
        <v>0</v>
      </c>
      <c r="J5" s="238"/>
      <c r="K5" s="239"/>
      <c r="L5" s="28">
        <f t="shared" si="0"/>
        <v>0</v>
      </c>
      <c r="M5" s="29">
        <v>0</v>
      </c>
      <c r="N5" s="25">
        <f>'Parametre - Agendové IS'!E97</f>
        <v>0</v>
      </c>
      <c r="O5" s="115">
        <f>IF(ISERR(N5-M5),"-",N5-M5)</f>
        <v>0</v>
      </c>
      <c r="P5" s="26">
        <f>'Parametre - Agendové IS'!D127</f>
        <v>0</v>
      </c>
      <c r="Q5" s="26">
        <f>'Parametre - Agendové IS'!E127</f>
        <v>0</v>
      </c>
      <c r="R5" s="28">
        <f t="shared" ref="R5:R13" si="5">IF(ISERR(Q5-P5),"-",Q5-P5)</f>
        <v>0</v>
      </c>
      <c r="S5" s="25">
        <f>-'Parametre - Agendové IS'!D77</f>
        <v>0</v>
      </c>
      <c r="T5" s="25">
        <f>-'Parametre - Agendové IS'!E77</f>
        <v>0</v>
      </c>
      <c r="U5" s="28">
        <f t="shared" si="1"/>
        <v>0</v>
      </c>
      <c r="V5" s="26">
        <f t="shared" si="2"/>
        <v>0</v>
      </c>
      <c r="W5" s="25">
        <f t="shared" si="3"/>
        <v>0</v>
      </c>
      <c r="X5" s="28">
        <f t="shared" ref="X5:X12" si="6">W5-V5</f>
        <v>0</v>
      </c>
      <c r="Y5" s="26">
        <f t="shared" ref="Y5:Z13" si="7">SUM(M5,P5,S5)</f>
        <v>0</v>
      </c>
      <c r="Z5" s="25">
        <f t="shared" si="7"/>
        <v>0</v>
      </c>
      <c r="AA5" s="28">
        <f t="shared" ref="AA5:AA13" si="8">Z5-Y5</f>
        <v>0</v>
      </c>
    </row>
    <row r="6" spans="1:27">
      <c r="A6" s="31" t="s">
        <v>168</v>
      </c>
      <c r="B6" s="64">
        <v>3</v>
      </c>
      <c r="C6" s="26">
        <f>'Parametre - Agendové IS'!D118</f>
        <v>0</v>
      </c>
      <c r="D6" s="26">
        <f>'Parametre - Agendové IS'!E118</f>
        <v>0</v>
      </c>
      <c r="E6" s="28">
        <f t="shared" si="4"/>
        <v>0</v>
      </c>
      <c r="F6" s="26">
        <f>IF(B6&lt;=MIN(MODULY_CBA!$N$3:$N$23),0,TCO!F26+TCO!F27)</f>
        <v>0</v>
      </c>
      <c r="G6" s="26">
        <f>IF(B6&lt;=MIN(MODULY_CBA!$N$3:$N$23),0,TCO!F22+TCO!F23)</f>
        <v>0</v>
      </c>
      <c r="H6" s="652">
        <f>IF(B6&lt;=MIN(MODULY_CBA!$N$3:$N$23),0,'Parametre - Agendové IS'!D108)</f>
        <v>0</v>
      </c>
      <c r="I6" s="28">
        <f>IF(B6&lt;=MIN(MODULY_CBA!$N$3:$N$23),0,TCO!F24+TCO!F25)</f>
        <v>0</v>
      </c>
      <c r="J6" s="238"/>
      <c r="K6" s="239"/>
      <c r="L6" s="28">
        <f t="shared" si="0"/>
        <v>0</v>
      </c>
      <c r="M6" s="29">
        <v>0</v>
      </c>
      <c r="N6" s="25">
        <f>'Parametre - Agendové IS'!E98</f>
        <v>0</v>
      </c>
      <c r="O6" s="28">
        <f t="shared" ref="O6:O13" si="9">IF(ISERR(N6-M6),"-",N6-M6)</f>
        <v>0</v>
      </c>
      <c r="P6" s="26">
        <f>'Parametre - Agendové IS'!D128</f>
        <v>0</v>
      </c>
      <c r="Q6" s="26">
        <f>'Parametre - Agendové IS'!E128</f>
        <v>0</v>
      </c>
      <c r="R6" s="28">
        <f t="shared" si="5"/>
        <v>0</v>
      </c>
      <c r="S6" s="25">
        <f>-'Parametre - Agendové IS'!D78</f>
        <v>0</v>
      </c>
      <c r="T6" s="25">
        <f>-'Parametre - Agendové IS'!E78</f>
        <v>0</v>
      </c>
      <c r="U6" s="28">
        <f t="shared" si="1"/>
        <v>0</v>
      </c>
      <c r="V6" s="26">
        <f t="shared" si="2"/>
        <v>0</v>
      </c>
      <c r="W6" s="25">
        <f t="shared" si="3"/>
        <v>0</v>
      </c>
      <c r="X6" s="28">
        <f t="shared" si="6"/>
        <v>0</v>
      </c>
      <c r="Y6" s="26">
        <f t="shared" si="7"/>
        <v>0</v>
      </c>
      <c r="Z6" s="25">
        <f t="shared" si="7"/>
        <v>0</v>
      </c>
      <c r="AA6" s="28">
        <f t="shared" si="8"/>
        <v>0</v>
      </c>
    </row>
    <row r="7" spans="1:27">
      <c r="A7" s="31" t="s">
        <v>169</v>
      </c>
      <c r="B7" s="64">
        <v>4</v>
      </c>
      <c r="C7" s="26">
        <f>'Parametre - Agendové IS'!D119</f>
        <v>0</v>
      </c>
      <c r="D7" s="26">
        <f>'Parametre - Agendové IS'!E119</f>
        <v>0</v>
      </c>
      <c r="E7" s="28">
        <f t="shared" si="4"/>
        <v>0</v>
      </c>
      <c r="F7" s="26">
        <f>IF(B7&lt;=MIN(MODULY_CBA!$N$3:$N$23),0,TCO!G26+TCO!G27)</f>
        <v>0</v>
      </c>
      <c r="G7" s="26">
        <f>IF(B7&lt;=MIN(MODULY_CBA!$N$3:$N$23),0,TCO!G22+TCO!G23)</f>
        <v>0</v>
      </c>
      <c r="H7" s="652">
        <f>IF(B7&lt;=MIN(MODULY_CBA!$N$3:$N$23),0,'Parametre - Agendové IS'!D109)</f>
        <v>0</v>
      </c>
      <c r="I7" s="28">
        <f>IF(B7&lt;=MIN(MODULY_CBA!$N$3:$N$23),0,TCO!G24+TCO!G25)</f>
        <v>0</v>
      </c>
      <c r="J7" s="238"/>
      <c r="K7" s="239"/>
      <c r="L7" s="28">
        <f t="shared" si="0"/>
        <v>0</v>
      </c>
      <c r="M7" s="29">
        <v>0</v>
      </c>
      <c r="N7" s="25">
        <f>'Parametre - Agendové IS'!E99</f>
        <v>437710.50180000038</v>
      </c>
      <c r="O7" s="28">
        <f t="shared" si="9"/>
        <v>437710.50180000038</v>
      </c>
      <c r="P7" s="26">
        <f>'Parametre - Agendové IS'!D129</f>
        <v>0</v>
      </c>
      <c r="Q7" s="26">
        <f>'Parametre - Agendové IS'!E129</f>
        <v>0</v>
      </c>
      <c r="R7" s="28">
        <f t="shared" si="5"/>
        <v>0</v>
      </c>
      <c r="S7" s="25">
        <f>-'Parametre - Agendové IS'!D79</f>
        <v>-53624942.64280916</v>
      </c>
      <c r="T7" s="25">
        <f>-'Parametre - Agendové IS'!E79</f>
        <v>-36196836.283896171</v>
      </c>
      <c r="U7" s="28">
        <f t="shared" si="1"/>
        <v>17428106.358912989</v>
      </c>
      <c r="V7" s="26">
        <f t="shared" si="2"/>
        <v>0</v>
      </c>
      <c r="W7" s="25">
        <f t="shared" si="3"/>
        <v>0</v>
      </c>
      <c r="X7" s="28">
        <f t="shared" si="6"/>
        <v>0</v>
      </c>
      <c r="Y7" s="26">
        <f t="shared" si="7"/>
        <v>-53624942.64280916</v>
      </c>
      <c r="Z7" s="25">
        <f t="shared" si="7"/>
        <v>-35759125.78209617</v>
      </c>
      <c r="AA7" s="28">
        <f t="shared" si="8"/>
        <v>17865816.86071299</v>
      </c>
    </row>
    <row r="8" spans="1:27">
      <c r="A8" s="31" t="s">
        <v>170</v>
      </c>
      <c r="B8" s="64">
        <v>5</v>
      </c>
      <c r="C8" s="26">
        <f>'Parametre - Agendové IS'!D120</f>
        <v>0</v>
      </c>
      <c r="D8" s="26">
        <f>'Parametre - Agendové IS'!E120</f>
        <v>0</v>
      </c>
      <c r="E8" s="28">
        <f t="shared" si="4"/>
        <v>0</v>
      </c>
      <c r="F8" s="26">
        <f>IF(B8&lt;=MIN(MODULY_CBA!$N$3:$N$23),0,TCO!H26+TCO!H27)</f>
        <v>0</v>
      </c>
      <c r="G8" s="26">
        <f>IF(B8&lt;=MIN(MODULY_CBA!$N$3:$N$23),0,TCO!H22+TCO!H23)</f>
        <v>0</v>
      </c>
      <c r="H8" s="652">
        <f>IF(B8&lt;=MIN(MODULY_CBA!$N$3:$N$23),0,'Parametre - Agendové IS'!D110)</f>
        <v>0</v>
      </c>
      <c r="I8" s="28">
        <f>IF(B8&lt;=MIN(MODULY_CBA!$N$3:$N$23),0,TCO!H24+TCO!H25)</f>
        <v>0</v>
      </c>
      <c r="J8" s="238"/>
      <c r="K8" s="239"/>
      <c r="L8" s="28">
        <f t="shared" si="0"/>
        <v>0</v>
      </c>
      <c r="M8" s="29">
        <v>0</v>
      </c>
      <c r="N8" s="25">
        <f>'Parametre - Agendové IS'!E100</f>
        <v>437710.50180000038</v>
      </c>
      <c r="O8" s="28">
        <f t="shared" si="9"/>
        <v>437710.50180000038</v>
      </c>
      <c r="P8" s="26">
        <f>'Parametre - Agendové IS'!D130</f>
        <v>0</v>
      </c>
      <c r="Q8" s="26">
        <f>'Parametre - Agendové IS'!E130</f>
        <v>0</v>
      </c>
      <c r="R8" s="28">
        <f t="shared" si="5"/>
        <v>0</v>
      </c>
      <c r="S8" s="25">
        <f>-'Parametre - Agendové IS'!D80</f>
        <v>-53624942.64280916</v>
      </c>
      <c r="T8" s="25">
        <f>-'Parametre - Agendové IS'!E80</f>
        <v>-36196836.283896171</v>
      </c>
      <c r="U8" s="28">
        <f t="shared" si="1"/>
        <v>17428106.358912989</v>
      </c>
      <c r="V8" s="26">
        <f t="shared" si="2"/>
        <v>0</v>
      </c>
      <c r="W8" s="25">
        <f t="shared" si="3"/>
        <v>0</v>
      </c>
      <c r="X8" s="28">
        <f t="shared" si="6"/>
        <v>0</v>
      </c>
      <c r="Y8" s="26">
        <f t="shared" si="7"/>
        <v>-53624942.64280916</v>
      </c>
      <c r="Z8" s="25">
        <f t="shared" si="7"/>
        <v>-35759125.78209617</v>
      </c>
      <c r="AA8" s="28">
        <f t="shared" si="8"/>
        <v>17865816.86071299</v>
      </c>
    </row>
    <row r="9" spans="1:27">
      <c r="A9" s="31" t="s">
        <v>171</v>
      </c>
      <c r="B9" s="64">
        <v>6</v>
      </c>
      <c r="C9" s="26">
        <f>'Parametre - Agendové IS'!D121</f>
        <v>0</v>
      </c>
      <c r="D9" s="26">
        <f>'Parametre - Agendové IS'!E121</f>
        <v>0</v>
      </c>
      <c r="E9" s="28">
        <f t="shared" si="4"/>
        <v>0</v>
      </c>
      <c r="F9" s="26">
        <f>IF(B9&lt;=MIN(MODULY_CBA!$N$3:$N$23),0,TCO!I26+TCO!I27)</f>
        <v>0</v>
      </c>
      <c r="G9" s="26">
        <f>IF(B9&lt;=MIN(MODULY_CBA!$N$3:$N$23),0,TCO!I22+TCO!I23)</f>
        <v>0</v>
      </c>
      <c r="H9" s="652">
        <f>IF(B9&lt;=MIN(MODULY_CBA!$N$3:$N$23),0,'Parametre - Agendové IS'!D111)</f>
        <v>0</v>
      </c>
      <c r="I9" s="28">
        <f>IF(B9&lt;=MIN(MODULY_CBA!$N$3:$N$23),0,TCO!I24+TCO!I25)</f>
        <v>0</v>
      </c>
      <c r="J9" s="238"/>
      <c r="K9" s="239"/>
      <c r="L9" s="28">
        <f t="shared" si="0"/>
        <v>0</v>
      </c>
      <c r="M9" s="29">
        <v>0</v>
      </c>
      <c r="N9" s="25">
        <f>'Parametre - Agendové IS'!E101</f>
        <v>437710.50180000038</v>
      </c>
      <c r="O9" s="28">
        <f t="shared" si="9"/>
        <v>437710.50180000038</v>
      </c>
      <c r="P9" s="26">
        <f>'Parametre - Agendové IS'!D131</f>
        <v>0</v>
      </c>
      <c r="Q9" s="26">
        <f>'Parametre - Agendové IS'!E131</f>
        <v>0</v>
      </c>
      <c r="R9" s="28">
        <f t="shared" si="5"/>
        <v>0</v>
      </c>
      <c r="S9" s="25">
        <f>-'Parametre - Agendové IS'!D81</f>
        <v>-53624942.64280916</v>
      </c>
      <c r="T9" s="25">
        <f>-'Parametre - Agendové IS'!E81</f>
        <v>-36196836.283896171</v>
      </c>
      <c r="U9" s="28">
        <f t="shared" si="1"/>
        <v>17428106.358912989</v>
      </c>
      <c r="V9" s="26">
        <f t="shared" si="2"/>
        <v>0</v>
      </c>
      <c r="W9" s="25">
        <f t="shared" si="3"/>
        <v>0</v>
      </c>
      <c r="X9" s="28">
        <f t="shared" si="6"/>
        <v>0</v>
      </c>
      <c r="Y9" s="26">
        <f t="shared" si="7"/>
        <v>-53624942.64280916</v>
      </c>
      <c r="Z9" s="25">
        <f t="shared" si="7"/>
        <v>-35759125.78209617</v>
      </c>
      <c r="AA9" s="28">
        <f t="shared" si="8"/>
        <v>17865816.86071299</v>
      </c>
    </row>
    <row r="10" spans="1:27">
      <c r="A10" s="31" t="s">
        <v>172</v>
      </c>
      <c r="B10" s="64">
        <v>7</v>
      </c>
      <c r="C10" s="26">
        <f>'Parametre - Agendové IS'!D122</f>
        <v>0</v>
      </c>
      <c r="D10" s="26">
        <f>'Parametre - Agendové IS'!E122</f>
        <v>0</v>
      </c>
      <c r="E10" s="28">
        <f t="shared" si="4"/>
        <v>0</v>
      </c>
      <c r="F10" s="26">
        <f>IF(B10&lt;=MIN(MODULY_CBA!$N$3:$N$23),0,TCO!J26+TCO!J27)</f>
        <v>0</v>
      </c>
      <c r="G10" s="26">
        <f>IF(B10&lt;=MIN(MODULY_CBA!$N$3:$N$23),0,TCO!J22+TCO!J23)</f>
        <v>0</v>
      </c>
      <c r="H10" s="652">
        <f>IF(B10&lt;=MIN(MODULY_CBA!$N$3:$N$23),0,'Parametre - Agendové IS'!D112)</f>
        <v>0</v>
      </c>
      <c r="I10" s="28">
        <f>IF(B10&lt;=MIN(MODULY_CBA!$N$3:$N$23),0,TCO!J24+TCO!J25)</f>
        <v>0</v>
      </c>
      <c r="J10" s="238"/>
      <c r="K10" s="239"/>
      <c r="L10" s="28">
        <f t="shared" si="0"/>
        <v>0</v>
      </c>
      <c r="M10" s="29">
        <v>0</v>
      </c>
      <c r="N10" s="25">
        <f>'Parametre - Agendové IS'!E102</f>
        <v>437710.50180000038</v>
      </c>
      <c r="O10" s="28">
        <f t="shared" si="9"/>
        <v>437710.50180000038</v>
      </c>
      <c r="P10" s="26">
        <f>'Parametre - Agendové IS'!D132</f>
        <v>0</v>
      </c>
      <c r="Q10" s="26">
        <f>'Parametre - Agendové IS'!E132</f>
        <v>0</v>
      </c>
      <c r="R10" s="28">
        <f t="shared" si="5"/>
        <v>0</v>
      </c>
      <c r="S10" s="25">
        <f>-'Parametre - Agendové IS'!D82</f>
        <v>-53624942.64280916</v>
      </c>
      <c r="T10" s="25">
        <f>-'Parametre - Agendové IS'!E82</f>
        <v>-36196836.283896171</v>
      </c>
      <c r="U10" s="28">
        <f t="shared" si="1"/>
        <v>17428106.358912989</v>
      </c>
      <c r="V10" s="26">
        <f t="shared" si="2"/>
        <v>0</v>
      </c>
      <c r="W10" s="25">
        <f t="shared" si="3"/>
        <v>0</v>
      </c>
      <c r="X10" s="28">
        <f t="shared" si="6"/>
        <v>0</v>
      </c>
      <c r="Y10" s="26">
        <f t="shared" si="7"/>
        <v>-53624942.64280916</v>
      </c>
      <c r="Z10" s="25">
        <f t="shared" si="7"/>
        <v>-35759125.78209617</v>
      </c>
      <c r="AA10" s="28">
        <f t="shared" si="8"/>
        <v>17865816.86071299</v>
      </c>
    </row>
    <row r="11" spans="1:27">
      <c r="A11" s="31" t="s">
        <v>173</v>
      </c>
      <c r="B11" s="64">
        <v>8</v>
      </c>
      <c r="C11" s="26">
        <f>'Parametre - Agendové IS'!D123</f>
        <v>0</v>
      </c>
      <c r="D11" s="26">
        <f>'Parametre - Agendové IS'!E123</f>
        <v>0</v>
      </c>
      <c r="E11" s="28">
        <f t="shared" si="4"/>
        <v>0</v>
      </c>
      <c r="F11" s="26">
        <f>IF(B11&lt;=MIN(MODULY_CBA!$N$3:$N$23),0,TCO!K26+TCO!K27)</f>
        <v>0</v>
      </c>
      <c r="G11" s="26">
        <f>IF(B11&lt;=MIN(MODULY_CBA!$N$3:$N$23),0,TCO!K22+TCO!K23)</f>
        <v>0</v>
      </c>
      <c r="H11" s="652">
        <f>IF(B11&lt;=MIN(MODULY_CBA!$N$3:$N$23),0,'Parametre - Agendové IS'!D113)</f>
        <v>0</v>
      </c>
      <c r="I11" s="28">
        <f>IF(B11&lt;=MIN(MODULY_CBA!$N$3:$N$23),0,TCO!K24+TCO!K25)</f>
        <v>0</v>
      </c>
      <c r="J11" s="238"/>
      <c r="K11" s="239"/>
      <c r="L11" s="28">
        <f t="shared" si="0"/>
        <v>0</v>
      </c>
      <c r="M11" s="29">
        <v>0</v>
      </c>
      <c r="N11" s="25">
        <f>'Parametre - Agendové IS'!E103</f>
        <v>437710.50180000038</v>
      </c>
      <c r="O11" s="28">
        <f t="shared" si="9"/>
        <v>437710.50180000038</v>
      </c>
      <c r="P11" s="26">
        <f>'Parametre - Agendové IS'!D133</f>
        <v>0</v>
      </c>
      <c r="Q11" s="26">
        <f>'Parametre - Agendové IS'!E133</f>
        <v>0</v>
      </c>
      <c r="R11" s="28">
        <f t="shared" si="5"/>
        <v>0</v>
      </c>
      <c r="S11" s="25">
        <f>-'Parametre - Agendové IS'!D83</f>
        <v>-53624942.64280916</v>
      </c>
      <c r="T11" s="25">
        <f>-'Parametre - Agendové IS'!E83</f>
        <v>-36196836.283896171</v>
      </c>
      <c r="U11" s="28">
        <f t="shared" si="1"/>
        <v>17428106.358912989</v>
      </c>
      <c r="V11" s="26">
        <f t="shared" si="2"/>
        <v>0</v>
      </c>
      <c r="W11" s="25">
        <f t="shared" si="3"/>
        <v>0</v>
      </c>
      <c r="X11" s="28">
        <f t="shared" si="6"/>
        <v>0</v>
      </c>
      <c r="Y11" s="26">
        <f t="shared" si="7"/>
        <v>-53624942.64280916</v>
      </c>
      <c r="Z11" s="25">
        <f t="shared" si="7"/>
        <v>-35759125.78209617</v>
      </c>
      <c r="AA11" s="28">
        <f t="shared" si="8"/>
        <v>17865816.86071299</v>
      </c>
    </row>
    <row r="12" spans="1:27">
      <c r="A12" s="31" t="s">
        <v>174</v>
      </c>
      <c r="B12" s="64">
        <v>9</v>
      </c>
      <c r="C12" s="26">
        <f>'Parametre - Agendové IS'!D124</f>
        <v>0</v>
      </c>
      <c r="D12" s="26">
        <f>'Parametre - Agendové IS'!E124</f>
        <v>0</v>
      </c>
      <c r="E12" s="28">
        <f t="shared" si="4"/>
        <v>0</v>
      </c>
      <c r="F12" s="26">
        <f>IF(B12&lt;=MIN(MODULY_CBA!$N$3:$N$23),0,TCO!L26+TCO!L27)</f>
        <v>0</v>
      </c>
      <c r="G12" s="26">
        <f>IF(B12&lt;=MIN(MODULY_CBA!$N$3:$N$23),0,TCO!L22+TCO!L23)</f>
        <v>0</v>
      </c>
      <c r="H12" s="652">
        <f>IF(B12&lt;=MIN(MODULY_CBA!$N$3:$N$23),0,'Parametre - Agendové IS'!D114)</f>
        <v>0</v>
      </c>
      <c r="I12" s="28">
        <f>IF(B12&lt;=MIN(MODULY_CBA!$N$3:$N$23),0,TCO!L24+TCO!L25)</f>
        <v>0</v>
      </c>
      <c r="J12" s="238"/>
      <c r="K12" s="239"/>
      <c r="L12" s="28">
        <f t="shared" si="0"/>
        <v>0</v>
      </c>
      <c r="M12" s="29">
        <v>0</v>
      </c>
      <c r="N12" s="25">
        <f>'Parametre - Agendové IS'!E104</f>
        <v>437710.50180000038</v>
      </c>
      <c r="O12" s="28">
        <f t="shared" si="9"/>
        <v>437710.50180000038</v>
      </c>
      <c r="P12" s="26">
        <f>'Parametre - Agendové IS'!D134</f>
        <v>0</v>
      </c>
      <c r="Q12" s="26">
        <f>'Parametre - Agendové IS'!E134</f>
        <v>0</v>
      </c>
      <c r="R12" s="28">
        <f t="shared" si="5"/>
        <v>0</v>
      </c>
      <c r="S12" s="25">
        <f>-'Parametre - Agendové IS'!D84</f>
        <v>-53624942.64280916</v>
      </c>
      <c r="T12" s="25">
        <f>-'Parametre - Agendové IS'!E84</f>
        <v>-36196836.283896171</v>
      </c>
      <c r="U12" s="28">
        <f t="shared" si="1"/>
        <v>17428106.358912989</v>
      </c>
      <c r="V12" s="26">
        <f t="shared" si="2"/>
        <v>0</v>
      </c>
      <c r="W12" s="25">
        <f t="shared" si="3"/>
        <v>0</v>
      </c>
      <c r="X12" s="28">
        <f t="shared" si="6"/>
        <v>0</v>
      </c>
      <c r="Y12" s="26">
        <f t="shared" si="7"/>
        <v>-53624942.64280916</v>
      </c>
      <c r="Z12" s="25">
        <f t="shared" si="7"/>
        <v>-35759125.78209617</v>
      </c>
      <c r="AA12" s="28">
        <f t="shared" si="8"/>
        <v>17865816.86071299</v>
      </c>
    </row>
    <row r="13" spans="1:27" ht="15.65" customHeight="1" thickBot="1">
      <c r="A13" s="31" t="s">
        <v>175</v>
      </c>
      <c r="B13" s="65">
        <v>10</v>
      </c>
      <c r="C13" s="43">
        <f>'Parametre - Agendové IS'!D125</f>
        <v>0</v>
      </c>
      <c r="D13" s="43">
        <f>'Parametre - Agendové IS'!E125</f>
        <v>0</v>
      </c>
      <c r="E13" s="124">
        <f t="shared" si="4"/>
        <v>0</v>
      </c>
      <c r="F13" s="26">
        <f>IF(B13&lt;=MIN(MODULY_CBA!$N$3:$N$23),0,TCO!M26+TCO!M27)</f>
        <v>0</v>
      </c>
      <c r="G13" s="26">
        <f>IF(B13&lt;=MIN(MODULY_CBA!$N$3:$N$23),0,TCO!M22+TCO!M23)</f>
        <v>0</v>
      </c>
      <c r="H13" s="652">
        <f>IF(B13&lt;=MIN(MODULY_CBA!$N$3:$N$23),0,'Parametre - Agendové IS'!D115)</f>
        <v>0</v>
      </c>
      <c r="I13" s="124">
        <f>IF(B13&lt;=MIN(MODULY_CBA!$N$3:$N$23),0,TCO!M24+TCO!M25)</f>
        <v>0</v>
      </c>
      <c r="J13" s="240"/>
      <c r="K13" s="241"/>
      <c r="L13" s="124">
        <f t="shared" si="0"/>
        <v>0</v>
      </c>
      <c r="M13" s="29">
        <v>0</v>
      </c>
      <c r="N13" s="39">
        <f>'Parametre - Agendové IS'!E105</f>
        <v>437710.50180000038</v>
      </c>
      <c r="O13" s="124">
        <f t="shared" si="9"/>
        <v>437710.50180000038</v>
      </c>
      <c r="P13" s="43">
        <f>'Parametre - Agendové IS'!D135</f>
        <v>0</v>
      </c>
      <c r="Q13" s="43">
        <f>'Parametre - Agendové IS'!E135</f>
        <v>0</v>
      </c>
      <c r="R13" s="124">
        <f t="shared" si="5"/>
        <v>0</v>
      </c>
      <c r="S13" s="39">
        <f>-'Parametre - Agendové IS'!D85</f>
        <v>-53624942.64280916</v>
      </c>
      <c r="T13" s="39">
        <f>-'Parametre - Agendové IS'!E85</f>
        <v>-36196836.283896171</v>
      </c>
      <c r="U13" s="39">
        <f t="shared" si="1"/>
        <v>17428106.358912989</v>
      </c>
      <c r="V13" s="127">
        <f t="shared" si="2"/>
        <v>0</v>
      </c>
      <c r="W13" s="39">
        <f t="shared" si="3"/>
        <v>0</v>
      </c>
      <c r="X13" s="124">
        <f>W13-V13</f>
        <v>0</v>
      </c>
      <c r="Y13" s="43">
        <f t="shared" si="7"/>
        <v>-53624942.64280916</v>
      </c>
      <c r="Z13" s="39">
        <f t="shared" si="7"/>
        <v>-35759125.78209617</v>
      </c>
      <c r="AA13" s="124">
        <f t="shared" si="8"/>
        <v>17865816.86071299</v>
      </c>
    </row>
    <row r="14" spans="1:27">
      <c r="A14" s="775" t="s">
        <v>99</v>
      </c>
      <c r="B14" s="776"/>
      <c r="C14" s="343">
        <f>SUM(C4:C13)</f>
        <v>0</v>
      </c>
      <c r="D14" s="343">
        <f t="shared" ref="D14:U14" si="10">SUM(D4:D13)</f>
        <v>0</v>
      </c>
      <c r="E14" s="344">
        <f t="shared" si="10"/>
        <v>0</v>
      </c>
      <c r="F14" s="343">
        <f>SUM(F4:F13)</f>
        <v>0</v>
      </c>
      <c r="G14" s="343">
        <f t="shared" ref="G14:I14" si="11">SUM(G4:G13)</f>
        <v>0</v>
      </c>
      <c r="H14" s="343">
        <f t="shared" si="11"/>
        <v>0</v>
      </c>
      <c r="I14" s="344">
        <f t="shared" si="11"/>
        <v>0</v>
      </c>
      <c r="J14" s="343">
        <f t="shared" si="10"/>
        <v>0</v>
      </c>
      <c r="K14" s="345">
        <f t="shared" si="10"/>
        <v>0</v>
      </c>
      <c r="L14" s="344">
        <f t="shared" si="10"/>
        <v>0</v>
      </c>
      <c r="M14" s="343">
        <f t="shared" si="10"/>
        <v>0</v>
      </c>
      <c r="N14" s="345">
        <f t="shared" si="10"/>
        <v>3063973.5126000023</v>
      </c>
      <c r="O14" s="344">
        <f t="shared" si="10"/>
        <v>3063973.5126000023</v>
      </c>
      <c r="P14" s="343">
        <f t="shared" si="10"/>
        <v>0</v>
      </c>
      <c r="Q14" s="343">
        <f t="shared" si="10"/>
        <v>0</v>
      </c>
      <c r="R14" s="344">
        <f t="shared" si="10"/>
        <v>0</v>
      </c>
      <c r="S14" s="345">
        <f t="shared" si="10"/>
        <v>-375374598.49966413</v>
      </c>
      <c r="T14" s="345">
        <f t="shared" si="10"/>
        <v>-253377853.98727322</v>
      </c>
      <c r="U14" s="346">
        <f t="shared" si="10"/>
        <v>121996744.51239093</v>
      </c>
      <c r="V14" s="347">
        <f t="shared" ref="V14:AA14" si="12">SUM(V4:V13)</f>
        <v>0</v>
      </c>
      <c r="W14" s="345">
        <f t="shared" si="12"/>
        <v>0</v>
      </c>
      <c r="X14" s="348">
        <f t="shared" si="12"/>
        <v>0</v>
      </c>
      <c r="Y14" s="347">
        <f t="shared" si="12"/>
        <v>-375374598.49966413</v>
      </c>
      <c r="Z14" s="345">
        <f t="shared" si="12"/>
        <v>-250313880.47467321</v>
      </c>
      <c r="AA14" s="349">
        <f t="shared" si="12"/>
        <v>125060718.02499093</v>
      </c>
    </row>
    <row r="15" spans="1:27" ht="15" thickBot="1">
      <c r="A15" s="777" t="s">
        <v>195</v>
      </c>
      <c r="B15" s="778"/>
      <c r="C15" s="350"/>
      <c r="D15" s="350"/>
      <c r="E15" s="351">
        <f>E4+NPV(Faktory!$D$5,'Prínosy - Agendové IS'!E5:E13)</f>
        <v>0</v>
      </c>
      <c r="F15" s="658">
        <f>F4+NPV(Faktory!$D$5,'Prínosy - Agendové IS'!F5:F13)</f>
        <v>0</v>
      </c>
      <c r="G15" s="659">
        <f>G4+NPV(Faktory!$D$5,'Prínosy - Agendové IS'!G5:G13)</f>
        <v>0</v>
      </c>
      <c r="H15" s="659">
        <f>H4+NPV(Faktory!$D$5,'Prínosy - Agendové IS'!H5:H13)</f>
        <v>0</v>
      </c>
      <c r="I15" s="660">
        <f>I4+NPV(Faktory!$D$5,'Prínosy - Agendové IS'!I5:I13)</f>
        <v>0</v>
      </c>
      <c r="J15" s="352"/>
      <c r="K15" s="353"/>
      <c r="L15" s="351">
        <f>L4+NPV(Faktory!$D$3,'Prínosy - Agendové IS'!L5:L13)</f>
        <v>0</v>
      </c>
      <c r="M15" s="352"/>
      <c r="N15" s="353"/>
      <c r="O15" s="351">
        <f>O4+NPV(Faktory!$D$5,'Prínosy - Agendové IS'!O5:O13)</f>
        <v>2297284.7196163828</v>
      </c>
      <c r="P15" s="350"/>
      <c r="Q15" s="350"/>
      <c r="R15" s="351">
        <f>R4+NPV(Faktory!$D$5,'Prínosy - Agendové IS'!R5:R13)</f>
        <v>0</v>
      </c>
      <c r="S15" s="353"/>
      <c r="T15" s="353"/>
      <c r="U15" s="354">
        <f>U4+NPV(Faktory!$D$5,'Prínosy - Agendové IS'!U5:U13)</f>
        <v>91469869.389777318</v>
      </c>
      <c r="V15" s="355"/>
      <c r="W15" s="353"/>
      <c r="X15" s="351">
        <f>X4+NPV(Faktory!$D$5,'Prínosy - Agendové IS'!X5:X13)</f>
        <v>0</v>
      </c>
      <c r="Y15" s="355"/>
      <c r="Z15" s="353"/>
      <c r="AA15" s="351">
        <f>AA4+NPV(Faktory!$D$5,'Prínosy - Agendové IS'!AA5:AA13)</f>
        <v>93767154.109393716</v>
      </c>
    </row>
    <row r="16" spans="1:27" ht="15" thickBot="1">
      <c r="AA16" s="351">
        <f>(AA15+SUM(F15:I15))</f>
        <v>93767154.109393716</v>
      </c>
    </row>
    <row r="17" spans="3:3">
      <c r="C17" s="97" t="s">
        <v>205</v>
      </c>
    </row>
    <row r="38" spans="20:20">
      <c r="T38" s="126"/>
    </row>
  </sheetData>
  <protectedRanges>
    <protectedRange algorithmName="SHA-512" hashValue="f4ycvS5NMakRYlpexdvZE7kc5B00PVZgCpNS64jzUJaJceYSE+aleudxwPGxr22CZo/5IZ2uTHVQQMolnN60/A==" saltValue="c0KVc6r/LTYq/uhy9236YA==" spinCount="100000" sqref="J2:L15" name="Rozsah1"/>
  </protectedRanges>
  <mergeCells count="13">
    <mergeCell ref="A14:B14"/>
    <mergeCell ref="A15:B15"/>
    <mergeCell ref="V1:AA1"/>
    <mergeCell ref="C2:E2"/>
    <mergeCell ref="J2:L2"/>
    <mergeCell ref="M2:O2"/>
    <mergeCell ref="P2:R2"/>
    <mergeCell ref="V2:X2"/>
    <mergeCell ref="Y2:AA2"/>
    <mergeCell ref="S2:U2"/>
    <mergeCell ref="J1:U1"/>
    <mergeCell ref="C1:I1"/>
    <mergeCell ref="F2:I2"/>
  </mergeCells>
  <pageMargins left="0.7" right="0.7" top="0.75" bottom="0.75" header="0.3" footer="0.3"/>
  <pageSetup paperSize="9" scale="2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árok8">
    <tabColor theme="8" tint="0.39997558519241921"/>
  </sheetPr>
  <dimension ref="A1:BR135"/>
  <sheetViews>
    <sheetView zoomScale="90" zoomScaleNormal="70" workbookViewId="0">
      <pane xSplit="6" ySplit="4" topLeftCell="G74" activePane="bottomRight" state="frozen"/>
      <selection pane="topRight" activeCell="G1" sqref="G1"/>
      <selection pane="bottomLeft" activeCell="A5" sqref="A5"/>
      <selection pane="bottomRight" activeCell="G79" sqref="G79"/>
    </sheetView>
  </sheetViews>
  <sheetFormatPr defaultColWidth="9.1796875" defaultRowHeight="14.5"/>
  <cols>
    <col min="1" max="1" width="19.1796875" style="7" customWidth="1"/>
    <col min="2" max="2" width="9.81640625" style="7" bestFit="1" customWidth="1"/>
    <col min="3" max="3" width="8.81640625" style="7" bestFit="1" customWidth="1"/>
    <col min="4" max="4" width="14.453125" style="7" bestFit="1" customWidth="1"/>
    <col min="5" max="5" width="15.7265625" style="7" bestFit="1" customWidth="1"/>
    <col min="6" max="6" width="14.453125" style="7" bestFit="1" customWidth="1"/>
    <col min="7" max="7" width="14.1796875" style="7" customWidth="1"/>
    <col min="8" max="8" width="14.1796875" style="317" customWidth="1"/>
    <col min="9" max="18" width="14.1796875" style="7" customWidth="1"/>
    <col min="19" max="19" width="14.1796875" style="318" customWidth="1"/>
    <col min="20" max="20" width="14.1796875" style="317" customWidth="1"/>
    <col min="21" max="21" width="14.1796875" style="7" customWidth="1"/>
    <col min="22" max="22" width="14.1796875" style="318" customWidth="1"/>
    <col min="23" max="23" width="14.1796875" style="317" customWidth="1"/>
    <col min="24" max="33" width="14.1796875" style="7" customWidth="1"/>
    <col min="34" max="34" width="14.1796875" style="318" customWidth="1"/>
    <col min="35" max="35" width="14.1796875" style="317" customWidth="1"/>
    <col min="36" max="36" width="14.1796875" style="7" customWidth="1"/>
    <col min="37" max="37" width="14.1796875" style="318" customWidth="1"/>
    <col min="38" max="38" width="14.1796875" style="317" customWidth="1"/>
    <col min="39" max="48" width="14.1796875" style="7" customWidth="1"/>
    <col min="49" max="49" width="14.1796875" style="318" customWidth="1"/>
    <col min="50" max="50" width="14.1796875" style="317" customWidth="1"/>
    <col min="51" max="51" width="14.1796875" style="7" customWidth="1"/>
    <col min="52" max="52" width="14.1796875" style="318" customWidth="1"/>
    <col min="53" max="53" width="14.1796875" style="317" customWidth="1"/>
    <col min="54" max="63" width="14.1796875" style="7" customWidth="1"/>
    <col min="64" max="64" width="14.1796875" style="318" customWidth="1"/>
    <col min="65" max="65" width="14.1796875" style="317" customWidth="1"/>
    <col min="66" max="66" width="14.1796875" style="7" customWidth="1"/>
    <col min="67" max="67" width="14.1796875" style="318" customWidth="1"/>
    <col min="68" max="68" width="14.1796875" style="317" customWidth="1"/>
    <col min="69" max="69" width="14.1796875" style="7" customWidth="1"/>
    <col min="70" max="70" width="14.7265625" style="243" customWidth="1"/>
    <col min="71" max="73" width="9.1796875" style="7"/>
    <col min="74" max="74" width="12.453125" style="7" bestFit="1" customWidth="1"/>
    <col min="75" max="309" width="9.1796875" style="7"/>
    <col min="310" max="310" width="1.7265625" style="7" customWidth="1"/>
    <col min="311" max="311" width="19.1796875" style="7" customWidth="1"/>
    <col min="312" max="312" width="35.1796875" style="7" customWidth="1"/>
    <col min="313" max="313" width="9.81640625" style="7" bestFit="1" customWidth="1"/>
    <col min="314" max="314" width="8.81640625" style="7" bestFit="1" customWidth="1"/>
    <col min="315" max="325" width="10.26953125" style="7" customWidth="1"/>
    <col min="326" max="565" width="9.1796875" style="7"/>
    <col min="566" max="566" width="1.7265625" style="7" customWidth="1"/>
    <col min="567" max="567" width="19.1796875" style="7" customWidth="1"/>
    <col min="568" max="568" width="35.1796875" style="7" customWidth="1"/>
    <col min="569" max="569" width="9.81640625" style="7" bestFit="1" customWidth="1"/>
    <col min="570" max="570" width="8.81640625" style="7" bestFit="1" customWidth="1"/>
    <col min="571" max="581" width="10.26953125" style="7" customWidth="1"/>
    <col min="582" max="821" width="9.1796875" style="7"/>
    <col min="822" max="822" width="1.7265625" style="7" customWidth="1"/>
    <col min="823" max="823" width="19.1796875" style="7" customWidth="1"/>
    <col min="824" max="824" width="35.1796875" style="7" customWidth="1"/>
    <col min="825" max="825" width="9.81640625" style="7" bestFit="1" customWidth="1"/>
    <col min="826" max="826" width="8.81640625" style="7" bestFit="1" customWidth="1"/>
    <col min="827" max="837" width="10.26953125" style="7" customWidth="1"/>
    <col min="838" max="1077" width="9.1796875" style="7"/>
    <col min="1078" max="1078" width="1.7265625" style="7" customWidth="1"/>
    <col min="1079" max="1079" width="19.1796875" style="7" customWidth="1"/>
    <col min="1080" max="1080" width="35.1796875" style="7" customWidth="1"/>
    <col min="1081" max="1081" width="9.81640625" style="7" bestFit="1" customWidth="1"/>
    <col min="1082" max="1082" width="8.81640625" style="7" bestFit="1" customWidth="1"/>
    <col min="1083" max="1093" width="10.26953125" style="7" customWidth="1"/>
    <col min="1094" max="1333" width="9.1796875" style="7"/>
    <col min="1334" max="1334" width="1.7265625" style="7" customWidth="1"/>
    <col min="1335" max="1335" width="19.1796875" style="7" customWidth="1"/>
    <col min="1336" max="1336" width="35.1796875" style="7" customWidth="1"/>
    <col min="1337" max="1337" width="9.81640625" style="7" bestFit="1" customWidth="1"/>
    <col min="1338" max="1338" width="8.81640625" style="7" bestFit="1" customWidth="1"/>
    <col min="1339" max="1349" width="10.26953125" style="7" customWidth="1"/>
    <col min="1350" max="1589" width="9.1796875" style="7"/>
    <col min="1590" max="1590" width="1.7265625" style="7" customWidth="1"/>
    <col min="1591" max="1591" width="19.1796875" style="7" customWidth="1"/>
    <col min="1592" max="1592" width="35.1796875" style="7" customWidth="1"/>
    <col min="1593" max="1593" width="9.81640625" style="7" bestFit="1" customWidth="1"/>
    <col min="1594" max="1594" width="8.81640625" style="7" bestFit="1" customWidth="1"/>
    <col min="1595" max="1605" width="10.26953125" style="7" customWidth="1"/>
    <col min="1606" max="1845" width="9.1796875" style="7"/>
    <col min="1846" max="1846" width="1.7265625" style="7" customWidth="1"/>
    <col min="1847" max="1847" width="19.1796875" style="7" customWidth="1"/>
    <col min="1848" max="1848" width="35.1796875" style="7" customWidth="1"/>
    <col min="1849" max="1849" width="9.81640625" style="7" bestFit="1" customWidth="1"/>
    <col min="1850" max="1850" width="8.81640625" style="7" bestFit="1" customWidth="1"/>
    <col min="1851" max="1861" width="10.26953125" style="7" customWidth="1"/>
    <col min="1862" max="2101" width="9.1796875" style="7"/>
    <col min="2102" max="2102" width="1.7265625" style="7" customWidth="1"/>
    <col min="2103" max="2103" width="19.1796875" style="7" customWidth="1"/>
    <col min="2104" max="2104" width="35.1796875" style="7" customWidth="1"/>
    <col min="2105" max="2105" width="9.81640625" style="7" bestFit="1" customWidth="1"/>
    <col min="2106" max="2106" width="8.81640625" style="7" bestFit="1" customWidth="1"/>
    <col min="2107" max="2117" width="10.26953125" style="7" customWidth="1"/>
    <col min="2118" max="2357" width="9.1796875" style="7"/>
    <col min="2358" max="2358" width="1.7265625" style="7" customWidth="1"/>
    <col min="2359" max="2359" width="19.1796875" style="7" customWidth="1"/>
    <col min="2360" max="2360" width="35.1796875" style="7" customWidth="1"/>
    <col min="2361" max="2361" width="9.81640625" style="7" bestFit="1" customWidth="1"/>
    <col min="2362" max="2362" width="8.81640625" style="7" bestFit="1" customWidth="1"/>
    <col min="2363" max="2373" width="10.26953125" style="7" customWidth="1"/>
    <col min="2374" max="2613" width="9.1796875" style="7"/>
    <col min="2614" max="2614" width="1.7265625" style="7" customWidth="1"/>
    <col min="2615" max="2615" width="19.1796875" style="7" customWidth="1"/>
    <col min="2616" max="2616" width="35.1796875" style="7" customWidth="1"/>
    <col min="2617" max="2617" width="9.81640625" style="7" bestFit="1" customWidth="1"/>
    <col min="2618" max="2618" width="8.81640625" style="7" bestFit="1" customWidth="1"/>
    <col min="2619" max="2629" width="10.26953125" style="7" customWidth="1"/>
    <col min="2630" max="2869" width="9.1796875" style="7"/>
    <col min="2870" max="2870" width="1.7265625" style="7" customWidth="1"/>
    <col min="2871" max="2871" width="19.1796875" style="7" customWidth="1"/>
    <col min="2872" max="2872" width="35.1796875" style="7" customWidth="1"/>
    <col min="2873" max="2873" width="9.81640625" style="7" bestFit="1" customWidth="1"/>
    <col min="2874" max="2874" width="8.81640625" style="7" bestFit="1" customWidth="1"/>
    <col min="2875" max="2885" width="10.26953125" style="7" customWidth="1"/>
    <col min="2886" max="3125" width="9.1796875" style="7"/>
    <col min="3126" max="3126" width="1.7265625" style="7" customWidth="1"/>
    <col min="3127" max="3127" width="19.1796875" style="7" customWidth="1"/>
    <col min="3128" max="3128" width="35.1796875" style="7" customWidth="1"/>
    <col min="3129" max="3129" width="9.81640625" style="7" bestFit="1" customWidth="1"/>
    <col min="3130" max="3130" width="8.81640625" style="7" bestFit="1" customWidth="1"/>
    <col min="3131" max="3141" width="10.26953125" style="7" customWidth="1"/>
    <col min="3142" max="3381" width="9.1796875" style="7"/>
    <col min="3382" max="3382" width="1.7265625" style="7" customWidth="1"/>
    <col min="3383" max="3383" width="19.1796875" style="7" customWidth="1"/>
    <col min="3384" max="3384" width="35.1796875" style="7" customWidth="1"/>
    <col min="3385" max="3385" width="9.81640625" style="7" bestFit="1" customWidth="1"/>
    <col min="3386" max="3386" width="8.81640625" style="7" bestFit="1" customWidth="1"/>
    <col min="3387" max="3397" width="10.26953125" style="7" customWidth="1"/>
    <col min="3398" max="3637" width="9.1796875" style="7"/>
    <col min="3638" max="3638" width="1.7265625" style="7" customWidth="1"/>
    <col min="3639" max="3639" width="19.1796875" style="7" customWidth="1"/>
    <col min="3640" max="3640" width="35.1796875" style="7" customWidth="1"/>
    <col min="3641" max="3641" width="9.81640625" style="7" bestFit="1" customWidth="1"/>
    <col min="3642" max="3642" width="8.81640625" style="7" bestFit="1" customWidth="1"/>
    <col min="3643" max="3653" width="10.26953125" style="7" customWidth="1"/>
    <col min="3654" max="3893" width="9.1796875" style="7"/>
    <col min="3894" max="3894" width="1.7265625" style="7" customWidth="1"/>
    <col min="3895" max="3895" width="19.1796875" style="7" customWidth="1"/>
    <col min="3896" max="3896" width="35.1796875" style="7" customWidth="1"/>
    <col min="3897" max="3897" width="9.81640625" style="7" bestFit="1" customWidth="1"/>
    <col min="3898" max="3898" width="8.81640625" style="7" bestFit="1" customWidth="1"/>
    <col min="3899" max="3909" width="10.26953125" style="7" customWidth="1"/>
    <col min="3910" max="4149" width="9.1796875" style="7"/>
    <col min="4150" max="4150" width="1.7265625" style="7" customWidth="1"/>
    <col min="4151" max="4151" width="19.1796875" style="7" customWidth="1"/>
    <col min="4152" max="4152" width="35.1796875" style="7" customWidth="1"/>
    <col min="4153" max="4153" width="9.81640625" style="7" bestFit="1" customWidth="1"/>
    <col min="4154" max="4154" width="8.81640625" style="7" bestFit="1" customWidth="1"/>
    <col min="4155" max="4165" width="10.26953125" style="7" customWidth="1"/>
    <col min="4166" max="4405" width="9.1796875" style="7"/>
    <col min="4406" max="4406" width="1.7265625" style="7" customWidth="1"/>
    <col min="4407" max="4407" width="19.1796875" style="7" customWidth="1"/>
    <col min="4408" max="4408" width="35.1796875" style="7" customWidth="1"/>
    <col min="4409" max="4409" width="9.81640625" style="7" bestFit="1" customWidth="1"/>
    <col min="4410" max="4410" width="8.81640625" style="7" bestFit="1" customWidth="1"/>
    <col min="4411" max="4421" width="10.26953125" style="7" customWidth="1"/>
    <col min="4422" max="4661" width="9.1796875" style="7"/>
    <col min="4662" max="4662" width="1.7265625" style="7" customWidth="1"/>
    <col min="4663" max="4663" width="19.1796875" style="7" customWidth="1"/>
    <col min="4664" max="4664" width="35.1796875" style="7" customWidth="1"/>
    <col min="4665" max="4665" width="9.81640625" style="7" bestFit="1" customWidth="1"/>
    <col min="4666" max="4666" width="8.81640625" style="7" bestFit="1" customWidth="1"/>
    <col min="4667" max="4677" width="10.26953125" style="7" customWidth="1"/>
    <col min="4678" max="4917" width="9.1796875" style="7"/>
    <col min="4918" max="4918" width="1.7265625" style="7" customWidth="1"/>
    <col min="4919" max="4919" width="19.1796875" style="7" customWidth="1"/>
    <col min="4920" max="4920" width="35.1796875" style="7" customWidth="1"/>
    <col min="4921" max="4921" width="9.81640625" style="7" bestFit="1" customWidth="1"/>
    <col min="4922" max="4922" width="8.81640625" style="7" bestFit="1" customWidth="1"/>
    <col min="4923" max="4933" width="10.26953125" style="7" customWidth="1"/>
    <col min="4934" max="5173" width="9.1796875" style="7"/>
    <col min="5174" max="5174" width="1.7265625" style="7" customWidth="1"/>
    <col min="5175" max="5175" width="19.1796875" style="7" customWidth="1"/>
    <col min="5176" max="5176" width="35.1796875" style="7" customWidth="1"/>
    <col min="5177" max="5177" width="9.81640625" style="7" bestFit="1" customWidth="1"/>
    <col min="5178" max="5178" width="8.81640625" style="7" bestFit="1" customWidth="1"/>
    <col min="5179" max="5189" width="10.26953125" style="7" customWidth="1"/>
    <col min="5190" max="5429" width="9.1796875" style="7"/>
    <col min="5430" max="5430" width="1.7265625" style="7" customWidth="1"/>
    <col min="5431" max="5431" width="19.1796875" style="7" customWidth="1"/>
    <col min="5432" max="5432" width="35.1796875" style="7" customWidth="1"/>
    <col min="5433" max="5433" width="9.81640625" style="7" bestFit="1" customWidth="1"/>
    <col min="5434" max="5434" width="8.81640625" style="7" bestFit="1" customWidth="1"/>
    <col min="5435" max="5445" width="10.26953125" style="7" customWidth="1"/>
    <col min="5446" max="5685" width="9.1796875" style="7"/>
    <col min="5686" max="5686" width="1.7265625" style="7" customWidth="1"/>
    <col min="5687" max="5687" width="19.1796875" style="7" customWidth="1"/>
    <col min="5688" max="5688" width="35.1796875" style="7" customWidth="1"/>
    <col min="5689" max="5689" width="9.81640625" style="7" bestFit="1" customWidth="1"/>
    <col min="5690" max="5690" width="8.81640625" style="7" bestFit="1" customWidth="1"/>
    <col min="5691" max="5701" width="10.26953125" style="7" customWidth="1"/>
    <col min="5702" max="5941" width="9.1796875" style="7"/>
    <col min="5942" max="5942" width="1.7265625" style="7" customWidth="1"/>
    <col min="5943" max="5943" width="19.1796875" style="7" customWidth="1"/>
    <col min="5944" max="5944" width="35.1796875" style="7" customWidth="1"/>
    <col min="5945" max="5945" width="9.81640625" style="7" bestFit="1" customWidth="1"/>
    <col min="5946" max="5946" width="8.81640625" style="7" bestFit="1" customWidth="1"/>
    <col min="5947" max="5957" width="10.26953125" style="7" customWidth="1"/>
    <col min="5958" max="6197" width="9.1796875" style="7"/>
    <col min="6198" max="6198" width="1.7265625" style="7" customWidth="1"/>
    <col min="6199" max="6199" width="19.1796875" style="7" customWidth="1"/>
    <col min="6200" max="6200" width="35.1796875" style="7" customWidth="1"/>
    <col min="6201" max="6201" width="9.81640625" style="7" bestFit="1" customWidth="1"/>
    <col min="6202" max="6202" width="8.81640625" style="7" bestFit="1" customWidth="1"/>
    <col min="6203" max="6213" width="10.26953125" style="7" customWidth="1"/>
    <col min="6214" max="6453" width="9.1796875" style="7"/>
    <col min="6454" max="6454" width="1.7265625" style="7" customWidth="1"/>
    <col min="6455" max="6455" width="19.1796875" style="7" customWidth="1"/>
    <col min="6456" max="6456" width="35.1796875" style="7" customWidth="1"/>
    <col min="6457" max="6457" width="9.81640625" style="7" bestFit="1" customWidth="1"/>
    <col min="6458" max="6458" width="8.81640625" style="7" bestFit="1" customWidth="1"/>
    <col min="6459" max="6469" width="10.26953125" style="7" customWidth="1"/>
    <col min="6470" max="6709" width="9.1796875" style="7"/>
    <col min="6710" max="6710" width="1.7265625" style="7" customWidth="1"/>
    <col min="6711" max="6711" width="19.1796875" style="7" customWidth="1"/>
    <col min="6712" max="6712" width="35.1796875" style="7" customWidth="1"/>
    <col min="6713" max="6713" width="9.81640625" style="7" bestFit="1" customWidth="1"/>
    <col min="6714" max="6714" width="8.81640625" style="7" bestFit="1" customWidth="1"/>
    <col min="6715" max="6725" width="10.26953125" style="7" customWidth="1"/>
    <col min="6726" max="6965" width="9.1796875" style="7"/>
    <col min="6966" max="6966" width="1.7265625" style="7" customWidth="1"/>
    <col min="6967" max="6967" width="19.1796875" style="7" customWidth="1"/>
    <col min="6968" max="6968" width="35.1796875" style="7" customWidth="1"/>
    <col min="6969" max="6969" width="9.81640625" style="7" bestFit="1" customWidth="1"/>
    <col min="6970" max="6970" width="8.81640625" style="7" bestFit="1" customWidth="1"/>
    <col min="6971" max="6981" width="10.26953125" style="7" customWidth="1"/>
    <col min="6982" max="7221" width="9.1796875" style="7"/>
    <col min="7222" max="7222" width="1.7265625" style="7" customWidth="1"/>
    <col min="7223" max="7223" width="19.1796875" style="7" customWidth="1"/>
    <col min="7224" max="7224" width="35.1796875" style="7" customWidth="1"/>
    <col min="7225" max="7225" width="9.81640625" style="7" bestFit="1" customWidth="1"/>
    <col min="7226" max="7226" width="8.81640625" style="7" bestFit="1" customWidth="1"/>
    <col min="7227" max="7237" width="10.26953125" style="7" customWidth="1"/>
    <col min="7238" max="7477" width="9.1796875" style="7"/>
    <col min="7478" max="7478" width="1.7265625" style="7" customWidth="1"/>
    <col min="7479" max="7479" width="19.1796875" style="7" customWidth="1"/>
    <col min="7480" max="7480" width="35.1796875" style="7" customWidth="1"/>
    <col min="7481" max="7481" width="9.81640625" style="7" bestFit="1" customWidth="1"/>
    <col min="7482" max="7482" width="8.81640625" style="7" bestFit="1" customWidth="1"/>
    <col min="7483" max="7493" width="10.26953125" style="7" customWidth="1"/>
    <col min="7494" max="7733" width="9.1796875" style="7"/>
    <col min="7734" max="7734" width="1.7265625" style="7" customWidth="1"/>
    <col min="7735" max="7735" width="19.1796875" style="7" customWidth="1"/>
    <col min="7736" max="7736" width="35.1796875" style="7" customWidth="1"/>
    <col min="7737" max="7737" width="9.81640625" style="7" bestFit="1" customWidth="1"/>
    <col min="7738" max="7738" width="8.81640625" style="7" bestFit="1" customWidth="1"/>
    <col min="7739" max="7749" width="10.26953125" style="7" customWidth="1"/>
    <col min="7750" max="7989" width="9.1796875" style="7"/>
    <col min="7990" max="7990" width="1.7265625" style="7" customWidth="1"/>
    <col min="7991" max="7991" width="19.1796875" style="7" customWidth="1"/>
    <col min="7992" max="7992" width="35.1796875" style="7" customWidth="1"/>
    <col min="7993" max="7993" width="9.81640625" style="7" bestFit="1" customWidth="1"/>
    <col min="7994" max="7994" width="8.81640625" style="7" bestFit="1" customWidth="1"/>
    <col min="7995" max="8005" width="10.26953125" style="7" customWidth="1"/>
    <col min="8006" max="8245" width="9.1796875" style="7"/>
    <col min="8246" max="8246" width="1.7265625" style="7" customWidth="1"/>
    <col min="8247" max="8247" width="19.1796875" style="7" customWidth="1"/>
    <col min="8248" max="8248" width="35.1796875" style="7" customWidth="1"/>
    <col min="8249" max="8249" width="9.81640625" style="7" bestFit="1" customWidth="1"/>
    <col min="8250" max="8250" width="8.81640625" style="7" bestFit="1" customWidth="1"/>
    <col min="8251" max="8261" width="10.26953125" style="7" customWidth="1"/>
    <col min="8262" max="8501" width="9.1796875" style="7"/>
    <col min="8502" max="8502" width="1.7265625" style="7" customWidth="1"/>
    <col min="8503" max="8503" width="19.1796875" style="7" customWidth="1"/>
    <col min="8504" max="8504" width="35.1796875" style="7" customWidth="1"/>
    <col min="8505" max="8505" width="9.81640625" style="7" bestFit="1" customWidth="1"/>
    <col min="8506" max="8506" width="8.81640625" style="7" bestFit="1" customWidth="1"/>
    <col min="8507" max="8517" width="10.26953125" style="7" customWidth="1"/>
    <col min="8518" max="8757" width="9.1796875" style="7"/>
    <col min="8758" max="8758" width="1.7265625" style="7" customWidth="1"/>
    <col min="8759" max="8759" width="19.1796875" style="7" customWidth="1"/>
    <col min="8760" max="8760" width="35.1796875" style="7" customWidth="1"/>
    <col min="8761" max="8761" width="9.81640625" style="7" bestFit="1" customWidth="1"/>
    <col min="8762" max="8762" width="8.81640625" style="7" bestFit="1" customWidth="1"/>
    <col min="8763" max="8773" width="10.26953125" style="7" customWidth="1"/>
    <col min="8774" max="9013" width="9.1796875" style="7"/>
    <col min="9014" max="9014" width="1.7265625" style="7" customWidth="1"/>
    <col min="9015" max="9015" width="19.1796875" style="7" customWidth="1"/>
    <col min="9016" max="9016" width="35.1796875" style="7" customWidth="1"/>
    <col min="9017" max="9017" width="9.81640625" style="7" bestFit="1" customWidth="1"/>
    <col min="9018" max="9018" width="8.81640625" style="7" bestFit="1" customWidth="1"/>
    <col min="9019" max="9029" width="10.26953125" style="7" customWidth="1"/>
    <col min="9030" max="9269" width="9.1796875" style="7"/>
    <col min="9270" max="9270" width="1.7265625" style="7" customWidth="1"/>
    <col min="9271" max="9271" width="19.1796875" style="7" customWidth="1"/>
    <col min="9272" max="9272" width="35.1796875" style="7" customWidth="1"/>
    <col min="9273" max="9273" width="9.81640625" style="7" bestFit="1" customWidth="1"/>
    <col min="9274" max="9274" width="8.81640625" style="7" bestFit="1" customWidth="1"/>
    <col min="9275" max="9285" width="10.26953125" style="7" customWidth="1"/>
    <col min="9286" max="9525" width="9.1796875" style="7"/>
    <col min="9526" max="9526" width="1.7265625" style="7" customWidth="1"/>
    <col min="9527" max="9527" width="19.1796875" style="7" customWidth="1"/>
    <col min="9528" max="9528" width="35.1796875" style="7" customWidth="1"/>
    <col min="9529" max="9529" width="9.81640625" style="7" bestFit="1" customWidth="1"/>
    <col min="9530" max="9530" width="8.81640625" style="7" bestFit="1" customWidth="1"/>
    <col min="9531" max="9541" width="10.26953125" style="7" customWidth="1"/>
    <col min="9542" max="9781" width="9.1796875" style="7"/>
    <col min="9782" max="9782" width="1.7265625" style="7" customWidth="1"/>
    <col min="9783" max="9783" width="19.1796875" style="7" customWidth="1"/>
    <col min="9784" max="9784" width="35.1796875" style="7" customWidth="1"/>
    <col min="9785" max="9785" width="9.81640625" style="7" bestFit="1" customWidth="1"/>
    <col min="9786" max="9786" width="8.81640625" style="7" bestFit="1" customWidth="1"/>
    <col min="9787" max="9797" width="10.26953125" style="7" customWidth="1"/>
    <col min="9798" max="10037" width="9.1796875" style="7"/>
    <col min="10038" max="10038" width="1.7265625" style="7" customWidth="1"/>
    <col min="10039" max="10039" width="19.1796875" style="7" customWidth="1"/>
    <col min="10040" max="10040" width="35.1796875" style="7" customWidth="1"/>
    <col min="10041" max="10041" width="9.81640625" style="7" bestFit="1" customWidth="1"/>
    <col min="10042" max="10042" width="8.81640625" style="7" bestFit="1" customWidth="1"/>
    <col min="10043" max="10053" width="10.26953125" style="7" customWidth="1"/>
    <col min="10054" max="10293" width="9.1796875" style="7"/>
    <col min="10294" max="10294" width="1.7265625" style="7" customWidth="1"/>
    <col min="10295" max="10295" width="19.1796875" style="7" customWidth="1"/>
    <col min="10296" max="10296" width="35.1796875" style="7" customWidth="1"/>
    <col min="10297" max="10297" width="9.81640625" style="7" bestFit="1" customWidth="1"/>
    <col min="10298" max="10298" width="8.81640625" style="7" bestFit="1" customWidth="1"/>
    <col min="10299" max="10309" width="10.26953125" style="7" customWidth="1"/>
    <col min="10310" max="10549" width="9.1796875" style="7"/>
    <col min="10550" max="10550" width="1.7265625" style="7" customWidth="1"/>
    <col min="10551" max="10551" width="19.1796875" style="7" customWidth="1"/>
    <col min="10552" max="10552" width="35.1796875" style="7" customWidth="1"/>
    <col min="10553" max="10553" width="9.81640625" style="7" bestFit="1" customWidth="1"/>
    <col min="10554" max="10554" width="8.81640625" style="7" bestFit="1" customWidth="1"/>
    <col min="10555" max="10565" width="10.26953125" style="7" customWidth="1"/>
    <col min="10566" max="10805" width="9.1796875" style="7"/>
    <col min="10806" max="10806" width="1.7265625" style="7" customWidth="1"/>
    <col min="10807" max="10807" width="19.1796875" style="7" customWidth="1"/>
    <col min="10808" max="10808" width="35.1796875" style="7" customWidth="1"/>
    <col min="10809" max="10809" width="9.81640625" style="7" bestFit="1" customWidth="1"/>
    <col min="10810" max="10810" width="8.81640625" style="7" bestFit="1" customWidth="1"/>
    <col min="10811" max="10821" width="10.26953125" style="7" customWidth="1"/>
    <col min="10822" max="11061" width="9.1796875" style="7"/>
    <col min="11062" max="11062" width="1.7265625" style="7" customWidth="1"/>
    <col min="11063" max="11063" width="19.1796875" style="7" customWidth="1"/>
    <col min="11064" max="11064" width="35.1796875" style="7" customWidth="1"/>
    <col min="11065" max="11065" width="9.81640625" style="7" bestFit="1" customWidth="1"/>
    <col min="11066" max="11066" width="8.81640625" style="7" bestFit="1" customWidth="1"/>
    <col min="11067" max="11077" width="10.26953125" style="7" customWidth="1"/>
    <col min="11078" max="11317" width="9.1796875" style="7"/>
    <col min="11318" max="11318" width="1.7265625" style="7" customWidth="1"/>
    <col min="11319" max="11319" width="19.1796875" style="7" customWidth="1"/>
    <col min="11320" max="11320" width="35.1796875" style="7" customWidth="1"/>
    <col min="11321" max="11321" width="9.81640625" style="7" bestFit="1" customWidth="1"/>
    <col min="11322" max="11322" width="8.81640625" style="7" bestFit="1" customWidth="1"/>
    <col min="11323" max="11333" width="10.26953125" style="7" customWidth="1"/>
    <col min="11334" max="11573" width="9.1796875" style="7"/>
    <col min="11574" max="11574" width="1.7265625" style="7" customWidth="1"/>
    <col min="11575" max="11575" width="19.1796875" style="7" customWidth="1"/>
    <col min="11576" max="11576" width="35.1796875" style="7" customWidth="1"/>
    <col min="11577" max="11577" width="9.81640625" style="7" bestFit="1" customWidth="1"/>
    <col min="11578" max="11578" width="8.81640625" style="7" bestFit="1" customWidth="1"/>
    <col min="11579" max="11589" width="10.26953125" style="7" customWidth="1"/>
    <col min="11590" max="11829" width="9.1796875" style="7"/>
    <col min="11830" max="11830" width="1.7265625" style="7" customWidth="1"/>
    <col min="11831" max="11831" width="19.1796875" style="7" customWidth="1"/>
    <col min="11832" max="11832" width="35.1796875" style="7" customWidth="1"/>
    <col min="11833" max="11833" width="9.81640625" style="7" bestFit="1" customWidth="1"/>
    <col min="11834" max="11834" width="8.81640625" style="7" bestFit="1" customWidth="1"/>
    <col min="11835" max="11845" width="10.26953125" style="7" customWidth="1"/>
    <col min="11846" max="12085" width="9.1796875" style="7"/>
    <col min="12086" max="12086" width="1.7265625" style="7" customWidth="1"/>
    <col min="12087" max="12087" width="19.1796875" style="7" customWidth="1"/>
    <col min="12088" max="12088" width="35.1796875" style="7" customWidth="1"/>
    <col min="12089" max="12089" width="9.81640625" style="7" bestFit="1" customWidth="1"/>
    <col min="12090" max="12090" width="8.81640625" style="7" bestFit="1" customWidth="1"/>
    <col min="12091" max="12101" width="10.26953125" style="7" customWidth="1"/>
    <col min="12102" max="12341" width="9.1796875" style="7"/>
    <col min="12342" max="12342" width="1.7265625" style="7" customWidth="1"/>
    <col min="12343" max="12343" width="19.1796875" style="7" customWidth="1"/>
    <col min="12344" max="12344" width="35.1796875" style="7" customWidth="1"/>
    <col min="12345" max="12345" width="9.81640625" style="7" bestFit="1" customWidth="1"/>
    <col min="12346" max="12346" width="8.81640625" style="7" bestFit="1" customWidth="1"/>
    <col min="12347" max="12357" width="10.26953125" style="7" customWidth="1"/>
    <col min="12358" max="12597" width="9.1796875" style="7"/>
    <col min="12598" max="12598" width="1.7265625" style="7" customWidth="1"/>
    <col min="12599" max="12599" width="19.1796875" style="7" customWidth="1"/>
    <col min="12600" max="12600" width="35.1796875" style="7" customWidth="1"/>
    <col min="12601" max="12601" width="9.81640625" style="7" bestFit="1" customWidth="1"/>
    <col min="12602" max="12602" width="8.81640625" style="7" bestFit="1" customWidth="1"/>
    <col min="12603" max="12613" width="10.26953125" style="7" customWidth="1"/>
    <col min="12614" max="12853" width="9.1796875" style="7"/>
    <col min="12854" max="12854" width="1.7265625" style="7" customWidth="1"/>
    <col min="12855" max="12855" width="19.1796875" style="7" customWidth="1"/>
    <col min="12856" max="12856" width="35.1796875" style="7" customWidth="1"/>
    <col min="12857" max="12857" width="9.81640625" style="7" bestFit="1" customWidth="1"/>
    <col min="12858" max="12858" width="8.81640625" style="7" bestFit="1" customWidth="1"/>
    <col min="12859" max="12869" width="10.26953125" style="7" customWidth="1"/>
    <col min="12870" max="13109" width="9.1796875" style="7"/>
    <col min="13110" max="13110" width="1.7265625" style="7" customWidth="1"/>
    <col min="13111" max="13111" width="19.1796875" style="7" customWidth="1"/>
    <col min="13112" max="13112" width="35.1796875" style="7" customWidth="1"/>
    <col min="13113" max="13113" width="9.81640625" style="7" bestFit="1" customWidth="1"/>
    <col min="13114" max="13114" width="8.81640625" style="7" bestFit="1" customWidth="1"/>
    <col min="13115" max="13125" width="10.26953125" style="7" customWidth="1"/>
    <col min="13126" max="13365" width="9.1796875" style="7"/>
    <col min="13366" max="13366" width="1.7265625" style="7" customWidth="1"/>
    <col min="13367" max="13367" width="19.1796875" style="7" customWidth="1"/>
    <col min="13368" max="13368" width="35.1796875" style="7" customWidth="1"/>
    <col min="13369" max="13369" width="9.81640625" style="7" bestFit="1" customWidth="1"/>
    <col min="13370" max="13370" width="8.81640625" style="7" bestFit="1" customWidth="1"/>
    <col min="13371" max="13381" width="10.26953125" style="7" customWidth="1"/>
    <col min="13382" max="13621" width="9.1796875" style="7"/>
    <col min="13622" max="13622" width="1.7265625" style="7" customWidth="1"/>
    <col min="13623" max="13623" width="19.1796875" style="7" customWidth="1"/>
    <col min="13624" max="13624" width="35.1796875" style="7" customWidth="1"/>
    <col min="13625" max="13625" width="9.81640625" style="7" bestFit="1" customWidth="1"/>
    <col min="13626" max="13626" width="8.81640625" style="7" bestFit="1" customWidth="1"/>
    <col min="13627" max="13637" width="10.26953125" style="7" customWidth="1"/>
    <col min="13638" max="13877" width="9.1796875" style="7"/>
    <col min="13878" max="13878" width="1.7265625" style="7" customWidth="1"/>
    <col min="13879" max="13879" width="19.1796875" style="7" customWidth="1"/>
    <col min="13880" max="13880" width="35.1796875" style="7" customWidth="1"/>
    <col min="13881" max="13881" width="9.81640625" style="7" bestFit="1" customWidth="1"/>
    <col min="13882" max="13882" width="8.81640625" style="7" bestFit="1" customWidth="1"/>
    <col min="13883" max="13893" width="10.26953125" style="7" customWidth="1"/>
    <col min="13894" max="14133" width="9.1796875" style="7"/>
    <col min="14134" max="14134" width="1.7265625" style="7" customWidth="1"/>
    <col min="14135" max="14135" width="19.1796875" style="7" customWidth="1"/>
    <col min="14136" max="14136" width="35.1796875" style="7" customWidth="1"/>
    <col min="14137" max="14137" width="9.81640625" style="7" bestFit="1" customWidth="1"/>
    <col min="14138" max="14138" width="8.81640625" style="7" bestFit="1" customWidth="1"/>
    <col min="14139" max="14149" width="10.26953125" style="7" customWidth="1"/>
    <col min="14150" max="14389" width="9.1796875" style="7"/>
    <col min="14390" max="14390" width="1.7265625" style="7" customWidth="1"/>
    <col min="14391" max="14391" width="19.1796875" style="7" customWidth="1"/>
    <col min="14392" max="14392" width="35.1796875" style="7" customWidth="1"/>
    <col min="14393" max="14393" width="9.81640625" style="7" bestFit="1" customWidth="1"/>
    <col min="14394" max="14394" width="8.81640625" style="7" bestFit="1" customWidth="1"/>
    <col min="14395" max="14405" width="10.26953125" style="7" customWidth="1"/>
    <col min="14406" max="14645" width="9.1796875" style="7"/>
    <col min="14646" max="14646" width="1.7265625" style="7" customWidth="1"/>
    <col min="14647" max="14647" width="19.1796875" style="7" customWidth="1"/>
    <col min="14648" max="14648" width="35.1796875" style="7" customWidth="1"/>
    <col min="14649" max="14649" width="9.81640625" style="7" bestFit="1" customWidth="1"/>
    <col min="14650" max="14650" width="8.81640625" style="7" bestFit="1" customWidth="1"/>
    <col min="14651" max="14661" width="10.26953125" style="7" customWidth="1"/>
    <col min="14662" max="14901" width="9.1796875" style="7"/>
    <col min="14902" max="14902" width="1.7265625" style="7" customWidth="1"/>
    <col min="14903" max="14903" width="19.1796875" style="7" customWidth="1"/>
    <col min="14904" max="14904" width="35.1796875" style="7" customWidth="1"/>
    <col min="14905" max="14905" width="9.81640625" style="7" bestFit="1" customWidth="1"/>
    <col min="14906" max="14906" width="8.81640625" style="7" bestFit="1" customWidth="1"/>
    <col min="14907" max="14917" width="10.26953125" style="7" customWidth="1"/>
    <col min="14918" max="15157" width="9.1796875" style="7"/>
    <col min="15158" max="15158" width="1.7265625" style="7" customWidth="1"/>
    <col min="15159" max="15159" width="19.1796875" style="7" customWidth="1"/>
    <col min="15160" max="15160" width="35.1796875" style="7" customWidth="1"/>
    <col min="15161" max="15161" width="9.81640625" style="7" bestFit="1" customWidth="1"/>
    <col min="15162" max="15162" width="8.81640625" style="7" bestFit="1" customWidth="1"/>
    <col min="15163" max="15173" width="10.26953125" style="7" customWidth="1"/>
    <col min="15174" max="15413" width="9.1796875" style="7"/>
    <col min="15414" max="15414" width="1.7265625" style="7" customWidth="1"/>
    <col min="15415" max="15415" width="19.1796875" style="7" customWidth="1"/>
    <col min="15416" max="15416" width="35.1796875" style="7" customWidth="1"/>
    <col min="15417" max="15417" width="9.81640625" style="7" bestFit="1" customWidth="1"/>
    <col min="15418" max="15418" width="8.81640625" style="7" bestFit="1" customWidth="1"/>
    <col min="15419" max="15429" width="10.26953125" style="7" customWidth="1"/>
    <col min="15430" max="15669" width="9.1796875" style="7"/>
    <col min="15670" max="15670" width="1.7265625" style="7" customWidth="1"/>
    <col min="15671" max="15671" width="19.1796875" style="7" customWidth="1"/>
    <col min="15672" max="15672" width="35.1796875" style="7" customWidth="1"/>
    <col min="15673" max="15673" width="9.81640625" style="7" bestFit="1" customWidth="1"/>
    <col min="15674" max="15674" width="8.81640625" style="7" bestFit="1" customWidth="1"/>
    <col min="15675" max="15685" width="10.26953125" style="7" customWidth="1"/>
    <col min="15686" max="15925" width="9.1796875" style="7"/>
    <col min="15926" max="15926" width="1.7265625" style="7" customWidth="1"/>
    <col min="15927" max="15927" width="19.1796875" style="7" customWidth="1"/>
    <col min="15928" max="15928" width="35.1796875" style="7" customWidth="1"/>
    <col min="15929" max="15929" width="9.81640625" style="7" bestFit="1" customWidth="1"/>
    <col min="15930" max="15930" width="8.81640625" style="7" bestFit="1" customWidth="1"/>
    <col min="15931" max="15941" width="10.26953125" style="7" customWidth="1"/>
    <col min="15942" max="16181" width="9.1796875" style="7"/>
    <col min="16182" max="16182" width="1.7265625" style="7" customWidth="1"/>
    <col min="16183" max="16183" width="19.1796875" style="7" customWidth="1"/>
    <col min="16184" max="16184" width="35.1796875" style="7" customWidth="1"/>
    <col min="16185" max="16185" width="9.81640625" style="7" bestFit="1" customWidth="1"/>
    <col min="16186" max="16186" width="8.81640625" style="7" bestFit="1" customWidth="1"/>
    <col min="16187" max="16197" width="10.26953125" style="7" customWidth="1"/>
    <col min="16198" max="16384" width="9.1796875" style="7"/>
  </cols>
  <sheetData>
    <row r="1" spans="1:70" ht="26.5" thickBot="1">
      <c r="A1" s="793"/>
      <c r="B1" s="793"/>
      <c r="C1" s="793"/>
      <c r="D1" s="793"/>
      <c r="E1" s="793"/>
      <c r="F1" s="793"/>
      <c r="G1" s="797" t="s">
        <v>206</v>
      </c>
      <c r="H1" s="798"/>
      <c r="I1" s="798"/>
      <c r="J1" s="799"/>
      <c r="K1" s="799"/>
      <c r="L1" s="799"/>
      <c r="M1" s="799"/>
      <c r="N1" s="799"/>
      <c r="O1" s="799"/>
      <c r="P1" s="799"/>
      <c r="Q1" s="799"/>
      <c r="R1" s="799"/>
      <c r="S1" s="799"/>
      <c r="T1" s="799"/>
      <c r="U1" s="799"/>
      <c r="V1" s="799"/>
      <c r="W1" s="799"/>
      <c r="X1" s="799"/>
      <c r="Y1" s="799"/>
      <c r="Z1" s="799"/>
      <c r="AA1" s="799"/>
      <c r="AB1" s="799"/>
      <c r="AC1" s="799"/>
      <c r="AD1" s="799"/>
      <c r="AE1" s="799"/>
      <c r="AF1" s="799"/>
      <c r="AG1" s="799"/>
      <c r="AH1" s="799"/>
      <c r="AI1" s="799"/>
      <c r="AJ1" s="799"/>
      <c r="AK1" s="799"/>
      <c r="AL1" s="799"/>
      <c r="AM1" s="799"/>
      <c r="AN1" s="799"/>
      <c r="AO1" s="799"/>
      <c r="AP1" s="799"/>
      <c r="AQ1" s="799"/>
      <c r="AR1" s="799"/>
      <c r="AS1" s="799"/>
      <c r="AT1" s="799"/>
      <c r="AU1" s="799"/>
      <c r="AV1" s="799"/>
      <c r="AW1" s="799"/>
      <c r="AX1" s="799"/>
      <c r="AY1" s="799"/>
      <c r="AZ1" s="799"/>
      <c r="BA1" s="799"/>
      <c r="BB1" s="799"/>
      <c r="BC1" s="799"/>
      <c r="BD1" s="799"/>
      <c r="BE1" s="799"/>
      <c r="BF1" s="799"/>
      <c r="BG1" s="799"/>
      <c r="BH1" s="799"/>
      <c r="BI1" s="799"/>
      <c r="BJ1" s="799"/>
      <c r="BK1" s="799"/>
      <c r="BL1" s="799"/>
      <c r="BM1" s="799"/>
      <c r="BN1" s="799"/>
      <c r="BO1" s="799"/>
      <c r="BP1" s="799"/>
      <c r="BQ1" s="800"/>
    </row>
    <row r="2" spans="1:70" ht="36" customHeight="1">
      <c r="A2" s="242"/>
      <c r="B2" s="242"/>
      <c r="C2" s="242"/>
      <c r="D2" s="807" t="s">
        <v>99</v>
      </c>
      <c r="E2" s="808"/>
      <c r="F2" s="809"/>
      <c r="G2" s="787" t="str">
        <f>'TCO TO BE- SW'!F2</f>
        <v>Grafické rozhranie agendového systému -  správa podaní a konaní</v>
      </c>
      <c r="H2" s="788"/>
      <c r="I2" s="789"/>
      <c r="J2" s="787" t="str">
        <f>'TCO TO BE- SW'!G2</f>
        <v>Grafické rozhranie agendového systému - poskytovanie udajov a platby</v>
      </c>
      <c r="K2" s="788"/>
      <c r="L2" s="789"/>
      <c r="M2" s="787" t="str">
        <f>'TCO TO BE- SW'!H2</f>
        <v>Grafické rozhranie agendového systému - správa údajov katastra</v>
      </c>
      <c r="N2" s="788"/>
      <c r="O2" s="789"/>
      <c r="P2" s="787" t="str">
        <f>'TCO TO BE- SW'!I2</f>
        <v>Integračné služby - poskytovanie udajov a platby</v>
      </c>
      <c r="Q2" s="788"/>
      <c r="R2" s="789"/>
      <c r="S2" s="787" t="str">
        <f>'TCO TO BE- SW'!J2</f>
        <v xml:space="preserve">Integračné služby - správa podaní a konaní </v>
      </c>
      <c r="T2" s="788"/>
      <c r="U2" s="789"/>
      <c r="V2" s="787" t="str">
        <f>'TCO TO BE- SW'!K2</f>
        <v>Integračné služby - správa údajov katastra</v>
      </c>
      <c r="W2" s="788"/>
      <c r="X2" s="789"/>
      <c r="Y2" s="787" t="str">
        <f>'TCO TO BE- SW'!L2</f>
        <v xml:space="preserve">Registratúrne stredisko - Platby </v>
      </c>
      <c r="Z2" s="788"/>
      <c r="AA2" s="789"/>
      <c r="AB2" s="787" t="str">
        <f>'TCO TO BE- SW'!M2</f>
        <v>Registratúrne stredisko - Podania a konania</v>
      </c>
      <c r="AC2" s="788"/>
      <c r="AD2" s="789"/>
      <c r="AE2" s="787" t="str">
        <f>'TCO TO BE- SW'!N2</f>
        <v xml:space="preserve">Registratúrne stredisko - Poskytovanie údajov  </v>
      </c>
      <c r="AF2" s="788"/>
      <c r="AG2" s="789"/>
      <c r="AH2" s="787" t="str">
        <f>'TCO TO BE- SW'!O2</f>
        <v>Stredisko katastrálneho operátu</v>
      </c>
      <c r="AI2" s="788"/>
      <c r="AJ2" s="789"/>
      <c r="AK2" s="787" t="str">
        <f>'TCO TO BE- SW'!P2</f>
        <v>Stredisko podporných služieb - poskytovanie udajov a platby</v>
      </c>
      <c r="AL2" s="788"/>
      <c r="AM2" s="789"/>
      <c r="AN2" s="787" t="str">
        <f>'TCO TO BE- SW'!Q2</f>
        <v>Stredisko podporných služieb - správa podaní a konaní</v>
      </c>
      <c r="AO2" s="788"/>
      <c r="AP2" s="789"/>
      <c r="AQ2" s="787" t="str">
        <f>'TCO TO BE- SW'!R2</f>
        <v>Stredisko podporných služieb - správa údajov katastra</v>
      </c>
      <c r="AR2" s="788"/>
      <c r="AS2" s="789"/>
      <c r="AT2" s="787" t="str">
        <f>'TCO TO BE- SW'!S2</f>
        <v>Grafické rozhranie agendového systému -  prototypové data</v>
      </c>
      <c r="AU2" s="788"/>
      <c r="AV2" s="789"/>
      <c r="AW2" s="787">
        <f>'TCO TO BE- SW'!T2</f>
        <v>0</v>
      </c>
      <c r="AX2" s="788"/>
      <c r="AY2" s="789"/>
      <c r="AZ2" s="787">
        <f>'TCO TO BE- SW'!U2</f>
        <v>0</v>
      </c>
      <c r="BA2" s="788"/>
      <c r="BB2" s="789"/>
      <c r="BC2" s="787" t="str">
        <f>'TCO TO BE- SW'!V2</f>
        <v>Technologické vybavenie</v>
      </c>
      <c r="BD2" s="788"/>
      <c r="BE2" s="789"/>
      <c r="BF2" s="787" t="str">
        <f>'TCO TO BE- SW'!W2</f>
        <v>Aplikačno-platformové vybavenie</v>
      </c>
      <c r="BG2" s="788"/>
      <c r="BH2" s="789"/>
      <c r="BI2" s="787" t="str">
        <f>'TCO TO BE- SW'!X2</f>
        <v>Dokumentácia riešenia</v>
      </c>
      <c r="BJ2" s="788"/>
      <c r="BK2" s="789"/>
      <c r="BL2" s="787" t="str">
        <f>'TCO TO BE- SW'!Y2</f>
        <v>ISKN 2.0</v>
      </c>
      <c r="BM2" s="788"/>
      <c r="BN2" s="789"/>
      <c r="BO2" s="787">
        <f>'TCO TO BE- SW'!Z2</f>
        <v>0</v>
      </c>
      <c r="BP2" s="788"/>
      <c r="BQ2" s="789"/>
    </row>
    <row r="3" spans="1:70" ht="36" customHeight="1" thickBot="1">
      <c r="A3" s="242" t="s">
        <v>207</v>
      </c>
      <c r="B3" s="242"/>
      <c r="C3" s="242"/>
      <c r="D3" s="363"/>
      <c r="E3" s="361"/>
      <c r="F3" s="362"/>
      <c r="G3" s="784"/>
      <c r="H3" s="785"/>
      <c r="I3" s="786"/>
      <c r="J3" s="784"/>
      <c r="K3" s="785"/>
      <c r="L3" s="786"/>
      <c r="M3" s="784"/>
      <c r="N3" s="785"/>
      <c r="O3" s="786"/>
      <c r="P3" s="784"/>
      <c r="Q3" s="785"/>
      <c r="R3" s="786"/>
      <c r="S3" s="784"/>
      <c r="T3" s="785"/>
      <c r="U3" s="786"/>
      <c r="V3" s="784"/>
      <c r="W3" s="785"/>
      <c r="X3" s="786"/>
      <c r="Y3" s="784"/>
      <c r="Z3" s="785"/>
      <c r="AA3" s="786"/>
      <c r="AB3" s="784"/>
      <c r="AC3" s="785"/>
      <c r="AD3" s="786"/>
      <c r="AE3" s="784"/>
      <c r="AF3" s="785"/>
      <c r="AG3" s="786"/>
      <c r="AH3" s="784"/>
      <c r="AI3" s="785"/>
      <c r="AJ3" s="786"/>
      <c r="AK3" s="784"/>
      <c r="AL3" s="785"/>
      <c r="AM3" s="786"/>
      <c r="AN3" s="784"/>
      <c r="AO3" s="785"/>
      <c r="AP3" s="786"/>
      <c r="AQ3" s="784"/>
      <c r="AR3" s="785"/>
      <c r="AS3" s="786"/>
      <c r="AT3" s="784"/>
      <c r="AU3" s="785"/>
      <c r="AV3" s="786"/>
      <c r="AW3" s="784"/>
      <c r="AX3" s="785"/>
      <c r="AY3" s="786"/>
      <c r="AZ3" s="784"/>
      <c r="BA3" s="785"/>
      <c r="BB3" s="786"/>
      <c r="BC3" s="784"/>
      <c r="BD3" s="785"/>
      <c r="BE3" s="786"/>
      <c r="BF3" s="784"/>
      <c r="BG3" s="785"/>
      <c r="BH3" s="786"/>
      <c r="BI3" s="784"/>
      <c r="BJ3" s="785"/>
      <c r="BK3" s="786"/>
      <c r="BL3" s="784"/>
      <c r="BM3" s="785"/>
      <c r="BN3" s="786"/>
      <c r="BO3" s="784"/>
      <c r="BP3" s="785"/>
      <c r="BQ3" s="786"/>
    </row>
    <row r="4" spans="1:70" s="58" customFormat="1" ht="15.75" customHeight="1" thickBot="1">
      <c r="A4" s="244" t="s">
        <v>208</v>
      </c>
      <c r="B4" s="244" t="s">
        <v>209</v>
      </c>
      <c r="C4" s="244" t="s">
        <v>162</v>
      </c>
      <c r="D4" s="245" t="s">
        <v>163</v>
      </c>
      <c r="E4" s="246" t="s">
        <v>164</v>
      </c>
      <c r="F4" s="247" t="s">
        <v>210</v>
      </c>
      <c r="G4" s="248" t="s">
        <v>163</v>
      </c>
      <c r="H4" s="248" t="s">
        <v>164</v>
      </c>
      <c r="I4" s="249" t="s">
        <v>210</v>
      </c>
      <c r="J4" s="248" t="s">
        <v>163</v>
      </c>
      <c r="K4" s="248" t="s">
        <v>164</v>
      </c>
      <c r="L4" s="249" t="s">
        <v>210</v>
      </c>
      <c r="M4" s="248" t="s">
        <v>163</v>
      </c>
      <c r="N4" s="248" t="s">
        <v>164</v>
      </c>
      <c r="O4" s="249" t="s">
        <v>210</v>
      </c>
      <c r="P4" s="248" t="s">
        <v>163</v>
      </c>
      <c r="Q4" s="248" t="s">
        <v>164</v>
      </c>
      <c r="R4" s="249" t="s">
        <v>210</v>
      </c>
      <c r="S4" s="248" t="s">
        <v>163</v>
      </c>
      <c r="T4" s="248" t="s">
        <v>164</v>
      </c>
      <c r="U4" s="249" t="s">
        <v>210</v>
      </c>
      <c r="V4" s="248" t="s">
        <v>163</v>
      </c>
      <c r="W4" s="248" t="s">
        <v>164</v>
      </c>
      <c r="X4" s="249" t="s">
        <v>210</v>
      </c>
      <c r="Y4" s="248" t="s">
        <v>163</v>
      </c>
      <c r="Z4" s="248" t="s">
        <v>164</v>
      </c>
      <c r="AA4" s="249" t="s">
        <v>210</v>
      </c>
      <c r="AB4" s="248" t="s">
        <v>163</v>
      </c>
      <c r="AC4" s="248" t="s">
        <v>164</v>
      </c>
      <c r="AD4" s="249" t="s">
        <v>210</v>
      </c>
      <c r="AE4" s="248" t="s">
        <v>163</v>
      </c>
      <c r="AF4" s="248" t="s">
        <v>164</v>
      </c>
      <c r="AG4" s="249" t="s">
        <v>210</v>
      </c>
      <c r="AH4" s="248" t="s">
        <v>163</v>
      </c>
      <c r="AI4" s="248" t="s">
        <v>164</v>
      </c>
      <c r="AJ4" s="249" t="s">
        <v>210</v>
      </c>
      <c r="AK4" s="248" t="s">
        <v>163</v>
      </c>
      <c r="AL4" s="248" t="s">
        <v>164</v>
      </c>
      <c r="AM4" s="249" t="s">
        <v>210</v>
      </c>
      <c r="AN4" s="248" t="s">
        <v>163</v>
      </c>
      <c r="AO4" s="248" t="s">
        <v>164</v>
      </c>
      <c r="AP4" s="249" t="s">
        <v>210</v>
      </c>
      <c r="AQ4" s="248" t="s">
        <v>163</v>
      </c>
      <c r="AR4" s="248" t="s">
        <v>164</v>
      </c>
      <c r="AS4" s="249" t="s">
        <v>210</v>
      </c>
      <c r="AT4" s="248" t="s">
        <v>163</v>
      </c>
      <c r="AU4" s="248" t="s">
        <v>164</v>
      </c>
      <c r="AV4" s="249" t="s">
        <v>210</v>
      </c>
      <c r="AW4" s="248" t="s">
        <v>163</v>
      </c>
      <c r="AX4" s="248" t="s">
        <v>164</v>
      </c>
      <c r="AY4" s="249" t="s">
        <v>210</v>
      </c>
      <c r="AZ4" s="248" t="s">
        <v>163</v>
      </c>
      <c r="BA4" s="248" t="s">
        <v>164</v>
      </c>
      <c r="BB4" s="249" t="s">
        <v>210</v>
      </c>
      <c r="BC4" s="248" t="s">
        <v>163</v>
      </c>
      <c r="BD4" s="248" t="s">
        <v>164</v>
      </c>
      <c r="BE4" s="249" t="s">
        <v>210</v>
      </c>
      <c r="BF4" s="248" t="s">
        <v>163</v>
      </c>
      <c r="BG4" s="248" t="s">
        <v>164</v>
      </c>
      <c r="BH4" s="249" t="s">
        <v>210</v>
      </c>
      <c r="BI4" s="248" t="s">
        <v>163</v>
      </c>
      <c r="BJ4" s="248" t="s">
        <v>164</v>
      </c>
      <c r="BK4" s="249" t="s">
        <v>210</v>
      </c>
      <c r="BL4" s="248" t="s">
        <v>163</v>
      </c>
      <c r="BM4" s="248" t="s">
        <v>164</v>
      </c>
      <c r="BN4" s="249" t="s">
        <v>210</v>
      </c>
      <c r="BO4" s="248" t="s">
        <v>163</v>
      </c>
      <c r="BP4" s="248" t="s">
        <v>164</v>
      </c>
      <c r="BQ4" s="249" t="s">
        <v>210</v>
      </c>
      <c r="BR4" s="250"/>
    </row>
    <row r="5" spans="1:70" ht="14.5" customHeight="1">
      <c r="A5" s="790" t="s">
        <v>211</v>
      </c>
      <c r="B5" s="794" t="s">
        <v>212</v>
      </c>
      <c r="C5" s="251" t="s">
        <v>166</v>
      </c>
      <c r="D5" s="252">
        <f>MAX(G5,J5,M5,P5,S5,V5,Y5,AB5,AE5,AH5,AK5,AN5,AQ5,AT5,AW5,AZ5,AZ5,BC5,BF5,BI5,BL5,BO5)</f>
        <v>385682</v>
      </c>
      <c r="E5" s="253">
        <f>MAX(H5,K5,N5,Q5,T5,W5,Z5,AC5,AF5,AI5,AL5,AO5,AR5,AU5,AX5,BA5,BA5,BD5,BG5,BJ5,BM5,BP5)</f>
        <v>385682</v>
      </c>
      <c r="F5" s="254">
        <f>SUM(I5,L5,O5,R5,U5,X5,AA5,AD5,AG5,AJ5,AM5,AP5,AS5,AV5,AY5,BB5,BB5,BE5,BH5,BK5,BN5,BQ5)</f>
        <v>0</v>
      </c>
      <c r="G5" s="539">
        <v>385682</v>
      </c>
      <c r="H5" s="540">
        <v>385682</v>
      </c>
      <c r="I5" s="257">
        <f>H5-G5</f>
        <v>0</v>
      </c>
      <c r="J5" s="539">
        <v>385682</v>
      </c>
      <c r="K5" s="540">
        <v>385682</v>
      </c>
      <c r="L5" s="257">
        <f>K5-J5</f>
        <v>0</v>
      </c>
      <c r="M5" s="539">
        <v>385682</v>
      </c>
      <c r="N5" s="540">
        <v>385682</v>
      </c>
      <c r="O5" s="257">
        <f>N5-M5</f>
        <v>0</v>
      </c>
      <c r="P5" s="539">
        <v>385682</v>
      </c>
      <c r="Q5" s="540">
        <v>385682</v>
      </c>
      <c r="R5" s="257">
        <f>Q5-P5</f>
        <v>0</v>
      </c>
      <c r="S5" s="539">
        <v>385682</v>
      </c>
      <c r="T5" s="540">
        <v>385682</v>
      </c>
      <c r="U5" s="257">
        <f>T5-S5</f>
        <v>0</v>
      </c>
      <c r="V5" s="539">
        <v>385682</v>
      </c>
      <c r="W5" s="540">
        <v>385682</v>
      </c>
      <c r="X5" s="257">
        <f>W5-V5</f>
        <v>0</v>
      </c>
      <c r="Y5" s="539">
        <v>385682</v>
      </c>
      <c r="Z5" s="540">
        <v>385682</v>
      </c>
      <c r="AA5" s="257">
        <f>Z5-Y5</f>
        <v>0</v>
      </c>
      <c r="AB5" s="539">
        <v>385682</v>
      </c>
      <c r="AC5" s="540">
        <v>385682</v>
      </c>
      <c r="AD5" s="257">
        <f>AC5-AB5</f>
        <v>0</v>
      </c>
      <c r="AE5" s="539">
        <v>385682</v>
      </c>
      <c r="AF5" s="540">
        <v>385682</v>
      </c>
      <c r="AG5" s="257">
        <f>AF5-AE5</f>
        <v>0</v>
      </c>
      <c r="AH5" s="539">
        <v>385682</v>
      </c>
      <c r="AI5" s="540">
        <v>385682</v>
      </c>
      <c r="AJ5" s="257">
        <f>AI5-AH5</f>
        <v>0</v>
      </c>
      <c r="AK5" s="539">
        <v>385682</v>
      </c>
      <c r="AL5" s="540">
        <v>385682</v>
      </c>
      <c r="AM5" s="257">
        <f>AL5-AK5</f>
        <v>0</v>
      </c>
      <c r="AN5" s="539">
        <v>385682</v>
      </c>
      <c r="AO5" s="540">
        <v>385682</v>
      </c>
      <c r="AP5" s="257">
        <f>AO5-AN5</f>
        <v>0</v>
      </c>
      <c r="AQ5" s="539">
        <v>385682</v>
      </c>
      <c r="AR5" s="540">
        <v>385682</v>
      </c>
      <c r="AS5" s="257">
        <f>AR5-AQ5</f>
        <v>0</v>
      </c>
      <c r="AT5" s="255"/>
      <c r="AU5" s="256"/>
      <c r="AV5" s="257">
        <f>AU5-AT5</f>
        <v>0</v>
      </c>
      <c r="AW5" s="255"/>
      <c r="AX5" s="256"/>
      <c r="AY5" s="257">
        <f>AX5-AW5</f>
        <v>0</v>
      </c>
      <c r="AZ5" s="255"/>
      <c r="BA5" s="256"/>
      <c r="BB5" s="257">
        <f>BA5-AZ5</f>
        <v>0</v>
      </c>
      <c r="BC5" s="255"/>
      <c r="BD5" s="256"/>
      <c r="BE5" s="257">
        <f>BD5-BC5</f>
        <v>0</v>
      </c>
      <c r="BF5" s="255"/>
      <c r="BG5" s="256"/>
      <c r="BH5" s="257">
        <f>BG5-BF5</f>
        <v>0</v>
      </c>
      <c r="BI5" s="255"/>
      <c r="BJ5" s="256"/>
      <c r="BK5" s="257">
        <f>BJ5-BI5</f>
        <v>0</v>
      </c>
      <c r="BL5" s="255"/>
      <c r="BM5" s="256"/>
      <c r="BN5" s="257">
        <f>BM5-BL5</f>
        <v>0</v>
      </c>
      <c r="BO5" s="255"/>
      <c r="BP5" s="256"/>
      <c r="BQ5" s="257">
        <f>BP5-BO5</f>
        <v>0</v>
      </c>
      <c r="BR5" s="258">
        <v>0</v>
      </c>
    </row>
    <row r="6" spans="1:70">
      <c r="A6" s="791"/>
      <c r="B6" s="795"/>
      <c r="C6" s="24" t="s">
        <v>167</v>
      </c>
      <c r="D6" s="259">
        <f t="shared" ref="D6:D14" si="0">MAX(G6,J6,M6,P6,S6,V6,Y6,AB6,AE6,AH6,AK6,AN6,AQ6,AT6,AW6,AZ6,AZ6,BC6,BF6,BI6,BL6,BO6)</f>
        <v>385682</v>
      </c>
      <c r="E6" s="260">
        <f t="shared" ref="E6:E14" si="1">MAX(H6,K6,N6,Q6,T6,W6,Z6,AC6,AF6,AI6,AL6,AO6,AR6,AU6,AX6,BA6,BA6,BD6,BG6,BJ6,BM6,BP6)</f>
        <v>385682</v>
      </c>
      <c r="F6" s="261">
        <f t="shared" ref="F6:F14" si="2">SUM(I6,L6,O6,R6,U6,X6,AA6,AD6,AG6,AJ6,AM6,AP6,AS6,AV6,AY6,BB6,BB6,BE6,BH6,BK6,BN6,BQ6)</f>
        <v>0</v>
      </c>
      <c r="G6" s="541">
        <v>385682</v>
      </c>
      <c r="H6" s="542">
        <v>385682</v>
      </c>
      <c r="I6" s="262">
        <f t="shared" ref="I6:I24" si="3">H6-G6</f>
        <v>0</v>
      </c>
      <c r="J6" s="541">
        <v>385682</v>
      </c>
      <c r="K6" s="542">
        <v>385682</v>
      </c>
      <c r="L6" s="262">
        <f t="shared" ref="L6:L24" si="4">K6-J6</f>
        <v>0</v>
      </c>
      <c r="M6" s="541">
        <v>385682</v>
      </c>
      <c r="N6" s="542">
        <v>385682</v>
      </c>
      <c r="O6" s="262">
        <f t="shared" ref="O6:O24" si="5">N6-M6</f>
        <v>0</v>
      </c>
      <c r="P6" s="541">
        <v>385682</v>
      </c>
      <c r="Q6" s="542">
        <v>385682</v>
      </c>
      <c r="R6" s="262">
        <f t="shared" ref="R6:R24" si="6">Q6-P6</f>
        <v>0</v>
      </c>
      <c r="S6" s="541">
        <v>385682</v>
      </c>
      <c r="T6" s="542">
        <v>385682</v>
      </c>
      <c r="U6" s="262">
        <f t="shared" ref="U6:U24" si="7">T6-S6</f>
        <v>0</v>
      </c>
      <c r="V6" s="541">
        <v>385682</v>
      </c>
      <c r="W6" s="542">
        <v>385682</v>
      </c>
      <c r="X6" s="262">
        <f t="shared" ref="X6:X24" si="8">W6-V6</f>
        <v>0</v>
      </c>
      <c r="Y6" s="541">
        <v>385682</v>
      </c>
      <c r="Z6" s="542">
        <v>385682</v>
      </c>
      <c r="AA6" s="262">
        <f t="shared" ref="AA6:AA24" si="9">Z6-Y6</f>
        <v>0</v>
      </c>
      <c r="AB6" s="541">
        <v>385682</v>
      </c>
      <c r="AC6" s="542">
        <v>385682</v>
      </c>
      <c r="AD6" s="262">
        <f t="shared" ref="AD6:AD24" si="10">AC6-AB6</f>
        <v>0</v>
      </c>
      <c r="AE6" s="541">
        <v>385682</v>
      </c>
      <c r="AF6" s="542">
        <v>385682</v>
      </c>
      <c r="AG6" s="262">
        <f t="shared" ref="AG6:AG24" si="11">AF6-AE6</f>
        <v>0</v>
      </c>
      <c r="AH6" s="541">
        <v>385682</v>
      </c>
      <c r="AI6" s="542">
        <v>385682</v>
      </c>
      <c r="AJ6" s="262">
        <f t="shared" ref="AJ6:AJ24" si="12">AI6-AH6</f>
        <v>0</v>
      </c>
      <c r="AK6" s="541">
        <v>385682</v>
      </c>
      <c r="AL6" s="542">
        <v>385682</v>
      </c>
      <c r="AM6" s="262">
        <f t="shared" ref="AM6:AM24" si="13">AL6-AK6</f>
        <v>0</v>
      </c>
      <c r="AN6" s="541">
        <v>385682</v>
      </c>
      <c r="AO6" s="542">
        <v>385682</v>
      </c>
      <c r="AP6" s="262">
        <f t="shared" ref="AP6:AP24" si="14">AO6-AN6</f>
        <v>0</v>
      </c>
      <c r="AQ6" s="541">
        <v>385682</v>
      </c>
      <c r="AR6" s="542">
        <v>385682</v>
      </c>
      <c r="AS6" s="262">
        <f t="shared" ref="AS6:AS24" si="15">AR6-AQ6</f>
        <v>0</v>
      </c>
      <c r="AT6" s="541"/>
      <c r="AU6" s="542"/>
      <c r="AV6" s="262">
        <f t="shared" ref="AV6:AV24" si="16">AU6-AT6</f>
        <v>0</v>
      </c>
      <c r="AW6" s="541"/>
      <c r="AX6" s="542"/>
      <c r="AY6" s="262">
        <f t="shared" ref="AY6:AY24" si="17">AX6-AW6</f>
        <v>0</v>
      </c>
      <c r="AZ6" s="541"/>
      <c r="BA6" s="542"/>
      <c r="BB6" s="262">
        <f t="shared" ref="BB6:BB24" si="18">BA6-AZ6</f>
        <v>0</v>
      </c>
      <c r="BC6" s="541"/>
      <c r="BD6" s="542"/>
      <c r="BE6" s="262">
        <f t="shared" ref="BE6:BE24" si="19">BD6-BC6</f>
        <v>0</v>
      </c>
      <c r="BF6" s="541"/>
      <c r="BG6" s="542"/>
      <c r="BH6" s="262">
        <f t="shared" ref="BH6:BH24" si="20">BG6-BF6</f>
        <v>0</v>
      </c>
      <c r="BI6" s="541"/>
      <c r="BJ6" s="542"/>
      <c r="BK6" s="262">
        <f t="shared" ref="BK6:BK24" si="21">BJ6-BI6</f>
        <v>0</v>
      </c>
      <c r="BL6" s="541"/>
      <c r="BM6" s="542"/>
      <c r="BN6" s="262">
        <f t="shared" ref="BN6:BN24" si="22">BM6-BL6</f>
        <v>0</v>
      </c>
      <c r="BO6" s="541"/>
      <c r="BP6" s="542"/>
      <c r="BQ6" s="262">
        <f t="shared" ref="BQ6:BQ24" si="23">BP6-BO6</f>
        <v>0</v>
      </c>
      <c r="BR6" s="258"/>
    </row>
    <row r="7" spans="1:70">
      <c r="A7" s="791"/>
      <c r="B7" s="795"/>
      <c r="C7" s="24" t="s">
        <v>168</v>
      </c>
      <c r="D7" s="259">
        <f t="shared" si="0"/>
        <v>385682</v>
      </c>
      <c r="E7" s="260">
        <f t="shared" si="1"/>
        <v>385682</v>
      </c>
      <c r="F7" s="261">
        <f t="shared" si="2"/>
        <v>0</v>
      </c>
      <c r="G7" s="541">
        <v>385682</v>
      </c>
      <c r="H7" s="542">
        <v>385682</v>
      </c>
      <c r="I7" s="262">
        <f t="shared" si="3"/>
        <v>0</v>
      </c>
      <c r="J7" s="541">
        <v>385682</v>
      </c>
      <c r="K7" s="542">
        <v>385682</v>
      </c>
      <c r="L7" s="262">
        <f t="shared" si="4"/>
        <v>0</v>
      </c>
      <c r="M7" s="541">
        <v>385682</v>
      </c>
      <c r="N7" s="542">
        <v>385682</v>
      </c>
      <c r="O7" s="262">
        <f t="shared" si="5"/>
        <v>0</v>
      </c>
      <c r="P7" s="541">
        <v>385682</v>
      </c>
      <c r="Q7" s="542">
        <v>385682</v>
      </c>
      <c r="R7" s="262">
        <f t="shared" si="6"/>
        <v>0</v>
      </c>
      <c r="S7" s="541">
        <v>385682</v>
      </c>
      <c r="T7" s="542">
        <v>385682</v>
      </c>
      <c r="U7" s="262">
        <f t="shared" si="7"/>
        <v>0</v>
      </c>
      <c r="V7" s="541">
        <v>385682</v>
      </c>
      <c r="W7" s="542">
        <v>385682</v>
      </c>
      <c r="X7" s="262">
        <f t="shared" si="8"/>
        <v>0</v>
      </c>
      <c r="Y7" s="541">
        <v>385682</v>
      </c>
      <c r="Z7" s="542">
        <v>385682</v>
      </c>
      <c r="AA7" s="262">
        <f t="shared" si="9"/>
        <v>0</v>
      </c>
      <c r="AB7" s="541">
        <v>385682</v>
      </c>
      <c r="AC7" s="542">
        <v>385682</v>
      </c>
      <c r="AD7" s="262">
        <f t="shared" si="10"/>
        <v>0</v>
      </c>
      <c r="AE7" s="541">
        <v>385682</v>
      </c>
      <c r="AF7" s="542">
        <v>385682</v>
      </c>
      <c r="AG7" s="262">
        <f t="shared" si="11"/>
        <v>0</v>
      </c>
      <c r="AH7" s="541">
        <v>385682</v>
      </c>
      <c r="AI7" s="542">
        <v>385682</v>
      </c>
      <c r="AJ7" s="262">
        <f t="shared" si="12"/>
        <v>0</v>
      </c>
      <c r="AK7" s="541">
        <v>385682</v>
      </c>
      <c r="AL7" s="542">
        <v>385682</v>
      </c>
      <c r="AM7" s="262">
        <f t="shared" si="13"/>
        <v>0</v>
      </c>
      <c r="AN7" s="541">
        <v>385682</v>
      </c>
      <c r="AO7" s="542">
        <v>385682</v>
      </c>
      <c r="AP7" s="262">
        <f t="shared" si="14"/>
        <v>0</v>
      </c>
      <c r="AQ7" s="541">
        <v>385682</v>
      </c>
      <c r="AR7" s="542">
        <v>385682</v>
      </c>
      <c r="AS7" s="262">
        <f t="shared" si="15"/>
        <v>0</v>
      </c>
      <c r="AT7" s="541"/>
      <c r="AU7" s="542"/>
      <c r="AV7" s="262">
        <f t="shared" si="16"/>
        <v>0</v>
      </c>
      <c r="AW7" s="541"/>
      <c r="AX7" s="542"/>
      <c r="AY7" s="262">
        <f t="shared" si="17"/>
        <v>0</v>
      </c>
      <c r="AZ7" s="541"/>
      <c r="BA7" s="542"/>
      <c r="BB7" s="262">
        <f t="shared" si="18"/>
        <v>0</v>
      </c>
      <c r="BC7" s="541"/>
      <c r="BD7" s="542"/>
      <c r="BE7" s="262">
        <f t="shared" si="19"/>
        <v>0</v>
      </c>
      <c r="BF7" s="541"/>
      <c r="BG7" s="542"/>
      <c r="BH7" s="262">
        <f t="shared" si="20"/>
        <v>0</v>
      </c>
      <c r="BI7" s="541"/>
      <c r="BJ7" s="542"/>
      <c r="BK7" s="262">
        <f t="shared" si="21"/>
        <v>0</v>
      </c>
      <c r="BL7" s="541"/>
      <c r="BM7" s="542"/>
      <c r="BN7" s="262">
        <f t="shared" si="22"/>
        <v>0</v>
      </c>
      <c r="BO7" s="541"/>
      <c r="BP7" s="542"/>
      <c r="BQ7" s="262">
        <f t="shared" si="23"/>
        <v>0</v>
      </c>
      <c r="BR7" s="258"/>
    </row>
    <row r="8" spans="1:70">
      <c r="A8" s="791"/>
      <c r="B8" s="795"/>
      <c r="C8" s="24" t="s">
        <v>169</v>
      </c>
      <c r="D8" s="259">
        <f t="shared" si="0"/>
        <v>385682</v>
      </c>
      <c r="E8" s="260">
        <f t="shared" si="1"/>
        <v>385682</v>
      </c>
      <c r="F8" s="261">
        <f t="shared" si="2"/>
        <v>0</v>
      </c>
      <c r="G8" s="541">
        <v>385682</v>
      </c>
      <c r="H8" s="542">
        <v>385682</v>
      </c>
      <c r="I8" s="262">
        <f t="shared" si="3"/>
        <v>0</v>
      </c>
      <c r="J8" s="541">
        <v>385682</v>
      </c>
      <c r="K8" s="542">
        <v>385682</v>
      </c>
      <c r="L8" s="262">
        <f t="shared" si="4"/>
        <v>0</v>
      </c>
      <c r="M8" s="541">
        <v>385682</v>
      </c>
      <c r="N8" s="542">
        <v>385682</v>
      </c>
      <c r="O8" s="262">
        <f t="shared" si="5"/>
        <v>0</v>
      </c>
      <c r="P8" s="541">
        <v>385682</v>
      </c>
      <c r="Q8" s="542">
        <v>385682</v>
      </c>
      <c r="R8" s="262">
        <f t="shared" si="6"/>
        <v>0</v>
      </c>
      <c r="S8" s="541">
        <v>385682</v>
      </c>
      <c r="T8" s="542">
        <v>385682</v>
      </c>
      <c r="U8" s="262">
        <f t="shared" si="7"/>
        <v>0</v>
      </c>
      <c r="V8" s="541">
        <v>385682</v>
      </c>
      <c r="W8" s="542">
        <v>385682</v>
      </c>
      <c r="X8" s="262">
        <f t="shared" si="8"/>
        <v>0</v>
      </c>
      <c r="Y8" s="541">
        <v>385682</v>
      </c>
      <c r="Z8" s="542">
        <v>385682</v>
      </c>
      <c r="AA8" s="262">
        <f t="shared" si="9"/>
        <v>0</v>
      </c>
      <c r="AB8" s="541">
        <v>385682</v>
      </c>
      <c r="AC8" s="542">
        <v>385682</v>
      </c>
      <c r="AD8" s="262">
        <f t="shared" si="10"/>
        <v>0</v>
      </c>
      <c r="AE8" s="541">
        <v>385682</v>
      </c>
      <c r="AF8" s="542">
        <v>385682</v>
      </c>
      <c r="AG8" s="262">
        <f t="shared" si="11"/>
        <v>0</v>
      </c>
      <c r="AH8" s="541">
        <v>385682</v>
      </c>
      <c r="AI8" s="542">
        <v>385682</v>
      </c>
      <c r="AJ8" s="262">
        <f t="shared" si="12"/>
        <v>0</v>
      </c>
      <c r="AK8" s="541">
        <v>385682</v>
      </c>
      <c r="AL8" s="542">
        <v>385682</v>
      </c>
      <c r="AM8" s="262">
        <f t="shared" si="13"/>
        <v>0</v>
      </c>
      <c r="AN8" s="541">
        <v>385682</v>
      </c>
      <c r="AO8" s="542">
        <v>385682</v>
      </c>
      <c r="AP8" s="262">
        <f t="shared" si="14"/>
        <v>0</v>
      </c>
      <c r="AQ8" s="541">
        <v>385682</v>
      </c>
      <c r="AR8" s="542">
        <v>385682</v>
      </c>
      <c r="AS8" s="262">
        <f t="shared" si="15"/>
        <v>0</v>
      </c>
      <c r="AT8" s="541"/>
      <c r="AU8" s="542"/>
      <c r="AV8" s="262">
        <f t="shared" si="16"/>
        <v>0</v>
      </c>
      <c r="AW8" s="541"/>
      <c r="AX8" s="542"/>
      <c r="AY8" s="262">
        <f t="shared" si="17"/>
        <v>0</v>
      </c>
      <c r="AZ8" s="541"/>
      <c r="BA8" s="542"/>
      <c r="BB8" s="262">
        <f t="shared" si="18"/>
        <v>0</v>
      </c>
      <c r="BC8" s="541"/>
      <c r="BD8" s="542"/>
      <c r="BE8" s="262">
        <f t="shared" si="19"/>
        <v>0</v>
      </c>
      <c r="BF8" s="541"/>
      <c r="BG8" s="542"/>
      <c r="BH8" s="262">
        <f t="shared" si="20"/>
        <v>0</v>
      </c>
      <c r="BI8" s="541"/>
      <c r="BJ8" s="542"/>
      <c r="BK8" s="262">
        <f t="shared" si="21"/>
        <v>0</v>
      </c>
      <c r="BL8" s="541"/>
      <c r="BM8" s="542"/>
      <c r="BN8" s="262">
        <f t="shared" si="22"/>
        <v>0</v>
      </c>
      <c r="BO8" s="541"/>
      <c r="BP8" s="542"/>
      <c r="BQ8" s="262">
        <f t="shared" si="23"/>
        <v>0</v>
      </c>
      <c r="BR8" s="258"/>
    </row>
    <row r="9" spans="1:70">
      <c r="A9" s="791"/>
      <c r="B9" s="795"/>
      <c r="C9" s="24" t="s">
        <v>170</v>
      </c>
      <c r="D9" s="259">
        <f t="shared" si="0"/>
        <v>385682</v>
      </c>
      <c r="E9" s="260">
        <f t="shared" si="1"/>
        <v>385682</v>
      </c>
      <c r="F9" s="261">
        <f t="shared" si="2"/>
        <v>0</v>
      </c>
      <c r="G9" s="541">
        <v>385682</v>
      </c>
      <c r="H9" s="542">
        <v>385682</v>
      </c>
      <c r="I9" s="262">
        <f t="shared" si="3"/>
        <v>0</v>
      </c>
      <c r="J9" s="541">
        <v>385682</v>
      </c>
      <c r="K9" s="542">
        <v>385682</v>
      </c>
      <c r="L9" s="262">
        <f t="shared" si="4"/>
        <v>0</v>
      </c>
      <c r="M9" s="541">
        <v>385682</v>
      </c>
      <c r="N9" s="542">
        <v>385682</v>
      </c>
      <c r="O9" s="262">
        <f t="shared" si="5"/>
        <v>0</v>
      </c>
      <c r="P9" s="541">
        <v>385682</v>
      </c>
      <c r="Q9" s="542">
        <v>385682</v>
      </c>
      <c r="R9" s="262">
        <f t="shared" si="6"/>
        <v>0</v>
      </c>
      <c r="S9" s="541">
        <v>385682</v>
      </c>
      <c r="T9" s="542">
        <v>385682</v>
      </c>
      <c r="U9" s="262">
        <f t="shared" si="7"/>
        <v>0</v>
      </c>
      <c r="V9" s="541">
        <v>385682</v>
      </c>
      <c r="W9" s="542">
        <v>385682</v>
      </c>
      <c r="X9" s="262">
        <f t="shared" si="8"/>
        <v>0</v>
      </c>
      <c r="Y9" s="541">
        <v>385682</v>
      </c>
      <c r="Z9" s="542">
        <v>385682</v>
      </c>
      <c r="AA9" s="262">
        <f t="shared" si="9"/>
        <v>0</v>
      </c>
      <c r="AB9" s="541">
        <v>385682</v>
      </c>
      <c r="AC9" s="542">
        <v>385682</v>
      </c>
      <c r="AD9" s="262">
        <f t="shared" si="10"/>
        <v>0</v>
      </c>
      <c r="AE9" s="541">
        <v>385682</v>
      </c>
      <c r="AF9" s="542">
        <v>385682</v>
      </c>
      <c r="AG9" s="262">
        <f t="shared" si="11"/>
        <v>0</v>
      </c>
      <c r="AH9" s="541">
        <v>385682</v>
      </c>
      <c r="AI9" s="542">
        <v>385682</v>
      </c>
      <c r="AJ9" s="262">
        <f t="shared" si="12"/>
        <v>0</v>
      </c>
      <c r="AK9" s="541">
        <v>385682</v>
      </c>
      <c r="AL9" s="542">
        <v>385682</v>
      </c>
      <c r="AM9" s="262">
        <f t="shared" si="13"/>
        <v>0</v>
      </c>
      <c r="AN9" s="541">
        <v>385682</v>
      </c>
      <c r="AO9" s="542">
        <v>385682</v>
      </c>
      <c r="AP9" s="262">
        <f t="shared" si="14"/>
        <v>0</v>
      </c>
      <c r="AQ9" s="541">
        <v>385682</v>
      </c>
      <c r="AR9" s="542">
        <v>385682</v>
      </c>
      <c r="AS9" s="262">
        <f t="shared" si="15"/>
        <v>0</v>
      </c>
      <c r="AT9" s="541"/>
      <c r="AU9" s="542"/>
      <c r="AV9" s="262">
        <f t="shared" si="16"/>
        <v>0</v>
      </c>
      <c r="AW9" s="541"/>
      <c r="AX9" s="542"/>
      <c r="AY9" s="262">
        <f t="shared" si="17"/>
        <v>0</v>
      </c>
      <c r="AZ9" s="541"/>
      <c r="BA9" s="542"/>
      <c r="BB9" s="262">
        <f t="shared" si="18"/>
        <v>0</v>
      </c>
      <c r="BC9" s="541"/>
      <c r="BD9" s="542"/>
      <c r="BE9" s="262">
        <f t="shared" si="19"/>
        <v>0</v>
      </c>
      <c r="BF9" s="541"/>
      <c r="BG9" s="542"/>
      <c r="BH9" s="262">
        <f t="shared" si="20"/>
        <v>0</v>
      </c>
      <c r="BI9" s="541"/>
      <c r="BJ9" s="542"/>
      <c r="BK9" s="262">
        <f t="shared" si="21"/>
        <v>0</v>
      </c>
      <c r="BL9" s="541"/>
      <c r="BM9" s="542"/>
      <c r="BN9" s="262">
        <f t="shared" si="22"/>
        <v>0</v>
      </c>
      <c r="BO9" s="541"/>
      <c r="BP9" s="542"/>
      <c r="BQ9" s="262">
        <f t="shared" si="23"/>
        <v>0</v>
      </c>
      <c r="BR9" s="258"/>
    </row>
    <row r="10" spans="1:70">
      <c r="A10" s="791"/>
      <c r="B10" s="795"/>
      <c r="C10" s="24" t="s">
        <v>171</v>
      </c>
      <c r="D10" s="259">
        <f t="shared" si="0"/>
        <v>385682</v>
      </c>
      <c r="E10" s="260">
        <f t="shared" si="1"/>
        <v>385682</v>
      </c>
      <c r="F10" s="261">
        <f t="shared" si="2"/>
        <v>0</v>
      </c>
      <c r="G10" s="541">
        <v>385682</v>
      </c>
      <c r="H10" s="542">
        <v>385682</v>
      </c>
      <c r="I10" s="262">
        <f t="shared" si="3"/>
        <v>0</v>
      </c>
      <c r="J10" s="541">
        <v>385682</v>
      </c>
      <c r="K10" s="542">
        <v>385682</v>
      </c>
      <c r="L10" s="262">
        <f t="shared" si="4"/>
        <v>0</v>
      </c>
      <c r="M10" s="541">
        <v>385682</v>
      </c>
      <c r="N10" s="542">
        <v>385682</v>
      </c>
      <c r="O10" s="262">
        <f t="shared" si="5"/>
        <v>0</v>
      </c>
      <c r="P10" s="541">
        <v>385682</v>
      </c>
      <c r="Q10" s="542">
        <v>385682</v>
      </c>
      <c r="R10" s="262">
        <f t="shared" si="6"/>
        <v>0</v>
      </c>
      <c r="S10" s="541">
        <v>385682</v>
      </c>
      <c r="T10" s="542">
        <v>385682</v>
      </c>
      <c r="U10" s="262">
        <f t="shared" si="7"/>
        <v>0</v>
      </c>
      <c r="V10" s="541">
        <v>385682</v>
      </c>
      <c r="W10" s="542">
        <v>385682</v>
      </c>
      <c r="X10" s="262">
        <f t="shared" si="8"/>
        <v>0</v>
      </c>
      <c r="Y10" s="541">
        <v>385682</v>
      </c>
      <c r="Z10" s="542">
        <v>385682</v>
      </c>
      <c r="AA10" s="262">
        <f t="shared" si="9"/>
        <v>0</v>
      </c>
      <c r="AB10" s="541">
        <v>385682</v>
      </c>
      <c r="AC10" s="542">
        <v>385682</v>
      </c>
      <c r="AD10" s="262">
        <f t="shared" si="10"/>
        <v>0</v>
      </c>
      <c r="AE10" s="541">
        <v>385682</v>
      </c>
      <c r="AF10" s="542">
        <v>385682</v>
      </c>
      <c r="AG10" s="262">
        <f t="shared" si="11"/>
        <v>0</v>
      </c>
      <c r="AH10" s="541">
        <v>385682</v>
      </c>
      <c r="AI10" s="542">
        <v>385682</v>
      </c>
      <c r="AJ10" s="262">
        <f t="shared" si="12"/>
        <v>0</v>
      </c>
      <c r="AK10" s="541">
        <v>385682</v>
      </c>
      <c r="AL10" s="542">
        <v>385682</v>
      </c>
      <c r="AM10" s="262">
        <f t="shared" si="13"/>
        <v>0</v>
      </c>
      <c r="AN10" s="541">
        <v>385682</v>
      </c>
      <c r="AO10" s="542">
        <v>385682</v>
      </c>
      <c r="AP10" s="262">
        <f t="shared" si="14"/>
        <v>0</v>
      </c>
      <c r="AQ10" s="541">
        <v>385682</v>
      </c>
      <c r="AR10" s="542">
        <v>385682</v>
      </c>
      <c r="AS10" s="262">
        <f t="shared" si="15"/>
        <v>0</v>
      </c>
      <c r="AT10" s="541"/>
      <c r="AU10" s="542"/>
      <c r="AV10" s="262">
        <f t="shared" si="16"/>
        <v>0</v>
      </c>
      <c r="AW10" s="541"/>
      <c r="AX10" s="542"/>
      <c r="AY10" s="262">
        <f t="shared" si="17"/>
        <v>0</v>
      </c>
      <c r="AZ10" s="541"/>
      <c r="BA10" s="542"/>
      <c r="BB10" s="262">
        <f t="shared" si="18"/>
        <v>0</v>
      </c>
      <c r="BC10" s="541"/>
      <c r="BD10" s="542"/>
      <c r="BE10" s="262">
        <f t="shared" si="19"/>
        <v>0</v>
      </c>
      <c r="BF10" s="541"/>
      <c r="BG10" s="542"/>
      <c r="BH10" s="262">
        <f t="shared" si="20"/>
        <v>0</v>
      </c>
      <c r="BI10" s="541"/>
      <c r="BJ10" s="542"/>
      <c r="BK10" s="262">
        <f t="shared" si="21"/>
        <v>0</v>
      </c>
      <c r="BL10" s="541"/>
      <c r="BM10" s="542"/>
      <c r="BN10" s="262">
        <f t="shared" si="22"/>
        <v>0</v>
      </c>
      <c r="BO10" s="541"/>
      <c r="BP10" s="542"/>
      <c r="BQ10" s="262">
        <f t="shared" si="23"/>
        <v>0</v>
      </c>
      <c r="BR10" s="258"/>
    </row>
    <row r="11" spans="1:70">
      <c r="A11" s="791"/>
      <c r="B11" s="795"/>
      <c r="C11" s="24" t="s">
        <v>172</v>
      </c>
      <c r="D11" s="259">
        <f t="shared" si="0"/>
        <v>385682</v>
      </c>
      <c r="E11" s="260">
        <f t="shared" si="1"/>
        <v>385682</v>
      </c>
      <c r="F11" s="261">
        <f t="shared" si="2"/>
        <v>0</v>
      </c>
      <c r="G11" s="541">
        <v>385682</v>
      </c>
      <c r="H11" s="542">
        <v>385682</v>
      </c>
      <c r="I11" s="262">
        <f t="shared" si="3"/>
        <v>0</v>
      </c>
      <c r="J11" s="541">
        <v>385682</v>
      </c>
      <c r="K11" s="542">
        <v>385682</v>
      </c>
      <c r="L11" s="262">
        <f t="shared" si="4"/>
        <v>0</v>
      </c>
      <c r="M11" s="541">
        <v>385682</v>
      </c>
      <c r="N11" s="542">
        <v>385682</v>
      </c>
      <c r="O11" s="262">
        <f t="shared" si="5"/>
        <v>0</v>
      </c>
      <c r="P11" s="541">
        <v>385682</v>
      </c>
      <c r="Q11" s="542">
        <v>385682</v>
      </c>
      <c r="R11" s="262">
        <f t="shared" si="6"/>
        <v>0</v>
      </c>
      <c r="S11" s="541">
        <v>385682</v>
      </c>
      <c r="T11" s="542">
        <v>385682</v>
      </c>
      <c r="U11" s="262">
        <f t="shared" si="7"/>
        <v>0</v>
      </c>
      <c r="V11" s="541">
        <v>385682</v>
      </c>
      <c r="W11" s="542">
        <v>385682</v>
      </c>
      <c r="X11" s="262">
        <f t="shared" si="8"/>
        <v>0</v>
      </c>
      <c r="Y11" s="541">
        <v>385682</v>
      </c>
      <c r="Z11" s="542">
        <v>385682</v>
      </c>
      <c r="AA11" s="262">
        <f t="shared" si="9"/>
        <v>0</v>
      </c>
      <c r="AB11" s="541">
        <v>385682</v>
      </c>
      <c r="AC11" s="542">
        <v>385682</v>
      </c>
      <c r="AD11" s="262">
        <f t="shared" si="10"/>
        <v>0</v>
      </c>
      <c r="AE11" s="541">
        <v>385682</v>
      </c>
      <c r="AF11" s="542">
        <v>385682</v>
      </c>
      <c r="AG11" s="262">
        <f t="shared" si="11"/>
        <v>0</v>
      </c>
      <c r="AH11" s="541">
        <v>385682</v>
      </c>
      <c r="AI11" s="542">
        <v>385682</v>
      </c>
      <c r="AJ11" s="262">
        <f t="shared" si="12"/>
        <v>0</v>
      </c>
      <c r="AK11" s="541">
        <v>385682</v>
      </c>
      <c r="AL11" s="542">
        <v>385682</v>
      </c>
      <c r="AM11" s="262">
        <f t="shared" si="13"/>
        <v>0</v>
      </c>
      <c r="AN11" s="541">
        <v>385682</v>
      </c>
      <c r="AO11" s="542">
        <v>385682</v>
      </c>
      <c r="AP11" s="262">
        <f t="shared" si="14"/>
        <v>0</v>
      </c>
      <c r="AQ11" s="541">
        <v>385682</v>
      </c>
      <c r="AR11" s="542">
        <v>385682</v>
      </c>
      <c r="AS11" s="262">
        <f t="shared" si="15"/>
        <v>0</v>
      </c>
      <c r="AT11" s="541"/>
      <c r="AU11" s="542"/>
      <c r="AV11" s="262">
        <f t="shared" si="16"/>
        <v>0</v>
      </c>
      <c r="AW11" s="541"/>
      <c r="AX11" s="542"/>
      <c r="AY11" s="262">
        <f t="shared" si="17"/>
        <v>0</v>
      </c>
      <c r="AZ11" s="541"/>
      <c r="BA11" s="542"/>
      <c r="BB11" s="262">
        <f t="shared" si="18"/>
        <v>0</v>
      </c>
      <c r="BC11" s="541"/>
      <c r="BD11" s="542"/>
      <c r="BE11" s="262">
        <f t="shared" si="19"/>
        <v>0</v>
      </c>
      <c r="BF11" s="541"/>
      <c r="BG11" s="542"/>
      <c r="BH11" s="262">
        <f t="shared" si="20"/>
        <v>0</v>
      </c>
      <c r="BI11" s="541"/>
      <c r="BJ11" s="542"/>
      <c r="BK11" s="262">
        <f t="shared" si="21"/>
        <v>0</v>
      </c>
      <c r="BL11" s="541"/>
      <c r="BM11" s="542"/>
      <c r="BN11" s="262">
        <f t="shared" si="22"/>
        <v>0</v>
      </c>
      <c r="BO11" s="541"/>
      <c r="BP11" s="542"/>
      <c r="BQ11" s="262">
        <f t="shared" si="23"/>
        <v>0</v>
      </c>
      <c r="BR11" s="258"/>
    </row>
    <row r="12" spans="1:70">
      <c r="A12" s="791"/>
      <c r="B12" s="795"/>
      <c r="C12" s="24" t="s">
        <v>173</v>
      </c>
      <c r="D12" s="259">
        <f t="shared" si="0"/>
        <v>385682</v>
      </c>
      <c r="E12" s="260">
        <f t="shared" si="1"/>
        <v>385682</v>
      </c>
      <c r="F12" s="261">
        <f t="shared" si="2"/>
        <v>0</v>
      </c>
      <c r="G12" s="541">
        <v>385682</v>
      </c>
      <c r="H12" s="542">
        <v>385682</v>
      </c>
      <c r="I12" s="262">
        <f t="shared" si="3"/>
        <v>0</v>
      </c>
      <c r="J12" s="541">
        <v>385682</v>
      </c>
      <c r="K12" s="542">
        <v>385682</v>
      </c>
      <c r="L12" s="262">
        <f t="shared" si="4"/>
        <v>0</v>
      </c>
      <c r="M12" s="541">
        <v>385682</v>
      </c>
      <c r="N12" s="542">
        <v>385682</v>
      </c>
      <c r="O12" s="262">
        <f t="shared" si="5"/>
        <v>0</v>
      </c>
      <c r="P12" s="541">
        <v>385682</v>
      </c>
      <c r="Q12" s="542">
        <v>385682</v>
      </c>
      <c r="R12" s="262">
        <f t="shared" si="6"/>
        <v>0</v>
      </c>
      <c r="S12" s="541">
        <v>385682</v>
      </c>
      <c r="T12" s="542">
        <v>385682</v>
      </c>
      <c r="U12" s="262">
        <f t="shared" si="7"/>
        <v>0</v>
      </c>
      <c r="V12" s="541">
        <v>385682</v>
      </c>
      <c r="W12" s="542">
        <v>385682</v>
      </c>
      <c r="X12" s="262">
        <f t="shared" si="8"/>
        <v>0</v>
      </c>
      <c r="Y12" s="541">
        <v>385682</v>
      </c>
      <c r="Z12" s="542">
        <v>385682</v>
      </c>
      <c r="AA12" s="262">
        <f t="shared" si="9"/>
        <v>0</v>
      </c>
      <c r="AB12" s="541">
        <v>385682</v>
      </c>
      <c r="AC12" s="542">
        <v>385682</v>
      </c>
      <c r="AD12" s="262">
        <f t="shared" si="10"/>
        <v>0</v>
      </c>
      <c r="AE12" s="541">
        <v>385682</v>
      </c>
      <c r="AF12" s="542">
        <v>385682</v>
      </c>
      <c r="AG12" s="262">
        <f t="shared" si="11"/>
        <v>0</v>
      </c>
      <c r="AH12" s="541">
        <v>385682</v>
      </c>
      <c r="AI12" s="542">
        <v>385682</v>
      </c>
      <c r="AJ12" s="262">
        <f t="shared" si="12"/>
        <v>0</v>
      </c>
      <c r="AK12" s="541">
        <v>385682</v>
      </c>
      <c r="AL12" s="542">
        <v>385682</v>
      </c>
      <c r="AM12" s="262">
        <f t="shared" si="13"/>
        <v>0</v>
      </c>
      <c r="AN12" s="541">
        <v>385682</v>
      </c>
      <c r="AO12" s="542">
        <v>385682</v>
      </c>
      <c r="AP12" s="262">
        <f t="shared" si="14"/>
        <v>0</v>
      </c>
      <c r="AQ12" s="541">
        <v>385682</v>
      </c>
      <c r="AR12" s="542">
        <v>385682</v>
      </c>
      <c r="AS12" s="262">
        <f t="shared" si="15"/>
        <v>0</v>
      </c>
      <c r="AT12" s="541"/>
      <c r="AU12" s="542"/>
      <c r="AV12" s="262">
        <f t="shared" si="16"/>
        <v>0</v>
      </c>
      <c r="AW12" s="541"/>
      <c r="AX12" s="542"/>
      <c r="AY12" s="262">
        <f t="shared" si="17"/>
        <v>0</v>
      </c>
      <c r="AZ12" s="541"/>
      <c r="BA12" s="542"/>
      <c r="BB12" s="262">
        <f t="shared" si="18"/>
        <v>0</v>
      </c>
      <c r="BC12" s="541"/>
      <c r="BD12" s="542"/>
      <c r="BE12" s="262">
        <f t="shared" si="19"/>
        <v>0</v>
      </c>
      <c r="BF12" s="541"/>
      <c r="BG12" s="542"/>
      <c r="BH12" s="262">
        <f t="shared" si="20"/>
        <v>0</v>
      </c>
      <c r="BI12" s="541"/>
      <c r="BJ12" s="542"/>
      <c r="BK12" s="262">
        <f t="shared" si="21"/>
        <v>0</v>
      </c>
      <c r="BL12" s="541"/>
      <c r="BM12" s="542"/>
      <c r="BN12" s="262">
        <f t="shared" si="22"/>
        <v>0</v>
      </c>
      <c r="BO12" s="541"/>
      <c r="BP12" s="542"/>
      <c r="BQ12" s="262">
        <f t="shared" si="23"/>
        <v>0</v>
      </c>
      <c r="BR12" s="258"/>
    </row>
    <row r="13" spans="1:70">
      <c r="A13" s="791"/>
      <c r="B13" s="795"/>
      <c r="C13" s="24" t="s">
        <v>174</v>
      </c>
      <c r="D13" s="259">
        <f t="shared" si="0"/>
        <v>385682</v>
      </c>
      <c r="E13" s="260">
        <f t="shared" si="1"/>
        <v>385682</v>
      </c>
      <c r="F13" s="261">
        <f t="shared" si="2"/>
        <v>0</v>
      </c>
      <c r="G13" s="541">
        <v>385682</v>
      </c>
      <c r="H13" s="542">
        <v>385682</v>
      </c>
      <c r="I13" s="262">
        <f t="shared" si="3"/>
        <v>0</v>
      </c>
      <c r="J13" s="541">
        <v>385682</v>
      </c>
      <c r="K13" s="542">
        <v>385682</v>
      </c>
      <c r="L13" s="262">
        <f t="shared" si="4"/>
        <v>0</v>
      </c>
      <c r="M13" s="541">
        <v>385682</v>
      </c>
      <c r="N13" s="542">
        <v>385682</v>
      </c>
      <c r="O13" s="262">
        <f t="shared" si="5"/>
        <v>0</v>
      </c>
      <c r="P13" s="541">
        <v>385682</v>
      </c>
      <c r="Q13" s="542">
        <v>385682</v>
      </c>
      <c r="R13" s="262">
        <f t="shared" si="6"/>
        <v>0</v>
      </c>
      <c r="S13" s="541">
        <v>385682</v>
      </c>
      <c r="T13" s="542">
        <v>385682</v>
      </c>
      <c r="U13" s="262">
        <f t="shared" si="7"/>
        <v>0</v>
      </c>
      <c r="V13" s="541">
        <v>385682</v>
      </c>
      <c r="W13" s="542">
        <v>385682</v>
      </c>
      <c r="X13" s="262">
        <f t="shared" si="8"/>
        <v>0</v>
      </c>
      <c r="Y13" s="541">
        <v>385682</v>
      </c>
      <c r="Z13" s="542">
        <v>385682</v>
      </c>
      <c r="AA13" s="262">
        <f t="shared" si="9"/>
        <v>0</v>
      </c>
      <c r="AB13" s="541">
        <v>385682</v>
      </c>
      <c r="AC13" s="542">
        <v>385682</v>
      </c>
      <c r="AD13" s="262">
        <f t="shared" si="10"/>
        <v>0</v>
      </c>
      <c r="AE13" s="541">
        <v>385682</v>
      </c>
      <c r="AF13" s="542">
        <v>385682</v>
      </c>
      <c r="AG13" s="262">
        <f t="shared" si="11"/>
        <v>0</v>
      </c>
      <c r="AH13" s="541">
        <v>385682</v>
      </c>
      <c r="AI13" s="542">
        <v>385682</v>
      </c>
      <c r="AJ13" s="262">
        <f t="shared" si="12"/>
        <v>0</v>
      </c>
      <c r="AK13" s="541">
        <v>385682</v>
      </c>
      <c r="AL13" s="542">
        <v>385682</v>
      </c>
      <c r="AM13" s="262">
        <f t="shared" si="13"/>
        <v>0</v>
      </c>
      <c r="AN13" s="541">
        <v>385682</v>
      </c>
      <c r="AO13" s="542">
        <v>385682</v>
      </c>
      <c r="AP13" s="262">
        <f t="shared" si="14"/>
        <v>0</v>
      </c>
      <c r="AQ13" s="541">
        <v>385682</v>
      </c>
      <c r="AR13" s="542">
        <v>385682</v>
      </c>
      <c r="AS13" s="262">
        <f t="shared" si="15"/>
        <v>0</v>
      </c>
      <c r="AT13" s="541"/>
      <c r="AU13" s="542"/>
      <c r="AV13" s="262">
        <f t="shared" si="16"/>
        <v>0</v>
      </c>
      <c r="AW13" s="541"/>
      <c r="AX13" s="542"/>
      <c r="AY13" s="262">
        <f t="shared" si="17"/>
        <v>0</v>
      </c>
      <c r="AZ13" s="541"/>
      <c r="BA13" s="542"/>
      <c r="BB13" s="262">
        <f t="shared" si="18"/>
        <v>0</v>
      </c>
      <c r="BC13" s="541"/>
      <c r="BD13" s="542"/>
      <c r="BE13" s="262">
        <f t="shared" si="19"/>
        <v>0</v>
      </c>
      <c r="BF13" s="541"/>
      <c r="BG13" s="542"/>
      <c r="BH13" s="262">
        <f t="shared" si="20"/>
        <v>0</v>
      </c>
      <c r="BI13" s="541"/>
      <c r="BJ13" s="542"/>
      <c r="BK13" s="262">
        <f t="shared" si="21"/>
        <v>0</v>
      </c>
      <c r="BL13" s="541"/>
      <c r="BM13" s="542"/>
      <c r="BN13" s="262">
        <f t="shared" si="22"/>
        <v>0</v>
      </c>
      <c r="BO13" s="541"/>
      <c r="BP13" s="542"/>
      <c r="BQ13" s="262">
        <f t="shared" si="23"/>
        <v>0</v>
      </c>
      <c r="BR13" s="258"/>
    </row>
    <row r="14" spans="1:70" ht="15" thickBot="1">
      <c r="A14" s="792"/>
      <c r="B14" s="796"/>
      <c r="C14" s="263" t="s">
        <v>175</v>
      </c>
      <c r="D14" s="264">
        <f t="shared" si="0"/>
        <v>385682</v>
      </c>
      <c r="E14" s="265">
        <f t="shared" si="1"/>
        <v>385682</v>
      </c>
      <c r="F14" s="266">
        <f t="shared" si="2"/>
        <v>0</v>
      </c>
      <c r="G14" s="543">
        <v>385682</v>
      </c>
      <c r="H14" s="544">
        <v>385682</v>
      </c>
      <c r="I14" s="267">
        <f t="shared" si="3"/>
        <v>0</v>
      </c>
      <c r="J14" s="543">
        <v>385682</v>
      </c>
      <c r="K14" s="544">
        <v>385682</v>
      </c>
      <c r="L14" s="267">
        <f t="shared" si="4"/>
        <v>0</v>
      </c>
      <c r="M14" s="543">
        <v>385682</v>
      </c>
      <c r="N14" s="544">
        <v>385682</v>
      </c>
      <c r="O14" s="267">
        <f t="shared" si="5"/>
        <v>0</v>
      </c>
      <c r="P14" s="543">
        <v>385682</v>
      </c>
      <c r="Q14" s="544">
        <v>385682</v>
      </c>
      <c r="R14" s="267">
        <f t="shared" si="6"/>
        <v>0</v>
      </c>
      <c r="S14" s="543">
        <v>385682</v>
      </c>
      <c r="T14" s="544">
        <v>385682</v>
      </c>
      <c r="U14" s="267">
        <f t="shared" si="7"/>
        <v>0</v>
      </c>
      <c r="V14" s="543">
        <v>385682</v>
      </c>
      <c r="W14" s="544">
        <v>385682</v>
      </c>
      <c r="X14" s="267">
        <f t="shared" si="8"/>
        <v>0</v>
      </c>
      <c r="Y14" s="543">
        <v>385682</v>
      </c>
      <c r="Z14" s="544">
        <v>385682</v>
      </c>
      <c r="AA14" s="267">
        <f t="shared" si="9"/>
        <v>0</v>
      </c>
      <c r="AB14" s="543">
        <v>385682</v>
      </c>
      <c r="AC14" s="544">
        <v>385682</v>
      </c>
      <c r="AD14" s="267">
        <f t="shared" si="10"/>
        <v>0</v>
      </c>
      <c r="AE14" s="543">
        <v>385682</v>
      </c>
      <c r="AF14" s="544">
        <v>385682</v>
      </c>
      <c r="AG14" s="267">
        <f t="shared" si="11"/>
        <v>0</v>
      </c>
      <c r="AH14" s="543">
        <v>385682</v>
      </c>
      <c r="AI14" s="544">
        <v>385682</v>
      </c>
      <c r="AJ14" s="267">
        <f t="shared" si="12"/>
        <v>0</v>
      </c>
      <c r="AK14" s="543">
        <v>385682</v>
      </c>
      <c r="AL14" s="544">
        <v>385682</v>
      </c>
      <c r="AM14" s="267">
        <f t="shared" si="13"/>
        <v>0</v>
      </c>
      <c r="AN14" s="543">
        <v>385682</v>
      </c>
      <c r="AO14" s="544">
        <v>385682</v>
      </c>
      <c r="AP14" s="267">
        <f t="shared" si="14"/>
        <v>0</v>
      </c>
      <c r="AQ14" s="543">
        <v>385682</v>
      </c>
      <c r="AR14" s="544">
        <v>385682</v>
      </c>
      <c r="AS14" s="267">
        <f t="shared" si="15"/>
        <v>0</v>
      </c>
      <c r="AT14" s="543"/>
      <c r="AU14" s="544"/>
      <c r="AV14" s="267">
        <f t="shared" si="16"/>
        <v>0</v>
      </c>
      <c r="AW14" s="543"/>
      <c r="AX14" s="544"/>
      <c r="AY14" s="267">
        <f t="shared" si="17"/>
        <v>0</v>
      </c>
      <c r="AZ14" s="543"/>
      <c r="BA14" s="544"/>
      <c r="BB14" s="267">
        <f t="shared" si="18"/>
        <v>0</v>
      </c>
      <c r="BC14" s="543"/>
      <c r="BD14" s="544"/>
      <c r="BE14" s="267">
        <f t="shared" si="19"/>
        <v>0</v>
      </c>
      <c r="BF14" s="543"/>
      <c r="BG14" s="544"/>
      <c r="BH14" s="267">
        <f t="shared" si="20"/>
        <v>0</v>
      </c>
      <c r="BI14" s="543"/>
      <c r="BJ14" s="544"/>
      <c r="BK14" s="267">
        <f t="shared" si="21"/>
        <v>0</v>
      </c>
      <c r="BL14" s="543"/>
      <c r="BM14" s="544"/>
      <c r="BN14" s="267">
        <f t="shared" si="22"/>
        <v>0</v>
      </c>
      <c r="BO14" s="543"/>
      <c r="BP14" s="544"/>
      <c r="BQ14" s="267">
        <f t="shared" si="23"/>
        <v>0</v>
      </c>
      <c r="BR14" s="258"/>
    </row>
    <row r="15" spans="1:70">
      <c r="A15" s="790" t="s">
        <v>213</v>
      </c>
      <c r="B15" s="794" t="s">
        <v>214</v>
      </c>
      <c r="C15" s="251" t="s">
        <v>166</v>
      </c>
      <c r="D15" s="268"/>
      <c r="E15" s="269"/>
      <c r="F15" s="270"/>
      <c r="G15" s="545"/>
      <c r="H15" s="546"/>
      <c r="I15" s="271">
        <f t="shared" si="3"/>
        <v>0</v>
      </c>
      <c r="J15" s="545"/>
      <c r="K15" s="546"/>
      <c r="L15" s="271">
        <f t="shared" si="4"/>
        <v>0</v>
      </c>
      <c r="M15" s="545"/>
      <c r="N15" s="546"/>
      <c r="O15" s="271">
        <f t="shared" si="5"/>
        <v>0</v>
      </c>
      <c r="P15" s="545"/>
      <c r="Q15" s="546"/>
      <c r="R15" s="271">
        <f t="shared" si="6"/>
        <v>0</v>
      </c>
      <c r="S15" s="545"/>
      <c r="T15" s="546"/>
      <c r="U15" s="271">
        <f t="shared" si="7"/>
        <v>0</v>
      </c>
      <c r="V15" s="545"/>
      <c r="W15" s="546"/>
      <c r="X15" s="271">
        <f t="shared" si="8"/>
        <v>0</v>
      </c>
      <c r="Y15" s="545"/>
      <c r="Z15" s="546"/>
      <c r="AA15" s="271">
        <f t="shared" si="9"/>
        <v>0</v>
      </c>
      <c r="AB15" s="545"/>
      <c r="AC15" s="546"/>
      <c r="AD15" s="271">
        <f t="shared" si="10"/>
        <v>0</v>
      </c>
      <c r="AE15" s="545"/>
      <c r="AF15" s="546"/>
      <c r="AG15" s="271">
        <f t="shared" si="11"/>
        <v>0</v>
      </c>
      <c r="AH15" s="545"/>
      <c r="AI15" s="546"/>
      <c r="AJ15" s="271">
        <f t="shared" si="12"/>
        <v>0</v>
      </c>
      <c r="AK15" s="545"/>
      <c r="AL15" s="546"/>
      <c r="AM15" s="271">
        <f t="shared" si="13"/>
        <v>0</v>
      </c>
      <c r="AN15" s="545"/>
      <c r="AO15" s="546"/>
      <c r="AP15" s="271">
        <f t="shared" si="14"/>
        <v>0</v>
      </c>
      <c r="AQ15" s="545"/>
      <c r="AR15" s="546"/>
      <c r="AS15" s="271">
        <f t="shared" si="15"/>
        <v>0</v>
      </c>
      <c r="AT15" s="545"/>
      <c r="AU15" s="546"/>
      <c r="AV15" s="271">
        <f t="shared" si="16"/>
        <v>0</v>
      </c>
      <c r="AW15" s="545"/>
      <c r="AX15" s="546"/>
      <c r="AY15" s="271">
        <f t="shared" si="17"/>
        <v>0</v>
      </c>
      <c r="AZ15" s="545"/>
      <c r="BA15" s="546"/>
      <c r="BB15" s="271">
        <f t="shared" si="18"/>
        <v>0</v>
      </c>
      <c r="BC15" s="545"/>
      <c r="BD15" s="546"/>
      <c r="BE15" s="271">
        <f t="shared" si="19"/>
        <v>0</v>
      </c>
      <c r="BF15" s="545"/>
      <c r="BG15" s="546"/>
      <c r="BH15" s="271">
        <f t="shared" si="20"/>
        <v>0</v>
      </c>
      <c r="BI15" s="545"/>
      <c r="BJ15" s="546"/>
      <c r="BK15" s="271">
        <f t="shared" si="21"/>
        <v>0</v>
      </c>
      <c r="BL15" s="545"/>
      <c r="BM15" s="546"/>
      <c r="BN15" s="271">
        <f t="shared" si="22"/>
        <v>0</v>
      </c>
      <c r="BO15" s="545"/>
      <c r="BP15" s="546"/>
      <c r="BQ15" s="271">
        <f t="shared" si="23"/>
        <v>0</v>
      </c>
      <c r="BR15" s="258"/>
    </row>
    <row r="16" spans="1:70">
      <c r="A16" s="791"/>
      <c r="B16" s="795"/>
      <c r="C16" s="24" t="s">
        <v>167</v>
      </c>
      <c r="D16" s="272"/>
      <c r="E16" s="273"/>
      <c r="F16" s="274"/>
      <c r="G16" s="547"/>
      <c r="H16" s="548"/>
      <c r="I16" s="275">
        <f t="shared" si="3"/>
        <v>0</v>
      </c>
      <c r="J16" s="547"/>
      <c r="K16" s="548"/>
      <c r="L16" s="275">
        <f t="shared" si="4"/>
        <v>0</v>
      </c>
      <c r="M16" s="547"/>
      <c r="N16" s="548"/>
      <c r="O16" s="275">
        <f t="shared" si="5"/>
        <v>0</v>
      </c>
      <c r="P16" s="547"/>
      <c r="Q16" s="548"/>
      <c r="R16" s="275">
        <f t="shared" si="6"/>
        <v>0</v>
      </c>
      <c r="S16" s="547"/>
      <c r="T16" s="548"/>
      <c r="U16" s="275">
        <f t="shared" si="7"/>
        <v>0</v>
      </c>
      <c r="V16" s="547"/>
      <c r="W16" s="548"/>
      <c r="X16" s="275">
        <f t="shared" si="8"/>
        <v>0</v>
      </c>
      <c r="Y16" s="547"/>
      <c r="Z16" s="548"/>
      <c r="AA16" s="275">
        <f t="shared" si="9"/>
        <v>0</v>
      </c>
      <c r="AB16" s="547"/>
      <c r="AC16" s="548"/>
      <c r="AD16" s="275">
        <f t="shared" si="10"/>
        <v>0</v>
      </c>
      <c r="AE16" s="547"/>
      <c r="AF16" s="548"/>
      <c r="AG16" s="275">
        <f t="shared" si="11"/>
        <v>0</v>
      </c>
      <c r="AH16" s="547"/>
      <c r="AI16" s="548"/>
      <c r="AJ16" s="275">
        <f t="shared" si="12"/>
        <v>0</v>
      </c>
      <c r="AK16" s="547"/>
      <c r="AL16" s="548"/>
      <c r="AM16" s="275">
        <f t="shared" si="13"/>
        <v>0</v>
      </c>
      <c r="AN16" s="547"/>
      <c r="AO16" s="548"/>
      <c r="AP16" s="275">
        <f t="shared" si="14"/>
        <v>0</v>
      </c>
      <c r="AQ16" s="547"/>
      <c r="AR16" s="548"/>
      <c r="AS16" s="275">
        <f t="shared" si="15"/>
        <v>0</v>
      </c>
      <c r="AT16" s="547"/>
      <c r="AU16" s="548"/>
      <c r="AV16" s="275">
        <f t="shared" si="16"/>
        <v>0</v>
      </c>
      <c r="AW16" s="547"/>
      <c r="AX16" s="548"/>
      <c r="AY16" s="275">
        <f t="shared" si="17"/>
        <v>0</v>
      </c>
      <c r="AZ16" s="547"/>
      <c r="BA16" s="548"/>
      <c r="BB16" s="275">
        <f t="shared" si="18"/>
        <v>0</v>
      </c>
      <c r="BC16" s="547"/>
      <c r="BD16" s="548"/>
      <c r="BE16" s="275">
        <f t="shared" si="19"/>
        <v>0</v>
      </c>
      <c r="BF16" s="547"/>
      <c r="BG16" s="548"/>
      <c r="BH16" s="275">
        <f t="shared" si="20"/>
        <v>0</v>
      </c>
      <c r="BI16" s="547"/>
      <c r="BJ16" s="548"/>
      <c r="BK16" s="275">
        <f t="shared" si="21"/>
        <v>0</v>
      </c>
      <c r="BL16" s="547"/>
      <c r="BM16" s="548"/>
      <c r="BN16" s="275">
        <f t="shared" si="22"/>
        <v>0</v>
      </c>
      <c r="BO16" s="547"/>
      <c r="BP16" s="548"/>
      <c r="BQ16" s="275">
        <f t="shared" si="23"/>
        <v>0</v>
      </c>
      <c r="BR16" s="258"/>
    </row>
    <row r="17" spans="1:70">
      <c r="A17" s="791"/>
      <c r="B17" s="795"/>
      <c r="C17" s="24" t="s">
        <v>168</v>
      </c>
      <c r="D17" s="272"/>
      <c r="E17" s="273"/>
      <c r="F17" s="274"/>
      <c r="G17" s="547"/>
      <c r="H17" s="548"/>
      <c r="I17" s="275">
        <f t="shared" si="3"/>
        <v>0</v>
      </c>
      <c r="J17" s="547"/>
      <c r="K17" s="548"/>
      <c r="L17" s="275">
        <f t="shared" si="4"/>
        <v>0</v>
      </c>
      <c r="M17" s="547"/>
      <c r="N17" s="548"/>
      <c r="O17" s="275">
        <f t="shared" si="5"/>
        <v>0</v>
      </c>
      <c r="P17" s="547"/>
      <c r="Q17" s="548"/>
      <c r="R17" s="275">
        <f t="shared" si="6"/>
        <v>0</v>
      </c>
      <c r="S17" s="547"/>
      <c r="T17" s="548"/>
      <c r="U17" s="275">
        <f t="shared" si="7"/>
        <v>0</v>
      </c>
      <c r="V17" s="547"/>
      <c r="W17" s="548"/>
      <c r="X17" s="275">
        <f t="shared" si="8"/>
        <v>0</v>
      </c>
      <c r="Y17" s="547"/>
      <c r="Z17" s="548"/>
      <c r="AA17" s="275">
        <f t="shared" si="9"/>
        <v>0</v>
      </c>
      <c r="AB17" s="547"/>
      <c r="AC17" s="548"/>
      <c r="AD17" s="275">
        <f t="shared" si="10"/>
        <v>0</v>
      </c>
      <c r="AE17" s="547"/>
      <c r="AF17" s="548"/>
      <c r="AG17" s="275">
        <f t="shared" si="11"/>
        <v>0</v>
      </c>
      <c r="AH17" s="547"/>
      <c r="AI17" s="548"/>
      <c r="AJ17" s="275">
        <f t="shared" si="12"/>
        <v>0</v>
      </c>
      <c r="AK17" s="547"/>
      <c r="AL17" s="548"/>
      <c r="AM17" s="275">
        <f t="shared" si="13"/>
        <v>0</v>
      </c>
      <c r="AN17" s="547"/>
      <c r="AO17" s="548"/>
      <c r="AP17" s="275">
        <f t="shared" si="14"/>
        <v>0</v>
      </c>
      <c r="AQ17" s="547"/>
      <c r="AR17" s="548"/>
      <c r="AS17" s="275">
        <f t="shared" si="15"/>
        <v>0</v>
      </c>
      <c r="AT17" s="547"/>
      <c r="AU17" s="548"/>
      <c r="AV17" s="275">
        <f t="shared" si="16"/>
        <v>0</v>
      </c>
      <c r="AW17" s="547"/>
      <c r="AX17" s="548"/>
      <c r="AY17" s="275">
        <f t="shared" si="17"/>
        <v>0</v>
      </c>
      <c r="AZ17" s="547"/>
      <c r="BA17" s="548"/>
      <c r="BB17" s="275">
        <f t="shared" si="18"/>
        <v>0</v>
      </c>
      <c r="BC17" s="547"/>
      <c r="BD17" s="548"/>
      <c r="BE17" s="275">
        <f t="shared" si="19"/>
        <v>0</v>
      </c>
      <c r="BF17" s="547"/>
      <c r="BG17" s="548"/>
      <c r="BH17" s="275">
        <f t="shared" si="20"/>
        <v>0</v>
      </c>
      <c r="BI17" s="547"/>
      <c r="BJ17" s="548"/>
      <c r="BK17" s="275">
        <f t="shared" si="21"/>
        <v>0</v>
      </c>
      <c r="BL17" s="547"/>
      <c r="BM17" s="548"/>
      <c r="BN17" s="275">
        <f t="shared" si="22"/>
        <v>0</v>
      </c>
      <c r="BO17" s="547"/>
      <c r="BP17" s="548"/>
      <c r="BQ17" s="275">
        <f t="shared" si="23"/>
        <v>0</v>
      </c>
      <c r="BR17" s="258"/>
    </row>
    <row r="18" spans="1:70">
      <c r="A18" s="791"/>
      <c r="B18" s="795"/>
      <c r="C18" s="24" t="s">
        <v>169</v>
      </c>
      <c r="D18" s="272"/>
      <c r="E18" s="273"/>
      <c r="F18" s="274"/>
      <c r="G18" s="547"/>
      <c r="H18" s="548"/>
      <c r="I18" s="275">
        <f t="shared" si="3"/>
        <v>0</v>
      </c>
      <c r="J18" s="547"/>
      <c r="K18" s="548"/>
      <c r="L18" s="275">
        <f t="shared" si="4"/>
        <v>0</v>
      </c>
      <c r="M18" s="547"/>
      <c r="N18" s="548"/>
      <c r="O18" s="275">
        <f t="shared" si="5"/>
        <v>0</v>
      </c>
      <c r="P18" s="547"/>
      <c r="Q18" s="548"/>
      <c r="R18" s="275">
        <f t="shared" si="6"/>
        <v>0</v>
      </c>
      <c r="S18" s="547"/>
      <c r="T18" s="548"/>
      <c r="U18" s="275">
        <f t="shared" si="7"/>
        <v>0</v>
      </c>
      <c r="V18" s="547"/>
      <c r="W18" s="548"/>
      <c r="X18" s="275">
        <f t="shared" si="8"/>
        <v>0</v>
      </c>
      <c r="Y18" s="547"/>
      <c r="Z18" s="548"/>
      <c r="AA18" s="275">
        <f t="shared" si="9"/>
        <v>0</v>
      </c>
      <c r="AB18" s="547"/>
      <c r="AC18" s="548"/>
      <c r="AD18" s="275">
        <f t="shared" si="10"/>
        <v>0</v>
      </c>
      <c r="AE18" s="547"/>
      <c r="AF18" s="548"/>
      <c r="AG18" s="275">
        <f t="shared" si="11"/>
        <v>0</v>
      </c>
      <c r="AH18" s="547"/>
      <c r="AI18" s="548"/>
      <c r="AJ18" s="275">
        <f t="shared" si="12"/>
        <v>0</v>
      </c>
      <c r="AK18" s="547"/>
      <c r="AL18" s="548"/>
      <c r="AM18" s="275">
        <f t="shared" si="13"/>
        <v>0</v>
      </c>
      <c r="AN18" s="547"/>
      <c r="AO18" s="548"/>
      <c r="AP18" s="275">
        <f t="shared" si="14"/>
        <v>0</v>
      </c>
      <c r="AQ18" s="547"/>
      <c r="AR18" s="548"/>
      <c r="AS18" s="275">
        <f t="shared" si="15"/>
        <v>0</v>
      </c>
      <c r="AT18" s="547"/>
      <c r="AU18" s="548"/>
      <c r="AV18" s="275">
        <f t="shared" si="16"/>
        <v>0</v>
      </c>
      <c r="AW18" s="547"/>
      <c r="AX18" s="548"/>
      <c r="AY18" s="275">
        <f t="shared" si="17"/>
        <v>0</v>
      </c>
      <c r="AZ18" s="547"/>
      <c r="BA18" s="548"/>
      <c r="BB18" s="275">
        <f t="shared" si="18"/>
        <v>0</v>
      </c>
      <c r="BC18" s="547"/>
      <c r="BD18" s="548"/>
      <c r="BE18" s="275">
        <f t="shared" si="19"/>
        <v>0</v>
      </c>
      <c r="BF18" s="547"/>
      <c r="BG18" s="548"/>
      <c r="BH18" s="275">
        <f t="shared" si="20"/>
        <v>0</v>
      </c>
      <c r="BI18" s="547"/>
      <c r="BJ18" s="548"/>
      <c r="BK18" s="275">
        <f t="shared" si="21"/>
        <v>0</v>
      </c>
      <c r="BL18" s="547"/>
      <c r="BM18" s="548"/>
      <c r="BN18" s="275">
        <f t="shared" si="22"/>
        <v>0</v>
      </c>
      <c r="BO18" s="547"/>
      <c r="BP18" s="548"/>
      <c r="BQ18" s="275">
        <f t="shared" si="23"/>
        <v>0</v>
      </c>
      <c r="BR18" s="258"/>
    </row>
    <row r="19" spans="1:70">
      <c r="A19" s="791"/>
      <c r="B19" s="795"/>
      <c r="C19" s="24" t="s">
        <v>170</v>
      </c>
      <c r="D19" s="272"/>
      <c r="E19" s="273"/>
      <c r="F19" s="274"/>
      <c r="G19" s="547"/>
      <c r="H19" s="548"/>
      <c r="I19" s="275">
        <f t="shared" si="3"/>
        <v>0</v>
      </c>
      <c r="J19" s="547"/>
      <c r="K19" s="548"/>
      <c r="L19" s="275">
        <f t="shared" si="4"/>
        <v>0</v>
      </c>
      <c r="M19" s="547"/>
      <c r="N19" s="548"/>
      <c r="O19" s="275">
        <f t="shared" si="5"/>
        <v>0</v>
      </c>
      <c r="P19" s="547"/>
      <c r="Q19" s="548"/>
      <c r="R19" s="275">
        <f t="shared" si="6"/>
        <v>0</v>
      </c>
      <c r="S19" s="547"/>
      <c r="T19" s="548"/>
      <c r="U19" s="275">
        <f t="shared" si="7"/>
        <v>0</v>
      </c>
      <c r="V19" s="547"/>
      <c r="W19" s="548"/>
      <c r="X19" s="275">
        <f t="shared" si="8"/>
        <v>0</v>
      </c>
      <c r="Y19" s="547"/>
      <c r="Z19" s="548"/>
      <c r="AA19" s="275">
        <f t="shared" si="9"/>
        <v>0</v>
      </c>
      <c r="AB19" s="547"/>
      <c r="AC19" s="548"/>
      <c r="AD19" s="275">
        <f t="shared" si="10"/>
        <v>0</v>
      </c>
      <c r="AE19" s="547"/>
      <c r="AF19" s="548"/>
      <c r="AG19" s="275">
        <f t="shared" si="11"/>
        <v>0</v>
      </c>
      <c r="AH19" s="547"/>
      <c r="AI19" s="548"/>
      <c r="AJ19" s="275">
        <f t="shared" si="12"/>
        <v>0</v>
      </c>
      <c r="AK19" s="547"/>
      <c r="AL19" s="548"/>
      <c r="AM19" s="275">
        <f t="shared" si="13"/>
        <v>0</v>
      </c>
      <c r="AN19" s="547"/>
      <c r="AO19" s="548"/>
      <c r="AP19" s="275">
        <f t="shared" si="14"/>
        <v>0</v>
      </c>
      <c r="AQ19" s="547"/>
      <c r="AR19" s="548"/>
      <c r="AS19" s="275">
        <f t="shared" si="15"/>
        <v>0</v>
      </c>
      <c r="AT19" s="547"/>
      <c r="AU19" s="548"/>
      <c r="AV19" s="275">
        <f t="shared" si="16"/>
        <v>0</v>
      </c>
      <c r="AW19" s="547"/>
      <c r="AX19" s="548"/>
      <c r="AY19" s="275">
        <f t="shared" si="17"/>
        <v>0</v>
      </c>
      <c r="AZ19" s="547"/>
      <c r="BA19" s="548"/>
      <c r="BB19" s="275">
        <f t="shared" si="18"/>
        <v>0</v>
      </c>
      <c r="BC19" s="547"/>
      <c r="BD19" s="548"/>
      <c r="BE19" s="275">
        <f t="shared" si="19"/>
        <v>0</v>
      </c>
      <c r="BF19" s="547"/>
      <c r="BG19" s="548"/>
      <c r="BH19" s="275">
        <f t="shared" si="20"/>
        <v>0</v>
      </c>
      <c r="BI19" s="547"/>
      <c r="BJ19" s="548"/>
      <c r="BK19" s="275">
        <f t="shared" si="21"/>
        <v>0</v>
      </c>
      <c r="BL19" s="547"/>
      <c r="BM19" s="548"/>
      <c r="BN19" s="275">
        <f t="shared" si="22"/>
        <v>0</v>
      </c>
      <c r="BO19" s="547"/>
      <c r="BP19" s="548"/>
      <c r="BQ19" s="275">
        <f t="shared" si="23"/>
        <v>0</v>
      </c>
      <c r="BR19" s="258"/>
    </row>
    <row r="20" spans="1:70">
      <c r="A20" s="791"/>
      <c r="B20" s="795"/>
      <c r="C20" s="24" t="s">
        <v>171</v>
      </c>
      <c r="D20" s="272"/>
      <c r="E20" s="273"/>
      <c r="F20" s="274"/>
      <c r="G20" s="547"/>
      <c r="H20" s="548"/>
      <c r="I20" s="275">
        <f t="shared" si="3"/>
        <v>0</v>
      </c>
      <c r="J20" s="547"/>
      <c r="K20" s="548"/>
      <c r="L20" s="275">
        <f t="shared" si="4"/>
        <v>0</v>
      </c>
      <c r="M20" s="547"/>
      <c r="N20" s="548"/>
      <c r="O20" s="275">
        <f t="shared" si="5"/>
        <v>0</v>
      </c>
      <c r="P20" s="547"/>
      <c r="Q20" s="548"/>
      <c r="R20" s="275">
        <f t="shared" si="6"/>
        <v>0</v>
      </c>
      <c r="S20" s="547"/>
      <c r="T20" s="548"/>
      <c r="U20" s="275">
        <f t="shared" si="7"/>
        <v>0</v>
      </c>
      <c r="V20" s="547"/>
      <c r="W20" s="548"/>
      <c r="X20" s="275">
        <f t="shared" si="8"/>
        <v>0</v>
      </c>
      <c r="Y20" s="547"/>
      <c r="Z20" s="548"/>
      <c r="AA20" s="275">
        <f t="shared" si="9"/>
        <v>0</v>
      </c>
      <c r="AB20" s="547"/>
      <c r="AC20" s="548"/>
      <c r="AD20" s="275">
        <f t="shared" si="10"/>
        <v>0</v>
      </c>
      <c r="AE20" s="547"/>
      <c r="AF20" s="548"/>
      <c r="AG20" s="275">
        <f t="shared" si="11"/>
        <v>0</v>
      </c>
      <c r="AH20" s="547"/>
      <c r="AI20" s="548"/>
      <c r="AJ20" s="275">
        <f t="shared" si="12"/>
        <v>0</v>
      </c>
      <c r="AK20" s="547"/>
      <c r="AL20" s="548"/>
      <c r="AM20" s="275">
        <f t="shared" si="13"/>
        <v>0</v>
      </c>
      <c r="AN20" s="547"/>
      <c r="AO20" s="548"/>
      <c r="AP20" s="275">
        <f t="shared" si="14"/>
        <v>0</v>
      </c>
      <c r="AQ20" s="547"/>
      <c r="AR20" s="548"/>
      <c r="AS20" s="275">
        <f t="shared" si="15"/>
        <v>0</v>
      </c>
      <c r="AT20" s="547"/>
      <c r="AU20" s="548"/>
      <c r="AV20" s="275">
        <f t="shared" si="16"/>
        <v>0</v>
      </c>
      <c r="AW20" s="547"/>
      <c r="AX20" s="548"/>
      <c r="AY20" s="275">
        <f t="shared" si="17"/>
        <v>0</v>
      </c>
      <c r="AZ20" s="547"/>
      <c r="BA20" s="548"/>
      <c r="BB20" s="275">
        <f t="shared" si="18"/>
        <v>0</v>
      </c>
      <c r="BC20" s="547"/>
      <c r="BD20" s="548"/>
      <c r="BE20" s="275">
        <f t="shared" si="19"/>
        <v>0</v>
      </c>
      <c r="BF20" s="547"/>
      <c r="BG20" s="548"/>
      <c r="BH20" s="275">
        <f t="shared" si="20"/>
        <v>0</v>
      </c>
      <c r="BI20" s="547"/>
      <c r="BJ20" s="548"/>
      <c r="BK20" s="275">
        <f t="shared" si="21"/>
        <v>0</v>
      </c>
      <c r="BL20" s="547"/>
      <c r="BM20" s="548"/>
      <c r="BN20" s="275">
        <f t="shared" si="22"/>
        <v>0</v>
      </c>
      <c r="BO20" s="547"/>
      <c r="BP20" s="548"/>
      <c r="BQ20" s="275">
        <f t="shared" si="23"/>
        <v>0</v>
      </c>
      <c r="BR20" s="258"/>
    </row>
    <row r="21" spans="1:70">
      <c r="A21" s="791"/>
      <c r="B21" s="795"/>
      <c r="C21" s="24" t="s">
        <v>172</v>
      </c>
      <c r="D21" s="272"/>
      <c r="E21" s="273"/>
      <c r="F21" s="274"/>
      <c r="G21" s="547"/>
      <c r="H21" s="548"/>
      <c r="I21" s="275">
        <f t="shared" si="3"/>
        <v>0</v>
      </c>
      <c r="J21" s="547"/>
      <c r="K21" s="548"/>
      <c r="L21" s="275">
        <f t="shared" si="4"/>
        <v>0</v>
      </c>
      <c r="M21" s="547"/>
      <c r="N21" s="548"/>
      <c r="O21" s="275">
        <f t="shared" si="5"/>
        <v>0</v>
      </c>
      <c r="P21" s="547"/>
      <c r="Q21" s="548"/>
      <c r="R21" s="275">
        <f t="shared" si="6"/>
        <v>0</v>
      </c>
      <c r="S21" s="547"/>
      <c r="T21" s="548"/>
      <c r="U21" s="275">
        <f t="shared" si="7"/>
        <v>0</v>
      </c>
      <c r="V21" s="547"/>
      <c r="W21" s="548"/>
      <c r="X21" s="275">
        <f t="shared" si="8"/>
        <v>0</v>
      </c>
      <c r="Y21" s="547"/>
      <c r="Z21" s="548"/>
      <c r="AA21" s="275">
        <f t="shared" si="9"/>
        <v>0</v>
      </c>
      <c r="AB21" s="547"/>
      <c r="AC21" s="548"/>
      <c r="AD21" s="275">
        <f t="shared" si="10"/>
        <v>0</v>
      </c>
      <c r="AE21" s="547"/>
      <c r="AF21" s="548"/>
      <c r="AG21" s="275">
        <f t="shared" si="11"/>
        <v>0</v>
      </c>
      <c r="AH21" s="547"/>
      <c r="AI21" s="548"/>
      <c r="AJ21" s="275">
        <f t="shared" si="12"/>
        <v>0</v>
      </c>
      <c r="AK21" s="547"/>
      <c r="AL21" s="548"/>
      <c r="AM21" s="275">
        <f t="shared" si="13"/>
        <v>0</v>
      </c>
      <c r="AN21" s="547"/>
      <c r="AO21" s="548"/>
      <c r="AP21" s="275">
        <f t="shared" si="14"/>
        <v>0</v>
      </c>
      <c r="AQ21" s="547"/>
      <c r="AR21" s="548"/>
      <c r="AS21" s="275">
        <f t="shared" si="15"/>
        <v>0</v>
      </c>
      <c r="AT21" s="547"/>
      <c r="AU21" s="548"/>
      <c r="AV21" s="275">
        <f t="shared" si="16"/>
        <v>0</v>
      </c>
      <c r="AW21" s="547"/>
      <c r="AX21" s="548"/>
      <c r="AY21" s="275">
        <f t="shared" si="17"/>
        <v>0</v>
      </c>
      <c r="AZ21" s="547"/>
      <c r="BA21" s="548"/>
      <c r="BB21" s="275">
        <f t="shared" si="18"/>
        <v>0</v>
      </c>
      <c r="BC21" s="547"/>
      <c r="BD21" s="548"/>
      <c r="BE21" s="275">
        <f t="shared" si="19"/>
        <v>0</v>
      </c>
      <c r="BF21" s="547"/>
      <c r="BG21" s="548"/>
      <c r="BH21" s="275">
        <f t="shared" si="20"/>
        <v>0</v>
      </c>
      <c r="BI21" s="547"/>
      <c r="BJ21" s="548"/>
      <c r="BK21" s="275">
        <f t="shared" si="21"/>
        <v>0</v>
      </c>
      <c r="BL21" s="547"/>
      <c r="BM21" s="548"/>
      <c r="BN21" s="275">
        <f t="shared" si="22"/>
        <v>0</v>
      </c>
      <c r="BO21" s="547"/>
      <c r="BP21" s="548"/>
      <c r="BQ21" s="275">
        <f t="shared" si="23"/>
        <v>0</v>
      </c>
      <c r="BR21" s="258"/>
    </row>
    <row r="22" spans="1:70">
      <c r="A22" s="791"/>
      <c r="B22" s="795"/>
      <c r="C22" s="24" t="s">
        <v>173</v>
      </c>
      <c r="D22" s="272"/>
      <c r="E22" s="273"/>
      <c r="F22" s="274"/>
      <c r="G22" s="547"/>
      <c r="H22" s="548"/>
      <c r="I22" s="275">
        <f t="shared" si="3"/>
        <v>0</v>
      </c>
      <c r="J22" s="547"/>
      <c r="K22" s="548"/>
      <c r="L22" s="275">
        <f t="shared" si="4"/>
        <v>0</v>
      </c>
      <c r="M22" s="547"/>
      <c r="N22" s="548"/>
      <c r="O22" s="275">
        <f t="shared" si="5"/>
        <v>0</v>
      </c>
      <c r="P22" s="547"/>
      <c r="Q22" s="548"/>
      <c r="R22" s="275">
        <f t="shared" si="6"/>
        <v>0</v>
      </c>
      <c r="S22" s="547"/>
      <c r="T22" s="548"/>
      <c r="U22" s="275">
        <f t="shared" si="7"/>
        <v>0</v>
      </c>
      <c r="V22" s="547"/>
      <c r="W22" s="548"/>
      <c r="X22" s="275">
        <f t="shared" si="8"/>
        <v>0</v>
      </c>
      <c r="Y22" s="547"/>
      <c r="Z22" s="548"/>
      <c r="AA22" s="275">
        <f t="shared" si="9"/>
        <v>0</v>
      </c>
      <c r="AB22" s="547"/>
      <c r="AC22" s="548"/>
      <c r="AD22" s="275">
        <f t="shared" si="10"/>
        <v>0</v>
      </c>
      <c r="AE22" s="547"/>
      <c r="AF22" s="548"/>
      <c r="AG22" s="275">
        <f t="shared" si="11"/>
        <v>0</v>
      </c>
      <c r="AH22" s="547"/>
      <c r="AI22" s="548"/>
      <c r="AJ22" s="275">
        <f t="shared" si="12"/>
        <v>0</v>
      </c>
      <c r="AK22" s="547"/>
      <c r="AL22" s="548"/>
      <c r="AM22" s="275">
        <f t="shared" si="13"/>
        <v>0</v>
      </c>
      <c r="AN22" s="547"/>
      <c r="AO22" s="548"/>
      <c r="AP22" s="275">
        <f t="shared" si="14"/>
        <v>0</v>
      </c>
      <c r="AQ22" s="547"/>
      <c r="AR22" s="548"/>
      <c r="AS22" s="275">
        <f t="shared" si="15"/>
        <v>0</v>
      </c>
      <c r="AT22" s="547"/>
      <c r="AU22" s="548"/>
      <c r="AV22" s="275">
        <f t="shared" si="16"/>
        <v>0</v>
      </c>
      <c r="AW22" s="547"/>
      <c r="AX22" s="548"/>
      <c r="AY22" s="275">
        <f t="shared" si="17"/>
        <v>0</v>
      </c>
      <c r="AZ22" s="547"/>
      <c r="BA22" s="548"/>
      <c r="BB22" s="275">
        <f t="shared" si="18"/>
        <v>0</v>
      </c>
      <c r="BC22" s="547"/>
      <c r="BD22" s="548"/>
      <c r="BE22" s="275">
        <f t="shared" si="19"/>
        <v>0</v>
      </c>
      <c r="BF22" s="547"/>
      <c r="BG22" s="548"/>
      <c r="BH22" s="275">
        <f t="shared" si="20"/>
        <v>0</v>
      </c>
      <c r="BI22" s="547"/>
      <c r="BJ22" s="548"/>
      <c r="BK22" s="275">
        <f t="shared" si="21"/>
        <v>0</v>
      </c>
      <c r="BL22" s="547"/>
      <c r="BM22" s="548"/>
      <c r="BN22" s="275">
        <f t="shared" si="22"/>
        <v>0</v>
      </c>
      <c r="BO22" s="547"/>
      <c r="BP22" s="548"/>
      <c r="BQ22" s="275">
        <f t="shared" si="23"/>
        <v>0</v>
      </c>
      <c r="BR22" s="258"/>
    </row>
    <row r="23" spans="1:70">
      <c r="A23" s="791"/>
      <c r="B23" s="795"/>
      <c r="C23" s="24" t="s">
        <v>174</v>
      </c>
      <c r="D23" s="272"/>
      <c r="E23" s="273"/>
      <c r="F23" s="274"/>
      <c r="G23" s="547"/>
      <c r="H23" s="548"/>
      <c r="I23" s="275">
        <f t="shared" si="3"/>
        <v>0</v>
      </c>
      <c r="J23" s="547"/>
      <c r="K23" s="548"/>
      <c r="L23" s="275">
        <f t="shared" si="4"/>
        <v>0</v>
      </c>
      <c r="M23" s="547"/>
      <c r="N23" s="548"/>
      <c r="O23" s="275">
        <f t="shared" si="5"/>
        <v>0</v>
      </c>
      <c r="P23" s="547"/>
      <c r="Q23" s="548"/>
      <c r="R23" s="275">
        <f t="shared" si="6"/>
        <v>0</v>
      </c>
      <c r="S23" s="547"/>
      <c r="T23" s="548"/>
      <c r="U23" s="275">
        <f t="shared" si="7"/>
        <v>0</v>
      </c>
      <c r="V23" s="547"/>
      <c r="W23" s="548"/>
      <c r="X23" s="275">
        <f t="shared" si="8"/>
        <v>0</v>
      </c>
      <c r="Y23" s="547"/>
      <c r="Z23" s="548"/>
      <c r="AA23" s="275">
        <f t="shared" si="9"/>
        <v>0</v>
      </c>
      <c r="AB23" s="547"/>
      <c r="AC23" s="548"/>
      <c r="AD23" s="275">
        <f t="shared" si="10"/>
        <v>0</v>
      </c>
      <c r="AE23" s="547"/>
      <c r="AF23" s="548"/>
      <c r="AG23" s="275">
        <f t="shared" si="11"/>
        <v>0</v>
      </c>
      <c r="AH23" s="547"/>
      <c r="AI23" s="548"/>
      <c r="AJ23" s="275">
        <f t="shared" si="12"/>
        <v>0</v>
      </c>
      <c r="AK23" s="547"/>
      <c r="AL23" s="548"/>
      <c r="AM23" s="275">
        <f t="shared" si="13"/>
        <v>0</v>
      </c>
      <c r="AN23" s="547"/>
      <c r="AO23" s="548"/>
      <c r="AP23" s="275">
        <f t="shared" si="14"/>
        <v>0</v>
      </c>
      <c r="AQ23" s="547"/>
      <c r="AR23" s="548"/>
      <c r="AS23" s="275">
        <f t="shared" si="15"/>
        <v>0</v>
      </c>
      <c r="AT23" s="547"/>
      <c r="AU23" s="548"/>
      <c r="AV23" s="275">
        <f t="shared" si="16"/>
        <v>0</v>
      </c>
      <c r="AW23" s="547"/>
      <c r="AX23" s="548"/>
      <c r="AY23" s="275">
        <f t="shared" si="17"/>
        <v>0</v>
      </c>
      <c r="AZ23" s="547"/>
      <c r="BA23" s="548"/>
      <c r="BB23" s="275">
        <f t="shared" si="18"/>
        <v>0</v>
      </c>
      <c r="BC23" s="547"/>
      <c r="BD23" s="548"/>
      <c r="BE23" s="275">
        <f t="shared" si="19"/>
        <v>0</v>
      </c>
      <c r="BF23" s="547"/>
      <c r="BG23" s="548"/>
      <c r="BH23" s="275">
        <f t="shared" si="20"/>
        <v>0</v>
      </c>
      <c r="BI23" s="547"/>
      <c r="BJ23" s="548"/>
      <c r="BK23" s="275">
        <f t="shared" si="21"/>
        <v>0</v>
      </c>
      <c r="BL23" s="547"/>
      <c r="BM23" s="548"/>
      <c r="BN23" s="275">
        <f t="shared" si="22"/>
        <v>0</v>
      </c>
      <c r="BO23" s="547"/>
      <c r="BP23" s="548"/>
      <c r="BQ23" s="275">
        <f t="shared" si="23"/>
        <v>0</v>
      </c>
      <c r="BR23" s="258"/>
    </row>
    <row r="24" spans="1:70" ht="15" thickBot="1">
      <c r="A24" s="792"/>
      <c r="B24" s="796"/>
      <c r="C24" s="263" t="s">
        <v>175</v>
      </c>
      <c r="D24" s="276"/>
      <c r="E24" s="277"/>
      <c r="F24" s="278"/>
      <c r="G24" s="549"/>
      <c r="H24" s="550"/>
      <c r="I24" s="279">
        <f t="shared" si="3"/>
        <v>0</v>
      </c>
      <c r="J24" s="549"/>
      <c r="K24" s="550"/>
      <c r="L24" s="279">
        <f t="shared" si="4"/>
        <v>0</v>
      </c>
      <c r="M24" s="549"/>
      <c r="N24" s="550"/>
      <c r="O24" s="279">
        <f t="shared" si="5"/>
        <v>0</v>
      </c>
      <c r="P24" s="549"/>
      <c r="Q24" s="550"/>
      <c r="R24" s="279">
        <f t="shared" si="6"/>
        <v>0</v>
      </c>
      <c r="S24" s="549"/>
      <c r="T24" s="550"/>
      <c r="U24" s="279">
        <f t="shared" si="7"/>
        <v>0</v>
      </c>
      <c r="V24" s="549"/>
      <c r="W24" s="550"/>
      <c r="X24" s="279">
        <f t="shared" si="8"/>
        <v>0</v>
      </c>
      <c r="Y24" s="549"/>
      <c r="Z24" s="550"/>
      <c r="AA24" s="279">
        <f t="shared" si="9"/>
        <v>0</v>
      </c>
      <c r="AB24" s="549"/>
      <c r="AC24" s="550"/>
      <c r="AD24" s="279">
        <f t="shared" si="10"/>
        <v>0</v>
      </c>
      <c r="AE24" s="549"/>
      <c r="AF24" s="550"/>
      <c r="AG24" s="279">
        <f t="shared" si="11"/>
        <v>0</v>
      </c>
      <c r="AH24" s="549"/>
      <c r="AI24" s="550"/>
      <c r="AJ24" s="279">
        <f t="shared" si="12"/>
        <v>0</v>
      </c>
      <c r="AK24" s="549"/>
      <c r="AL24" s="550"/>
      <c r="AM24" s="279">
        <f t="shared" si="13"/>
        <v>0</v>
      </c>
      <c r="AN24" s="549"/>
      <c r="AO24" s="550"/>
      <c r="AP24" s="279">
        <f t="shared" si="14"/>
        <v>0</v>
      </c>
      <c r="AQ24" s="549"/>
      <c r="AR24" s="550"/>
      <c r="AS24" s="279">
        <f t="shared" si="15"/>
        <v>0</v>
      </c>
      <c r="AT24" s="549"/>
      <c r="AU24" s="550"/>
      <c r="AV24" s="279">
        <f t="shared" si="16"/>
        <v>0</v>
      </c>
      <c r="AW24" s="549"/>
      <c r="AX24" s="550"/>
      <c r="AY24" s="279">
        <f t="shared" si="17"/>
        <v>0</v>
      </c>
      <c r="AZ24" s="549"/>
      <c r="BA24" s="550"/>
      <c r="BB24" s="279">
        <f t="shared" si="18"/>
        <v>0</v>
      </c>
      <c r="BC24" s="549"/>
      <c r="BD24" s="550"/>
      <c r="BE24" s="279">
        <f t="shared" si="19"/>
        <v>0</v>
      </c>
      <c r="BF24" s="549"/>
      <c r="BG24" s="550"/>
      <c r="BH24" s="279">
        <f t="shared" si="20"/>
        <v>0</v>
      </c>
      <c r="BI24" s="549"/>
      <c r="BJ24" s="550"/>
      <c r="BK24" s="279">
        <f t="shared" si="21"/>
        <v>0</v>
      </c>
      <c r="BL24" s="549"/>
      <c r="BM24" s="550"/>
      <c r="BN24" s="279">
        <f t="shared" si="22"/>
        <v>0</v>
      </c>
      <c r="BO24" s="549"/>
      <c r="BP24" s="550"/>
      <c r="BQ24" s="279">
        <f t="shared" si="23"/>
        <v>0</v>
      </c>
      <c r="BR24" s="258"/>
    </row>
    <row r="25" spans="1:70" s="281" customFormat="1" ht="14.25" customHeight="1">
      <c r="A25" s="790" t="s">
        <v>215</v>
      </c>
      <c r="B25" s="794" t="s">
        <v>214</v>
      </c>
      <c r="C25" s="251" t="s">
        <v>166</v>
      </c>
      <c r="D25" s="268"/>
      <c r="E25" s="269"/>
      <c r="F25" s="270"/>
      <c r="G25" s="545"/>
      <c r="H25" s="546"/>
      <c r="I25" s="271">
        <f>H25-G25</f>
        <v>0</v>
      </c>
      <c r="J25" s="545"/>
      <c r="K25" s="546"/>
      <c r="L25" s="271">
        <f>K25-J25</f>
        <v>0</v>
      </c>
      <c r="M25" s="545"/>
      <c r="N25" s="546"/>
      <c r="O25" s="271">
        <f>N25-M25</f>
        <v>0</v>
      </c>
      <c r="P25" s="545"/>
      <c r="Q25" s="546"/>
      <c r="R25" s="271">
        <f>Q25-P25</f>
        <v>0</v>
      </c>
      <c r="S25" s="545"/>
      <c r="T25" s="546"/>
      <c r="U25" s="271">
        <f>T25-S25</f>
        <v>0</v>
      </c>
      <c r="V25" s="545"/>
      <c r="W25" s="546"/>
      <c r="X25" s="271">
        <f>W25-V25</f>
        <v>0</v>
      </c>
      <c r="Y25" s="545"/>
      <c r="Z25" s="546"/>
      <c r="AA25" s="271">
        <f>Z25-Y25</f>
        <v>0</v>
      </c>
      <c r="AB25" s="545"/>
      <c r="AC25" s="546"/>
      <c r="AD25" s="271">
        <f>AC25-AB25</f>
        <v>0</v>
      </c>
      <c r="AE25" s="545"/>
      <c r="AF25" s="546"/>
      <c r="AG25" s="271">
        <f>AF25-AE25</f>
        <v>0</v>
      </c>
      <c r="AH25" s="545"/>
      <c r="AI25" s="546"/>
      <c r="AJ25" s="271">
        <f>AI25-AH25</f>
        <v>0</v>
      </c>
      <c r="AK25" s="545"/>
      <c r="AL25" s="546"/>
      <c r="AM25" s="271">
        <f>AL25-AK25</f>
        <v>0</v>
      </c>
      <c r="AN25" s="545"/>
      <c r="AO25" s="546"/>
      <c r="AP25" s="271">
        <f>AO25-AN25</f>
        <v>0</v>
      </c>
      <c r="AQ25" s="545"/>
      <c r="AR25" s="546"/>
      <c r="AS25" s="271">
        <f>AR25-AQ25</f>
        <v>0</v>
      </c>
      <c r="AT25" s="545"/>
      <c r="AU25" s="546"/>
      <c r="AV25" s="271">
        <f>AU25-AT25</f>
        <v>0</v>
      </c>
      <c r="AW25" s="545"/>
      <c r="AX25" s="546"/>
      <c r="AY25" s="271">
        <f>AX25-AW25</f>
        <v>0</v>
      </c>
      <c r="AZ25" s="545"/>
      <c r="BA25" s="546"/>
      <c r="BB25" s="271">
        <f>BA25-AZ25</f>
        <v>0</v>
      </c>
      <c r="BC25" s="545"/>
      <c r="BD25" s="546"/>
      <c r="BE25" s="271">
        <f>BD25-BC25</f>
        <v>0</v>
      </c>
      <c r="BF25" s="545"/>
      <c r="BG25" s="546"/>
      <c r="BH25" s="271">
        <f>BG25-BF25</f>
        <v>0</v>
      </c>
      <c r="BI25" s="545"/>
      <c r="BJ25" s="546"/>
      <c r="BK25" s="271">
        <f>BJ25-BI25</f>
        <v>0</v>
      </c>
      <c r="BL25" s="545"/>
      <c r="BM25" s="546"/>
      <c r="BN25" s="271">
        <f>BM25-BL25</f>
        <v>0</v>
      </c>
      <c r="BO25" s="545"/>
      <c r="BP25" s="546"/>
      <c r="BQ25" s="271">
        <f>BP25-BO25</f>
        <v>0</v>
      </c>
      <c r="BR25" s="280"/>
    </row>
    <row r="26" spans="1:70">
      <c r="A26" s="791"/>
      <c r="B26" s="795"/>
      <c r="C26" s="24" t="s">
        <v>167</v>
      </c>
      <c r="D26" s="272"/>
      <c r="E26" s="273"/>
      <c r="F26" s="274"/>
      <c r="G26" s="547"/>
      <c r="H26" s="548"/>
      <c r="I26" s="275">
        <f t="shared" ref="I26:I43" si="24">H26-G26</f>
        <v>0</v>
      </c>
      <c r="J26" s="547"/>
      <c r="K26" s="548"/>
      <c r="L26" s="275">
        <f t="shared" ref="L26:L43" si="25">K26-J26</f>
        <v>0</v>
      </c>
      <c r="M26" s="547"/>
      <c r="N26" s="548"/>
      <c r="O26" s="275">
        <f t="shared" ref="O26:O43" si="26">N26-M26</f>
        <v>0</v>
      </c>
      <c r="P26" s="547"/>
      <c r="Q26" s="548"/>
      <c r="R26" s="275">
        <f t="shared" ref="R26:R43" si="27">Q26-P26</f>
        <v>0</v>
      </c>
      <c r="S26" s="547"/>
      <c r="T26" s="548"/>
      <c r="U26" s="275">
        <f t="shared" ref="U26:U43" si="28">T26-S26</f>
        <v>0</v>
      </c>
      <c r="V26" s="547"/>
      <c r="W26" s="548"/>
      <c r="X26" s="275">
        <f t="shared" ref="X26:X43" si="29">W26-V26</f>
        <v>0</v>
      </c>
      <c r="Y26" s="547"/>
      <c r="Z26" s="548"/>
      <c r="AA26" s="275">
        <f t="shared" ref="AA26:AA43" si="30">Z26-Y26</f>
        <v>0</v>
      </c>
      <c r="AB26" s="547"/>
      <c r="AC26" s="548"/>
      <c r="AD26" s="275">
        <f t="shared" ref="AD26:AD43" si="31">AC26-AB26</f>
        <v>0</v>
      </c>
      <c r="AE26" s="547"/>
      <c r="AF26" s="548"/>
      <c r="AG26" s="275">
        <f t="shared" ref="AG26:AG43" si="32">AF26-AE26</f>
        <v>0</v>
      </c>
      <c r="AH26" s="547"/>
      <c r="AI26" s="548"/>
      <c r="AJ26" s="275">
        <f t="shared" ref="AJ26:AJ43" si="33">AI26-AH26</f>
        <v>0</v>
      </c>
      <c r="AK26" s="547"/>
      <c r="AL26" s="548"/>
      <c r="AM26" s="275">
        <f t="shared" ref="AM26:AM43" si="34">AL26-AK26</f>
        <v>0</v>
      </c>
      <c r="AN26" s="547"/>
      <c r="AO26" s="548"/>
      <c r="AP26" s="275">
        <f t="shared" ref="AP26:AP43" si="35">AO26-AN26</f>
        <v>0</v>
      </c>
      <c r="AQ26" s="547"/>
      <c r="AR26" s="548"/>
      <c r="AS26" s="275">
        <f t="shared" ref="AS26:AS43" si="36">AR26-AQ26</f>
        <v>0</v>
      </c>
      <c r="AT26" s="547"/>
      <c r="AU26" s="548"/>
      <c r="AV26" s="275">
        <f t="shared" ref="AV26:AV43" si="37">AU26-AT26</f>
        <v>0</v>
      </c>
      <c r="AW26" s="547"/>
      <c r="AX26" s="548"/>
      <c r="AY26" s="275">
        <f t="shared" ref="AY26:AY43" si="38">AX26-AW26</f>
        <v>0</v>
      </c>
      <c r="AZ26" s="547"/>
      <c r="BA26" s="548"/>
      <c r="BB26" s="275">
        <f t="shared" ref="BB26:BB43" si="39">BA26-AZ26</f>
        <v>0</v>
      </c>
      <c r="BC26" s="547"/>
      <c r="BD26" s="548"/>
      <c r="BE26" s="275">
        <f t="shared" ref="BE26:BE43" si="40">BD26-BC26</f>
        <v>0</v>
      </c>
      <c r="BF26" s="547"/>
      <c r="BG26" s="548"/>
      <c r="BH26" s="275">
        <f t="shared" ref="BH26:BH43" si="41">BG26-BF26</f>
        <v>0</v>
      </c>
      <c r="BI26" s="547"/>
      <c r="BJ26" s="548"/>
      <c r="BK26" s="275">
        <f t="shared" ref="BK26:BK43" si="42">BJ26-BI26</f>
        <v>0</v>
      </c>
      <c r="BL26" s="547"/>
      <c r="BM26" s="548"/>
      <c r="BN26" s="275">
        <f t="shared" ref="BN26:BN43" si="43">BM26-BL26</f>
        <v>0</v>
      </c>
      <c r="BO26" s="547"/>
      <c r="BP26" s="548"/>
      <c r="BQ26" s="275">
        <f t="shared" ref="BQ26:BQ53" si="44">BP26-BO26</f>
        <v>0</v>
      </c>
    </row>
    <row r="27" spans="1:70">
      <c r="A27" s="791"/>
      <c r="B27" s="795"/>
      <c r="C27" s="24" t="s">
        <v>168</v>
      </c>
      <c r="D27" s="272"/>
      <c r="E27" s="273"/>
      <c r="F27" s="274"/>
      <c r="G27" s="547"/>
      <c r="H27" s="548"/>
      <c r="I27" s="275">
        <f t="shared" si="24"/>
        <v>0</v>
      </c>
      <c r="J27" s="547"/>
      <c r="K27" s="548"/>
      <c r="L27" s="275">
        <f t="shared" si="25"/>
        <v>0</v>
      </c>
      <c r="M27" s="547"/>
      <c r="N27" s="548"/>
      <c r="O27" s="275">
        <f t="shared" si="26"/>
        <v>0</v>
      </c>
      <c r="P27" s="547"/>
      <c r="Q27" s="548"/>
      <c r="R27" s="275">
        <f t="shared" si="27"/>
        <v>0</v>
      </c>
      <c r="S27" s="547"/>
      <c r="T27" s="548"/>
      <c r="U27" s="275">
        <f t="shared" si="28"/>
        <v>0</v>
      </c>
      <c r="V27" s="547"/>
      <c r="W27" s="548"/>
      <c r="X27" s="275">
        <f t="shared" si="29"/>
        <v>0</v>
      </c>
      <c r="Y27" s="547"/>
      <c r="Z27" s="548"/>
      <c r="AA27" s="275">
        <f t="shared" si="30"/>
        <v>0</v>
      </c>
      <c r="AB27" s="547"/>
      <c r="AC27" s="548"/>
      <c r="AD27" s="275">
        <f t="shared" si="31"/>
        <v>0</v>
      </c>
      <c r="AE27" s="547"/>
      <c r="AF27" s="548"/>
      <c r="AG27" s="275">
        <f t="shared" si="32"/>
        <v>0</v>
      </c>
      <c r="AH27" s="547"/>
      <c r="AI27" s="548"/>
      <c r="AJ27" s="275">
        <f t="shared" si="33"/>
        <v>0</v>
      </c>
      <c r="AK27" s="547"/>
      <c r="AL27" s="548"/>
      <c r="AM27" s="275">
        <f t="shared" si="34"/>
        <v>0</v>
      </c>
      <c r="AN27" s="547"/>
      <c r="AO27" s="548"/>
      <c r="AP27" s="275">
        <f t="shared" si="35"/>
        <v>0</v>
      </c>
      <c r="AQ27" s="547"/>
      <c r="AR27" s="548"/>
      <c r="AS27" s="275">
        <f t="shared" si="36"/>
        <v>0</v>
      </c>
      <c r="AT27" s="547"/>
      <c r="AU27" s="548"/>
      <c r="AV27" s="275">
        <f t="shared" si="37"/>
        <v>0</v>
      </c>
      <c r="AW27" s="547"/>
      <c r="AX27" s="548"/>
      <c r="AY27" s="275">
        <f t="shared" si="38"/>
        <v>0</v>
      </c>
      <c r="AZ27" s="547"/>
      <c r="BA27" s="548"/>
      <c r="BB27" s="275">
        <f t="shared" si="39"/>
        <v>0</v>
      </c>
      <c r="BC27" s="547"/>
      <c r="BD27" s="548"/>
      <c r="BE27" s="275">
        <f t="shared" si="40"/>
        <v>0</v>
      </c>
      <c r="BF27" s="547"/>
      <c r="BG27" s="548"/>
      <c r="BH27" s="275">
        <f t="shared" si="41"/>
        <v>0</v>
      </c>
      <c r="BI27" s="547"/>
      <c r="BJ27" s="548"/>
      <c r="BK27" s="275">
        <f t="shared" si="42"/>
        <v>0</v>
      </c>
      <c r="BL27" s="547"/>
      <c r="BM27" s="548"/>
      <c r="BN27" s="275">
        <f t="shared" si="43"/>
        <v>0</v>
      </c>
      <c r="BO27" s="547"/>
      <c r="BP27" s="548"/>
      <c r="BQ27" s="275">
        <f t="shared" si="44"/>
        <v>0</v>
      </c>
    </row>
    <row r="28" spans="1:70">
      <c r="A28" s="791"/>
      <c r="B28" s="795"/>
      <c r="C28" s="24" t="s">
        <v>169</v>
      </c>
      <c r="D28" s="272"/>
      <c r="E28" s="273"/>
      <c r="F28" s="274"/>
      <c r="G28" s="547"/>
      <c r="H28" s="548"/>
      <c r="I28" s="275">
        <f t="shared" si="24"/>
        <v>0</v>
      </c>
      <c r="J28" s="547"/>
      <c r="K28" s="548"/>
      <c r="L28" s="275">
        <f t="shared" si="25"/>
        <v>0</v>
      </c>
      <c r="M28" s="547"/>
      <c r="N28" s="548"/>
      <c r="O28" s="275">
        <f t="shared" si="26"/>
        <v>0</v>
      </c>
      <c r="P28" s="547"/>
      <c r="Q28" s="548"/>
      <c r="R28" s="275">
        <f t="shared" si="27"/>
        <v>0</v>
      </c>
      <c r="S28" s="547"/>
      <c r="T28" s="548"/>
      <c r="U28" s="275">
        <f t="shared" si="28"/>
        <v>0</v>
      </c>
      <c r="V28" s="547"/>
      <c r="W28" s="548"/>
      <c r="X28" s="275">
        <f t="shared" si="29"/>
        <v>0</v>
      </c>
      <c r="Y28" s="547"/>
      <c r="Z28" s="548"/>
      <c r="AA28" s="275">
        <f t="shared" si="30"/>
        <v>0</v>
      </c>
      <c r="AB28" s="547"/>
      <c r="AC28" s="548"/>
      <c r="AD28" s="275">
        <f t="shared" si="31"/>
        <v>0</v>
      </c>
      <c r="AE28" s="547"/>
      <c r="AF28" s="548"/>
      <c r="AG28" s="275">
        <f t="shared" si="32"/>
        <v>0</v>
      </c>
      <c r="AH28" s="547"/>
      <c r="AI28" s="548"/>
      <c r="AJ28" s="275">
        <f t="shared" si="33"/>
        <v>0</v>
      </c>
      <c r="AK28" s="547"/>
      <c r="AL28" s="548"/>
      <c r="AM28" s="275">
        <f t="shared" si="34"/>
        <v>0</v>
      </c>
      <c r="AN28" s="547"/>
      <c r="AO28" s="548"/>
      <c r="AP28" s="275">
        <f t="shared" si="35"/>
        <v>0</v>
      </c>
      <c r="AQ28" s="547"/>
      <c r="AR28" s="548"/>
      <c r="AS28" s="275">
        <f t="shared" si="36"/>
        <v>0</v>
      </c>
      <c r="AT28" s="547"/>
      <c r="AU28" s="548"/>
      <c r="AV28" s="275">
        <f t="shared" si="37"/>
        <v>0</v>
      </c>
      <c r="AW28" s="547"/>
      <c r="AX28" s="548"/>
      <c r="AY28" s="275">
        <f t="shared" si="38"/>
        <v>0</v>
      </c>
      <c r="AZ28" s="547"/>
      <c r="BA28" s="548"/>
      <c r="BB28" s="275">
        <f t="shared" si="39"/>
        <v>0</v>
      </c>
      <c r="BC28" s="547"/>
      <c r="BD28" s="548"/>
      <c r="BE28" s="275">
        <f t="shared" si="40"/>
        <v>0</v>
      </c>
      <c r="BF28" s="547"/>
      <c r="BG28" s="548"/>
      <c r="BH28" s="275">
        <f t="shared" si="41"/>
        <v>0</v>
      </c>
      <c r="BI28" s="547"/>
      <c r="BJ28" s="548"/>
      <c r="BK28" s="275">
        <f t="shared" si="42"/>
        <v>0</v>
      </c>
      <c r="BL28" s="547"/>
      <c r="BM28" s="548"/>
      <c r="BN28" s="275">
        <f t="shared" si="43"/>
        <v>0</v>
      </c>
      <c r="BO28" s="547"/>
      <c r="BP28" s="548"/>
      <c r="BQ28" s="275">
        <f t="shared" si="44"/>
        <v>0</v>
      </c>
    </row>
    <row r="29" spans="1:70">
      <c r="A29" s="791"/>
      <c r="B29" s="795"/>
      <c r="C29" s="24" t="s">
        <v>170</v>
      </c>
      <c r="D29" s="272"/>
      <c r="E29" s="273"/>
      <c r="F29" s="274"/>
      <c r="G29" s="547"/>
      <c r="H29" s="548"/>
      <c r="I29" s="275">
        <f t="shared" si="24"/>
        <v>0</v>
      </c>
      <c r="J29" s="547"/>
      <c r="K29" s="548"/>
      <c r="L29" s="275">
        <f t="shared" si="25"/>
        <v>0</v>
      </c>
      <c r="M29" s="547"/>
      <c r="N29" s="548"/>
      <c r="O29" s="275">
        <f t="shared" si="26"/>
        <v>0</v>
      </c>
      <c r="P29" s="547"/>
      <c r="Q29" s="548"/>
      <c r="R29" s="275">
        <f t="shared" si="27"/>
        <v>0</v>
      </c>
      <c r="S29" s="547"/>
      <c r="T29" s="548"/>
      <c r="U29" s="275">
        <f t="shared" si="28"/>
        <v>0</v>
      </c>
      <c r="V29" s="547"/>
      <c r="W29" s="548"/>
      <c r="X29" s="275">
        <f t="shared" si="29"/>
        <v>0</v>
      </c>
      <c r="Y29" s="547"/>
      <c r="Z29" s="548"/>
      <c r="AA29" s="275">
        <f t="shared" si="30"/>
        <v>0</v>
      </c>
      <c r="AB29" s="547"/>
      <c r="AC29" s="548"/>
      <c r="AD29" s="275">
        <f t="shared" si="31"/>
        <v>0</v>
      </c>
      <c r="AE29" s="547"/>
      <c r="AF29" s="548"/>
      <c r="AG29" s="275">
        <f t="shared" si="32"/>
        <v>0</v>
      </c>
      <c r="AH29" s="547"/>
      <c r="AI29" s="548"/>
      <c r="AJ29" s="275">
        <f t="shared" si="33"/>
        <v>0</v>
      </c>
      <c r="AK29" s="547"/>
      <c r="AL29" s="548"/>
      <c r="AM29" s="275">
        <f t="shared" si="34"/>
        <v>0</v>
      </c>
      <c r="AN29" s="547"/>
      <c r="AO29" s="548"/>
      <c r="AP29" s="275">
        <f t="shared" si="35"/>
        <v>0</v>
      </c>
      <c r="AQ29" s="547"/>
      <c r="AR29" s="548"/>
      <c r="AS29" s="275">
        <f t="shared" si="36"/>
        <v>0</v>
      </c>
      <c r="AT29" s="547"/>
      <c r="AU29" s="548"/>
      <c r="AV29" s="275">
        <f t="shared" si="37"/>
        <v>0</v>
      </c>
      <c r="AW29" s="547"/>
      <c r="AX29" s="548"/>
      <c r="AY29" s="275">
        <f t="shared" si="38"/>
        <v>0</v>
      </c>
      <c r="AZ29" s="547"/>
      <c r="BA29" s="548"/>
      <c r="BB29" s="275">
        <f t="shared" si="39"/>
        <v>0</v>
      </c>
      <c r="BC29" s="547"/>
      <c r="BD29" s="548"/>
      <c r="BE29" s="275">
        <f t="shared" si="40"/>
        <v>0</v>
      </c>
      <c r="BF29" s="547"/>
      <c r="BG29" s="548"/>
      <c r="BH29" s="275">
        <f t="shared" si="41"/>
        <v>0</v>
      </c>
      <c r="BI29" s="547"/>
      <c r="BJ29" s="548"/>
      <c r="BK29" s="275">
        <f t="shared" si="42"/>
        <v>0</v>
      </c>
      <c r="BL29" s="547"/>
      <c r="BM29" s="548"/>
      <c r="BN29" s="275">
        <f t="shared" si="43"/>
        <v>0</v>
      </c>
      <c r="BO29" s="547"/>
      <c r="BP29" s="548"/>
      <c r="BQ29" s="275">
        <f t="shared" si="44"/>
        <v>0</v>
      </c>
    </row>
    <row r="30" spans="1:70">
      <c r="A30" s="791"/>
      <c r="B30" s="795"/>
      <c r="C30" s="24" t="s">
        <v>171</v>
      </c>
      <c r="D30" s="272"/>
      <c r="E30" s="273"/>
      <c r="F30" s="274"/>
      <c r="G30" s="547"/>
      <c r="H30" s="548"/>
      <c r="I30" s="275">
        <f t="shared" si="24"/>
        <v>0</v>
      </c>
      <c r="J30" s="547"/>
      <c r="K30" s="548"/>
      <c r="L30" s="275">
        <f t="shared" si="25"/>
        <v>0</v>
      </c>
      <c r="M30" s="547"/>
      <c r="N30" s="548"/>
      <c r="O30" s="275">
        <f t="shared" si="26"/>
        <v>0</v>
      </c>
      <c r="P30" s="547"/>
      <c r="Q30" s="548"/>
      <c r="R30" s="275">
        <f t="shared" si="27"/>
        <v>0</v>
      </c>
      <c r="S30" s="547"/>
      <c r="T30" s="548"/>
      <c r="U30" s="275">
        <f t="shared" si="28"/>
        <v>0</v>
      </c>
      <c r="V30" s="547"/>
      <c r="W30" s="548"/>
      <c r="X30" s="275">
        <f t="shared" si="29"/>
        <v>0</v>
      </c>
      <c r="Y30" s="547"/>
      <c r="Z30" s="548"/>
      <c r="AA30" s="275">
        <f t="shared" si="30"/>
        <v>0</v>
      </c>
      <c r="AB30" s="547"/>
      <c r="AC30" s="548"/>
      <c r="AD30" s="275">
        <f t="shared" si="31"/>
        <v>0</v>
      </c>
      <c r="AE30" s="547"/>
      <c r="AF30" s="548"/>
      <c r="AG30" s="275">
        <f t="shared" si="32"/>
        <v>0</v>
      </c>
      <c r="AH30" s="547"/>
      <c r="AI30" s="548"/>
      <c r="AJ30" s="275">
        <f t="shared" si="33"/>
        <v>0</v>
      </c>
      <c r="AK30" s="547"/>
      <c r="AL30" s="548"/>
      <c r="AM30" s="275">
        <f t="shared" si="34"/>
        <v>0</v>
      </c>
      <c r="AN30" s="547"/>
      <c r="AO30" s="548"/>
      <c r="AP30" s="275">
        <f t="shared" si="35"/>
        <v>0</v>
      </c>
      <c r="AQ30" s="547"/>
      <c r="AR30" s="548"/>
      <c r="AS30" s="275">
        <f t="shared" si="36"/>
        <v>0</v>
      </c>
      <c r="AT30" s="547"/>
      <c r="AU30" s="548"/>
      <c r="AV30" s="275">
        <f t="shared" si="37"/>
        <v>0</v>
      </c>
      <c r="AW30" s="547"/>
      <c r="AX30" s="548"/>
      <c r="AY30" s="275">
        <f t="shared" si="38"/>
        <v>0</v>
      </c>
      <c r="AZ30" s="547"/>
      <c r="BA30" s="548"/>
      <c r="BB30" s="275">
        <f t="shared" si="39"/>
        <v>0</v>
      </c>
      <c r="BC30" s="547"/>
      <c r="BD30" s="548"/>
      <c r="BE30" s="275">
        <f t="shared" si="40"/>
        <v>0</v>
      </c>
      <c r="BF30" s="547"/>
      <c r="BG30" s="548"/>
      <c r="BH30" s="275">
        <f t="shared" si="41"/>
        <v>0</v>
      </c>
      <c r="BI30" s="547"/>
      <c r="BJ30" s="548"/>
      <c r="BK30" s="275">
        <f t="shared" si="42"/>
        <v>0</v>
      </c>
      <c r="BL30" s="547"/>
      <c r="BM30" s="548"/>
      <c r="BN30" s="275">
        <f t="shared" si="43"/>
        <v>0</v>
      </c>
      <c r="BO30" s="547"/>
      <c r="BP30" s="548"/>
      <c r="BQ30" s="275">
        <f t="shared" si="44"/>
        <v>0</v>
      </c>
    </row>
    <row r="31" spans="1:70">
      <c r="A31" s="791"/>
      <c r="B31" s="795"/>
      <c r="C31" s="24" t="s">
        <v>172</v>
      </c>
      <c r="D31" s="272"/>
      <c r="E31" s="273"/>
      <c r="F31" s="274"/>
      <c r="G31" s="547"/>
      <c r="H31" s="548"/>
      <c r="I31" s="275">
        <f t="shared" si="24"/>
        <v>0</v>
      </c>
      <c r="J31" s="547"/>
      <c r="K31" s="548"/>
      <c r="L31" s="275">
        <f t="shared" si="25"/>
        <v>0</v>
      </c>
      <c r="M31" s="547"/>
      <c r="N31" s="548"/>
      <c r="O31" s="275">
        <f t="shared" si="26"/>
        <v>0</v>
      </c>
      <c r="P31" s="547"/>
      <c r="Q31" s="548"/>
      <c r="R31" s="275">
        <f t="shared" si="27"/>
        <v>0</v>
      </c>
      <c r="S31" s="547"/>
      <c r="T31" s="548"/>
      <c r="U31" s="275">
        <f t="shared" si="28"/>
        <v>0</v>
      </c>
      <c r="V31" s="547"/>
      <c r="W31" s="548"/>
      <c r="X31" s="275">
        <f t="shared" si="29"/>
        <v>0</v>
      </c>
      <c r="Y31" s="547"/>
      <c r="Z31" s="548"/>
      <c r="AA31" s="275">
        <f t="shared" si="30"/>
        <v>0</v>
      </c>
      <c r="AB31" s="547"/>
      <c r="AC31" s="548"/>
      <c r="AD31" s="275">
        <f t="shared" si="31"/>
        <v>0</v>
      </c>
      <c r="AE31" s="547"/>
      <c r="AF31" s="548"/>
      <c r="AG31" s="275">
        <f t="shared" si="32"/>
        <v>0</v>
      </c>
      <c r="AH31" s="547"/>
      <c r="AI31" s="548"/>
      <c r="AJ31" s="275">
        <f t="shared" si="33"/>
        <v>0</v>
      </c>
      <c r="AK31" s="547"/>
      <c r="AL31" s="548"/>
      <c r="AM31" s="275">
        <f t="shared" si="34"/>
        <v>0</v>
      </c>
      <c r="AN31" s="547"/>
      <c r="AO31" s="548"/>
      <c r="AP31" s="275">
        <f t="shared" si="35"/>
        <v>0</v>
      </c>
      <c r="AQ31" s="547"/>
      <c r="AR31" s="548"/>
      <c r="AS31" s="275">
        <f t="shared" si="36"/>
        <v>0</v>
      </c>
      <c r="AT31" s="547"/>
      <c r="AU31" s="548"/>
      <c r="AV31" s="275">
        <f t="shared" si="37"/>
        <v>0</v>
      </c>
      <c r="AW31" s="547"/>
      <c r="AX31" s="548"/>
      <c r="AY31" s="275">
        <f t="shared" si="38"/>
        <v>0</v>
      </c>
      <c r="AZ31" s="547"/>
      <c r="BA31" s="548"/>
      <c r="BB31" s="275">
        <f t="shared" si="39"/>
        <v>0</v>
      </c>
      <c r="BC31" s="547"/>
      <c r="BD31" s="548"/>
      <c r="BE31" s="275">
        <f t="shared" si="40"/>
        <v>0</v>
      </c>
      <c r="BF31" s="547"/>
      <c r="BG31" s="548"/>
      <c r="BH31" s="275">
        <f t="shared" si="41"/>
        <v>0</v>
      </c>
      <c r="BI31" s="547"/>
      <c r="BJ31" s="548"/>
      <c r="BK31" s="275">
        <f t="shared" si="42"/>
        <v>0</v>
      </c>
      <c r="BL31" s="547"/>
      <c r="BM31" s="548"/>
      <c r="BN31" s="275">
        <f t="shared" si="43"/>
        <v>0</v>
      </c>
      <c r="BO31" s="547"/>
      <c r="BP31" s="548"/>
      <c r="BQ31" s="275">
        <f t="shared" si="44"/>
        <v>0</v>
      </c>
    </row>
    <row r="32" spans="1:70">
      <c r="A32" s="791"/>
      <c r="B32" s="795"/>
      <c r="C32" s="24" t="s">
        <v>173</v>
      </c>
      <c r="D32" s="272"/>
      <c r="E32" s="273"/>
      <c r="F32" s="274"/>
      <c r="G32" s="547"/>
      <c r="H32" s="548"/>
      <c r="I32" s="275">
        <f t="shared" si="24"/>
        <v>0</v>
      </c>
      <c r="J32" s="547"/>
      <c r="K32" s="548"/>
      <c r="L32" s="275">
        <f t="shared" si="25"/>
        <v>0</v>
      </c>
      <c r="M32" s="547"/>
      <c r="N32" s="548"/>
      <c r="O32" s="275">
        <f t="shared" si="26"/>
        <v>0</v>
      </c>
      <c r="P32" s="547"/>
      <c r="Q32" s="548"/>
      <c r="R32" s="275">
        <f t="shared" si="27"/>
        <v>0</v>
      </c>
      <c r="S32" s="547"/>
      <c r="T32" s="548"/>
      <c r="U32" s="275">
        <f t="shared" si="28"/>
        <v>0</v>
      </c>
      <c r="V32" s="547"/>
      <c r="W32" s="548"/>
      <c r="X32" s="275">
        <f t="shared" si="29"/>
        <v>0</v>
      </c>
      <c r="Y32" s="547"/>
      <c r="Z32" s="548"/>
      <c r="AA32" s="275">
        <f t="shared" si="30"/>
        <v>0</v>
      </c>
      <c r="AB32" s="547"/>
      <c r="AC32" s="548"/>
      <c r="AD32" s="275">
        <f t="shared" si="31"/>
        <v>0</v>
      </c>
      <c r="AE32" s="547"/>
      <c r="AF32" s="548"/>
      <c r="AG32" s="275">
        <f t="shared" si="32"/>
        <v>0</v>
      </c>
      <c r="AH32" s="547"/>
      <c r="AI32" s="548"/>
      <c r="AJ32" s="275">
        <f t="shared" si="33"/>
        <v>0</v>
      </c>
      <c r="AK32" s="547"/>
      <c r="AL32" s="548"/>
      <c r="AM32" s="275">
        <f t="shared" si="34"/>
        <v>0</v>
      </c>
      <c r="AN32" s="547"/>
      <c r="AO32" s="548"/>
      <c r="AP32" s="275">
        <f t="shared" si="35"/>
        <v>0</v>
      </c>
      <c r="AQ32" s="547"/>
      <c r="AR32" s="548"/>
      <c r="AS32" s="275">
        <f t="shared" si="36"/>
        <v>0</v>
      </c>
      <c r="AT32" s="547"/>
      <c r="AU32" s="548"/>
      <c r="AV32" s="275">
        <f t="shared" si="37"/>
        <v>0</v>
      </c>
      <c r="AW32" s="547"/>
      <c r="AX32" s="548"/>
      <c r="AY32" s="275">
        <f t="shared" si="38"/>
        <v>0</v>
      </c>
      <c r="AZ32" s="547"/>
      <c r="BA32" s="548"/>
      <c r="BB32" s="275">
        <f t="shared" si="39"/>
        <v>0</v>
      </c>
      <c r="BC32" s="547"/>
      <c r="BD32" s="548"/>
      <c r="BE32" s="275">
        <f t="shared" si="40"/>
        <v>0</v>
      </c>
      <c r="BF32" s="547"/>
      <c r="BG32" s="548"/>
      <c r="BH32" s="275">
        <f t="shared" si="41"/>
        <v>0</v>
      </c>
      <c r="BI32" s="547"/>
      <c r="BJ32" s="548"/>
      <c r="BK32" s="275">
        <f t="shared" si="42"/>
        <v>0</v>
      </c>
      <c r="BL32" s="547"/>
      <c r="BM32" s="548"/>
      <c r="BN32" s="275">
        <f t="shared" si="43"/>
        <v>0</v>
      </c>
      <c r="BO32" s="547"/>
      <c r="BP32" s="548"/>
      <c r="BQ32" s="275">
        <f t="shared" si="44"/>
        <v>0</v>
      </c>
    </row>
    <row r="33" spans="1:70">
      <c r="A33" s="791"/>
      <c r="B33" s="795"/>
      <c r="C33" s="24" t="s">
        <v>174</v>
      </c>
      <c r="D33" s="272"/>
      <c r="E33" s="273"/>
      <c r="F33" s="274"/>
      <c r="G33" s="547"/>
      <c r="H33" s="548"/>
      <c r="I33" s="275">
        <f t="shared" si="24"/>
        <v>0</v>
      </c>
      <c r="J33" s="547"/>
      <c r="K33" s="548"/>
      <c r="L33" s="275">
        <f t="shared" si="25"/>
        <v>0</v>
      </c>
      <c r="M33" s="547"/>
      <c r="N33" s="548"/>
      <c r="O33" s="275">
        <f t="shared" si="26"/>
        <v>0</v>
      </c>
      <c r="P33" s="547"/>
      <c r="Q33" s="548"/>
      <c r="R33" s="275">
        <f t="shared" si="27"/>
        <v>0</v>
      </c>
      <c r="S33" s="547"/>
      <c r="T33" s="548"/>
      <c r="U33" s="275">
        <f t="shared" si="28"/>
        <v>0</v>
      </c>
      <c r="V33" s="547"/>
      <c r="W33" s="548"/>
      <c r="X33" s="275">
        <f t="shared" si="29"/>
        <v>0</v>
      </c>
      <c r="Y33" s="547"/>
      <c r="Z33" s="548"/>
      <c r="AA33" s="275">
        <f t="shared" si="30"/>
        <v>0</v>
      </c>
      <c r="AB33" s="547"/>
      <c r="AC33" s="548"/>
      <c r="AD33" s="275">
        <f t="shared" si="31"/>
        <v>0</v>
      </c>
      <c r="AE33" s="547"/>
      <c r="AF33" s="548"/>
      <c r="AG33" s="275">
        <f t="shared" si="32"/>
        <v>0</v>
      </c>
      <c r="AH33" s="547"/>
      <c r="AI33" s="548"/>
      <c r="AJ33" s="275">
        <f t="shared" si="33"/>
        <v>0</v>
      </c>
      <c r="AK33" s="547"/>
      <c r="AL33" s="548"/>
      <c r="AM33" s="275">
        <f t="shared" si="34"/>
        <v>0</v>
      </c>
      <c r="AN33" s="547"/>
      <c r="AO33" s="548"/>
      <c r="AP33" s="275">
        <f t="shared" si="35"/>
        <v>0</v>
      </c>
      <c r="AQ33" s="547"/>
      <c r="AR33" s="548"/>
      <c r="AS33" s="275">
        <f t="shared" si="36"/>
        <v>0</v>
      </c>
      <c r="AT33" s="547"/>
      <c r="AU33" s="548"/>
      <c r="AV33" s="275">
        <f t="shared" si="37"/>
        <v>0</v>
      </c>
      <c r="AW33" s="547"/>
      <c r="AX33" s="548"/>
      <c r="AY33" s="275">
        <f t="shared" si="38"/>
        <v>0</v>
      </c>
      <c r="AZ33" s="547"/>
      <c r="BA33" s="548"/>
      <c r="BB33" s="275">
        <f t="shared" si="39"/>
        <v>0</v>
      </c>
      <c r="BC33" s="547"/>
      <c r="BD33" s="548"/>
      <c r="BE33" s="275">
        <f t="shared" si="40"/>
        <v>0</v>
      </c>
      <c r="BF33" s="547"/>
      <c r="BG33" s="548"/>
      <c r="BH33" s="275">
        <f t="shared" si="41"/>
        <v>0</v>
      </c>
      <c r="BI33" s="547"/>
      <c r="BJ33" s="548"/>
      <c r="BK33" s="275">
        <f t="shared" si="42"/>
        <v>0</v>
      </c>
      <c r="BL33" s="547"/>
      <c r="BM33" s="548"/>
      <c r="BN33" s="275">
        <f t="shared" si="43"/>
        <v>0</v>
      </c>
      <c r="BO33" s="547"/>
      <c r="BP33" s="548"/>
      <c r="BQ33" s="275">
        <f t="shared" si="44"/>
        <v>0</v>
      </c>
    </row>
    <row r="34" spans="1:70" ht="15" thickBot="1">
      <c r="A34" s="792"/>
      <c r="B34" s="796"/>
      <c r="C34" s="263" t="s">
        <v>175</v>
      </c>
      <c r="D34" s="276"/>
      <c r="E34" s="277"/>
      <c r="F34" s="278"/>
      <c r="G34" s="549"/>
      <c r="H34" s="550"/>
      <c r="I34" s="279">
        <f t="shared" si="24"/>
        <v>0</v>
      </c>
      <c r="J34" s="549"/>
      <c r="K34" s="550"/>
      <c r="L34" s="279">
        <f t="shared" si="25"/>
        <v>0</v>
      </c>
      <c r="M34" s="549"/>
      <c r="N34" s="550"/>
      <c r="O34" s="279">
        <f t="shared" si="26"/>
        <v>0</v>
      </c>
      <c r="P34" s="549"/>
      <c r="Q34" s="550"/>
      <c r="R34" s="279">
        <f t="shared" si="27"/>
        <v>0</v>
      </c>
      <c r="S34" s="549"/>
      <c r="T34" s="550"/>
      <c r="U34" s="279">
        <f t="shared" si="28"/>
        <v>0</v>
      </c>
      <c r="V34" s="549"/>
      <c r="W34" s="550"/>
      <c r="X34" s="279">
        <f t="shared" si="29"/>
        <v>0</v>
      </c>
      <c r="Y34" s="549"/>
      <c r="Z34" s="550"/>
      <c r="AA34" s="279">
        <f t="shared" si="30"/>
        <v>0</v>
      </c>
      <c r="AB34" s="549"/>
      <c r="AC34" s="550"/>
      <c r="AD34" s="279">
        <f t="shared" si="31"/>
        <v>0</v>
      </c>
      <c r="AE34" s="549"/>
      <c r="AF34" s="550"/>
      <c r="AG34" s="279">
        <f t="shared" si="32"/>
        <v>0</v>
      </c>
      <c r="AH34" s="549"/>
      <c r="AI34" s="550"/>
      <c r="AJ34" s="279">
        <f t="shared" si="33"/>
        <v>0</v>
      </c>
      <c r="AK34" s="549"/>
      <c r="AL34" s="550"/>
      <c r="AM34" s="279">
        <f t="shared" si="34"/>
        <v>0</v>
      </c>
      <c r="AN34" s="549"/>
      <c r="AO34" s="550"/>
      <c r="AP34" s="279">
        <f t="shared" si="35"/>
        <v>0</v>
      </c>
      <c r="AQ34" s="549"/>
      <c r="AR34" s="550"/>
      <c r="AS34" s="279">
        <f t="shared" si="36"/>
        <v>0</v>
      </c>
      <c r="AT34" s="549"/>
      <c r="AU34" s="550"/>
      <c r="AV34" s="279">
        <f t="shared" si="37"/>
        <v>0</v>
      </c>
      <c r="AW34" s="549"/>
      <c r="AX34" s="550"/>
      <c r="AY34" s="279">
        <f t="shared" si="38"/>
        <v>0</v>
      </c>
      <c r="AZ34" s="549"/>
      <c r="BA34" s="550"/>
      <c r="BB34" s="279">
        <f t="shared" si="39"/>
        <v>0</v>
      </c>
      <c r="BC34" s="549"/>
      <c r="BD34" s="550"/>
      <c r="BE34" s="279">
        <f t="shared" si="40"/>
        <v>0</v>
      </c>
      <c r="BF34" s="549"/>
      <c r="BG34" s="550"/>
      <c r="BH34" s="279">
        <f t="shared" si="41"/>
        <v>0</v>
      </c>
      <c r="BI34" s="549"/>
      <c r="BJ34" s="550"/>
      <c r="BK34" s="279">
        <f t="shared" si="42"/>
        <v>0</v>
      </c>
      <c r="BL34" s="549"/>
      <c r="BM34" s="550"/>
      <c r="BN34" s="279">
        <f t="shared" si="43"/>
        <v>0</v>
      </c>
      <c r="BO34" s="549"/>
      <c r="BP34" s="550"/>
      <c r="BQ34" s="279">
        <f t="shared" si="44"/>
        <v>0</v>
      </c>
    </row>
    <row r="35" spans="1:70" s="281" customFormat="1" ht="14.5" customHeight="1">
      <c r="A35" s="790" t="s">
        <v>216</v>
      </c>
      <c r="B35" s="794" t="s">
        <v>217</v>
      </c>
      <c r="C35" s="251" t="s">
        <v>166</v>
      </c>
      <c r="D35" s="268"/>
      <c r="E35" s="269"/>
      <c r="F35" s="270"/>
      <c r="G35" s="545">
        <v>0</v>
      </c>
      <c r="H35" s="546"/>
      <c r="I35" s="271">
        <f t="shared" si="24"/>
        <v>0</v>
      </c>
      <c r="J35" s="545"/>
      <c r="K35" s="546"/>
      <c r="L35" s="271">
        <f t="shared" si="25"/>
        <v>0</v>
      </c>
      <c r="M35" s="545"/>
      <c r="N35" s="546"/>
      <c r="O35" s="271">
        <f t="shared" si="26"/>
        <v>0</v>
      </c>
      <c r="P35" s="545"/>
      <c r="Q35" s="546"/>
      <c r="R35" s="271">
        <f t="shared" si="27"/>
        <v>0</v>
      </c>
      <c r="S35" s="545"/>
      <c r="T35" s="546"/>
      <c r="U35" s="271">
        <f t="shared" si="28"/>
        <v>0</v>
      </c>
      <c r="V35" s="545"/>
      <c r="W35" s="546"/>
      <c r="X35" s="271">
        <f t="shared" si="29"/>
        <v>0</v>
      </c>
      <c r="Y35" s="545"/>
      <c r="Z35" s="546"/>
      <c r="AA35" s="271">
        <f t="shared" si="30"/>
        <v>0</v>
      </c>
      <c r="AB35" s="545"/>
      <c r="AC35" s="546"/>
      <c r="AD35" s="271">
        <f t="shared" si="31"/>
        <v>0</v>
      </c>
      <c r="AE35" s="545"/>
      <c r="AF35" s="546"/>
      <c r="AG35" s="271">
        <f t="shared" si="32"/>
        <v>0</v>
      </c>
      <c r="AH35" s="545"/>
      <c r="AI35" s="546"/>
      <c r="AJ35" s="271">
        <f t="shared" si="33"/>
        <v>0</v>
      </c>
      <c r="AK35" s="545"/>
      <c r="AL35" s="546"/>
      <c r="AM35" s="271">
        <f t="shared" si="34"/>
        <v>0</v>
      </c>
      <c r="AN35" s="545"/>
      <c r="AO35" s="546"/>
      <c r="AP35" s="271">
        <f t="shared" si="35"/>
        <v>0</v>
      </c>
      <c r="AQ35" s="545"/>
      <c r="AR35" s="546"/>
      <c r="AS35" s="271">
        <f t="shared" si="36"/>
        <v>0</v>
      </c>
      <c r="AT35" s="545"/>
      <c r="AU35" s="546"/>
      <c r="AV35" s="271">
        <f t="shared" si="37"/>
        <v>0</v>
      </c>
      <c r="AW35" s="545"/>
      <c r="AX35" s="546"/>
      <c r="AY35" s="271">
        <f t="shared" si="38"/>
        <v>0</v>
      </c>
      <c r="AZ35" s="545"/>
      <c r="BA35" s="546"/>
      <c r="BB35" s="271">
        <f t="shared" si="39"/>
        <v>0</v>
      </c>
      <c r="BC35" s="545"/>
      <c r="BD35" s="546"/>
      <c r="BE35" s="271">
        <f t="shared" si="40"/>
        <v>0</v>
      </c>
      <c r="BF35" s="545"/>
      <c r="BG35" s="546"/>
      <c r="BH35" s="271">
        <f t="shared" si="41"/>
        <v>0</v>
      </c>
      <c r="BI35" s="545"/>
      <c r="BJ35" s="546"/>
      <c r="BK35" s="271">
        <f t="shared" si="42"/>
        <v>0</v>
      </c>
      <c r="BL35" s="545"/>
      <c r="BM35" s="546"/>
      <c r="BN35" s="271">
        <f t="shared" si="43"/>
        <v>0</v>
      </c>
      <c r="BO35" s="545"/>
      <c r="BP35" s="546"/>
      <c r="BQ35" s="271">
        <f t="shared" si="44"/>
        <v>0</v>
      </c>
      <c r="BR35" s="280">
        <f>'Analyza citlivosti - AgendovéIS'!N7</f>
        <v>0</v>
      </c>
    </row>
    <row r="36" spans="1:70">
      <c r="A36" s="791"/>
      <c r="B36" s="795"/>
      <c r="C36" s="24" t="s">
        <v>167</v>
      </c>
      <c r="D36" s="272"/>
      <c r="E36" s="273"/>
      <c r="F36" s="274"/>
      <c r="G36" s="547">
        <v>0</v>
      </c>
      <c r="H36" s="548"/>
      <c r="I36" s="275">
        <f t="shared" si="24"/>
        <v>0</v>
      </c>
      <c r="J36" s="547"/>
      <c r="K36" s="548"/>
      <c r="L36" s="275">
        <f t="shared" si="25"/>
        <v>0</v>
      </c>
      <c r="M36" s="547"/>
      <c r="N36" s="548"/>
      <c r="O36" s="275">
        <f t="shared" si="26"/>
        <v>0</v>
      </c>
      <c r="P36" s="547"/>
      <c r="Q36" s="548"/>
      <c r="R36" s="275">
        <f t="shared" si="27"/>
        <v>0</v>
      </c>
      <c r="S36" s="547"/>
      <c r="T36" s="548"/>
      <c r="U36" s="275">
        <f t="shared" si="28"/>
        <v>0</v>
      </c>
      <c r="V36" s="547"/>
      <c r="W36" s="548"/>
      <c r="X36" s="275">
        <f t="shared" si="29"/>
        <v>0</v>
      </c>
      <c r="Y36" s="547"/>
      <c r="Z36" s="548"/>
      <c r="AA36" s="275">
        <f t="shared" si="30"/>
        <v>0</v>
      </c>
      <c r="AB36" s="547"/>
      <c r="AC36" s="548"/>
      <c r="AD36" s="275">
        <f t="shared" si="31"/>
        <v>0</v>
      </c>
      <c r="AE36" s="547"/>
      <c r="AF36" s="548"/>
      <c r="AG36" s="275">
        <f t="shared" si="32"/>
        <v>0</v>
      </c>
      <c r="AH36" s="547"/>
      <c r="AI36" s="548"/>
      <c r="AJ36" s="275">
        <f t="shared" si="33"/>
        <v>0</v>
      </c>
      <c r="AK36" s="547"/>
      <c r="AL36" s="548"/>
      <c r="AM36" s="275">
        <f t="shared" si="34"/>
        <v>0</v>
      </c>
      <c r="AN36" s="547"/>
      <c r="AO36" s="548"/>
      <c r="AP36" s="275">
        <f t="shared" si="35"/>
        <v>0</v>
      </c>
      <c r="AQ36" s="547"/>
      <c r="AR36" s="548"/>
      <c r="AS36" s="275">
        <f t="shared" si="36"/>
        <v>0</v>
      </c>
      <c r="AT36" s="547"/>
      <c r="AU36" s="548"/>
      <c r="AV36" s="275">
        <f t="shared" si="37"/>
        <v>0</v>
      </c>
      <c r="AW36" s="547"/>
      <c r="AX36" s="548"/>
      <c r="AY36" s="275">
        <f t="shared" si="38"/>
        <v>0</v>
      </c>
      <c r="AZ36" s="547"/>
      <c r="BA36" s="548"/>
      <c r="BB36" s="275">
        <f t="shared" si="39"/>
        <v>0</v>
      </c>
      <c r="BC36" s="547"/>
      <c r="BD36" s="548"/>
      <c r="BE36" s="275">
        <f t="shared" si="40"/>
        <v>0</v>
      </c>
      <c r="BF36" s="547"/>
      <c r="BG36" s="548"/>
      <c r="BH36" s="275">
        <f t="shared" si="41"/>
        <v>0</v>
      </c>
      <c r="BI36" s="547"/>
      <c r="BJ36" s="548"/>
      <c r="BK36" s="275">
        <f t="shared" si="42"/>
        <v>0</v>
      </c>
      <c r="BL36" s="547"/>
      <c r="BM36" s="548"/>
      <c r="BN36" s="275">
        <f t="shared" si="43"/>
        <v>0</v>
      </c>
      <c r="BO36" s="547"/>
      <c r="BP36" s="548"/>
      <c r="BQ36" s="275">
        <f t="shared" si="44"/>
        <v>0</v>
      </c>
    </row>
    <row r="37" spans="1:70">
      <c r="A37" s="791"/>
      <c r="B37" s="795"/>
      <c r="C37" s="24" t="s">
        <v>168</v>
      </c>
      <c r="D37" s="272"/>
      <c r="E37" s="273"/>
      <c r="F37" s="274"/>
      <c r="G37" s="547">
        <v>0</v>
      </c>
      <c r="H37" s="548"/>
      <c r="I37" s="275">
        <f t="shared" si="24"/>
        <v>0</v>
      </c>
      <c r="J37" s="547"/>
      <c r="K37" s="548"/>
      <c r="L37" s="275">
        <f t="shared" si="25"/>
        <v>0</v>
      </c>
      <c r="M37" s="547"/>
      <c r="N37" s="548"/>
      <c r="O37" s="275">
        <f t="shared" si="26"/>
        <v>0</v>
      </c>
      <c r="P37" s="547"/>
      <c r="Q37" s="548"/>
      <c r="R37" s="275">
        <f t="shared" si="27"/>
        <v>0</v>
      </c>
      <c r="S37" s="547"/>
      <c r="T37" s="548"/>
      <c r="U37" s="275">
        <f t="shared" si="28"/>
        <v>0</v>
      </c>
      <c r="V37" s="547"/>
      <c r="W37" s="548"/>
      <c r="X37" s="275">
        <f t="shared" si="29"/>
        <v>0</v>
      </c>
      <c r="Y37" s="547"/>
      <c r="Z37" s="548"/>
      <c r="AA37" s="275">
        <f t="shared" si="30"/>
        <v>0</v>
      </c>
      <c r="AB37" s="547"/>
      <c r="AC37" s="548"/>
      <c r="AD37" s="275">
        <f t="shared" si="31"/>
        <v>0</v>
      </c>
      <c r="AE37" s="547"/>
      <c r="AF37" s="548"/>
      <c r="AG37" s="275">
        <f t="shared" si="32"/>
        <v>0</v>
      </c>
      <c r="AH37" s="547"/>
      <c r="AI37" s="548"/>
      <c r="AJ37" s="275">
        <f t="shared" si="33"/>
        <v>0</v>
      </c>
      <c r="AK37" s="547"/>
      <c r="AL37" s="548"/>
      <c r="AM37" s="275">
        <f t="shared" si="34"/>
        <v>0</v>
      </c>
      <c r="AN37" s="547"/>
      <c r="AO37" s="548"/>
      <c r="AP37" s="275">
        <f t="shared" si="35"/>
        <v>0</v>
      </c>
      <c r="AQ37" s="547"/>
      <c r="AR37" s="548"/>
      <c r="AS37" s="275">
        <f t="shared" si="36"/>
        <v>0</v>
      </c>
      <c r="AT37" s="547"/>
      <c r="AU37" s="548"/>
      <c r="AV37" s="275">
        <f t="shared" si="37"/>
        <v>0</v>
      </c>
      <c r="AW37" s="547"/>
      <c r="AX37" s="548"/>
      <c r="AY37" s="275">
        <f t="shared" si="38"/>
        <v>0</v>
      </c>
      <c r="AZ37" s="547"/>
      <c r="BA37" s="548"/>
      <c r="BB37" s="275">
        <f t="shared" si="39"/>
        <v>0</v>
      </c>
      <c r="BC37" s="547"/>
      <c r="BD37" s="548"/>
      <c r="BE37" s="275">
        <f t="shared" si="40"/>
        <v>0</v>
      </c>
      <c r="BF37" s="547"/>
      <c r="BG37" s="548"/>
      <c r="BH37" s="275">
        <f t="shared" si="41"/>
        <v>0</v>
      </c>
      <c r="BI37" s="547"/>
      <c r="BJ37" s="548"/>
      <c r="BK37" s="275">
        <f t="shared" si="42"/>
        <v>0</v>
      </c>
      <c r="BL37" s="547"/>
      <c r="BM37" s="548"/>
      <c r="BN37" s="275">
        <f t="shared" si="43"/>
        <v>0</v>
      </c>
      <c r="BO37" s="547"/>
      <c r="BP37" s="548"/>
      <c r="BQ37" s="275">
        <f t="shared" si="44"/>
        <v>0</v>
      </c>
    </row>
    <row r="38" spans="1:70">
      <c r="A38" s="791"/>
      <c r="B38" s="795"/>
      <c r="C38" s="24" t="s">
        <v>169</v>
      </c>
      <c r="D38" s="272"/>
      <c r="E38" s="273"/>
      <c r="F38" s="274"/>
      <c r="G38" s="547">
        <v>8</v>
      </c>
      <c r="H38" s="548">
        <f>G38-0.2</f>
        <v>7.8</v>
      </c>
      <c r="I38" s="275">
        <f t="shared" si="24"/>
        <v>-0.20000000000000018</v>
      </c>
      <c r="J38" s="547">
        <f>H38</f>
        <v>7.8</v>
      </c>
      <c r="K38" s="548">
        <f>J38-0.2</f>
        <v>7.6</v>
      </c>
      <c r="L38" s="275">
        <f t="shared" si="25"/>
        <v>-0.20000000000000018</v>
      </c>
      <c r="M38" s="547">
        <f>K38</f>
        <v>7.6</v>
      </c>
      <c r="N38" s="548">
        <f>M38-0.2</f>
        <v>7.3999999999999995</v>
      </c>
      <c r="O38" s="275">
        <f t="shared" si="26"/>
        <v>-0.20000000000000018</v>
      </c>
      <c r="P38" s="547">
        <f>N38</f>
        <v>7.3999999999999995</v>
      </c>
      <c r="Q38" s="548">
        <f>P38-0.2</f>
        <v>7.1999999999999993</v>
      </c>
      <c r="R38" s="275">
        <f t="shared" si="27"/>
        <v>-0.20000000000000018</v>
      </c>
      <c r="S38" s="547">
        <f>Q38</f>
        <v>7.1999999999999993</v>
      </c>
      <c r="T38" s="548">
        <f>S38-0.2</f>
        <v>6.9999999999999991</v>
      </c>
      <c r="U38" s="275">
        <f t="shared" si="28"/>
        <v>-0.20000000000000018</v>
      </c>
      <c r="V38" s="547">
        <f>T38</f>
        <v>6.9999999999999991</v>
      </c>
      <c r="W38" s="548">
        <f>V38-0.2</f>
        <v>6.7999999999999989</v>
      </c>
      <c r="X38" s="275">
        <f t="shared" si="29"/>
        <v>-0.20000000000000018</v>
      </c>
      <c r="Y38" s="547">
        <f>W38</f>
        <v>6.7999999999999989</v>
      </c>
      <c r="Z38" s="548">
        <f>Y38-0.2</f>
        <v>6.5999999999999988</v>
      </c>
      <c r="AA38" s="275">
        <f t="shared" si="30"/>
        <v>-0.20000000000000018</v>
      </c>
      <c r="AB38" s="547">
        <f>Z38</f>
        <v>6.5999999999999988</v>
      </c>
      <c r="AC38" s="548">
        <f>AB38-0.2</f>
        <v>6.3999999999999986</v>
      </c>
      <c r="AD38" s="275">
        <f t="shared" si="31"/>
        <v>-0.20000000000000018</v>
      </c>
      <c r="AE38" s="547">
        <f>AC38</f>
        <v>6.3999999999999986</v>
      </c>
      <c r="AF38" s="548">
        <f>AE38-0.2</f>
        <v>6.1999999999999984</v>
      </c>
      <c r="AG38" s="275">
        <f t="shared" si="32"/>
        <v>-0.20000000000000018</v>
      </c>
      <c r="AH38" s="547">
        <f>AF38</f>
        <v>6.1999999999999984</v>
      </c>
      <c r="AI38" s="548">
        <f>AH38-0.2</f>
        <v>5.9999999999999982</v>
      </c>
      <c r="AJ38" s="275">
        <f t="shared" si="33"/>
        <v>-0.20000000000000018</v>
      </c>
      <c r="AK38" s="547">
        <f>AI38</f>
        <v>5.9999999999999982</v>
      </c>
      <c r="AL38" s="548">
        <f>AK38-0.2</f>
        <v>5.799999999999998</v>
      </c>
      <c r="AM38" s="275">
        <f t="shared" si="34"/>
        <v>-0.20000000000000018</v>
      </c>
      <c r="AN38" s="547">
        <f>AL38</f>
        <v>5.799999999999998</v>
      </c>
      <c r="AO38" s="548">
        <f>AN38-0.2</f>
        <v>5.5999999999999979</v>
      </c>
      <c r="AP38" s="275">
        <f t="shared" si="35"/>
        <v>-0.20000000000000018</v>
      </c>
      <c r="AQ38" s="547">
        <f>AO38</f>
        <v>5.5999999999999979</v>
      </c>
      <c r="AR38" s="548">
        <f>AQ38-0.2</f>
        <v>5.3999999999999977</v>
      </c>
      <c r="AS38" s="275">
        <f t="shared" si="36"/>
        <v>-0.20000000000000018</v>
      </c>
      <c r="AT38" s="547"/>
      <c r="AU38" s="548"/>
      <c r="AV38" s="275">
        <f t="shared" si="37"/>
        <v>0</v>
      </c>
      <c r="AW38" s="547"/>
      <c r="AX38" s="548"/>
      <c r="AY38" s="275">
        <f t="shared" si="38"/>
        <v>0</v>
      </c>
      <c r="AZ38" s="547"/>
      <c r="BA38" s="548"/>
      <c r="BB38" s="275">
        <f t="shared" si="39"/>
        <v>0</v>
      </c>
      <c r="BC38" s="547"/>
      <c r="BD38" s="548"/>
      <c r="BE38" s="275">
        <f t="shared" si="40"/>
        <v>0</v>
      </c>
      <c r="BF38" s="547"/>
      <c r="BG38" s="548"/>
      <c r="BH38" s="275">
        <f t="shared" si="41"/>
        <v>0</v>
      </c>
      <c r="BI38" s="547"/>
      <c r="BJ38" s="548"/>
      <c r="BK38" s="275">
        <f t="shared" si="42"/>
        <v>0</v>
      </c>
      <c r="BL38" s="547"/>
      <c r="BM38" s="548"/>
      <c r="BN38" s="275">
        <f t="shared" si="43"/>
        <v>0</v>
      </c>
      <c r="BO38" s="547"/>
      <c r="BP38" s="548"/>
      <c r="BQ38" s="275">
        <f t="shared" si="44"/>
        <v>0</v>
      </c>
    </row>
    <row r="39" spans="1:70">
      <c r="A39" s="791"/>
      <c r="B39" s="795"/>
      <c r="C39" s="24" t="s">
        <v>170</v>
      </c>
      <c r="D39" s="272"/>
      <c r="E39" s="273"/>
      <c r="F39" s="274"/>
      <c r="G39" s="547">
        <v>8</v>
      </c>
      <c r="H39" s="548">
        <f t="shared" ref="H39:H43" si="45">G39-0.2</f>
        <v>7.8</v>
      </c>
      <c r="I39" s="275">
        <f t="shared" si="24"/>
        <v>-0.20000000000000018</v>
      </c>
      <c r="J39" s="547">
        <f t="shared" ref="J39:J43" si="46">H39</f>
        <v>7.8</v>
      </c>
      <c r="K39" s="548">
        <f t="shared" ref="K39:K43" si="47">J39-0.2</f>
        <v>7.6</v>
      </c>
      <c r="L39" s="275">
        <f t="shared" si="25"/>
        <v>-0.20000000000000018</v>
      </c>
      <c r="M39" s="547">
        <f t="shared" ref="M39:M43" si="48">K39</f>
        <v>7.6</v>
      </c>
      <c r="N39" s="548">
        <f t="shared" ref="N39:N43" si="49">M39-0.2</f>
        <v>7.3999999999999995</v>
      </c>
      <c r="O39" s="275">
        <f t="shared" si="26"/>
        <v>-0.20000000000000018</v>
      </c>
      <c r="P39" s="547">
        <f t="shared" ref="P39:P43" si="50">N39</f>
        <v>7.3999999999999995</v>
      </c>
      <c r="Q39" s="548">
        <f t="shared" ref="Q39:Q43" si="51">P39-0.2</f>
        <v>7.1999999999999993</v>
      </c>
      <c r="R39" s="275">
        <f t="shared" si="27"/>
        <v>-0.20000000000000018</v>
      </c>
      <c r="S39" s="547">
        <f t="shared" ref="S39:S43" si="52">Q39</f>
        <v>7.1999999999999993</v>
      </c>
      <c r="T39" s="548">
        <f t="shared" ref="T39:T43" si="53">S39-0.2</f>
        <v>6.9999999999999991</v>
      </c>
      <c r="U39" s="275">
        <f t="shared" si="28"/>
        <v>-0.20000000000000018</v>
      </c>
      <c r="V39" s="547">
        <f t="shared" ref="V39:V43" si="54">T39</f>
        <v>6.9999999999999991</v>
      </c>
      <c r="W39" s="548">
        <f t="shared" ref="W39:W43" si="55">V39-0.2</f>
        <v>6.7999999999999989</v>
      </c>
      <c r="X39" s="275">
        <f t="shared" si="29"/>
        <v>-0.20000000000000018</v>
      </c>
      <c r="Y39" s="547">
        <f t="shared" ref="Y39:Y43" si="56">W39</f>
        <v>6.7999999999999989</v>
      </c>
      <c r="Z39" s="548">
        <f t="shared" ref="Z39:Z43" si="57">Y39-0.2</f>
        <v>6.5999999999999988</v>
      </c>
      <c r="AA39" s="275">
        <f t="shared" si="30"/>
        <v>-0.20000000000000018</v>
      </c>
      <c r="AB39" s="547">
        <f t="shared" ref="AB39:AB43" si="58">Z39</f>
        <v>6.5999999999999988</v>
      </c>
      <c r="AC39" s="548">
        <f t="shared" ref="AC39:AC43" si="59">AB39-0.2</f>
        <v>6.3999999999999986</v>
      </c>
      <c r="AD39" s="275">
        <f t="shared" si="31"/>
        <v>-0.20000000000000018</v>
      </c>
      <c r="AE39" s="547">
        <f t="shared" ref="AE39:AE43" si="60">AC39</f>
        <v>6.3999999999999986</v>
      </c>
      <c r="AF39" s="548">
        <f t="shared" ref="AF39:AF43" si="61">AE39-0.2</f>
        <v>6.1999999999999984</v>
      </c>
      <c r="AG39" s="275">
        <f t="shared" si="32"/>
        <v>-0.20000000000000018</v>
      </c>
      <c r="AH39" s="547">
        <f t="shared" ref="AH39:AH43" si="62">AF39</f>
        <v>6.1999999999999984</v>
      </c>
      <c r="AI39" s="548">
        <f t="shared" ref="AI39:AI43" si="63">AH39-0.2</f>
        <v>5.9999999999999982</v>
      </c>
      <c r="AJ39" s="275">
        <f t="shared" si="33"/>
        <v>-0.20000000000000018</v>
      </c>
      <c r="AK39" s="547">
        <f t="shared" ref="AK39:AK43" si="64">AI39</f>
        <v>5.9999999999999982</v>
      </c>
      <c r="AL39" s="548">
        <f t="shared" ref="AL39:AL43" si="65">AK39-0.2</f>
        <v>5.799999999999998</v>
      </c>
      <c r="AM39" s="275">
        <f t="shared" si="34"/>
        <v>-0.20000000000000018</v>
      </c>
      <c r="AN39" s="547">
        <f t="shared" ref="AN39:AN43" si="66">AL39</f>
        <v>5.799999999999998</v>
      </c>
      <c r="AO39" s="548">
        <f t="shared" ref="AO39:AO43" si="67">AN39-0.2</f>
        <v>5.5999999999999979</v>
      </c>
      <c r="AP39" s="275">
        <f t="shared" si="35"/>
        <v>-0.20000000000000018</v>
      </c>
      <c r="AQ39" s="547">
        <f t="shared" ref="AQ39:AQ43" si="68">AO39</f>
        <v>5.5999999999999979</v>
      </c>
      <c r="AR39" s="548">
        <f t="shared" ref="AR39:AR43" si="69">AQ39-0.2</f>
        <v>5.3999999999999977</v>
      </c>
      <c r="AS39" s="275">
        <f t="shared" si="36"/>
        <v>-0.20000000000000018</v>
      </c>
      <c r="AT39" s="547"/>
      <c r="AU39" s="548"/>
      <c r="AV39" s="275">
        <f t="shared" si="37"/>
        <v>0</v>
      </c>
      <c r="AW39" s="547"/>
      <c r="AX39" s="548"/>
      <c r="AY39" s="275">
        <f t="shared" si="38"/>
        <v>0</v>
      </c>
      <c r="AZ39" s="547"/>
      <c r="BA39" s="548"/>
      <c r="BB39" s="275">
        <f t="shared" si="39"/>
        <v>0</v>
      </c>
      <c r="BC39" s="547"/>
      <c r="BD39" s="548"/>
      <c r="BE39" s="275">
        <f t="shared" si="40"/>
        <v>0</v>
      </c>
      <c r="BF39" s="547"/>
      <c r="BG39" s="548"/>
      <c r="BH39" s="275">
        <f t="shared" si="41"/>
        <v>0</v>
      </c>
      <c r="BI39" s="547"/>
      <c r="BJ39" s="548"/>
      <c r="BK39" s="275">
        <f t="shared" si="42"/>
        <v>0</v>
      </c>
      <c r="BL39" s="547"/>
      <c r="BM39" s="548"/>
      <c r="BN39" s="275">
        <f t="shared" si="43"/>
        <v>0</v>
      </c>
      <c r="BO39" s="547"/>
      <c r="BP39" s="548"/>
      <c r="BQ39" s="275">
        <f t="shared" si="44"/>
        <v>0</v>
      </c>
    </row>
    <row r="40" spans="1:70">
      <c r="A40" s="791"/>
      <c r="B40" s="795"/>
      <c r="C40" s="24" t="s">
        <v>171</v>
      </c>
      <c r="D40" s="272"/>
      <c r="E40" s="273"/>
      <c r="F40" s="274"/>
      <c r="G40" s="547">
        <v>8</v>
      </c>
      <c r="H40" s="548">
        <f t="shared" si="45"/>
        <v>7.8</v>
      </c>
      <c r="I40" s="275">
        <f t="shared" si="24"/>
        <v>-0.20000000000000018</v>
      </c>
      <c r="J40" s="547">
        <f t="shared" si="46"/>
        <v>7.8</v>
      </c>
      <c r="K40" s="548">
        <f t="shared" si="47"/>
        <v>7.6</v>
      </c>
      <c r="L40" s="275">
        <f t="shared" si="25"/>
        <v>-0.20000000000000018</v>
      </c>
      <c r="M40" s="547">
        <f t="shared" si="48"/>
        <v>7.6</v>
      </c>
      <c r="N40" s="548">
        <f t="shared" si="49"/>
        <v>7.3999999999999995</v>
      </c>
      <c r="O40" s="275">
        <f t="shared" si="26"/>
        <v>-0.20000000000000018</v>
      </c>
      <c r="P40" s="547">
        <f t="shared" si="50"/>
        <v>7.3999999999999995</v>
      </c>
      <c r="Q40" s="548">
        <f t="shared" si="51"/>
        <v>7.1999999999999993</v>
      </c>
      <c r="R40" s="275">
        <f t="shared" si="27"/>
        <v>-0.20000000000000018</v>
      </c>
      <c r="S40" s="547">
        <f t="shared" si="52"/>
        <v>7.1999999999999993</v>
      </c>
      <c r="T40" s="548">
        <f t="shared" si="53"/>
        <v>6.9999999999999991</v>
      </c>
      <c r="U40" s="275">
        <f t="shared" si="28"/>
        <v>-0.20000000000000018</v>
      </c>
      <c r="V40" s="547">
        <f t="shared" si="54"/>
        <v>6.9999999999999991</v>
      </c>
      <c r="W40" s="548">
        <f t="shared" si="55"/>
        <v>6.7999999999999989</v>
      </c>
      <c r="X40" s="275">
        <f t="shared" si="29"/>
        <v>-0.20000000000000018</v>
      </c>
      <c r="Y40" s="547">
        <f t="shared" si="56"/>
        <v>6.7999999999999989</v>
      </c>
      <c r="Z40" s="548">
        <f t="shared" si="57"/>
        <v>6.5999999999999988</v>
      </c>
      <c r="AA40" s="275">
        <f t="shared" si="30"/>
        <v>-0.20000000000000018</v>
      </c>
      <c r="AB40" s="547">
        <f t="shared" si="58"/>
        <v>6.5999999999999988</v>
      </c>
      <c r="AC40" s="548">
        <f t="shared" si="59"/>
        <v>6.3999999999999986</v>
      </c>
      <c r="AD40" s="275">
        <f t="shared" si="31"/>
        <v>-0.20000000000000018</v>
      </c>
      <c r="AE40" s="547">
        <f t="shared" si="60"/>
        <v>6.3999999999999986</v>
      </c>
      <c r="AF40" s="548">
        <f t="shared" si="61"/>
        <v>6.1999999999999984</v>
      </c>
      <c r="AG40" s="275">
        <f t="shared" si="32"/>
        <v>-0.20000000000000018</v>
      </c>
      <c r="AH40" s="547">
        <f t="shared" si="62"/>
        <v>6.1999999999999984</v>
      </c>
      <c r="AI40" s="548">
        <f t="shared" si="63"/>
        <v>5.9999999999999982</v>
      </c>
      <c r="AJ40" s="275">
        <f t="shared" si="33"/>
        <v>-0.20000000000000018</v>
      </c>
      <c r="AK40" s="547">
        <f t="shared" si="64"/>
        <v>5.9999999999999982</v>
      </c>
      <c r="AL40" s="548">
        <f t="shared" si="65"/>
        <v>5.799999999999998</v>
      </c>
      <c r="AM40" s="275">
        <f t="shared" si="34"/>
        <v>-0.20000000000000018</v>
      </c>
      <c r="AN40" s="547">
        <f t="shared" si="66"/>
        <v>5.799999999999998</v>
      </c>
      <c r="AO40" s="548">
        <f t="shared" si="67"/>
        <v>5.5999999999999979</v>
      </c>
      <c r="AP40" s="275">
        <f t="shared" si="35"/>
        <v>-0.20000000000000018</v>
      </c>
      <c r="AQ40" s="547">
        <f t="shared" si="68"/>
        <v>5.5999999999999979</v>
      </c>
      <c r="AR40" s="548">
        <f t="shared" si="69"/>
        <v>5.3999999999999977</v>
      </c>
      <c r="AS40" s="275">
        <f t="shared" si="36"/>
        <v>-0.20000000000000018</v>
      </c>
      <c r="AT40" s="547"/>
      <c r="AU40" s="548"/>
      <c r="AV40" s="275">
        <f t="shared" si="37"/>
        <v>0</v>
      </c>
      <c r="AW40" s="547"/>
      <c r="AX40" s="548"/>
      <c r="AY40" s="275">
        <f t="shared" si="38"/>
        <v>0</v>
      </c>
      <c r="AZ40" s="547"/>
      <c r="BA40" s="548"/>
      <c r="BB40" s="275">
        <f t="shared" si="39"/>
        <v>0</v>
      </c>
      <c r="BC40" s="547"/>
      <c r="BD40" s="548"/>
      <c r="BE40" s="275">
        <f t="shared" si="40"/>
        <v>0</v>
      </c>
      <c r="BF40" s="547"/>
      <c r="BG40" s="548"/>
      <c r="BH40" s="275">
        <f t="shared" si="41"/>
        <v>0</v>
      </c>
      <c r="BI40" s="547"/>
      <c r="BJ40" s="548"/>
      <c r="BK40" s="275">
        <f t="shared" si="42"/>
        <v>0</v>
      </c>
      <c r="BL40" s="547"/>
      <c r="BM40" s="548"/>
      <c r="BN40" s="275">
        <f t="shared" si="43"/>
        <v>0</v>
      </c>
      <c r="BO40" s="547"/>
      <c r="BP40" s="548"/>
      <c r="BQ40" s="275">
        <f t="shared" si="44"/>
        <v>0</v>
      </c>
    </row>
    <row r="41" spans="1:70">
      <c r="A41" s="791"/>
      <c r="B41" s="795"/>
      <c r="C41" s="24" t="s">
        <v>172</v>
      </c>
      <c r="D41" s="272"/>
      <c r="E41" s="273"/>
      <c r="F41" s="274"/>
      <c r="G41" s="547">
        <v>8</v>
      </c>
      <c r="H41" s="548">
        <f t="shared" si="45"/>
        <v>7.8</v>
      </c>
      <c r="I41" s="275">
        <f t="shared" si="24"/>
        <v>-0.20000000000000018</v>
      </c>
      <c r="J41" s="547">
        <f t="shared" si="46"/>
        <v>7.8</v>
      </c>
      <c r="K41" s="548">
        <f t="shared" si="47"/>
        <v>7.6</v>
      </c>
      <c r="L41" s="275">
        <f t="shared" si="25"/>
        <v>-0.20000000000000018</v>
      </c>
      <c r="M41" s="547">
        <f t="shared" si="48"/>
        <v>7.6</v>
      </c>
      <c r="N41" s="548">
        <f t="shared" si="49"/>
        <v>7.3999999999999995</v>
      </c>
      <c r="O41" s="275">
        <f t="shared" si="26"/>
        <v>-0.20000000000000018</v>
      </c>
      <c r="P41" s="547">
        <f t="shared" si="50"/>
        <v>7.3999999999999995</v>
      </c>
      <c r="Q41" s="548">
        <f t="shared" si="51"/>
        <v>7.1999999999999993</v>
      </c>
      <c r="R41" s="275">
        <f t="shared" si="27"/>
        <v>-0.20000000000000018</v>
      </c>
      <c r="S41" s="547">
        <f t="shared" si="52"/>
        <v>7.1999999999999993</v>
      </c>
      <c r="T41" s="548">
        <f t="shared" si="53"/>
        <v>6.9999999999999991</v>
      </c>
      <c r="U41" s="275">
        <f t="shared" si="28"/>
        <v>-0.20000000000000018</v>
      </c>
      <c r="V41" s="547">
        <f t="shared" si="54"/>
        <v>6.9999999999999991</v>
      </c>
      <c r="W41" s="548">
        <f t="shared" si="55"/>
        <v>6.7999999999999989</v>
      </c>
      <c r="X41" s="275">
        <f t="shared" si="29"/>
        <v>-0.20000000000000018</v>
      </c>
      <c r="Y41" s="547">
        <f t="shared" si="56"/>
        <v>6.7999999999999989</v>
      </c>
      <c r="Z41" s="548">
        <f t="shared" si="57"/>
        <v>6.5999999999999988</v>
      </c>
      <c r="AA41" s="275">
        <f t="shared" si="30"/>
        <v>-0.20000000000000018</v>
      </c>
      <c r="AB41" s="547">
        <f t="shared" si="58"/>
        <v>6.5999999999999988</v>
      </c>
      <c r="AC41" s="548">
        <f t="shared" si="59"/>
        <v>6.3999999999999986</v>
      </c>
      <c r="AD41" s="275">
        <f t="shared" si="31"/>
        <v>-0.20000000000000018</v>
      </c>
      <c r="AE41" s="547">
        <f t="shared" si="60"/>
        <v>6.3999999999999986</v>
      </c>
      <c r="AF41" s="548">
        <f t="shared" si="61"/>
        <v>6.1999999999999984</v>
      </c>
      <c r="AG41" s="275">
        <f t="shared" si="32"/>
        <v>-0.20000000000000018</v>
      </c>
      <c r="AH41" s="547">
        <f t="shared" si="62"/>
        <v>6.1999999999999984</v>
      </c>
      <c r="AI41" s="548">
        <f t="shared" si="63"/>
        <v>5.9999999999999982</v>
      </c>
      <c r="AJ41" s="275">
        <f t="shared" si="33"/>
        <v>-0.20000000000000018</v>
      </c>
      <c r="AK41" s="547">
        <f t="shared" si="64"/>
        <v>5.9999999999999982</v>
      </c>
      <c r="AL41" s="548">
        <f t="shared" si="65"/>
        <v>5.799999999999998</v>
      </c>
      <c r="AM41" s="275">
        <f t="shared" si="34"/>
        <v>-0.20000000000000018</v>
      </c>
      <c r="AN41" s="547">
        <f t="shared" si="66"/>
        <v>5.799999999999998</v>
      </c>
      <c r="AO41" s="548">
        <f t="shared" si="67"/>
        <v>5.5999999999999979</v>
      </c>
      <c r="AP41" s="275">
        <f t="shared" si="35"/>
        <v>-0.20000000000000018</v>
      </c>
      <c r="AQ41" s="547">
        <f t="shared" si="68"/>
        <v>5.5999999999999979</v>
      </c>
      <c r="AR41" s="548">
        <f t="shared" si="69"/>
        <v>5.3999999999999977</v>
      </c>
      <c r="AS41" s="275">
        <f t="shared" si="36"/>
        <v>-0.20000000000000018</v>
      </c>
      <c r="AT41" s="547"/>
      <c r="AU41" s="548"/>
      <c r="AV41" s="275">
        <f t="shared" si="37"/>
        <v>0</v>
      </c>
      <c r="AW41" s="547"/>
      <c r="AX41" s="548"/>
      <c r="AY41" s="275">
        <f t="shared" si="38"/>
        <v>0</v>
      </c>
      <c r="AZ41" s="547"/>
      <c r="BA41" s="548"/>
      <c r="BB41" s="275">
        <f t="shared" si="39"/>
        <v>0</v>
      </c>
      <c r="BC41" s="547"/>
      <c r="BD41" s="548"/>
      <c r="BE41" s="275">
        <f t="shared" si="40"/>
        <v>0</v>
      </c>
      <c r="BF41" s="547"/>
      <c r="BG41" s="548"/>
      <c r="BH41" s="275">
        <f t="shared" si="41"/>
        <v>0</v>
      </c>
      <c r="BI41" s="547"/>
      <c r="BJ41" s="548"/>
      <c r="BK41" s="275">
        <f t="shared" si="42"/>
        <v>0</v>
      </c>
      <c r="BL41" s="547"/>
      <c r="BM41" s="548"/>
      <c r="BN41" s="275">
        <f t="shared" si="43"/>
        <v>0</v>
      </c>
      <c r="BO41" s="547"/>
      <c r="BP41" s="548"/>
      <c r="BQ41" s="275">
        <f t="shared" si="44"/>
        <v>0</v>
      </c>
    </row>
    <row r="42" spans="1:70">
      <c r="A42" s="791"/>
      <c r="B42" s="795"/>
      <c r="C42" s="24" t="s">
        <v>173</v>
      </c>
      <c r="D42" s="272"/>
      <c r="E42" s="273"/>
      <c r="F42" s="274"/>
      <c r="G42" s="547">
        <v>8</v>
      </c>
      <c r="H42" s="548">
        <f t="shared" si="45"/>
        <v>7.8</v>
      </c>
      <c r="I42" s="275">
        <f t="shared" si="24"/>
        <v>-0.20000000000000018</v>
      </c>
      <c r="J42" s="547">
        <f t="shared" si="46"/>
        <v>7.8</v>
      </c>
      <c r="K42" s="548">
        <f t="shared" si="47"/>
        <v>7.6</v>
      </c>
      <c r="L42" s="275">
        <f t="shared" si="25"/>
        <v>-0.20000000000000018</v>
      </c>
      <c r="M42" s="547">
        <f t="shared" si="48"/>
        <v>7.6</v>
      </c>
      <c r="N42" s="548">
        <f t="shared" si="49"/>
        <v>7.3999999999999995</v>
      </c>
      <c r="O42" s="275">
        <f t="shared" si="26"/>
        <v>-0.20000000000000018</v>
      </c>
      <c r="P42" s="547">
        <f t="shared" si="50"/>
        <v>7.3999999999999995</v>
      </c>
      <c r="Q42" s="548">
        <f t="shared" si="51"/>
        <v>7.1999999999999993</v>
      </c>
      <c r="R42" s="275">
        <f t="shared" si="27"/>
        <v>-0.20000000000000018</v>
      </c>
      <c r="S42" s="547">
        <f t="shared" si="52"/>
        <v>7.1999999999999993</v>
      </c>
      <c r="T42" s="548">
        <f t="shared" si="53"/>
        <v>6.9999999999999991</v>
      </c>
      <c r="U42" s="275">
        <f t="shared" si="28"/>
        <v>-0.20000000000000018</v>
      </c>
      <c r="V42" s="547">
        <f t="shared" si="54"/>
        <v>6.9999999999999991</v>
      </c>
      <c r="W42" s="548">
        <f t="shared" si="55"/>
        <v>6.7999999999999989</v>
      </c>
      <c r="X42" s="275">
        <f t="shared" si="29"/>
        <v>-0.20000000000000018</v>
      </c>
      <c r="Y42" s="547">
        <f t="shared" si="56"/>
        <v>6.7999999999999989</v>
      </c>
      <c r="Z42" s="548">
        <f t="shared" si="57"/>
        <v>6.5999999999999988</v>
      </c>
      <c r="AA42" s="275">
        <f t="shared" si="30"/>
        <v>-0.20000000000000018</v>
      </c>
      <c r="AB42" s="547">
        <f t="shared" si="58"/>
        <v>6.5999999999999988</v>
      </c>
      <c r="AC42" s="548">
        <f t="shared" si="59"/>
        <v>6.3999999999999986</v>
      </c>
      <c r="AD42" s="275">
        <f t="shared" si="31"/>
        <v>-0.20000000000000018</v>
      </c>
      <c r="AE42" s="547">
        <f t="shared" si="60"/>
        <v>6.3999999999999986</v>
      </c>
      <c r="AF42" s="548">
        <f t="shared" si="61"/>
        <v>6.1999999999999984</v>
      </c>
      <c r="AG42" s="275">
        <f t="shared" si="32"/>
        <v>-0.20000000000000018</v>
      </c>
      <c r="AH42" s="547">
        <f t="shared" si="62"/>
        <v>6.1999999999999984</v>
      </c>
      <c r="AI42" s="548">
        <f t="shared" si="63"/>
        <v>5.9999999999999982</v>
      </c>
      <c r="AJ42" s="275">
        <f t="shared" si="33"/>
        <v>-0.20000000000000018</v>
      </c>
      <c r="AK42" s="547">
        <f t="shared" si="64"/>
        <v>5.9999999999999982</v>
      </c>
      <c r="AL42" s="548">
        <f t="shared" si="65"/>
        <v>5.799999999999998</v>
      </c>
      <c r="AM42" s="275">
        <f t="shared" si="34"/>
        <v>-0.20000000000000018</v>
      </c>
      <c r="AN42" s="547">
        <f t="shared" si="66"/>
        <v>5.799999999999998</v>
      </c>
      <c r="AO42" s="548">
        <f t="shared" si="67"/>
        <v>5.5999999999999979</v>
      </c>
      <c r="AP42" s="275">
        <f t="shared" si="35"/>
        <v>-0.20000000000000018</v>
      </c>
      <c r="AQ42" s="547">
        <f t="shared" si="68"/>
        <v>5.5999999999999979</v>
      </c>
      <c r="AR42" s="548">
        <f t="shared" si="69"/>
        <v>5.3999999999999977</v>
      </c>
      <c r="AS42" s="275">
        <f t="shared" si="36"/>
        <v>-0.20000000000000018</v>
      </c>
      <c r="AT42" s="547"/>
      <c r="AU42" s="548"/>
      <c r="AV42" s="275">
        <f t="shared" si="37"/>
        <v>0</v>
      </c>
      <c r="AW42" s="547"/>
      <c r="AX42" s="548"/>
      <c r="AY42" s="275">
        <f t="shared" si="38"/>
        <v>0</v>
      </c>
      <c r="AZ42" s="547"/>
      <c r="BA42" s="548"/>
      <c r="BB42" s="275">
        <f t="shared" si="39"/>
        <v>0</v>
      </c>
      <c r="BC42" s="547"/>
      <c r="BD42" s="548"/>
      <c r="BE42" s="275">
        <f t="shared" si="40"/>
        <v>0</v>
      </c>
      <c r="BF42" s="547"/>
      <c r="BG42" s="548"/>
      <c r="BH42" s="275">
        <f t="shared" si="41"/>
        <v>0</v>
      </c>
      <c r="BI42" s="547"/>
      <c r="BJ42" s="548"/>
      <c r="BK42" s="275">
        <f t="shared" si="42"/>
        <v>0</v>
      </c>
      <c r="BL42" s="547"/>
      <c r="BM42" s="548"/>
      <c r="BN42" s="275">
        <f t="shared" si="43"/>
        <v>0</v>
      </c>
      <c r="BO42" s="547"/>
      <c r="BP42" s="548"/>
      <c r="BQ42" s="275">
        <f t="shared" si="44"/>
        <v>0</v>
      </c>
    </row>
    <row r="43" spans="1:70">
      <c r="A43" s="791"/>
      <c r="B43" s="795"/>
      <c r="C43" s="24" t="s">
        <v>174</v>
      </c>
      <c r="D43" s="272"/>
      <c r="E43" s="273"/>
      <c r="F43" s="274"/>
      <c r="G43" s="547">
        <v>8</v>
      </c>
      <c r="H43" s="548">
        <f t="shared" si="45"/>
        <v>7.8</v>
      </c>
      <c r="I43" s="275">
        <f t="shared" si="24"/>
        <v>-0.20000000000000018</v>
      </c>
      <c r="J43" s="547">
        <f t="shared" si="46"/>
        <v>7.8</v>
      </c>
      <c r="K43" s="548">
        <f t="shared" si="47"/>
        <v>7.6</v>
      </c>
      <c r="L43" s="275">
        <f t="shared" si="25"/>
        <v>-0.20000000000000018</v>
      </c>
      <c r="M43" s="547">
        <f t="shared" si="48"/>
        <v>7.6</v>
      </c>
      <c r="N43" s="548">
        <f t="shared" si="49"/>
        <v>7.3999999999999995</v>
      </c>
      <c r="O43" s="275">
        <f t="shared" si="26"/>
        <v>-0.20000000000000018</v>
      </c>
      <c r="P43" s="547">
        <f t="shared" si="50"/>
        <v>7.3999999999999995</v>
      </c>
      <c r="Q43" s="548">
        <f t="shared" si="51"/>
        <v>7.1999999999999993</v>
      </c>
      <c r="R43" s="275">
        <f t="shared" si="27"/>
        <v>-0.20000000000000018</v>
      </c>
      <c r="S43" s="547">
        <f t="shared" si="52"/>
        <v>7.1999999999999993</v>
      </c>
      <c r="T43" s="548">
        <f t="shared" si="53"/>
        <v>6.9999999999999991</v>
      </c>
      <c r="U43" s="275">
        <f t="shared" si="28"/>
        <v>-0.20000000000000018</v>
      </c>
      <c r="V43" s="547">
        <f t="shared" si="54"/>
        <v>6.9999999999999991</v>
      </c>
      <c r="W43" s="548">
        <f t="shared" si="55"/>
        <v>6.7999999999999989</v>
      </c>
      <c r="X43" s="275">
        <f t="shared" si="29"/>
        <v>-0.20000000000000018</v>
      </c>
      <c r="Y43" s="547">
        <f t="shared" si="56"/>
        <v>6.7999999999999989</v>
      </c>
      <c r="Z43" s="548">
        <f t="shared" si="57"/>
        <v>6.5999999999999988</v>
      </c>
      <c r="AA43" s="275">
        <f t="shared" si="30"/>
        <v>-0.20000000000000018</v>
      </c>
      <c r="AB43" s="547">
        <f t="shared" si="58"/>
        <v>6.5999999999999988</v>
      </c>
      <c r="AC43" s="548">
        <f t="shared" si="59"/>
        <v>6.3999999999999986</v>
      </c>
      <c r="AD43" s="275">
        <f t="shared" si="31"/>
        <v>-0.20000000000000018</v>
      </c>
      <c r="AE43" s="547">
        <f t="shared" si="60"/>
        <v>6.3999999999999986</v>
      </c>
      <c r="AF43" s="548">
        <f t="shared" si="61"/>
        <v>6.1999999999999984</v>
      </c>
      <c r="AG43" s="275">
        <f t="shared" si="32"/>
        <v>-0.20000000000000018</v>
      </c>
      <c r="AH43" s="547">
        <f t="shared" si="62"/>
        <v>6.1999999999999984</v>
      </c>
      <c r="AI43" s="548">
        <f t="shared" si="63"/>
        <v>5.9999999999999982</v>
      </c>
      <c r="AJ43" s="275">
        <f t="shared" si="33"/>
        <v>-0.20000000000000018</v>
      </c>
      <c r="AK43" s="547">
        <f t="shared" si="64"/>
        <v>5.9999999999999982</v>
      </c>
      <c r="AL43" s="548">
        <f t="shared" si="65"/>
        <v>5.799999999999998</v>
      </c>
      <c r="AM43" s="275">
        <f t="shared" si="34"/>
        <v>-0.20000000000000018</v>
      </c>
      <c r="AN43" s="547">
        <f t="shared" si="66"/>
        <v>5.799999999999998</v>
      </c>
      <c r="AO43" s="548">
        <f t="shared" si="67"/>
        <v>5.5999999999999979</v>
      </c>
      <c r="AP43" s="275">
        <f t="shared" si="35"/>
        <v>-0.20000000000000018</v>
      </c>
      <c r="AQ43" s="547">
        <f t="shared" si="68"/>
        <v>5.5999999999999979</v>
      </c>
      <c r="AR43" s="548">
        <f t="shared" si="69"/>
        <v>5.3999999999999977</v>
      </c>
      <c r="AS43" s="275">
        <f t="shared" si="36"/>
        <v>-0.20000000000000018</v>
      </c>
      <c r="AT43" s="547"/>
      <c r="AU43" s="548"/>
      <c r="AV43" s="275">
        <f t="shared" si="37"/>
        <v>0</v>
      </c>
      <c r="AW43" s="547"/>
      <c r="AX43" s="548"/>
      <c r="AY43" s="275">
        <f t="shared" si="38"/>
        <v>0</v>
      </c>
      <c r="AZ43" s="547"/>
      <c r="BA43" s="548"/>
      <c r="BB43" s="275">
        <f t="shared" si="39"/>
        <v>0</v>
      </c>
      <c r="BC43" s="547"/>
      <c r="BD43" s="548"/>
      <c r="BE43" s="275">
        <f t="shared" si="40"/>
        <v>0</v>
      </c>
      <c r="BF43" s="547"/>
      <c r="BG43" s="548"/>
      <c r="BH43" s="275">
        <f t="shared" si="41"/>
        <v>0</v>
      </c>
      <c r="BI43" s="547"/>
      <c r="BJ43" s="548"/>
      <c r="BK43" s="275">
        <f t="shared" si="42"/>
        <v>0</v>
      </c>
      <c r="BL43" s="547"/>
      <c r="BM43" s="548"/>
      <c r="BN43" s="275">
        <f t="shared" si="43"/>
        <v>0</v>
      </c>
      <c r="BO43" s="547"/>
      <c r="BP43" s="548"/>
      <c r="BQ43" s="275">
        <f t="shared" si="44"/>
        <v>0</v>
      </c>
    </row>
    <row r="44" spans="1:70" ht="15" thickBot="1">
      <c r="A44" s="792"/>
      <c r="B44" s="796"/>
      <c r="C44" s="263" t="s">
        <v>175</v>
      </c>
      <c r="D44" s="276"/>
      <c r="E44" s="277"/>
      <c r="F44" s="278"/>
      <c r="G44" s="549">
        <v>8</v>
      </c>
      <c r="H44" s="550">
        <f>G44-0.2</f>
        <v>7.8</v>
      </c>
      <c r="I44" s="279">
        <f>H44-G44</f>
        <v>-0.20000000000000018</v>
      </c>
      <c r="J44" s="549">
        <f>H44</f>
        <v>7.8</v>
      </c>
      <c r="K44" s="550">
        <f>J44-0.2</f>
        <v>7.6</v>
      </c>
      <c r="L44" s="279">
        <f>K44-J44</f>
        <v>-0.20000000000000018</v>
      </c>
      <c r="M44" s="549">
        <f>K44</f>
        <v>7.6</v>
      </c>
      <c r="N44" s="550">
        <f>M44-0.2</f>
        <v>7.3999999999999995</v>
      </c>
      <c r="O44" s="279">
        <f>N44-M44</f>
        <v>-0.20000000000000018</v>
      </c>
      <c r="P44" s="549">
        <f>N44</f>
        <v>7.3999999999999995</v>
      </c>
      <c r="Q44" s="550">
        <f>P44-0.2</f>
        <v>7.1999999999999993</v>
      </c>
      <c r="R44" s="279">
        <f>Q44-P44</f>
        <v>-0.20000000000000018</v>
      </c>
      <c r="S44" s="549">
        <f>Q44</f>
        <v>7.1999999999999993</v>
      </c>
      <c r="T44" s="550">
        <f>S44-0.2</f>
        <v>6.9999999999999991</v>
      </c>
      <c r="U44" s="279">
        <f>T44-S44</f>
        <v>-0.20000000000000018</v>
      </c>
      <c r="V44" s="549">
        <f>T44</f>
        <v>6.9999999999999991</v>
      </c>
      <c r="W44" s="550">
        <f>V44-0.2</f>
        <v>6.7999999999999989</v>
      </c>
      <c r="X44" s="279">
        <f>W44-V44</f>
        <v>-0.20000000000000018</v>
      </c>
      <c r="Y44" s="549">
        <f>W44</f>
        <v>6.7999999999999989</v>
      </c>
      <c r="Z44" s="550">
        <f>Y44-0.2</f>
        <v>6.5999999999999988</v>
      </c>
      <c r="AA44" s="279">
        <f>Z44-Y44</f>
        <v>-0.20000000000000018</v>
      </c>
      <c r="AB44" s="549">
        <f>Z44</f>
        <v>6.5999999999999988</v>
      </c>
      <c r="AC44" s="550">
        <f>AB44-0.2</f>
        <v>6.3999999999999986</v>
      </c>
      <c r="AD44" s="279">
        <f>AC44-AB44</f>
        <v>-0.20000000000000018</v>
      </c>
      <c r="AE44" s="549">
        <f>AC44</f>
        <v>6.3999999999999986</v>
      </c>
      <c r="AF44" s="550">
        <f>AE44-0.2</f>
        <v>6.1999999999999984</v>
      </c>
      <c r="AG44" s="279">
        <f>AF44-AE44</f>
        <v>-0.20000000000000018</v>
      </c>
      <c r="AH44" s="549">
        <f>AF44</f>
        <v>6.1999999999999984</v>
      </c>
      <c r="AI44" s="550">
        <f>AH44-0.2</f>
        <v>5.9999999999999982</v>
      </c>
      <c r="AJ44" s="279">
        <f>AI44-AH44</f>
        <v>-0.20000000000000018</v>
      </c>
      <c r="AK44" s="549">
        <f>AI44</f>
        <v>5.9999999999999982</v>
      </c>
      <c r="AL44" s="550">
        <f>AK44-0.2</f>
        <v>5.799999999999998</v>
      </c>
      <c r="AM44" s="279">
        <f>AL44-AK44</f>
        <v>-0.20000000000000018</v>
      </c>
      <c r="AN44" s="549">
        <f>AL44</f>
        <v>5.799999999999998</v>
      </c>
      <c r="AO44" s="550">
        <f>AN44-0.2</f>
        <v>5.5999999999999979</v>
      </c>
      <c r="AP44" s="279">
        <f>AO44-AN44</f>
        <v>-0.20000000000000018</v>
      </c>
      <c r="AQ44" s="549">
        <f>AO44</f>
        <v>5.5999999999999979</v>
      </c>
      <c r="AR44" s="550">
        <f>AQ44-0.2</f>
        <v>5.3999999999999977</v>
      </c>
      <c r="AS44" s="279">
        <f>AR44-AQ44</f>
        <v>-0.20000000000000018</v>
      </c>
      <c r="AT44" s="549"/>
      <c r="AU44" s="550"/>
      <c r="AV44" s="279">
        <f>AU44-AT44</f>
        <v>0</v>
      </c>
      <c r="AW44" s="549"/>
      <c r="AX44" s="550"/>
      <c r="AY44" s="279">
        <f>AX44-AW44</f>
        <v>0</v>
      </c>
      <c r="AZ44" s="549"/>
      <c r="BA44" s="550"/>
      <c r="BB44" s="279">
        <f>BA44-AZ44</f>
        <v>0</v>
      </c>
      <c r="BC44" s="549"/>
      <c r="BD44" s="550"/>
      <c r="BE44" s="279">
        <f>BD44-BC44</f>
        <v>0</v>
      </c>
      <c r="BF44" s="549"/>
      <c r="BG44" s="550"/>
      <c r="BH44" s="279">
        <f>BG44-BF44</f>
        <v>0</v>
      </c>
      <c r="BI44" s="549"/>
      <c r="BJ44" s="550"/>
      <c r="BK44" s="279">
        <f>BJ44-BI44</f>
        <v>0</v>
      </c>
      <c r="BL44" s="549"/>
      <c r="BM44" s="550"/>
      <c r="BN44" s="279">
        <f>BM44-BL44</f>
        <v>0</v>
      </c>
      <c r="BO44" s="549"/>
      <c r="BP44" s="550"/>
      <c r="BQ44" s="279">
        <f>BP44-BO44</f>
        <v>0</v>
      </c>
    </row>
    <row r="45" spans="1:70" s="281" customFormat="1" ht="14.5" customHeight="1">
      <c r="A45" s="790" t="s">
        <v>218</v>
      </c>
      <c r="B45" s="794" t="s">
        <v>219</v>
      </c>
      <c r="C45" s="251" t="s">
        <v>166</v>
      </c>
      <c r="D45" s="446">
        <f t="shared" ref="D45" si="70">SUM(G45,J45,M45,P45,S45,V45,Y45,AB45,AE45,AH45,AK45,AN45,AQ45,AT45,AW45,AZ45,AZ45,BC45,BF45,BI45,BL45,BO45)</f>
        <v>0</v>
      </c>
      <c r="E45" s="447">
        <f t="shared" ref="E45:E64" si="71">SUM(H45,K45,N45,Q45,T45,W45,Z45,AC45,AF45,AI45,AL45,AO45,AR45,AU45,AX45,BA45,BA45,BD45,BG45,BJ45,BM45,BP45)</f>
        <v>0</v>
      </c>
      <c r="F45" s="270">
        <f>D45-E45</f>
        <v>0</v>
      </c>
      <c r="G45" s="545">
        <v>0</v>
      </c>
      <c r="H45" s="546"/>
      <c r="I45" s="271">
        <f t="shared" ref="I45:I53" si="72">H45-G45</f>
        <v>0</v>
      </c>
      <c r="J45" s="545">
        <f>H45</f>
        <v>0</v>
      </c>
      <c r="K45" s="546"/>
      <c r="L45" s="271">
        <f t="shared" ref="L45:L53" si="73">K45-J45</f>
        <v>0</v>
      </c>
      <c r="M45" s="545">
        <f>K45</f>
        <v>0</v>
      </c>
      <c r="N45" s="546"/>
      <c r="O45" s="271">
        <f t="shared" ref="O45:O53" si="74">N45-M45</f>
        <v>0</v>
      </c>
      <c r="P45" s="545">
        <f>N45</f>
        <v>0</v>
      </c>
      <c r="Q45" s="546"/>
      <c r="R45" s="271">
        <f t="shared" ref="R45:R53" si="75">Q45-P45</f>
        <v>0</v>
      </c>
      <c r="S45" s="545">
        <f>Q45</f>
        <v>0</v>
      </c>
      <c r="T45" s="546"/>
      <c r="U45" s="271">
        <f t="shared" ref="U45:U53" si="76">T45-S45</f>
        <v>0</v>
      </c>
      <c r="V45" s="545">
        <f>T45</f>
        <v>0</v>
      </c>
      <c r="W45" s="546"/>
      <c r="X45" s="271">
        <f t="shared" ref="X45:X53" si="77">W45-V45</f>
        <v>0</v>
      </c>
      <c r="Y45" s="545">
        <f>W45</f>
        <v>0</v>
      </c>
      <c r="Z45" s="546"/>
      <c r="AA45" s="271">
        <f t="shared" ref="AA45:AA53" si="78">Z45-Y45</f>
        <v>0</v>
      </c>
      <c r="AB45" s="545">
        <f>Z45</f>
        <v>0</v>
      </c>
      <c r="AC45" s="546"/>
      <c r="AD45" s="271">
        <f t="shared" ref="AD45:AD53" si="79">AC45-AB45</f>
        <v>0</v>
      </c>
      <c r="AE45" s="545">
        <f>AC45</f>
        <v>0</v>
      </c>
      <c r="AF45" s="546"/>
      <c r="AG45" s="271">
        <f t="shared" ref="AG45:AG53" si="80">AF45-AE45</f>
        <v>0</v>
      </c>
      <c r="AH45" s="545">
        <f>AF45</f>
        <v>0</v>
      </c>
      <c r="AI45" s="546"/>
      <c r="AJ45" s="271">
        <f t="shared" ref="AJ45:AJ53" si="81">AI45-AH45</f>
        <v>0</v>
      </c>
      <c r="AK45" s="545">
        <f>AI45</f>
        <v>0</v>
      </c>
      <c r="AL45" s="546"/>
      <c r="AM45" s="271">
        <f t="shared" ref="AM45:AM53" si="82">AL45-AK45</f>
        <v>0</v>
      </c>
      <c r="AN45" s="545">
        <f>AL45</f>
        <v>0</v>
      </c>
      <c r="AO45" s="546"/>
      <c r="AP45" s="271">
        <f t="shared" ref="AP45:AP53" si="83">AO45-AN45</f>
        <v>0</v>
      </c>
      <c r="AQ45" s="545">
        <f>AO45</f>
        <v>0</v>
      </c>
      <c r="AR45" s="546"/>
      <c r="AS45" s="271">
        <f t="shared" ref="AS45:AS53" si="84">AR45-AQ45</f>
        <v>0</v>
      </c>
      <c r="AT45" s="545"/>
      <c r="AU45" s="546"/>
      <c r="AV45" s="271">
        <f t="shared" ref="AV45:AV53" si="85">AU45-AT45</f>
        <v>0</v>
      </c>
      <c r="AW45" s="545"/>
      <c r="AX45" s="546"/>
      <c r="AY45" s="271">
        <f t="shared" ref="AY45:AY53" si="86">AX45-AW45</f>
        <v>0</v>
      </c>
      <c r="AZ45" s="545">
        <v>0</v>
      </c>
      <c r="BA45" s="546">
        <v>0</v>
      </c>
      <c r="BB45" s="271">
        <f t="shared" ref="BB45:BB53" si="87">BA45-AZ45</f>
        <v>0</v>
      </c>
      <c r="BC45" s="545"/>
      <c r="BD45" s="546"/>
      <c r="BE45" s="271">
        <f t="shared" ref="BE45:BE53" si="88">BD45-BC45</f>
        <v>0</v>
      </c>
      <c r="BF45" s="545"/>
      <c r="BG45" s="546"/>
      <c r="BH45" s="271">
        <f t="shared" ref="BH45:BH53" si="89">BG45-BF45</f>
        <v>0</v>
      </c>
      <c r="BI45" s="545"/>
      <c r="BJ45" s="546"/>
      <c r="BK45" s="271">
        <f t="shared" ref="BK45:BK53" si="90">BJ45-BI45</f>
        <v>0</v>
      </c>
      <c r="BL45" s="545"/>
      <c r="BM45" s="546"/>
      <c r="BN45" s="271">
        <f t="shared" ref="BN45:BN53" si="91">BM45-BL45</f>
        <v>0</v>
      </c>
      <c r="BO45" s="545">
        <v>0</v>
      </c>
      <c r="BP45" s="546">
        <v>0</v>
      </c>
      <c r="BQ45" s="271">
        <f t="shared" si="44"/>
        <v>0</v>
      </c>
      <c r="BR45" s="280">
        <f>'Analyza citlivosti - AgendovéIS'!Q7</f>
        <v>0</v>
      </c>
    </row>
    <row r="46" spans="1:70">
      <c r="A46" s="791"/>
      <c r="B46" s="795"/>
      <c r="C46" s="24" t="s">
        <v>167</v>
      </c>
      <c r="D46" s="448">
        <f t="shared" ref="D46:D61" si="92">SUM(G46,J46,M46,P46,S46,V46,Y46,AB46,AE46,AH46,AK46,AN46,AQ46,AT46,AW46,AZ46,AZ46,BC46,BF46,BI46,BL46,BO46)</f>
        <v>0</v>
      </c>
      <c r="E46" s="449">
        <f t="shared" si="71"/>
        <v>0</v>
      </c>
      <c r="F46" s="274">
        <f t="shared" ref="F46:F54" si="93">D46-E46</f>
        <v>0</v>
      </c>
      <c r="G46" s="547">
        <v>0</v>
      </c>
      <c r="H46" s="548"/>
      <c r="I46" s="275">
        <f t="shared" si="72"/>
        <v>0</v>
      </c>
      <c r="J46" s="547">
        <f>H46</f>
        <v>0</v>
      </c>
      <c r="K46" s="548"/>
      <c r="L46" s="275">
        <f t="shared" si="73"/>
        <v>0</v>
      </c>
      <c r="M46" s="547">
        <f>K46</f>
        <v>0</v>
      </c>
      <c r="N46" s="548"/>
      <c r="O46" s="275">
        <f t="shared" si="74"/>
        <v>0</v>
      </c>
      <c r="P46" s="547">
        <f>N46</f>
        <v>0</v>
      </c>
      <c r="Q46" s="548"/>
      <c r="R46" s="275">
        <f t="shared" si="75"/>
        <v>0</v>
      </c>
      <c r="S46" s="547">
        <f>Q46</f>
        <v>0</v>
      </c>
      <c r="T46" s="548"/>
      <c r="U46" s="275">
        <f t="shared" si="76"/>
        <v>0</v>
      </c>
      <c r="V46" s="547">
        <f>T46</f>
        <v>0</v>
      </c>
      <c r="W46" s="548"/>
      <c r="X46" s="275">
        <f t="shared" si="77"/>
        <v>0</v>
      </c>
      <c r="Y46" s="547">
        <f>W46</f>
        <v>0</v>
      </c>
      <c r="Z46" s="548"/>
      <c r="AA46" s="275">
        <f t="shared" si="78"/>
        <v>0</v>
      </c>
      <c r="AB46" s="547">
        <f>Z46</f>
        <v>0</v>
      </c>
      <c r="AC46" s="548"/>
      <c r="AD46" s="275">
        <f t="shared" si="79"/>
        <v>0</v>
      </c>
      <c r="AE46" s="547">
        <f>AC46</f>
        <v>0</v>
      </c>
      <c r="AF46" s="548"/>
      <c r="AG46" s="275">
        <f t="shared" si="80"/>
        <v>0</v>
      </c>
      <c r="AH46" s="547">
        <f>AF46</f>
        <v>0</v>
      </c>
      <c r="AI46" s="548"/>
      <c r="AJ46" s="275">
        <f t="shared" si="81"/>
        <v>0</v>
      </c>
      <c r="AK46" s="547">
        <f>AI46</f>
        <v>0</v>
      </c>
      <c r="AL46" s="548"/>
      <c r="AM46" s="275">
        <f t="shared" si="82"/>
        <v>0</v>
      </c>
      <c r="AN46" s="547">
        <f>AL46</f>
        <v>0</v>
      </c>
      <c r="AO46" s="548"/>
      <c r="AP46" s="275">
        <f t="shared" si="83"/>
        <v>0</v>
      </c>
      <c r="AQ46" s="547">
        <f>AO46</f>
        <v>0</v>
      </c>
      <c r="AR46" s="548"/>
      <c r="AS46" s="275">
        <f t="shared" si="84"/>
        <v>0</v>
      </c>
      <c r="AT46" s="547"/>
      <c r="AU46" s="548"/>
      <c r="AV46" s="275">
        <f t="shared" si="85"/>
        <v>0</v>
      </c>
      <c r="AW46" s="547"/>
      <c r="AX46" s="548"/>
      <c r="AY46" s="275">
        <f t="shared" si="86"/>
        <v>0</v>
      </c>
      <c r="AZ46" s="547">
        <v>0</v>
      </c>
      <c r="BA46" s="548">
        <v>0</v>
      </c>
      <c r="BB46" s="275">
        <f t="shared" si="87"/>
        <v>0</v>
      </c>
      <c r="BC46" s="547"/>
      <c r="BD46" s="548"/>
      <c r="BE46" s="275">
        <f t="shared" si="88"/>
        <v>0</v>
      </c>
      <c r="BF46" s="547"/>
      <c r="BG46" s="548"/>
      <c r="BH46" s="275">
        <f t="shared" si="89"/>
        <v>0</v>
      </c>
      <c r="BI46" s="547"/>
      <c r="BJ46" s="548"/>
      <c r="BK46" s="275">
        <f t="shared" si="90"/>
        <v>0</v>
      </c>
      <c r="BL46" s="547"/>
      <c r="BM46" s="548"/>
      <c r="BN46" s="275">
        <f t="shared" si="91"/>
        <v>0</v>
      </c>
      <c r="BO46" s="547">
        <v>0</v>
      </c>
      <c r="BP46" s="548">
        <v>0</v>
      </c>
      <c r="BQ46" s="275">
        <f t="shared" si="44"/>
        <v>0</v>
      </c>
    </row>
    <row r="47" spans="1:70">
      <c r="A47" s="791"/>
      <c r="B47" s="795"/>
      <c r="C47" s="24" t="s">
        <v>168</v>
      </c>
      <c r="D47" s="448">
        <f t="shared" si="92"/>
        <v>0</v>
      </c>
      <c r="E47" s="449">
        <f t="shared" si="71"/>
        <v>0</v>
      </c>
      <c r="F47" s="274">
        <f t="shared" si="93"/>
        <v>0</v>
      </c>
      <c r="G47" s="547">
        <v>0</v>
      </c>
      <c r="H47" s="548"/>
      <c r="I47" s="275">
        <f t="shared" si="72"/>
        <v>0</v>
      </c>
      <c r="J47" s="547">
        <f t="shared" ref="J47:J53" si="94">H47</f>
        <v>0</v>
      </c>
      <c r="K47" s="548"/>
      <c r="L47" s="275">
        <f t="shared" si="73"/>
        <v>0</v>
      </c>
      <c r="M47" s="547">
        <f t="shared" ref="M47:M53" si="95">K47</f>
        <v>0</v>
      </c>
      <c r="N47" s="548"/>
      <c r="O47" s="275">
        <f t="shared" si="74"/>
        <v>0</v>
      </c>
      <c r="P47" s="547">
        <f t="shared" ref="P47:P53" si="96">N47</f>
        <v>0</v>
      </c>
      <c r="Q47" s="548"/>
      <c r="R47" s="275">
        <f t="shared" si="75"/>
        <v>0</v>
      </c>
      <c r="S47" s="547">
        <f t="shared" ref="S47:S53" si="97">Q47</f>
        <v>0</v>
      </c>
      <c r="T47" s="548"/>
      <c r="U47" s="275">
        <f t="shared" si="76"/>
        <v>0</v>
      </c>
      <c r="V47" s="547">
        <f t="shared" ref="V47:V53" si="98">T47</f>
        <v>0</v>
      </c>
      <c r="W47" s="548"/>
      <c r="X47" s="275">
        <f t="shared" si="77"/>
        <v>0</v>
      </c>
      <c r="Y47" s="547">
        <f t="shared" ref="Y47:Y53" si="99">W47</f>
        <v>0</v>
      </c>
      <c r="Z47" s="548"/>
      <c r="AA47" s="275">
        <f t="shared" si="78"/>
        <v>0</v>
      </c>
      <c r="AB47" s="547">
        <f t="shared" ref="AB47:AB53" si="100">Z47</f>
        <v>0</v>
      </c>
      <c r="AC47" s="548"/>
      <c r="AD47" s="275">
        <f t="shared" si="79"/>
        <v>0</v>
      </c>
      <c r="AE47" s="547">
        <f t="shared" ref="AE47:AE53" si="101">AC47</f>
        <v>0</v>
      </c>
      <c r="AF47" s="548"/>
      <c r="AG47" s="275">
        <f t="shared" si="80"/>
        <v>0</v>
      </c>
      <c r="AH47" s="547">
        <f t="shared" ref="AH47:AH53" si="102">AF47</f>
        <v>0</v>
      </c>
      <c r="AI47" s="548"/>
      <c r="AJ47" s="275">
        <f t="shared" si="81"/>
        <v>0</v>
      </c>
      <c r="AK47" s="547">
        <f t="shared" ref="AK47:AK53" si="103">AI47</f>
        <v>0</v>
      </c>
      <c r="AL47" s="548"/>
      <c r="AM47" s="275">
        <f t="shared" si="82"/>
        <v>0</v>
      </c>
      <c r="AN47" s="547">
        <f t="shared" ref="AN47:AN53" si="104">AL47</f>
        <v>0</v>
      </c>
      <c r="AO47" s="548"/>
      <c r="AP47" s="275">
        <f t="shared" si="83"/>
        <v>0</v>
      </c>
      <c r="AQ47" s="547">
        <f t="shared" ref="AQ47:AQ53" si="105">AO47</f>
        <v>0</v>
      </c>
      <c r="AR47" s="548"/>
      <c r="AS47" s="275">
        <f t="shared" si="84"/>
        <v>0</v>
      </c>
      <c r="AT47" s="547"/>
      <c r="AU47" s="548"/>
      <c r="AV47" s="275">
        <f t="shared" si="85"/>
        <v>0</v>
      </c>
      <c r="AW47" s="547"/>
      <c r="AX47" s="548"/>
      <c r="AY47" s="275">
        <f t="shared" si="86"/>
        <v>0</v>
      </c>
      <c r="AZ47" s="547">
        <v>0</v>
      </c>
      <c r="BA47" s="548">
        <v>0</v>
      </c>
      <c r="BB47" s="275">
        <f t="shared" si="87"/>
        <v>0</v>
      </c>
      <c r="BC47" s="547"/>
      <c r="BD47" s="548"/>
      <c r="BE47" s="275">
        <f t="shared" si="88"/>
        <v>0</v>
      </c>
      <c r="BF47" s="547"/>
      <c r="BG47" s="548"/>
      <c r="BH47" s="275">
        <f t="shared" si="89"/>
        <v>0</v>
      </c>
      <c r="BI47" s="547"/>
      <c r="BJ47" s="548"/>
      <c r="BK47" s="275">
        <f t="shared" si="90"/>
        <v>0</v>
      </c>
      <c r="BL47" s="547"/>
      <c r="BM47" s="548"/>
      <c r="BN47" s="275">
        <f t="shared" si="91"/>
        <v>0</v>
      </c>
      <c r="BO47" s="547">
        <v>0</v>
      </c>
      <c r="BP47" s="548">
        <v>0</v>
      </c>
      <c r="BQ47" s="275">
        <f t="shared" si="44"/>
        <v>0</v>
      </c>
    </row>
    <row r="48" spans="1:70">
      <c r="A48" s="791"/>
      <c r="B48" s="795"/>
      <c r="C48" s="24" t="s">
        <v>169</v>
      </c>
      <c r="D48" s="448">
        <f t="shared" si="92"/>
        <v>5.7199999999999989</v>
      </c>
      <c r="E48" s="449">
        <f t="shared" si="71"/>
        <v>5.589999999999999</v>
      </c>
      <c r="F48" s="274">
        <f t="shared" si="93"/>
        <v>0.12999999999999989</v>
      </c>
      <c r="G48" s="547">
        <v>0.5</v>
      </c>
      <c r="H48" s="548">
        <v>0.49</v>
      </c>
      <c r="I48" s="275">
        <f t="shared" si="72"/>
        <v>-1.0000000000000009E-2</v>
      </c>
      <c r="J48" s="547">
        <f t="shared" si="94"/>
        <v>0.49</v>
      </c>
      <c r="K48" s="548">
        <f t="shared" ref="K48:K53" si="106">J48-0.01</f>
        <v>0.48</v>
      </c>
      <c r="L48" s="275">
        <f t="shared" si="73"/>
        <v>-1.0000000000000009E-2</v>
      </c>
      <c r="M48" s="547">
        <f t="shared" si="95"/>
        <v>0.48</v>
      </c>
      <c r="N48" s="548">
        <f t="shared" ref="N48:N53" si="107">M48-0.01</f>
        <v>0.47</v>
      </c>
      <c r="O48" s="275">
        <f t="shared" si="74"/>
        <v>-1.0000000000000009E-2</v>
      </c>
      <c r="P48" s="547">
        <f t="shared" si="96"/>
        <v>0.47</v>
      </c>
      <c r="Q48" s="548">
        <f t="shared" ref="Q48:Q53" si="108">P48-0.01</f>
        <v>0.45999999999999996</v>
      </c>
      <c r="R48" s="275">
        <f t="shared" si="75"/>
        <v>-1.0000000000000009E-2</v>
      </c>
      <c r="S48" s="547">
        <f t="shared" si="97"/>
        <v>0.45999999999999996</v>
      </c>
      <c r="T48" s="548">
        <f t="shared" ref="T48:T53" si="109">S48-0.01</f>
        <v>0.44999999999999996</v>
      </c>
      <c r="U48" s="275">
        <f t="shared" si="76"/>
        <v>-1.0000000000000009E-2</v>
      </c>
      <c r="V48" s="547">
        <f t="shared" si="98"/>
        <v>0.44999999999999996</v>
      </c>
      <c r="W48" s="548">
        <f t="shared" ref="W48:W53" si="110">V48-0.01</f>
        <v>0.43999999999999995</v>
      </c>
      <c r="X48" s="275">
        <f t="shared" si="77"/>
        <v>-1.0000000000000009E-2</v>
      </c>
      <c r="Y48" s="547">
        <f t="shared" si="99"/>
        <v>0.43999999999999995</v>
      </c>
      <c r="Z48" s="548">
        <f t="shared" ref="Z48:Z53" si="111">Y48-0.01</f>
        <v>0.42999999999999994</v>
      </c>
      <c r="AA48" s="275">
        <f t="shared" si="78"/>
        <v>-1.0000000000000009E-2</v>
      </c>
      <c r="AB48" s="547">
        <f t="shared" si="100"/>
        <v>0.42999999999999994</v>
      </c>
      <c r="AC48" s="548">
        <f t="shared" ref="AC48:AC53" si="112">AB48-0.01</f>
        <v>0.41999999999999993</v>
      </c>
      <c r="AD48" s="275">
        <f t="shared" si="79"/>
        <v>-1.0000000000000009E-2</v>
      </c>
      <c r="AE48" s="547">
        <f t="shared" si="101"/>
        <v>0.41999999999999993</v>
      </c>
      <c r="AF48" s="548">
        <f t="shared" ref="AF48:AF53" si="113">AE48-0.01</f>
        <v>0.40999999999999992</v>
      </c>
      <c r="AG48" s="275">
        <f t="shared" si="80"/>
        <v>-1.0000000000000009E-2</v>
      </c>
      <c r="AH48" s="547">
        <f t="shared" si="102"/>
        <v>0.40999999999999992</v>
      </c>
      <c r="AI48" s="548">
        <f t="shared" ref="AI48:AI53" si="114">AH48-0.01</f>
        <v>0.39999999999999991</v>
      </c>
      <c r="AJ48" s="275">
        <f t="shared" si="81"/>
        <v>-1.0000000000000009E-2</v>
      </c>
      <c r="AK48" s="547">
        <f t="shared" si="103"/>
        <v>0.39999999999999991</v>
      </c>
      <c r="AL48" s="548">
        <f t="shared" ref="AL48:AL53" si="115">AK48-0.01</f>
        <v>0.3899999999999999</v>
      </c>
      <c r="AM48" s="275">
        <f t="shared" si="82"/>
        <v>-1.0000000000000009E-2</v>
      </c>
      <c r="AN48" s="547">
        <f t="shared" si="104"/>
        <v>0.3899999999999999</v>
      </c>
      <c r="AO48" s="548">
        <f t="shared" ref="AO48:AO53" si="116">AN48-0.01</f>
        <v>0.37999999999999989</v>
      </c>
      <c r="AP48" s="275">
        <f t="shared" si="83"/>
        <v>-1.0000000000000009E-2</v>
      </c>
      <c r="AQ48" s="547">
        <f t="shared" si="105"/>
        <v>0.37999999999999989</v>
      </c>
      <c r="AR48" s="548">
        <f t="shared" ref="AR48:AR53" si="117">AQ48-0.01</f>
        <v>0.36999999999999988</v>
      </c>
      <c r="AS48" s="275">
        <f t="shared" si="84"/>
        <v>-1.0000000000000009E-2</v>
      </c>
      <c r="AT48" s="547"/>
      <c r="AU48" s="548"/>
      <c r="AV48" s="275">
        <f t="shared" si="85"/>
        <v>0</v>
      </c>
      <c r="AW48" s="547"/>
      <c r="AX48" s="548"/>
      <c r="AY48" s="275">
        <f t="shared" si="86"/>
        <v>0</v>
      </c>
      <c r="AZ48" s="547">
        <v>0</v>
      </c>
      <c r="BA48" s="548">
        <v>0</v>
      </c>
      <c r="BB48" s="275">
        <f t="shared" si="87"/>
        <v>0</v>
      </c>
      <c r="BC48" s="547"/>
      <c r="BD48" s="548"/>
      <c r="BE48" s="275">
        <f t="shared" si="88"/>
        <v>0</v>
      </c>
      <c r="BF48" s="547"/>
      <c r="BG48" s="548"/>
      <c r="BH48" s="275">
        <f t="shared" si="89"/>
        <v>0</v>
      </c>
      <c r="BI48" s="547"/>
      <c r="BJ48" s="548"/>
      <c r="BK48" s="275">
        <f t="shared" si="90"/>
        <v>0</v>
      </c>
      <c r="BL48" s="547"/>
      <c r="BM48" s="548"/>
      <c r="BN48" s="275">
        <f t="shared" si="91"/>
        <v>0</v>
      </c>
      <c r="BO48" s="547">
        <v>0</v>
      </c>
      <c r="BP48" s="548">
        <v>0</v>
      </c>
      <c r="BQ48" s="275">
        <f t="shared" si="44"/>
        <v>0</v>
      </c>
    </row>
    <row r="49" spans="1:70">
      <c r="A49" s="791"/>
      <c r="B49" s="795"/>
      <c r="C49" s="24" t="s">
        <v>170</v>
      </c>
      <c r="D49" s="448">
        <f t="shared" si="92"/>
        <v>5.7199999999999989</v>
      </c>
      <c r="E49" s="449">
        <f t="shared" si="71"/>
        <v>5.589999999999999</v>
      </c>
      <c r="F49" s="274">
        <f t="shared" si="93"/>
        <v>0.12999999999999989</v>
      </c>
      <c r="G49" s="547">
        <v>0.5</v>
      </c>
      <c r="H49" s="548">
        <v>0.49</v>
      </c>
      <c r="I49" s="275">
        <f t="shared" si="72"/>
        <v>-1.0000000000000009E-2</v>
      </c>
      <c r="J49" s="547">
        <f t="shared" si="94"/>
        <v>0.49</v>
      </c>
      <c r="K49" s="548">
        <f t="shared" si="106"/>
        <v>0.48</v>
      </c>
      <c r="L49" s="275">
        <f t="shared" si="73"/>
        <v>-1.0000000000000009E-2</v>
      </c>
      <c r="M49" s="547">
        <f t="shared" si="95"/>
        <v>0.48</v>
      </c>
      <c r="N49" s="548">
        <f t="shared" si="107"/>
        <v>0.47</v>
      </c>
      <c r="O49" s="275">
        <f t="shared" si="74"/>
        <v>-1.0000000000000009E-2</v>
      </c>
      <c r="P49" s="547">
        <f t="shared" si="96"/>
        <v>0.47</v>
      </c>
      <c r="Q49" s="548">
        <f t="shared" si="108"/>
        <v>0.45999999999999996</v>
      </c>
      <c r="R49" s="275">
        <f t="shared" si="75"/>
        <v>-1.0000000000000009E-2</v>
      </c>
      <c r="S49" s="547">
        <f t="shared" si="97"/>
        <v>0.45999999999999996</v>
      </c>
      <c r="T49" s="548">
        <f t="shared" si="109"/>
        <v>0.44999999999999996</v>
      </c>
      <c r="U49" s="275">
        <f t="shared" si="76"/>
        <v>-1.0000000000000009E-2</v>
      </c>
      <c r="V49" s="547">
        <f t="shared" si="98"/>
        <v>0.44999999999999996</v>
      </c>
      <c r="W49" s="548">
        <f t="shared" si="110"/>
        <v>0.43999999999999995</v>
      </c>
      <c r="X49" s="275">
        <f t="shared" si="77"/>
        <v>-1.0000000000000009E-2</v>
      </c>
      <c r="Y49" s="547">
        <f t="shared" si="99"/>
        <v>0.43999999999999995</v>
      </c>
      <c r="Z49" s="548">
        <f t="shared" si="111"/>
        <v>0.42999999999999994</v>
      </c>
      <c r="AA49" s="275">
        <f t="shared" si="78"/>
        <v>-1.0000000000000009E-2</v>
      </c>
      <c r="AB49" s="547">
        <f t="shared" si="100"/>
        <v>0.42999999999999994</v>
      </c>
      <c r="AC49" s="548">
        <f t="shared" si="112"/>
        <v>0.41999999999999993</v>
      </c>
      <c r="AD49" s="275">
        <f t="shared" si="79"/>
        <v>-1.0000000000000009E-2</v>
      </c>
      <c r="AE49" s="547">
        <f t="shared" si="101"/>
        <v>0.41999999999999993</v>
      </c>
      <c r="AF49" s="548">
        <f t="shared" si="113"/>
        <v>0.40999999999999992</v>
      </c>
      <c r="AG49" s="275">
        <f t="shared" si="80"/>
        <v>-1.0000000000000009E-2</v>
      </c>
      <c r="AH49" s="547">
        <f t="shared" si="102"/>
        <v>0.40999999999999992</v>
      </c>
      <c r="AI49" s="548">
        <f t="shared" si="114"/>
        <v>0.39999999999999991</v>
      </c>
      <c r="AJ49" s="275">
        <f t="shared" si="81"/>
        <v>-1.0000000000000009E-2</v>
      </c>
      <c r="AK49" s="547">
        <f t="shared" si="103"/>
        <v>0.39999999999999991</v>
      </c>
      <c r="AL49" s="548">
        <f t="shared" si="115"/>
        <v>0.3899999999999999</v>
      </c>
      <c r="AM49" s="275">
        <f t="shared" si="82"/>
        <v>-1.0000000000000009E-2</v>
      </c>
      <c r="AN49" s="547">
        <f t="shared" si="104"/>
        <v>0.3899999999999999</v>
      </c>
      <c r="AO49" s="548">
        <f t="shared" si="116"/>
        <v>0.37999999999999989</v>
      </c>
      <c r="AP49" s="275">
        <f t="shared" si="83"/>
        <v>-1.0000000000000009E-2</v>
      </c>
      <c r="AQ49" s="547">
        <f t="shared" si="105"/>
        <v>0.37999999999999989</v>
      </c>
      <c r="AR49" s="548">
        <f t="shared" si="117"/>
        <v>0.36999999999999988</v>
      </c>
      <c r="AS49" s="275">
        <f t="shared" si="84"/>
        <v>-1.0000000000000009E-2</v>
      </c>
      <c r="AT49" s="547"/>
      <c r="AU49" s="548"/>
      <c r="AV49" s="275">
        <f t="shared" si="85"/>
        <v>0</v>
      </c>
      <c r="AW49" s="547"/>
      <c r="AX49" s="548"/>
      <c r="AY49" s="275">
        <f t="shared" si="86"/>
        <v>0</v>
      </c>
      <c r="AZ49" s="547">
        <v>0</v>
      </c>
      <c r="BA49" s="548">
        <v>0</v>
      </c>
      <c r="BB49" s="275">
        <f t="shared" si="87"/>
        <v>0</v>
      </c>
      <c r="BC49" s="547"/>
      <c r="BD49" s="548"/>
      <c r="BE49" s="275">
        <f t="shared" si="88"/>
        <v>0</v>
      </c>
      <c r="BF49" s="547"/>
      <c r="BG49" s="548"/>
      <c r="BH49" s="275">
        <f t="shared" si="89"/>
        <v>0</v>
      </c>
      <c r="BI49" s="547"/>
      <c r="BJ49" s="548"/>
      <c r="BK49" s="275">
        <f t="shared" si="90"/>
        <v>0</v>
      </c>
      <c r="BL49" s="547"/>
      <c r="BM49" s="548"/>
      <c r="BN49" s="275">
        <f t="shared" si="91"/>
        <v>0</v>
      </c>
      <c r="BO49" s="547">
        <v>0</v>
      </c>
      <c r="BP49" s="548">
        <v>0</v>
      </c>
      <c r="BQ49" s="275">
        <f t="shared" si="44"/>
        <v>0</v>
      </c>
    </row>
    <row r="50" spans="1:70">
      <c r="A50" s="791"/>
      <c r="B50" s="795"/>
      <c r="C50" s="24" t="s">
        <v>171</v>
      </c>
      <c r="D50" s="448">
        <f t="shared" si="92"/>
        <v>5.7199999999999989</v>
      </c>
      <c r="E50" s="449">
        <f t="shared" si="71"/>
        <v>5.589999999999999</v>
      </c>
      <c r="F50" s="274">
        <f t="shared" si="93"/>
        <v>0.12999999999999989</v>
      </c>
      <c r="G50" s="547">
        <v>0.5</v>
      </c>
      <c r="H50" s="548">
        <v>0.49</v>
      </c>
      <c r="I50" s="275">
        <f t="shared" si="72"/>
        <v>-1.0000000000000009E-2</v>
      </c>
      <c r="J50" s="547">
        <f t="shared" si="94"/>
        <v>0.49</v>
      </c>
      <c r="K50" s="548">
        <f t="shared" si="106"/>
        <v>0.48</v>
      </c>
      <c r="L50" s="275">
        <f t="shared" si="73"/>
        <v>-1.0000000000000009E-2</v>
      </c>
      <c r="M50" s="547">
        <f t="shared" si="95"/>
        <v>0.48</v>
      </c>
      <c r="N50" s="548">
        <f t="shared" si="107"/>
        <v>0.47</v>
      </c>
      <c r="O50" s="275">
        <f t="shared" si="74"/>
        <v>-1.0000000000000009E-2</v>
      </c>
      <c r="P50" s="547">
        <f t="shared" si="96"/>
        <v>0.47</v>
      </c>
      <c r="Q50" s="548">
        <f t="shared" si="108"/>
        <v>0.45999999999999996</v>
      </c>
      <c r="R50" s="275">
        <f t="shared" si="75"/>
        <v>-1.0000000000000009E-2</v>
      </c>
      <c r="S50" s="547">
        <f t="shared" si="97"/>
        <v>0.45999999999999996</v>
      </c>
      <c r="T50" s="548">
        <f t="shared" si="109"/>
        <v>0.44999999999999996</v>
      </c>
      <c r="U50" s="275">
        <f t="shared" si="76"/>
        <v>-1.0000000000000009E-2</v>
      </c>
      <c r="V50" s="547">
        <f t="shared" si="98"/>
        <v>0.44999999999999996</v>
      </c>
      <c r="W50" s="548">
        <f t="shared" si="110"/>
        <v>0.43999999999999995</v>
      </c>
      <c r="X50" s="275">
        <f t="shared" si="77"/>
        <v>-1.0000000000000009E-2</v>
      </c>
      <c r="Y50" s="547">
        <f t="shared" si="99"/>
        <v>0.43999999999999995</v>
      </c>
      <c r="Z50" s="548">
        <f t="shared" si="111"/>
        <v>0.42999999999999994</v>
      </c>
      <c r="AA50" s="275">
        <f t="shared" si="78"/>
        <v>-1.0000000000000009E-2</v>
      </c>
      <c r="AB50" s="547">
        <f t="shared" si="100"/>
        <v>0.42999999999999994</v>
      </c>
      <c r="AC50" s="548">
        <f t="shared" si="112"/>
        <v>0.41999999999999993</v>
      </c>
      <c r="AD50" s="275">
        <f t="shared" si="79"/>
        <v>-1.0000000000000009E-2</v>
      </c>
      <c r="AE50" s="547">
        <f t="shared" si="101"/>
        <v>0.41999999999999993</v>
      </c>
      <c r="AF50" s="548">
        <f t="shared" si="113"/>
        <v>0.40999999999999992</v>
      </c>
      <c r="AG50" s="275">
        <f t="shared" si="80"/>
        <v>-1.0000000000000009E-2</v>
      </c>
      <c r="AH50" s="547">
        <f t="shared" si="102"/>
        <v>0.40999999999999992</v>
      </c>
      <c r="AI50" s="548">
        <f t="shared" si="114"/>
        <v>0.39999999999999991</v>
      </c>
      <c r="AJ50" s="275">
        <f t="shared" si="81"/>
        <v>-1.0000000000000009E-2</v>
      </c>
      <c r="AK50" s="547">
        <f t="shared" si="103"/>
        <v>0.39999999999999991</v>
      </c>
      <c r="AL50" s="548">
        <f t="shared" si="115"/>
        <v>0.3899999999999999</v>
      </c>
      <c r="AM50" s="275">
        <f t="shared" si="82"/>
        <v>-1.0000000000000009E-2</v>
      </c>
      <c r="AN50" s="547">
        <f t="shared" si="104"/>
        <v>0.3899999999999999</v>
      </c>
      <c r="AO50" s="548">
        <f t="shared" si="116"/>
        <v>0.37999999999999989</v>
      </c>
      <c r="AP50" s="275">
        <f t="shared" si="83"/>
        <v>-1.0000000000000009E-2</v>
      </c>
      <c r="AQ50" s="547">
        <f t="shared" si="105"/>
        <v>0.37999999999999989</v>
      </c>
      <c r="AR50" s="548">
        <f t="shared" si="117"/>
        <v>0.36999999999999988</v>
      </c>
      <c r="AS50" s="275">
        <f t="shared" si="84"/>
        <v>-1.0000000000000009E-2</v>
      </c>
      <c r="AT50" s="547"/>
      <c r="AU50" s="548"/>
      <c r="AV50" s="275">
        <f t="shared" si="85"/>
        <v>0</v>
      </c>
      <c r="AW50" s="547"/>
      <c r="AX50" s="548"/>
      <c r="AY50" s="275">
        <f t="shared" si="86"/>
        <v>0</v>
      </c>
      <c r="AZ50" s="547">
        <v>0</v>
      </c>
      <c r="BA50" s="548">
        <v>0</v>
      </c>
      <c r="BB50" s="275">
        <f t="shared" si="87"/>
        <v>0</v>
      </c>
      <c r="BC50" s="547"/>
      <c r="BD50" s="548"/>
      <c r="BE50" s="275">
        <f t="shared" si="88"/>
        <v>0</v>
      </c>
      <c r="BF50" s="547"/>
      <c r="BG50" s="548"/>
      <c r="BH50" s="275">
        <f t="shared" si="89"/>
        <v>0</v>
      </c>
      <c r="BI50" s="547"/>
      <c r="BJ50" s="548"/>
      <c r="BK50" s="275">
        <f t="shared" si="90"/>
        <v>0</v>
      </c>
      <c r="BL50" s="547"/>
      <c r="BM50" s="548"/>
      <c r="BN50" s="275">
        <f t="shared" si="91"/>
        <v>0</v>
      </c>
      <c r="BO50" s="547">
        <v>0</v>
      </c>
      <c r="BP50" s="548">
        <v>0</v>
      </c>
      <c r="BQ50" s="275">
        <f t="shared" si="44"/>
        <v>0</v>
      </c>
    </row>
    <row r="51" spans="1:70">
      <c r="A51" s="791"/>
      <c r="B51" s="795"/>
      <c r="C51" s="24" t="s">
        <v>172</v>
      </c>
      <c r="D51" s="448">
        <f t="shared" si="92"/>
        <v>5.7199999999999989</v>
      </c>
      <c r="E51" s="449">
        <f t="shared" si="71"/>
        <v>5.589999999999999</v>
      </c>
      <c r="F51" s="274">
        <f t="shared" si="93"/>
        <v>0.12999999999999989</v>
      </c>
      <c r="G51" s="547">
        <v>0.5</v>
      </c>
      <c r="H51" s="548">
        <v>0.49</v>
      </c>
      <c r="I51" s="275">
        <f t="shared" si="72"/>
        <v>-1.0000000000000009E-2</v>
      </c>
      <c r="J51" s="547">
        <f t="shared" si="94"/>
        <v>0.49</v>
      </c>
      <c r="K51" s="548">
        <f t="shared" si="106"/>
        <v>0.48</v>
      </c>
      <c r="L51" s="275">
        <f t="shared" si="73"/>
        <v>-1.0000000000000009E-2</v>
      </c>
      <c r="M51" s="547">
        <f t="shared" si="95"/>
        <v>0.48</v>
      </c>
      <c r="N51" s="548">
        <f t="shared" si="107"/>
        <v>0.47</v>
      </c>
      <c r="O51" s="275">
        <f t="shared" si="74"/>
        <v>-1.0000000000000009E-2</v>
      </c>
      <c r="P51" s="547">
        <f t="shared" si="96"/>
        <v>0.47</v>
      </c>
      <c r="Q51" s="548">
        <f t="shared" si="108"/>
        <v>0.45999999999999996</v>
      </c>
      <c r="R51" s="275">
        <f t="shared" si="75"/>
        <v>-1.0000000000000009E-2</v>
      </c>
      <c r="S51" s="547">
        <f t="shared" si="97"/>
        <v>0.45999999999999996</v>
      </c>
      <c r="T51" s="548">
        <f t="shared" si="109"/>
        <v>0.44999999999999996</v>
      </c>
      <c r="U51" s="275">
        <f t="shared" si="76"/>
        <v>-1.0000000000000009E-2</v>
      </c>
      <c r="V51" s="547">
        <f t="shared" si="98"/>
        <v>0.44999999999999996</v>
      </c>
      <c r="W51" s="548">
        <f t="shared" si="110"/>
        <v>0.43999999999999995</v>
      </c>
      <c r="X51" s="275">
        <f t="shared" si="77"/>
        <v>-1.0000000000000009E-2</v>
      </c>
      <c r="Y51" s="547">
        <f t="shared" si="99"/>
        <v>0.43999999999999995</v>
      </c>
      <c r="Z51" s="548">
        <f t="shared" si="111"/>
        <v>0.42999999999999994</v>
      </c>
      <c r="AA51" s="275">
        <f t="shared" si="78"/>
        <v>-1.0000000000000009E-2</v>
      </c>
      <c r="AB51" s="547">
        <f t="shared" si="100"/>
        <v>0.42999999999999994</v>
      </c>
      <c r="AC51" s="548">
        <f t="shared" si="112"/>
        <v>0.41999999999999993</v>
      </c>
      <c r="AD51" s="275">
        <f t="shared" si="79"/>
        <v>-1.0000000000000009E-2</v>
      </c>
      <c r="AE51" s="547">
        <f t="shared" si="101"/>
        <v>0.41999999999999993</v>
      </c>
      <c r="AF51" s="548">
        <f t="shared" si="113"/>
        <v>0.40999999999999992</v>
      </c>
      <c r="AG51" s="275">
        <f t="shared" si="80"/>
        <v>-1.0000000000000009E-2</v>
      </c>
      <c r="AH51" s="547">
        <f t="shared" si="102"/>
        <v>0.40999999999999992</v>
      </c>
      <c r="AI51" s="548">
        <f t="shared" si="114"/>
        <v>0.39999999999999991</v>
      </c>
      <c r="AJ51" s="275">
        <f t="shared" si="81"/>
        <v>-1.0000000000000009E-2</v>
      </c>
      <c r="AK51" s="547">
        <f t="shared" si="103"/>
        <v>0.39999999999999991</v>
      </c>
      <c r="AL51" s="548">
        <f t="shared" si="115"/>
        <v>0.3899999999999999</v>
      </c>
      <c r="AM51" s="275">
        <f t="shared" si="82"/>
        <v>-1.0000000000000009E-2</v>
      </c>
      <c r="AN51" s="547">
        <f t="shared" si="104"/>
        <v>0.3899999999999999</v>
      </c>
      <c r="AO51" s="548">
        <f t="shared" si="116"/>
        <v>0.37999999999999989</v>
      </c>
      <c r="AP51" s="275">
        <f t="shared" si="83"/>
        <v>-1.0000000000000009E-2</v>
      </c>
      <c r="AQ51" s="547">
        <f t="shared" si="105"/>
        <v>0.37999999999999989</v>
      </c>
      <c r="AR51" s="548">
        <f t="shared" si="117"/>
        <v>0.36999999999999988</v>
      </c>
      <c r="AS51" s="275">
        <f t="shared" si="84"/>
        <v>-1.0000000000000009E-2</v>
      </c>
      <c r="AT51" s="547"/>
      <c r="AU51" s="548"/>
      <c r="AV51" s="275">
        <f t="shared" si="85"/>
        <v>0</v>
      </c>
      <c r="AW51" s="547"/>
      <c r="AX51" s="548"/>
      <c r="AY51" s="275">
        <f t="shared" si="86"/>
        <v>0</v>
      </c>
      <c r="AZ51" s="547">
        <v>0</v>
      </c>
      <c r="BA51" s="548">
        <v>0</v>
      </c>
      <c r="BB51" s="275">
        <f t="shared" si="87"/>
        <v>0</v>
      </c>
      <c r="BC51" s="547"/>
      <c r="BD51" s="548"/>
      <c r="BE51" s="275">
        <f t="shared" si="88"/>
        <v>0</v>
      </c>
      <c r="BF51" s="547"/>
      <c r="BG51" s="548"/>
      <c r="BH51" s="275">
        <f t="shared" si="89"/>
        <v>0</v>
      </c>
      <c r="BI51" s="547"/>
      <c r="BJ51" s="548"/>
      <c r="BK51" s="275">
        <f t="shared" si="90"/>
        <v>0</v>
      </c>
      <c r="BL51" s="547"/>
      <c r="BM51" s="548"/>
      <c r="BN51" s="275">
        <f t="shared" si="91"/>
        <v>0</v>
      </c>
      <c r="BO51" s="547">
        <v>0</v>
      </c>
      <c r="BP51" s="548">
        <v>0</v>
      </c>
      <c r="BQ51" s="275">
        <f t="shared" si="44"/>
        <v>0</v>
      </c>
    </row>
    <row r="52" spans="1:70">
      <c r="A52" s="791"/>
      <c r="B52" s="795"/>
      <c r="C52" s="24" t="s">
        <v>173</v>
      </c>
      <c r="D52" s="448">
        <f t="shared" si="92"/>
        <v>5.7199999999999989</v>
      </c>
      <c r="E52" s="449">
        <f t="shared" si="71"/>
        <v>5.589999999999999</v>
      </c>
      <c r="F52" s="274">
        <f t="shared" si="93"/>
        <v>0.12999999999999989</v>
      </c>
      <c r="G52" s="547">
        <v>0.5</v>
      </c>
      <c r="H52" s="548">
        <v>0.49</v>
      </c>
      <c r="I52" s="275">
        <f t="shared" si="72"/>
        <v>-1.0000000000000009E-2</v>
      </c>
      <c r="J52" s="547">
        <f t="shared" si="94"/>
        <v>0.49</v>
      </c>
      <c r="K52" s="548">
        <f t="shared" si="106"/>
        <v>0.48</v>
      </c>
      <c r="L52" s="275">
        <f t="shared" si="73"/>
        <v>-1.0000000000000009E-2</v>
      </c>
      <c r="M52" s="547">
        <f t="shared" si="95"/>
        <v>0.48</v>
      </c>
      <c r="N52" s="548">
        <f t="shared" si="107"/>
        <v>0.47</v>
      </c>
      <c r="O52" s="275">
        <f t="shared" si="74"/>
        <v>-1.0000000000000009E-2</v>
      </c>
      <c r="P52" s="547">
        <f t="shared" si="96"/>
        <v>0.47</v>
      </c>
      <c r="Q52" s="548">
        <f t="shared" si="108"/>
        <v>0.45999999999999996</v>
      </c>
      <c r="R52" s="275">
        <f t="shared" si="75"/>
        <v>-1.0000000000000009E-2</v>
      </c>
      <c r="S52" s="547">
        <f t="shared" si="97"/>
        <v>0.45999999999999996</v>
      </c>
      <c r="T52" s="548">
        <f t="shared" si="109"/>
        <v>0.44999999999999996</v>
      </c>
      <c r="U52" s="275">
        <f t="shared" si="76"/>
        <v>-1.0000000000000009E-2</v>
      </c>
      <c r="V52" s="547">
        <f t="shared" si="98"/>
        <v>0.44999999999999996</v>
      </c>
      <c r="W52" s="548">
        <f t="shared" si="110"/>
        <v>0.43999999999999995</v>
      </c>
      <c r="X52" s="275">
        <f t="shared" si="77"/>
        <v>-1.0000000000000009E-2</v>
      </c>
      <c r="Y52" s="547">
        <f t="shared" si="99"/>
        <v>0.43999999999999995</v>
      </c>
      <c r="Z52" s="548">
        <f t="shared" si="111"/>
        <v>0.42999999999999994</v>
      </c>
      <c r="AA52" s="275">
        <f t="shared" si="78"/>
        <v>-1.0000000000000009E-2</v>
      </c>
      <c r="AB52" s="547">
        <f t="shared" si="100"/>
        <v>0.42999999999999994</v>
      </c>
      <c r="AC52" s="548">
        <f t="shared" si="112"/>
        <v>0.41999999999999993</v>
      </c>
      <c r="AD52" s="275">
        <f t="shared" si="79"/>
        <v>-1.0000000000000009E-2</v>
      </c>
      <c r="AE52" s="547">
        <f t="shared" si="101"/>
        <v>0.41999999999999993</v>
      </c>
      <c r="AF52" s="548">
        <f t="shared" si="113"/>
        <v>0.40999999999999992</v>
      </c>
      <c r="AG52" s="275">
        <f t="shared" si="80"/>
        <v>-1.0000000000000009E-2</v>
      </c>
      <c r="AH52" s="547">
        <f t="shared" si="102"/>
        <v>0.40999999999999992</v>
      </c>
      <c r="AI52" s="548">
        <f t="shared" si="114"/>
        <v>0.39999999999999991</v>
      </c>
      <c r="AJ52" s="275">
        <f t="shared" si="81"/>
        <v>-1.0000000000000009E-2</v>
      </c>
      <c r="AK52" s="547">
        <f t="shared" si="103"/>
        <v>0.39999999999999991</v>
      </c>
      <c r="AL52" s="548">
        <f t="shared" si="115"/>
        <v>0.3899999999999999</v>
      </c>
      <c r="AM52" s="275">
        <f t="shared" si="82"/>
        <v>-1.0000000000000009E-2</v>
      </c>
      <c r="AN52" s="547">
        <f t="shared" si="104"/>
        <v>0.3899999999999999</v>
      </c>
      <c r="AO52" s="548">
        <f t="shared" si="116"/>
        <v>0.37999999999999989</v>
      </c>
      <c r="AP52" s="275">
        <f t="shared" si="83"/>
        <v>-1.0000000000000009E-2</v>
      </c>
      <c r="AQ52" s="547">
        <f t="shared" si="105"/>
        <v>0.37999999999999989</v>
      </c>
      <c r="AR52" s="548">
        <f t="shared" si="117"/>
        <v>0.36999999999999988</v>
      </c>
      <c r="AS52" s="275">
        <f t="shared" si="84"/>
        <v>-1.0000000000000009E-2</v>
      </c>
      <c r="AT52" s="547"/>
      <c r="AU52" s="548"/>
      <c r="AV52" s="275">
        <f t="shared" si="85"/>
        <v>0</v>
      </c>
      <c r="AW52" s="547"/>
      <c r="AX52" s="548"/>
      <c r="AY52" s="275">
        <f t="shared" si="86"/>
        <v>0</v>
      </c>
      <c r="AZ52" s="547">
        <v>0</v>
      </c>
      <c r="BA52" s="548">
        <v>0</v>
      </c>
      <c r="BB52" s="275">
        <f t="shared" si="87"/>
        <v>0</v>
      </c>
      <c r="BC52" s="547"/>
      <c r="BD52" s="548"/>
      <c r="BE52" s="275">
        <f t="shared" si="88"/>
        <v>0</v>
      </c>
      <c r="BF52" s="547"/>
      <c r="BG52" s="548"/>
      <c r="BH52" s="275">
        <f t="shared" si="89"/>
        <v>0</v>
      </c>
      <c r="BI52" s="547"/>
      <c r="BJ52" s="548"/>
      <c r="BK52" s="275">
        <f t="shared" si="90"/>
        <v>0</v>
      </c>
      <c r="BL52" s="547"/>
      <c r="BM52" s="548"/>
      <c r="BN52" s="275">
        <f t="shared" si="91"/>
        <v>0</v>
      </c>
      <c r="BO52" s="547">
        <v>0</v>
      </c>
      <c r="BP52" s="548">
        <v>0</v>
      </c>
      <c r="BQ52" s="275">
        <f t="shared" si="44"/>
        <v>0</v>
      </c>
    </row>
    <row r="53" spans="1:70">
      <c r="A53" s="791"/>
      <c r="B53" s="795"/>
      <c r="C53" s="24" t="s">
        <v>174</v>
      </c>
      <c r="D53" s="448">
        <f t="shared" si="92"/>
        <v>5.7199999999999989</v>
      </c>
      <c r="E53" s="449">
        <f t="shared" si="71"/>
        <v>5.589999999999999</v>
      </c>
      <c r="F53" s="274">
        <f t="shared" si="93"/>
        <v>0.12999999999999989</v>
      </c>
      <c r="G53" s="547">
        <v>0.5</v>
      </c>
      <c r="H53" s="548">
        <v>0.49</v>
      </c>
      <c r="I53" s="275">
        <f t="shared" si="72"/>
        <v>-1.0000000000000009E-2</v>
      </c>
      <c r="J53" s="547">
        <f t="shared" si="94"/>
        <v>0.49</v>
      </c>
      <c r="K53" s="548">
        <f t="shared" si="106"/>
        <v>0.48</v>
      </c>
      <c r="L53" s="275">
        <f t="shared" si="73"/>
        <v>-1.0000000000000009E-2</v>
      </c>
      <c r="M53" s="547">
        <f t="shared" si="95"/>
        <v>0.48</v>
      </c>
      <c r="N53" s="548">
        <f t="shared" si="107"/>
        <v>0.47</v>
      </c>
      <c r="O53" s="275">
        <f t="shared" si="74"/>
        <v>-1.0000000000000009E-2</v>
      </c>
      <c r="P53" s="547">
        <f t="shared" si="96"/>
        <v>0.47</v>
      </c>
      <c r="Q53" s="548">
        <f t="shared" si="108"/>
        <v>0.45999999999999996</v>
      </c>
      <c r="R53" s="275">
        <f t="shared" si="75"/>
        <v>-1.0000000000000009E-2</v>
      </c>
      <c r="S53" s="547">
        <f t="shared" si="97"/>
        <v>0.45999999999999996</v>
      </c>
      <c r="T53" s="548">
        <f t="shared" si="109"/>
        <v>0.44999999999999996</v>
      </c>
      <c r="U53" s="275">
        <f t="shared" si="76"/>
        <v>-1.0000000000000009E-2</v>
      </c>
      <c r="V53" s="547">
        <f t="shared" si="98"/>
        <v>0.44999999999999996</v>
      </c>
      <c r="W53" s="548">
        <f t="shared" si="110"/>
        <v>0.43999999999999995</v>
      </c>
      <c r="X53" s="275">
        <f t="shared" si="77"/>
        <v>-1.0000000000000009E-2</v>
      </c>
      <c r="Y53" s="547">
        <f t="shared" si="99"/>
        <v>0.43999999999999995</v>
      </c>
      <c r="Z53" s="548">
        <f t="shared" si="111"/>
        <v>0.42999999999999994</v>
      </c>
      <c r="AA53" s="275">
        <f t="shared" si="78"/>
        <v>-1.0000000000000009E-2</v>
      </c>
      <c r="AB53" s="547">
        <f t="shared" si="100"/>
        <v>0.42999999999999994</v>
      </c>
      <c r="AC53" s="548">
        <f t="shared" si="112"/>
        <v>0.41999999999999993</v>
      </c>
      <c r="AD53" s="275">
        <f t="shared" si="79"/>
        <v>-1.0000000000000009E-2</v>
      </c>
      <c r="AE53" s="547">
        <f t="shared" si="101"/>
        <v>0.41999999999999993</v>
      </c>
      <c r="AF53" s="548">
        <f t="shared" si="113"/>
        <v>0.40999999999999992</v>
      </c>
      <c r="AG53" s="275">
        <f t="shared" si="80"/>
        <v>-1.0000000000000009E-2</v>
      </c>
      <c r="AH53" s="547">
        <f t="shared" si="102"/>
        <v>0.40999999999999992</v>
      </c>
      <c r="AI53" s="548">
        <f t="shared" si="114"/>
        <v>0.39999999999999991</v>
      </c>
      <c r="AJ53" s="275">
        <f t="shared" si="81"/>
        <v>-1.0000000000000009E-2</v>
      </c>
      <c r="AK53" s="547">
        <f t="shared" si="103"/>
        <v>0.39999999999999991</v>
      </c>
      <c r="AL53" s="548">
        <f t="shared" si="115"/>
        <v>0.3899999999999999</v>
      </c>
      <c r="AM53" s="275">
        <f t="shared" si="82"/>
        <v>-1.0000000000000009E-2</v>
      </c>
      <c r="AN53" s="547">
        <f t="shared" si="104"/>
        <v>0.3899999999999999</v>
      </c>
      <c r="AO53" s="548">
        <f t="shared" si="116"/>
        <v>0.37999999999999989</v>
      </c>
      <c r="AP53" s="275">
        <f t="shared" si="83"/>
        <v>-1.0000000000000009E-2</v>
      </c>
      <c r="AQ53" s="547">
        <f t="shared" si="105"/>
        <v>0.37999999999999989</v>
      </c>
      <c r="AR53" s="548">
        <f t="shared" si="117"/>
        <v>0.36999999999999988</v>
      </c>
      <c r="AS53" s="275">
        <f t="shared" si="84"/>
        <v>-1.0000000000000009E-2</v>
      </c>
      <c r="AT53" s="547"/>
      <c r="AU53" s="548"/>
      <c r="AV53" s="275">
        <f t="shared" si="85"/>
        <v>0</v>
      </c>
      <c r="AW53" s="547"/>
      <c r="AX53" s="548"/>
      <c r="AY53" s="275">
        <f t="shared" si="86"/>
        <v>0</v>
      </c>
      <c r="AZ53" s="547">
        <v>0</v>
      </c>
      <c r="BA53" s="548">
        <v>0</v>
      </c>
      <c r="BB53" s="275">
        <f t="shared" si="87"/>
        <v>0</v>
      </c>
      <c r="BC53" s="547"/>
      <c r="BD53" s="548"/>
      <c r="BE53" s="275">
        <f t="shared" si="88"/>
        <v>0</v>
      </c>
      <c r="BF53" s="547"/>
      <c r="BG53" s="548"/>
      <c r="BH53" s="275">
        <f t="shared" si="89"/>
        <v>0</v>
      </c>
      <c r="BI53" s="547"/>
      <c r="BJ53" s="548"/>
      <c r="BK53" s="275">
        <f t="shared" si="90"/>
        <v>0</v>
      </c>
      <c r="BL53" s="547"/>
      <c r="BM53" s="548"/>
      <c r="BN53" s="275">
        <f t="shared" si="91"/>
        <v>0</v>
      </c>
      <c r="BO53" s="547">
        <v>0</v>
      </c>
      <c r="BP53" s="548">
        <v>0</v>
      </c>
      <c r="BQ53" s="275">
        <f t="shared" si="44"/>
        <v>0</v>
      </c>
    </row>
    <row r="54" spans="1:70" ht="15" thickBot="1">
      <c r="A54" s="792"/>
      <c r="B54" s="796"/>
      <c r="C54" s="263" t="s">
        <v>175</v>
      </c>
      <c r="D54" s="450">
        <f t="shared" si="92"/>
        <v>5.7199999999999989</v>
      </c>
      <c r="E54" s="451">
        <f t="shared" si="71"/>
        <v>5.589999999999999</v>
      </c>
      <c r="F54" s="278">
        <f t="shared" si="93"/>
        <v>0.12999999999999989</v>
      </c>
      <c r="G54" s="549">
        <v>0.5</v>
      </c>
      <c r="H54" s="550">
        <v>0.49</v>
      </c>
      <c r="I54" s="279">
        <f>H54-G54</f>
        <v>-1.0000000000000009E-2</v>
      </c>
      <c r="J54" s="549">
        <f>H54</f>
        <v>0.49</v>
      </c>
      <c r="K54" s="550">
        <f>J54-0.01</f>
        <v>0.48</v>
      </c>
      <c r="L54" s="279">
        <f>K54-J54</f>
        <v>-1.0000000000000009E-2</v>
      </c>
      <c r="M54" s="549">
        <f>K54</f>
        <v>0.48</v>
      </c>
      <c r="N54" s="550">
        <f>M54-0.01</f>
        <v>0.47</v>
      </c>
      <c r="O54" s="279">
        <f>N54-M54</f>
        <v>-1.0000000000000009E-2</v>
      </c>
      <c r="P54" s="549">
        <f>N54</f>
        <v>0.47</v>
      </c>
      <c r="Q54" s="550">
        <f>P54-0.01</f>
        <v>0.45999999999999996</v>
      </c>
      <c r="R54" s="279">
        <f>Q54-P54</f>
        <v>-1.0000000000000009E-2</v>
      </c>
      <c r="S54" s="549">
        <f>Q54</f>
        <v>0.45999999999999996</v>
      </c>
      <c r="T54" s="550">
        <f>S54-0.01</f>
        <v>0.44999999999999996</v>
      </c>
      <c r="U54" s="279">
        <f>T54-S54</f>
        <v>-1.0000000000000009E-2</v>
      </c>
      <c r="V54" s="549">
        <f>T54</f>
        <v>0.44999999999999996</v>
      </c>
      <c r="W54" s="550">
        <f>V54-0.01</f>
        <v>0.43999999999999995</v>
      </c>
      <c r="X54" s="279">
        <f>W54-V54</f>
        <v>-1.0000000000000009E-2</v>
      </c>
      <c r="Y54" s="549">
        <f>W54</f>
        <v>0.43999999999999995</v>
      </c>
      <c r="Z54" s="550">
        <f>Y54-0.01</f>
        <v>0.42999999999999994</v>
      </c>
      <c r="AA54" s="279">
        <f>Z54-Y54</f>
        <v>-1.0000000000000009E-2</v>
      </c>
      <c r="AB54" s="549">
        <f>Z54</f>
        <v>0.42999999999999994</v>
      </c>
      <c r="AC54" s="550">
        <f>AB54-0.01</f>
        <v>0.41999999999999993</v>
      </c>
      <c r="AD54" s="279">
        <f>AC54-AB54</f>
        <v>-1.0000000000000009E-2</v>
      </c>
      <c r="AE54" s="549">
        <f>AC54</f>
        <v>0.41999999999999993</v>
      </c>
      <c r="AF54" s="550">
        <f>AE54-0.01</f>
        <v>0.40999999999999992</v>
      </c>
      <c r="AG54" s="279">
        <f>AF54-AE54</f>
        <v>-1.0000000000000009E-2</v>
      </c>
      <c r="AH54" s="549">
        <f>AF54</f>
        <v>0.40999999999999992</v>
      </c>
      <c r="AI54" s="550">
        <f>AH54-0.01</f>
        <v>0.39999999999999991</v>
      </c>
      <c r="AJ54" s="279">
        <f>AI54-AH54</f>
        <v>-1.0000000000000009E-2</v>
      </c>
      <c r="AK54" s="549">
        <f>AI54</f>
        <v>0.39999999999999991</v>
      </c>
      <c r="AL54" s="550">
        <f>AK54-0.01</f>
        <v>0.3899999999999999</v>
      </c>
      <c r="AM54" s="279">
        <f>AL54-AK54</f>
        <v>-1.0000000000000009E-2</v>
      </c>
      <c r="AN54" s="549">
        <f>AL54</f>
        <v>0.3899999999999999</v>
      </c>
      <c r="AO54" s="550">
        <f>AN54-0.01</f>
        <v>0.37999999999999989</v>
      </c>
      <c r="AP54" s="279">
        <f>AO54-AN54</f>
        <v>-1.0000000000000009E-2</v>
      </c>
      <c r="AQ54" s="549">
        <f>AO54</f>
        <v>0.37999999999999989</v>
      </c>
      <c r="AR54" s="550">
        <f>AQ54-0.01</f>
        <v>0.36999999999999988</v>
      </c>
      <c r="AS54" s="279">
        <f>AR54-AQ54</f>
        <v>-1.0000000000000009E-2</v>
      </c>
      <c r="AT54" s="549"/>
      <c r="AU54" s="550"/>
      <c r="AV54" s="279">
        <f>AU54-AT54</f>
        <v>0</v>
      </c>
      <c r="AW54" s="549"/>
      <c r="AX54" s="550"/>
      <c r="AY54" s="279">
        <f>AX54-AW54</f>
        <v>0</v>
      </c>
      <c r="AZ54" s="549">
        <v>0</v>
      </c>
      <c r="BA54" s="550">
        <v>0</v>
      </c>
      <c r="BB54" s="279">
        <f>BA54-AZ54</f>
        <v>0</v>
      </c>
      <c r="BC54" s="549"/>
      <c r="BD54" s="550"/>
      <c r="BE54" s="279">
        <f>BD54-BC54</f>
        <v>0</v>
      </c>
      <c r="BF54" s="549"/>
      <c r="BG54" s="550"/>
      <c r="BH54" s="279">
        <f>BG54-BF54</f>
        <v>0</v>
      </c>
      <c r="BI54" s="549"/>
      <c r="BJ54" s="550"/>
      <c r="BK54" s="279">
        <f>BJ54-BI54</f>
        <v>0</v>
      </c>
      <c r="BL54" s="549"/>
      <c r="BM54" s="550"/>
      <c r="BN54" s="279">
        <f>BM54-BL54</f>
        <v>0</v>
      </c>
      <c r="BO54" s="549">
        <v>0</v>
      </c>
      <c r="BP54" s="550">
        <v>0</v>
      </c>
      <c r="BQ54" s="279">
        <f>BP54-BO54</f>
        <v>0</v>
      </c>
    </row>
    <row r="55" spans="1:70" s="281" customFormat="1" ht="14.25" customHeight="1">
      <c r="A55" s="791" t="s">
        <v>118</v>
      </c>
      <c r="B55" s="795" t="s">
        <v>214</v>
      </c>
      <c r="C55" s="24" t="s">
        <v>166</v>
      </c>
      <c r="D55" s="252">
        <f t="shared" si="92"/>
        <v>0</v>
      </c>
      <c r="E55" s="253">
        <f t="shared" si="71"/>
        <v>0</v>
      </c>
      <c r="F55" s="254">
        <f t="shared" ref="F55:F64" si="118">SUM(I55,L55,O55,R55,U55,X55,AA55,AD55,AG55,AJ55,AM55,AP55,AS55,AV55,AY55,BB55,BB55,BE55,BH55,BK55,BN55,BQ55)</f>
        <v>0</v>
      </c>
      <c r="G55" s="539"/>
      <c r="H55" s="540"/>
      <c r="I55" s="257">
        <f t="shared" ref="I55:I64" si="119">H55-G55</f>
        <v>0</v>
      </c>
      <c r="J55" s="539"/>
      <c r="K55" s="540"/>
      <c r="L55" s="257">
        <f t="shared" ref="L55:L64" si="120">K55-J55</f>
        <v>0</v>
      </c>
      <c r="M55" s="539"/>
      <c r="N55" s="540"/>
      <c r="O55" s="257">
        <f t="shared" ref="O55:O64" si="121">N55-M55</f>
        <v>0</v>
      </c>
      <c r="P55" s="539"/>
      <c r="Q55" s="540"/>
      <c r="R55" s="257">
        <f t="shared" ref="R55:R64" si="122">Q55-P55</f>
        <v>0</v>
      </c>
      <c r="S55" s="539"/>
      <c r="T55" s="540"/>
      <c r="U55" s="257">
        <f t="shared" ref="U55:U64" si="123">T55-S55</f>
        <v>0</v>
      </c>
      <c r="V55" s="539"/>
      <c r="W55" s="540"/>
      <c r="X55" s="257">
        <f t="shared" ref="X55:X64" si="124">W55-V55</f>
        <v>0</v>
      </c>
      <c r="Y55" s="539"/>
      <c r="Z55" s="540"/>
      <c r="AA55" s="257">
        <f t="shared" ref="AA55:AA64" si="125">Z55-Y55</f>
        <v>0</v>
      </c>
      <c r="AB55" s="539"/>
      <c r="AC55" s="540"/>
      <c r="AD55" s="257">
        <f t="shared" ref="AD55:AD64" si="126">AC55-AB55</f>
        <v>0</v>
      </c>
      <c r="AE55" s="539"/>
      <c r="AF55" s="540"/>
      <c r="AG55" s="257">
        <f t="shared" ref="AG55:AG64" si="127">AF55-AE55</f>
        <v>0</v>
      </c>
      <c r="AH55" s="539"/>
      <c r="AI55" s="540"/>
      <c r="AJ55" s="257">
        <f t="shared" ref="AJ55:AJ64" si="128">AI55-AH55</f>
        <v>0</v>
      </c>
      <c r="AK55" s="539"/>
      <c r="AL55" s="540"/>
      <c r="AM55" s="257">
        <f t="shared" ref="AM55:AM64" si="129">AL55-AK55</f>
        <v>0</v>
      </c>
      <c r="AN55" s="539"/>
      <c r="AO55" s="540"/>
      <c r="AP55" s="257">
        <f t="shared" ref="AP55:AP64" si="130">AO55-AN55</f>
        <v>0</v>
      </c>
      <c r="AQ55" s="539"/>
      <c r="AR55" s="540"/>
      <c r="AS55" s="257">
        <f t="shared" ref="AS55:AS64" si="131">AR55-AQ55</f>
        <v>0</v>
      </c>
      <c r="AT55" s="539"/>
      <c r="AU55" s="540"/>
      <c r="AV55" s="257">
        <f t="shared" ref="AV55:AV64" si="132">AU55-AT55</f>
        <v>0</v>
      </c>
      <c r="AW55" s="539"/>
      <c r="AX55" s="540"/>
      <c r="AY55" s="257">
        <f t="shared" ref="AY55:AY64" si="133">AX55-AW55</f>
        <v>0</v>
      </c>
      <c r="AZ55" s="539"/>
      <c r="BA55" s="540"/>
      <c r="BB55" s="257">
        <f t="shared" ref="BB55:BB64" si="134">BA55-AZ55</f>
        <v>0</v>
      </c>
      <c r="BC55" s="539"/>
      <c r="BD55" s="540"/>
      <c r="BE55" s="257">
        <f t="shared" ref="BE55:BE64" si="135">BD55-BC55</f>
        <v>0</v>
      </c>
      <c r="BF55" s="539"/>
      <c r="BG55" s="540"/>
      <c r="BH55" s="257">
        <f t="shared" ref="BH55:BH64" si="136">BG55-BF55</f>
        <v>0</v>
      </c>
      <c r="BI55" s="539"/>
      <c r="BJ55" s="540"/>
      <c r="BK55" s="257">
        <f t="shared" ref="BK55:BK64" si="137">BJ55-BI55</f>
        <v>0</v>
      </c>
      <c r="BL55" s="539"/>
      <c r="BM55" s="540"/>
      <c r="BN55" s="257">
        <f t="shared" ref="BN55:BN64" si="138">BM55-BL55</f>
        <v>0</v>
      </c>
      <c r="BO55" s="539"/>
      <c r="BP55" s="540"/>
      <c r="BQ55" s="257">
        <f t="shared" ref="BQ55:BQ64" si="139">BP55-BO55</f>
        <v>0</v>
      </c>
      <c r="BR55" s="280"/>
    </row>
    <row r="56" spans="1:70">
      <c r="A56" s="791"/>
      <c r="B56" s="795"/>
      <c r="C56" s="24" t="s">
        <v>167</v>
      </c>
      <c r="D56" s="259">
        <f t="shared" si="92"/>
        <v>0</v>
      </c>
      <c r="E56" s="260">
        <f t="shared" si="71"/>
        <v>0</v>
      </c>
      <c r="F56" s="261">
        <f t="shared" si="118"/>
        <v>0</v>
      </c>
      <c r="G56" s="541"/>
      <c r="H56" s="542"/>
      <c r="I56" s="262">
        <f t="shared" si="119"/>
        <v>0</v>
      </c>
      <c r="J56" s="541"/>
      <c r="K56" s="542"/>
      <c r="L56" s="262">
        <f t="shared" si="120"/>
        <v>0</v>
      </c>
      <c r="M56" s="541"/>
      <c r="N56" s="542"/>
      <c r="O56" s="262">
        <f t="shared" si="121"/>
        <v>0</v>
      </c>
      <c r="P56" s="541"/>
      <c r="Q56" s="542"/>
      <c r="R56" s="262">
        <f t="shared" si="122"/>
        <v>0</v>
      </c>
      <c r="S56" s="541"/>
      <c r="T56" s="542"/>
      <c r="U56" s="262">
        <f t="shared" si="123"/>
        <v>0</v>
      </c>
      <c r="V56" s="541"/>
      <c r="W56" s="542"/>
      <c r="X56" s="262">
        <f t="shared" si="124"/>
        <v>0</v>
      </c>
      <c r="Y56" s="541"/>
      <c r="Z56" s="542"/>
      <c r="AA56" s="262">
        <f t="shared" si="125"/>
        <v>0</v>
      </c>
      <c r="AB56" s="541"/>
      <c r="AC56" s="542"/>
      <c r="AD56" s="262">
        <f t="shared" si="126"/>
        <v>0</v>
      </c>
      <c r="AE56" s="541"/>
      <c r="AF56" s="542"/>
      <c r="AG56" s="262">
        <f t="shared" si="127"/>
        <v>0</v>
      </c>
      <c r="AH56" s="541"/>
      <c r="AI56" s="542"/>
      <c r="AJ56" s="262">
        <f t="shared" si="128"/>
        <v>0</v>
      </c>
      <c r="AK56" s="541"/>
      <c r="AL56" s="542"/>
      <c r="AM56" s="262">
        <f t="shared" si="129"/>
        <v>0</v>
      </c>
      <c r="AN56" s="541"/>
      <c r="AO56" s="542"/>
      <c r="AP56" s="262">
        <f t="shared" si="130"/>
        <v>0</v>
      </c>
      <c r="AQ56" s="541"/>
      <c r="AR56" s="542"/>
      <c r="AS56" s="262">
        <f t="shared" si="131"/>
        <v>0</v>
      </c>
      <c r="AT56" s="541"/>
      <c r="AU56" s="542"/>
      <c r="AV56" s="262">
        <f t="shared" si="132"/>
        <v>0</v>
      </c>
      <c r="AW56" s="541"/>
      <c r="AX56" s="542"/>
      <c r="AY56" s="262">
        <f t="shared" si="133"/>
        <v>0</v>
      </c>
      <c r="AZ56" s="541"/>
      <c r="BA56" s="542"/>
      <c r="BB56" s="262">
        <f t="shared" si="134"/>
        <v>0</v>
      </c>
      <c r="BC56" s="541"/>
      <c r="BD56" s="542"/>
      <c r="BE56" s="262">
        <f t="shared" si="135"/>
        <v>0</v>
      </c>
      <c r="BF56" s="541"/>
      <c r="BG56" s="542"/>
      <c r="BH56" s="262">
        <f t="shared" si="136"/>
        <v>0</v>
      </c>
      <c r="BI56" s="541"/>
      <c r="BJ56" s="542"/>
      <c r="BK56" s="262">
        <f t="shared" si="137"/>
        <v>0</v>
      </c>
      <c r="BL56" s="541"/>
      <c r="BM56" s="542"/>
      <c r="BN56" s="262">
        <f t="shared" si="138"/>
        <v>0</v>
      </c>
      <c r="BO56" s="541"/>
      <c r="BP56" s="542"/>
      <c r="BQ56" s="262">
        <f t="shared" si="139"/>
        <v>0</v>
      </c>
    </row>
    <row r="57" spans="1:70">
      <c r="A57" s="791"/>
      <c r="B57" s="795"/>
      <c r="C57" s="24" t="s">
        <v>168</v>
      </c>
      <c r="D57" s="259">
        <f t="shared" si="92"/>
        <v>0</v>
      </c>
      <c r="E57" s="260">
        <f t="shared" si="71"/>
        <v>0</v>
      </c>
      <c r="F57" s="261">
        <f t="shared" si="118"/>
        <v>0</v>
      </c>
      <c r="G57" s="541"/>
      <c r="H57" s="542"/>
      <c r="I57" s="262">
        <f t="shared" si="119"/>
        <v>0</v>
      </c>
      <c r="J57" s="541"/>
      <c r="K57" s="542"/>
      <c r="L57" s="262">
        <f t="shared" si="120"/>
        <v>0</v>
      </c>
      <c r="M57" s="541"/>
      <c r="N57" s="542"/>
      <c r="O57" s="262">
        <f t="shared" si="121"/>
        <v>0</v>
      </c>
      <c r="P57" s="541"/>
      <c r="Q57" s="542"/>
      <c r="R57" s="262">
        <f t="shared" si="122"/>
        <v>0</v>
      </c>
      <c r="S57" s="541"/>
      <c r="T57" s="542"/>
      <c r="U57" s="262">
        <f t="shared" si="123"/>
        <v>0</v>
      </c>
      <c r="V57" s="541"/>
      <c r="W57" s="542"/>
      <c r="X57" s="262">
        <f t="shared" si="124"/>
        <v>0</v>
      </c>
      <c r="Y57" s="541"/>
      <c r="Z57" s="542"/>
      <c r="AA57" s="262">
        <f t="shared" si="125"/>
        <v>0</v>
      </c>
      <c r="AB57" s="541"/>
      <c r="AC57" s="542"/>
      <c r="AD57" s="262">
        <f t="shared" si="126"/>
        <v>0</v>
      </c>
      <c r="AE57" s="541"/>
      <c r="AF57" s="542"/>
      <c r="AG57" s="262">
        <f t="shared" si="127"/>
        <v>0</v>
      </c>
      <c r="AH57" s="541"/>
      <c r="AI57" s="542"/>
      <c r="AJ57" s="262">
        <f t="shared" si="128"/>
        <v>0</v>
      </c>
      <c r="AK57" s="541"/>
      <c r="AL57" s="542"/>
      <c r="AM57" s="262">
        <f t="shared" si="129"/>
        <v>0</v>
      </c>
      <c r="AN57" s="541"/>
      <c r="AO57" s="542"/>
      <c r="AP57" s="262">
        <f t="shared" si="130"/>
        <v>0</v>
      </c>
      <c r="AQ57" s="541"/>
      <c r="AR57" s="542"/>
      <c r="AS57" s="262">
        <f t="shared" si="131"/>
        <v>0</v>
      </c>
      <c r="AT57" s="541"/>
      <c r="AU57" s="542"/>
      <c r="AV57" s="262">
        <f t="shared" si="132"/>
        <v>0</v>
      </c>
      <c r="AW57" s="541"/>
      <c r="AX57" s="542"/>
      <c r="AY57" s="262">
        <f t="shared" si="133"/>
        <v>0</v>
      </c>
      <c r="AZ57" s="541"/>
      <c r="BA57" s="542"/>
      <c r="BB57" s="262">
        <f t="shared" si="134"/>
        <v>0</v>
      </c>
      <c r="BC57" s="541"/>
      <c r="BD57" s="542"/>
      <c r="BE57" s="262">
        <f t="shared" si="135"/>
        <v>0</v>
      </c>
      <c r="BF57" s="541"/>
      <c r="BG57" s="542"/>
      <c r="BH57" s="262">
        <f t="shared" si="136"/>
        <v>0</v>
      </c>
      <c r="BI57" s="541"/>
      <c r="BJ57" s="542"/>
      <c r="BK57" s="262">
        <f t="shared" si="137"/>
        <v>0</v>
      </c>
      <c r="BL57" s="541"/>
      <c r="BM57" s="542"/>
      <c r="BN57" s="262">
        <f t="shared" si="138"/>
        <v>0</v>
      </c>
      <c r="BO57" s="541"/>
      <c r="BP57" s="542"/>
      <c r="BQ57" s="262">
        <f t="shared" si="139"/>
        <v>0</v>
      </c>
    </row>
    <row r="58" spans="1:70">
      <c r="A58" s="791"/>
      <c r="B58" s="795"/>
      <c r="C58" s="24" t="s">
        <v>169</v>
      </c>
      <c r="D58" s="259">
        <f t="shared" si="92"/>
        <v>0</v>
      </c>
      <c r="E58" s="260">
        <f t="shared" si="71"/>
        <v>0</v>
      </c>
      <c r="F58" s="261">
        <f t="shared" si="118"/>
        <v>0</v>
      </c>
      <c r="G58" s="541"/>
      <c r="H58" s="542"/>
      <c r="I58" s="262">
        <f t="shared" si="119"/>
        <v>0</v>
      </c>
      <c r="J58" s="541"/>
      <c r="K58" s="542"/>
      <c r="L58" s="262">
        <f t="shared" si="120"/>
        <v>0</v>
      </c>
      <c r="M58" s="541"/>
      <c r="N58" s="542"/>
      <c r="O58" s="262">
        <f t="shared" si="121"/>
        <v>0</v>
      </c>
      <c r="P58" s="541"/>
      <c r="Q58" s="542"/>
      <c r="R58" s="262">
        <f t="shared" si="122"/>
        <v>0</v>
      </c>
      <c r="S58" s="541"/>
      <c r="T58" s="542"/>
      <c r="U58" s="262">
        <f t="shared" si="123"/>
        <v>0</v>
      </c>
      <c r="V58" s="541"/>
      <c r="W58" s="542"/>
      <c r="X58" s="262">
        <f t="shared" si="124"/>
        <v>0</v>
      </c>
      <c r="Y58" s="541"/>
      <c r="Z58" s="542"/>
      <c r="AA58" s="262">
        <f t="shared" si="125"/>
        <v>0</v>
      </c>
      <c r="AB58" s="541"/>
      <c r="AC58" s="542"/>
      <c r="AD58" s="262">
        <f t="shared" si="126"/>
        <v>0</v>
      </c>
      <c r="AE58" s="541"/>
      <c r="AF58" s="542"/>
      <c r="AG58" s="262">
        <f t="shared" si="127"/>
        <v>0</v>
      </c>
      <c r="AH58" s="541"/>
      <c r="AI58" s="542"/>
      <c r="AJ58" s="262">
        <f t="shared" si="128"/>
        <v>0</v>
      </c>
      <c r="AK58" s="541"/>
      <c r="AL58" s="542"/>
      <c r="AM58" s="262">
        <f t="shared" si="129"/>
        <v>0</v>
      </c>
      <c r="AN58" s="541"/>
      <c r="AO58" s="542"/>
      <c r="AP58" s="262">
        <f t="shared" si="130"/>
        <v>0</v>
      </c>
      <c r="AQ58" s="541"/>
      <c r="AR58" s="542"/>
      <c r="AS58" s="262">
        <f t="shared" si="131"/>
        <v>0</v>
      </c>
      <c r="AT58" s="541"/>
      <c r="AU58" s="542"/>
      <c r="AV58" s="262">
        <f t="shared" si="132"/>
        <v>0</v>
      </c>
      <c r="AW58" s="541"/>
      <c r="AX58" s="542"/>
      <c r="AY58" s="262">
        <f t="shared" si="133"/>
        <v>0</v>
      </c>
      <c r="AZ58" s="541"/>
      <c r="BA58" s="542"/>
      <c r="BB58" s="262">
        <f t="shared" si="134"/>
        <v>0</v>
      </c>
      <c r="BC58" s="541"/>
      <c r="BD58" s="542"/>
      <c r="BE58" s="262">
        <f t="shared" si="135"/>
        <v>0</v>
      </c>
      <c r="BF58" s="541"/>
      <c r="BG58" s="542"/>
      <c r="BH58" s="262">
        <f t="shared" si="136"/>
        <v>0</v>
      </c>
      <c r="BI58" s="541"/>
      <c r="BJ58" s="542"/>
      <c r="BK58" s="262">
        <f t="shared" si="137"/>
        <v>0</v>
      </c>
      <c r="BL58" s="541"/>
      <c r="BM58" s="542"/>
      <c r="BN58" s="262">
        <f t="shared" si="138"/>
        <v>0</v>
      </c>
      <c r="BO58" s="541"/>
      <c r="BP58" s="542"/>
      <c r="BQ58" s="262">
        <f t="shared" si="139"/>
        <v>0</v>
      </c>
    </row>
    <row r="59" spans="1:70">
      <c r="A59" s="791"/>
      <c r="B59" s="795"/>
      <c r="C59" s="24" t="s">
        <v>170</v>
      </c>
      <c r="D59" s="259">
        <f t="shared" si="92"/>
        <v>0</v>
      </c>
      <c r="E59" s="260">
        <f t="shared" si="71"/>
        <v>0</v>
      </c>
      <c r="F59" s="261">
        <f t="shared" si="118"/>
        <v>0</v>
      </c>
      <c r="G59" s="541"/>
      <c r="H59" s="542"/>
      <c r="I59" s="262">
        <f t="shared" si="119"/>
        <v>0</v>
      </c>
      <c r="J59" s="541"/>
      <c r="K59" s="542"/>
      <c r="L59" s="262">
        <f t="shared" si="120"/>
        <v>0</v>
      </c>
      <c r="M59" s="541"/>
      <c r="N59" s="542"/>
      <c r="O59" s="262">
        <f t="shared" si="121"/>
        <v>0</v>
      </c>
      <c r="P59" s="541"/>
      <c r="Q59" s="542"/>
      <c r="R59" s="262">
        <f t="shared" si="122"/>
        <v>0</v>
      </c>
      <c r="S59" s="541"/>
      <c r="T59" s="542"/>
      <c r="U59" s="262">
        <f t="shared" si="123"/>
        <v>0</v>
      </c>
      <c r="V59" s="541"/>
      <c r="W59" s="542"/>
      <c r="X59" s="262">
        <f t="shared" si="124"/>
        <v>0</v>
      </c>
      <c r="Y59" s="541"/>
      <c r="Z59" s="542"/>
      <c r="AA59" s="262">
        <f t="shared" si="125"/>
        <v>0</v>
      </c>
      <c r="AB59" s="541"/>
      <c r="AC59" s="542"/>
      <c r="AD59" s="262">
        <f t="shared" si="126"/>
        <v>0</v>
      </c>
      <c r="AE59" s="541"/>
      <c r="AF59" s="542"/>
      <c r="AG59" s="262">
        <f t="shared" si="127"/>
        <v>0</v>
      </c>
      <c r="AH59" s="541"/>
      <c r="AI59" s="542"/>
      <c r="AJ59" s="262">
        <f t="shared" si="128"/>
        <v>0</v>
      </c>
      <c r="AK59" s="541"/>
      <c r="AL59" s="542"/>
      <c r="AM59" s="262">
        <f t="shared" si="129"/>
        <v>0</v>
      </c>
      <c r="AN59" s="541"/>
      <c r="AO59" s="542"/>
      <c r="AP59" s="262">
        <f t="shared" si="130"/>
        <v>0</v>
      </c>
      <c r="AQ59" s="541"/>
      <c r="AR59" s="542"/>
      <c r="AS59" s="262">
        <f t="shared" si="131"/>
        <v>0</v>
      </c>
      <c r="AT59" s="541"/>
      <c r="AU59" s="542"/>
      <c r="AV59" s="262">
        <f t="shared" si="132"/>
        <v>0</v>
      </c>
      <c r="AW59" s="541"/>
      <c r="AX59" s="542"/>
      <c r="AY59" s="262">
        <f t="shared" si="133"/>
        <v>0</v>
      </c>
      <c r="AZ59" s="541"/>
      <c r="BA59" s="542"/>
      <c r="BB59" s="262">
        <f t="shared" si="134"/>
        <v>0</v>
      </c>
      <c r="BC59" s="541"/>
      <c r="BD59" s="542"/>
      <c r="BE59" s="262">
        <f t="shared" si="135"/>
        <v>0</v>
      </c>
      <c r="BF59" s="541"/>
      <c r="BG59" s="542"/>
      <c r="BH59" s="262">
        <f t="shared" si="136"/>
        <v>0</v>
      </c>
      <c r="BI59" s="541"/>
      <c r="BJ59" s="542"/>
      <c r="BK59" s="262">
        <f t="shared" si="137"/>
        <v>0</v>
      </c>
      <c r="BL59" s="541"/>
      <c r="BM59" s="542"/>
      <c r="BN59" s="262">
        <f t="shared" si="138"/>
        <v>0</v>
      </c>
      <c r="BO59" s="541"/>
      <c r="BP59" s="542"/>
      <c r="BQ59" s="262">
        <f t="shared" si="139"/>
        <v>0</v>
      </c>
    </row>
    <row r="60" spans="1:70">
      <c r="A60" s="791"/>
      <c r="B60" s="795"/>
      <c r="C60" s="24" t="s">
        <v>171</v>
      </c>
      <c r="D60" s="259">
        <f t="shared" si="92"/>
        <v>0</v>
      </c>
      <c r="E60" s="260">
        <f t="shared" si="71"/>
        <v>0</v>
      </c>
      <c r="F60" s="261">
        <f t="shared" si="118"/>
        <v>0</v>
      </c>
      <c r="G60" s="541"/>
      <c r="H60" s="542"/>
      <c r="I60" s="262">
        <f t="shared" si="119"/>
        <v>0</v>
      </c>
      <c r="J60" s="541"/>
      <c r="K60" s="542"/>
      <c r="L60" s="262">
        <f t="shared" si="120"/>
        <v>0</v>
      </c>
      <c r="M60" s="541"/>
      <c r="N60" s="542"/>
      <c r="O60" s="262">
        <f t="shared" si="121"/>
        <v>0</v>
      </c>
      <c r="P60" s="541"/>
      <c r="Q60" s="542"/>
      <c r="R60" s="262">
        <f t="shared" si="122"/>
        <v>0</v>
      </c>
      <c r="S60" s="541"/>
      <c r="T60" s="542"/>
      <c r="U60" s="262">
        <f t="shared" si="123"/>
        <v>0</v>
      </c>
      <c r="V60" s="541"/>
      <c r="W60" s="542"/>
      <c r="X60" s="262">
        <f t="shared" si="124"/>
        <v>0</v>
      </c>
      <c r="Y60" s="541"/>
      <c r="Z60" s="542"/>
      <c r="AA60" s="262">
        <f t="shared" si="125"/>
        <v>0</v>
      </c>
      <c r="AB60" s="541"/>
      <c r="AC60" s="542"/>
      <c r="AD60" s="262">
        <f t="shared" si="126"/>
        <v>0</v>
      </c>
      <c r="AE60" s="541"/>
      <c r="AF60" s="542"/>
      <c r="AG60" s="262">
        <f t="shared" si="127"/>
        <v>0</v>
      </c>
      <c r="AH60" s="541"/>
      <c r="AI60" s="542"/>
      <c r="AJ60" s="262">
        <f t="shared" si="128"/>
        <v>0</v>
      </c>
      <c r="AK60" s="541"/>
      <c r="AL60" s="542"/>
      <c r="AM60" s="262">
        <f t="shared" si="129"/>
        <v>0</v>
      </c>
      <c r="AN60" s="541"/>
      <c r="AO60" s="542"/>
      <c r="AP60" s="262">
        <f t="shared" si="130"/>
        <v>0</v>
      </c>
      <c r="AQ60" s="541"/>
      <c r="AR60" s="542"/>
      <c r="AS60" s="262">
        <f t="shared" si="131"/>
        <v>0</v>
      </c>
      <c r="AT60" s="541"/>
      <c r="AU60" s="542"/>
      <c r="AV60" s="262">
        <f t="shared" si="132"/>
        <v>0</v>
      </c>
      <c r="AW60" s="541"/>
      <c r="AX60" s="542"/>
      <c r="AY60" s="262">
        <f t="shared" si="133"/>
        <v>0</v>
      </c>
      <c r="AZ60" s="541"/>
      <c r="BA60" s="542"/>
      <c r="BB60" s="262">
        <f t="shared" si="134"/>
        <v>0</v>
      </c>
      <c r="BC60" s="541"/>
      <c r="BD60" s="542"/>
      <c r="BE60" s="262">
        <f t="shared" si="135"/>
        <v>0</v>
      </c>
      <c r="BF60" s="541"/>
      <c r="BG60" s="542"/>
      <c r="BH60" s="262">
        <f t="shared" si="136"/>
        <v>0</v>
      </c>
      <c r="BI60" s="541"/>
      <c r="BJ60" s="542"/>
      <c r="BK60" s="262">
        <f t="shared" si="137"/>
        <v>0</v>
      </c>
      <c r="BL60" s="541"/>
      <c r="BM60" s="542"/>
      <c r="BN60" s="262">
        <f t="shared" si="138"/>
        <v>0</v>
      </c>
      <c r="BO60" s="541"/>
      <c r="BP60" s="542"/>
      <c r="BQ60" s="262">
        <f t="shared" si="139"/>
        <v>0</v>
      </c>
    </row>
    <row r="61" spans="1:70">
      <c r="A61" s="791"/>
      <c r="B61" s="795"/>
      <c r="C61" s="24" t="s">
        <v>172</v>
      </c>
      <c r="D61" s="259">
        <f t="shared" si="92"/>
        <v>0</v>
      </c>
      <c r="E61" s="260">
        <f t="shared" si="71"/>
        <v>0</v>
      </c>
      <c r="F61" s="261">
        <f t="shared" si="118"/>
        <v>0</v>
      </c>
      <c r="G61" s="541"/>
      <c r="H61" s="542"/>
      <c r="I61" s="262">
        <f t="shared" si="119"/>
        <v>0</v>
      </c>
      <c r="J61" s="541"/>
      <c r="K61" s="542"/>
      <c r="L61" s="262">
        <f t="shared" si="120"/>
        <v>0</v>
      </c>
      <c r="M61" s="541"/>
      <c r="N61" s="542"/>
      <c r="O61" s="262">
        <f t="shared" si="121"/>
        <v>0</v>
      </c>
      <c r="P61" s="541"/>
      <c r="Q61" s="542"/>
      <c r="R61" s="262">
        <f t="shared" si="122"/>
        <v>0</v>
      </c>
      <c r="S61" s="541"/>
      <c r="T61" s="542"/>
      <c r="U61" s="262">
        <f t="shared" si="123"/>
        <v>0</v>
      </c>
      <c r="V61" s="541"/>
      <c r="W61" s="542"/>
      <c r="X61" s="262">
        <f t="shared" si="124"/>
        <v>0</v>
      </c>
      <c r="Y61" s="541"/>
      <c r="Z61" s="542"/>
      <c r="AA61" s="262">
        <f t="shared" si="125"/>
        <v>0</v>
      </c>
      <c r="AB61" s="541"/>
      <c r="AC61" s="542"/>
      <c r="AD61" s="262">
        <f t="shared" si="126"/>
        <v>0</v>
      </c>
      <c r="AE61" s="541"/>
      <c r="AF61" s="542"/>
      <c r="AG61" s="262">
        <f t="shared" si="127"/>
        <v>0</v>
      </c>
      <c r="AH61" s="541"/>
      <c r="AI61" s="542"/>
      <c r="AJ61" s="262">
        <f t="shared" si="128"/>
        <v>0</v>
      </c>
      <c r="AK61" s="541"/>
      <c r="AL61" s="542"/>
      <c r="AM61" s="262">
        <f t="shared" si="129"/>
        <v>0</v>
      </c>
      <c r="AN61" s="541"/>
      <c r="AO61" s="542"/>
      <c r="AP61" s="262">
        <f t="shared" si="130"/>
        <v>0</v>
      </c>
      <c r="AQ61" s="541"/>
      <c r="AR61" s="542"/>
      <c r="AS61" s="262">
        <f t="shared" si="131"/>
        <v>0</v>
      </c>
      <c r="AT61" s="541"/>
      <c r="AU61" s="542"/>
      <c r="AV61" s="262">
        <f t="shared" si="132"/>
        <v>0</v>
      </c>
      <c r="AW61" s="541"/>
      <c r="AX61" s="542"/>
      <c r="AY61" s="262">
        <f t="shared" si="133"/>
        <v>0</v>
      </c>
      <c r="AZ61" s="541"/>
      <c r="BA61" s="542"/>
      <c r="BB61" s="262">
        <f t="shared" si="134"/>
        <v>0</v>
      </c>
      <c r="BC61" s="541"/>
      <c r="BD61" s="542"/>
      <c r="BE61" s="262">
        <f t="shared" si="135"/>
        <v>0</v>
      </c>
      <c r="BF61" s="541"/>
      <c r="BG61" s="542"/>
      <c r="BH61" s="262">
        <f t="shared" si="136"/>
        <v>0</v>
      </c>
      <c r="BI61" s="541"/>
      <c r="BJ61" s="542"/>
      <c r="BK61" s="262">
        <f t="shared" si="137"/>
        <v>0</v>
      </c>
      <c r="BL61" s="541"/>
      <c r="BM61" s="542"/>
      <c r="BN61" s="262">
        <f t="shared" si="138"/>
        <v>0</v>
      </c>
      <c r="BO61" s="541"/>
      <c r="BP61" s="542"/>
      <c r="BQ61" s="262">
        <f t="shared" si="139"/>
        <v>0</v>
      </c>
    </row>
    <row r="62" spans="1:70">
      <c r="A62" s="791"/>
      <c r="B62" s="795"/>
      <c r="C62" s="24" t="s">
        <v>173</v>
      </c>
      <c r="D62" s="259">
        <f t="shared" ref="D62:D64" si="140">SUM(G62,J62,M62,P62,S62,V62,Y62,AB62,AE62,AH62,AK62,AN62,AQ62,AT62,AW62,AZ62,AZ62,BC62,BF62,BI62,BL62,BO62)</f>
        <v>0</v>
      </c>
      <c r="E62" s="260">
        <f t="shared" si="71"/>
        <v>0</v>
      </c>
      <c r="F62" s="261">
        <f t="shared" si="118"/>
        <v>0</v>
      </c>
      <c r="G62" s="541"/>
      <c r="H62" s="542"/>
      <c r="I62" s="262">
        <f t="shared" si="119"/>
        <v>0</v>
      </c>
      <c r="J62" s="541"/>
      <c r="K62" s="542"/>
      <c r="L62" s="262">
        <f t="shared" si="120"/>
        <v>0</v>
      </c>
      <c r="M62" s="541"/>
      <c r="N62" s="542"/>
      <c r="O62" s="262">
        <f t="shared" si="121"/>
        <v>0</v>
      </c>
      <c r="P62" s="541"/>
      <c r="Q62" s="542"/>
      <c r="R62" s="262">
        <f t="shared" si="122"/>
        <v>0</v>
      </c>
      <c r="S62" s="541"/>
      <c r="T62" s="542"/>
      <c r="U62" s="262">
        <f t="shared" si="123"/>
        <v>0</v>
      </c>
      <c r="V62" s="541"/>
      <c r="W62" s="542"/>
      <c r="X62" s="262">
        <f t="shared" si="124"/>
        <v>0</v>
      </c>
      <c r="Y62" s="541"/>
      <c r="Z62" s="542"/>
      <c r="AA62" s="262">
        <f t="shared" si="125"/>
        <v>0</v>
      </c>
      <c r="AB62" s="541"/>
      <c r="AC62" s="542"/>
      <c r="AD62" s="262">
        <f t="shared" si="126"/>
        <v>0</v>
      </c>
      <c r="AE62" s="541"/>
      <c r="AF62" s="542"/>
      <c r="AG62" s="262">
        <f t="shared" si="127"/>
        <v>0</v>
      </c>
      <c r="AH62" s="541"/>
      <c r="AI62" s="542"/>
      <c r="AJ62" s="262">
        <f t="shared" si="128"/>
        <v>0</v>
      </c>
      <c r="AK62" s="541"/>
      <c r="AL62" s="542"/>
      <c r="AM62" s="262">
        <f t="shared" si="129"/>
        <v>0</v>
      </c>
      <c r="AN62" s="541"/>
      <c r="AO62" s="542"/>
      <c r="AP62" s="262">
        <f t="shared" si="130"/>
        <v>0</v>
      </c>
      <c r="AQ62" s="541"/>
      <c r="AR62" s="542"/>
      <c r="AS62" s="262">
        <f t="shared" si="131"/>
        <v>0</v>
      </c>
      <c r="AT62" s="541"/>
      <c r="AU62" s="542"/>
      <c r="AV62" s="262">
        <f t="shared" si="132"/>
        <v>0</v>
      </c>
      <c r="AW62" s="541"/>
      <c r="AX62" s="542"/>
      <c r="AY62" s="262">
        <f t="shared" si="133"/>
        <v>0</v>
      </c>
      <c r="AZ62" s="541"/>
      <c r="BA62" s="542"/>
      <c r="BB62" s="262">
        <f t="shared" si="134"/>
        <v>0</v>
      </c>
      <c r="BC62" s="541"/>
      <c r="BD62" s="542"/>
      <c r="BE62" s="262">
        <f t="shared" si="135"/>
        <v>0</v>
      </c>
      <c r="BF62" s="541"/>
      <c r="BG62" s="542"/>
      <c r="BH62" s="262">
        <f t="shared" si="136"/>
        <v>0</v>
      </c>
      <c r="BI62" s="541"/>
      <c r="BJ62" s="542"/>
      <c r="BK62" s="262">
        <f t="shared" si="137"/>
        <v>0</v>
      </c>
      <c r="BL62" s="541"/>
      <c r="BM62" s="542"/>
      <c r="BN62" s="262">
        <f t="shared" si="138"/>
        <v>0</v>
      </c>
      <c r="BO62" s="541"/>
      <c r="BP62" s="542"/>
      <c r="BQ62" s="262">
        <f t="shared" si="139"/>
        <v>0</v>
      </c>
    </row>
    <row r="63" spans="1:70">
      <c r="A63" s="791"/>
      <c r="B63" s="795"/>
      <c r="C63" s="24" t="s">
        <v>174</v>
      </c>
      <c r="D63" s="259">
        <f t="shared" si="140"/>
        <v>0</v>
      </c>
      <c r="E63" s="260">
        <f t="shared" si="71"/>
        <v>0</v>
      </c>
      <c r="F63" s="261">
        <f t="shared" si="118"/>
        <v>0</v>
      </c>
      <c r="G63" s="541"/>
      <c r="H63" s="542"/>
      <c r="I63" s="262">
        <f t="shared" si="119"/>
        <v>0</v>
      </c>
      <c r="J63" s="541"/>
      <c r="K63" s="542"/>
      <c r="L63" s="262">
        <f t="shared" si="120"/>
        <v>0</v>
      </c>
      <c r="M63" s="541"/>
      <c r="N63" s="542"/>
      <c r="O63" s="262">
        <f t="shared" si="121"/>
        <v>0</v>
      </c>
      <c r="P63" s="541"/>
      <c r="Q63" s="542"/>
      <c r="R63" s="262">
        <f t="shared" si="122"/>
        <v>0</v>
      </c>
      <c r="S63" s="541"/>
      <c r="T63" s="542"/>
      <c r="U63" s="262">
        <f t="shared" si="123"/>
        <v>0</v>
      </c>
      <c r="V63" s="541"/>
      <c r="W63" s="542"/>
      <c r="X63" s="262">
        <f t="shared" si="124"/>
        <v>0</v>
      </c>
      <c r="Y63" s="541"/>
      <c r="Z63" s="542"/>
      <c r="AA63" s="262">
        <f t="shared" si="125"/>
        <v>0</v>
      </c>
      <c r="AB63" s="541"/>
      <c r="AC63" s="542"/>
      <c r="AD63" s="262">
        <f t="shared" si="126"/>
        <v>0</v>
      </c>
      <c r="AE63" s="541"/>
      <c r="AF63" s="542"/>
      <c r="AG63" s="262">
        <f t="shared" si="127"/>
        <v>0</v>
      </c>
      <c r="AH63" s="541"/>
      <c r="AI63" s="542"/>
      <c r="AJ63" s="262">
        <f t="shared" si="128"/>
        <v>0</v>
      </c>
      <c r="AK63" s="541"/>
      <c r="AL63" s="542"/>
      <c r="AM63" s="262">
        <f t="shared" si="129"/>
        <v>0</v>
      </c>
      <c r="AN63" s="541"/>
      <c r="AO63" s="542"/>
      <c r="AP63" s="262">
        <f t="shared" si="130"/>
        <v>0</v>
      </c>
      <c r="AQ63" s="541"/>
      <c r="AR63" s="542"/>
      <c r="AS63" s="262">
        <f t="shared" si="131"/>
        <v>0</v>
      </c>
      <c r="AT63" s="541"/>
      <c r="AU63" s="542"/>
      <c r="AV63" s="262">
        <f t="shared" si="132"/>
        <v>0</v>
      </c>
      <c r="AW63" s="541"/>
      <c r="AX63" s="542"/>
      <c r="AY63" s="262">
        <f t="shared" si="133"/>
        <v>0</v>
      </c>
      <c r="AZ63" s="541"/>
      <c r="BA63" s="542"/>
      <c r="BB63" s="262">
        <f t="shared" si="134"/>
        <v>0</v>
      </c>
      <c r="BC63" s="541"/>
      <c r="BD63" s="542"/>
      <c r="BE63" s="262">
        <f t="shared" si="135"/>
        <v>0</v>
      </c>
      <c r="BF63" s="541"/>
      <c r="BG63" s="542"/>
      <c r="BH63" s="262">
        <f t="shared" si="136"/>
        <v>0</v>
      </c>
      <c r="BI63" s="541"/>
      <c r="BJ63" s="542"/>
      <c r="BK63" s="262">
        <f t="shared" si="137"/>
        <v>0</v>
      </c>
      <c r="BL63" s="541"/>
      <c r="BM63" s="542"/>
      <c r="BN63" s="262">
        <f t="shared" si="138"/>
        <v>0</v>
      </c>
      <c r="BO63" s="541"/>
      <c r="BP63" s="542"/>
      <c r="BQ63" s="262">
        <f t="shared" si="139"/>
        <v>0</v>
      </c>
    </row>
    <row r="64" spans="1:70" s="283" customFormat="1" ht="15" thickBot="1">
      <c r="A64" s="792"/>
      <c r="B64" s="796"/>
      <c r="C64" s="263" t="s">
        <v>175</v>
      </c>
      <c r="D64" s="264">
        <f t="shared" si="140"/>
        <v>0</v>
      </c>
      <c r="E64" s="265">
        <f t="shared" si="71"/>
        <v>0</v>
      </c>
      <c r="F64" s="266">
        <f t="shared" si="118"/>
        <v>0</v>
      </c>
      <c r="G64" s="543"/>
      <c r="H64" s="544"/>
      <c r="I64" s="267">
        <f t="shared" si="119"/>
        <v>0</v>
      </c>
      <c r="J64" s="543"/>
      <c r="K64" s="544"/>
      <c r="L64" s="267">
        <f t="shared" si="120"/>
        <v>0</v>
      </c>
      <c r="M64" s="543"/>
      <c r="N64" s="544"/>
      <c r="O64" s="267">
        <f t="shared" si="121"/>
        <v>0</v>
      </c>
      <c r="P64" s="543"/>
      <c r="Q64" s="544"/>
      <c r="R64" s="267">
        <f t="shared" si="122"/>
        <v>0</v>
      </c>
      <c r="S64" s="543"/>
      <c r="T64" s="544"/>
      <c r="U64" s="267">
        <f t="shared" si="123"/>
        <v>0</v>
      </c>
      <c r="V64" s="543"/>
      <c r="W64" s="544"/>
      <c r="X64" s="267">
        <f t="shared" si="124"/>
        <v>0</v>
      </c>
      <c r="Y64" s="543"/>
      <c r="Z64" s="544"/>
      <c r="AA64" s="267">
        <f t="shared" si="125"/>
        <v>0</v>
      </c>
      <c r="AB64" s="543"/>
      <c r="AC64" s="544"/>
      <c r="AD64" s="267">
        <f t="shared" si="126"/>
        <v>0</v>
      </c>
      <c r="AE64" s="543"/>
      <c r="AF64" s="544"/>
      <c r="AG64" s="267">
        <f t="shared" si="127"/>
        <v>0</v>
      </c>
      <c r="AH64" s="543"/>
      <c r="AI64" s="544"/>
      <c r="AJ64" s="267">
        <f t="shared" si="128"/>
        <v>0</v>
      </c>
      <c r="AK64" s="543"/>
      <c r="AL64" s="544"/>
      <c r="AM64" s="267">
        <f t="shared" si="129"/>
        <v>0</v>
      </c>
      <c r="AN64" s="543"/>
      <c r="AO64" s="544"/>
      <c r="AP64" s="267">
        <f t="shared" si="130"/>
        <v>0</v>
      </c>
      <c r="AQ64" s="543"/>
      <c r="AR64" s="544"/>
      <c r="AS64" s="267">
        <f t="shared" si="131"/>
        <v>0</v>
      </c>
      <c r="AT64" s="543"/>
      <c r="AU64" s="544"/>
      <c r="AV64" s="267">
        <f t="shared" si="132"/>
        <v>0</v>
      </c>
      <c r="AW64" s="543"/>
      <c r="AX64" s="544"/>
      <c r="AY64" s="267">
        <f t="shared" si="133"/>
        <v>0</v>
      </c>
      <c r="AZ64" s="543"/>
      <c r="BA64" s="544"/>
      <c r="BB64" s="267">
        <f t="shared" si="134"/>
        <v>0</v>
      </c>
      <c r="BC64" s="543"/>
      <c r="BD64" s="544"/>
      <c r="BE64" s="267">
        <f t="shared" si="135"/>
        <v>0</v>
      </c>
      <c r="BF64" s="543"/>
      <c r="BG64" s="544"/>
      <c r="BH64" s="267">
        <f t="shared" si="136"/>
        <v>0</v>
      </c>
      <c r="BI64" s="543"/>
      <c r="BJ64" s="544"/>
      <c r="BK64" s="267">
        <f t="shared" si="137"/>
        <v>0</v>
      </c>
      <c r="BL64" s="543"/>
      <c r="BM64" s="544"/>
      <c r="BN64" s="267">
        <f t="shared" si="138"/>
        <v>0</v>
      </c>
      <c r="BO64" s="543"/>
      <c r="BP64" s="544"/>
      <c r="BQ64" s="267">
        <f t="shared" si="139"/>
        <v>0</v>
      </c>
      <c r="BR64" s="282"/>
    </row>
    <row r="65" spans="1:70" ht="15" thickBot="1">
      <c r="A65" s="284"/>
      <c r="B65" s="285"/>
      <c r="C65" s="286"/>
      <c r="D65" s="285"/>
      <c r="E65" s="285"/>
      <c r="F65" s="287" t="s">
        <v>99</v>
      </c>
      <c r="G65" s="288"/>
      <c r="H65" s="288"/>
      <c r="I65" s="289"/>
      <c r="J65" s="288"/>
      <c r="K65" s="288"/>
      <c r="L65" s="289"/>
      <c r="M65" s="288"/>
      <c r="N65" s="288"/>
      <c r="O65" s="289"/>
      <c r="P65" s="288"/>
      <c r="Q65" s="288"/>
      <c r="R65" s="289"/>
      <c r="S65" s="288"/>
      <c r="T65" s="288"/>
      <c r="U65" s="289"/>
      <c r="V65" s="288"/>
      <c r="W65" s="288"/>
      <c r="X65" s="289"/>
      <c r="Y65" s="288"/>
      <c r="Z65" s="288"/>
      <c r="AA65" s="289"/>
      <c r="AB65" s="288"/>
      <c r="AC65" s="288"/>
      <c r="AD65" s="289"/>
      <c r="AE65" s="288"/>
      <c r="AF65" s="288"/>
      <c r="AG65" s="289"/>
      <c r="AH65" s="288"/>
      <c r="AI65" s="288"/>
      <c r="AJ65" s="289"/>
      <c r="AK65" s="288"/>
      <c r="AL65" s="288"/>
      <c r="AM65" s="289"/>
      <c r="AN65" s="288"/>
      <c r="AO65" s="288"/>
      <c r="AP65" s="289"/>
      <c r="AQ65" s="288"/>
      <c r="AR65" s="288"/>
      <c r="AS65" s="289"/>
      <c r="AT65" s="288"/>
      <c r="AU65" s="288"/>
      <c r="AV65" s="289"/>
      <c r="AW65" s="288"/>
      <c r="AX65" s="288"/>
      <c r="AY65" s="289"/>
      <c r="AZ65" s="288"/>
      <c r="BA65" s="288"/>
      <c r="BB65" s="289"/>
      <c r="BC65" s="288"/>
      <c r="BD65" s="288"/>
      <c r="BE65" s="289"/>
      <c r="BF65" s="288"/>
      <c r="BG65" s="288"/>
      <c r="BH65" s="289"/>
      <c r="BI65" s="288"/>
      <c r="BJ65" s="288"/>
      <c r="BK65" s="289"/>
      <c r="BL65" s="288"/>
      <c r="BM65" s="288"/>
      <c r="BN65" s="289"/>
      <c r="BO65" s="288"/>
      <c r="BP65" s="288"/>
      <c r="BQ65" s="289"/>
    </row>
    <row r="66" spans="1:70">
      <c r="A66" s="801" t="s">
        <v>211</v>
      </c>
      <c r="B66" s="803" t="s">
        <v>212</v>
      </c>
      <c r="C66" s="290" t="s">
        <v>166</v>
      </c>
      <c r="D66" s="291">
        <f t="shared" ref="D66:D75" si="141">SUM(G66,J66,M66,P66,S66,V66,Y66,AB66,AE66,AH66,AK66,AN66,AQ66,AT66,AW66,AZ66,AZ66,BC66,BF66,BI66,BL66,BO66)</f>
        <v>5013866</v>
      </c>
      <c r="E66" s="292">
        <f t="shared" ref="E66:E75" si="142">SUM(H66,K66,N66,Q66,T66,W66,Z66,AC66,AF66,AI66,AL66,AO66,AR66,AU66,AX66,BA66,BA66,BD66,BG66,BJ66,BM66,BP66)</f>
        <v>5013866</v>
      </c>
      <c r="F66" s="293">
        <f t="shared" ref="F66:F75" si="143">SUM(I66,L66,O66,R66,U66,X66,AA66,AD66,AG66,AJ66,AM66,AP66,AS66,AV66,AY66,BB66,BB66,BE66,BH66,BK66,BN66,BQ66)</f>
        <v>0</v>
      </c>
      <c r="G66" s="294">
        <f t="shared" ref="G66:G75" si="144">G5</f>
        <v>385682</v>
      </c>
      <c r="H66" s="295">
        <f t="shared" ref="H66:H75" si="145">H5*(1+$BR$66)</f>
        <v>385682</v>
      </c>
      <c r="I66" s="296">
        <f>H66-G66</f>
        <v>0</v>
      </c>
      <c r="J66" s="294">
        <f t="shared" ref="J66:J75" si="146">J5</f>
        <v>385682</v>
      </c>
      <c r="K66" s="295">
        <f t="shared" ref="K66:K75" si="147">K5*(1+$BR$66)</f>
        <v>385682</v>
      </c>
      <c r="L66" s="296">
        <f>K66-J66</f>
        <v>0</v>
      </c>
      <c r="M66" s="294">
        <f t="shared" ref="M66:M75" si="148">M5</f>
        <v>385682</v>
      </c>
      <c r="N66" s="295">
        <f t="shared" ref="N66:N75" si="149">N5*(1+$BR$66)</f>
        <v>385682</v>
      </c>
      <c r="O66" s="296">
        <f>N66-M66</f>
        <v>0</v>
      </c>
      <c r="P66" s="294">
        <f t="shared" ref="P66:P75" si="150">P5</f>
        <v>385682</v>
      </c>
      <c r="Q66" s="295">
        <f t="shared" ref="Q66:Q75" si="151">Q5*(1+$BR$66)</f>
        <v>385682</v>
      </c>
      <c r="R66" s="296">
        <f t="shared" ref="R66:R75" si="152">Q66-P66</f>
        <v>0</v>
      </c>
      <c r="S66" s="294">
        <f t="shared" ref="S66:S75" si="153">S5</f>
        <v>385682</v>
      </c>
      <c r="T66" s="295">
        <f t="shared" ref="T66:T75" si="154">T5*(1+$BR$66)</f>
        <v>385682</v>
      </c>
      <c r="U66" s="296">
        <f t="shared" ref="U66:U75" si="155">T66-S66</f>
        <v>0</v>
      </c>
      <c r="V66" s="294">
        <f t="shared" ref="V66:V75" si="156">V5</f>
        <v>385682</v>
      </c>
      <c r="W66" s="295">
        <f t="shared" ref="W66:W75" si="157">W5*(1+$BR$66)</f>
        <v>385682</v>
      </c>
      <c r="X66" s="296">
        <f t="shared" ref="X66:X75" si="158">W66-V66</f>
        <v>0</v>
      </c>
      <c r="Y66" s="294">
        <f t="shared" ref="Y66:Y75" si="159">Y5</f>
        <v>385682</v>
      </c>
      <c r="Z66" s="295">
        <f t="shared" ref="Z66:Z75" si="160">Z5*(1+$BR$66)</f>
        <v>385682</v>
      </c>
      <c r="AA66" s="296">
        <f>Z66-Y66</f>
        <v>0</v>
      </c>
      <c r="AB66" s="294">
        <f t="shared" ref="AB66:AB75" si="161">AB5</f>
        <v>385682</v>
      </c>
      <c r="AC66" s="295">
        <f t="shared" ref="AC66:AC75" si="162">AC5*(1+$BR$66)</f>
        <v>385682</v>
      </c>
      <c r="AD66" s="296">
        <f>AC66-AB66</f>
        <v>0</v>
      </c>
      <c r="AE66" s="294">
        <f t="shared" ref="AE66:AE75" si="163">AE5</f>
        <v>385682</v>
      </c>
      <c r="AF66" s="295">
        <f t="shared" ref="AF66:AF75" si="164">AF5*(1+$BR$66)</f>
        <v>385682</v>
      </c>
      <c r="AG66" s="296">
        <f t="shared" ref="AG66:AG75" si="165">AF66-AE66</f>
        <v>0</v>
      </c>
      <c r="AH66" s="294">
        <f t="shared" ref="AH66:AH75" si="166">AH5</f>
        <v>385682</v>
      </c>
      <c r="AI66" s="295">
        <f t="shared" ref="AI66:AI75" si="167">AI5*(1+$BR$66)</f>
        <v>385682</v>
      </c>
      <c r="AJ66" s="296">
        <f t="shared" ref="AJ66:AJ75" si="168">AI66-AH66</f>
        <v>0</v>
      </c>
      <c r="AK66" s="294">
        <f t="shared" ref="AK66:AK75" si="169">AK5</f>
        <v>385682</v>
      </c>
      <c r="AL66" s="295">
        <f t="shared" ref="AL66:AL75" si="170">AL5*(1+$BR$66)</f>
        <v>385682</v>
      </c>
      <c r="AM66" s="296">
        <f t="shared" ref="AM66:AM75" si="171">AL66-AK66</f>
        <v>0</v>
      </c>
      <c r="AN66" s="294">
        <f t="shared" ref="AN66:AN75" si="172">AN5</f>
        <v>385682</v>
      </c>
      <c r="AO66" s="295">
        <f t="shared" ref="AO66:AO75" si="173">AO5*(1+$BR$66)</f>
        <v>385682</v>
      </c>
      <c r="AP66" s="296">
        <f>AO66-AN66</f>
        <v>0</v>
      </c>
      <c r="AQ66" s="294">
        <f t="shared" ref="AQ66:AQ75" si="174">AQ5</f>
        <v>385682</v>
      </c>
      <c r="AR66" s="295">
        <f t="shared" ref="AR66:AR75" si="175">AR5*(1+$BR$66)</f>
        <v>385682</v>
      </c>
      <c r="AS66" s="296">
        <f>AR66-AQ66</f>
        <v>0</v>
      </c>
      <c r="AT66" s="294">
        <f t="shared" ref="AT66:AT75" si="176">AT5</f>
        <v>0</v>
      </c>
      <c r="AU66" s="295">
        <f t="shared" ref="AU66:AU75" si="177">AU5*(1+$BR$66)</f>
        <v>0</v>
      </c>
      <c r="AV66" s="296">
        <f t="shared" ref="AV66:AV75" si="178">AU66-AT66</f>
        <v>0</v>
      </c>
      <c r="AW66" s="294">
        <f t="shared" ref="AW66:AW75" si="179">AW5</f>
        <v>0</v>
      </c>
      <c r="AX66" s="295">
        <f t="shared" ref="AX66:AX75" si="180">AX5*(1+$BR$66)</f>
        <v>0</v>
      </c>
      <c r="AY66" s="296">
        <f t="shared" ref="AY66:AY75" si="181">AX66-AW66</f>
        <v>0</v>
      </c>
      <c r="AZ66" s="294">
        <f t="shared" ref="AZ66:AZ75" si="182">AZ5</f>
        <v>0</v>
      </c>
      <c r="BA66" s="295">
        <f t="shared" ref="BA66:BA75" si="183">BA5*(1+$BR$66)</f>
        <v>0</v>
      </c>
      <c r="BB66" s="296">
        <f t="shared" ref="BB66:BB75" si="184">BA66-AZ66</f>
        <v>0</v>
      </c>
      <c r="BC66" s="294">
        <f t="shared" ref="BC66:BC75" si="185">BC5</f>
        <v>0</v>
      </c>
      <c r="BD66" s="295">
        <f t="shared" ref="BD66:BD75" si="186">BD5*(1+$BR$66)</f>
        <v>0</v>
      </c>
      <c r="BE66" s="296">
        <f>BD66-BC66</f>
        <v>0</v>
      </c>
      <c r="BF66" s="294">
        <f t="shared" ref="BF66:BF75" si="187">BF5</f>
        <v>0</v>
      </c>
      <c r="BG66" s="295">
        <f t="shared" ref="BG66:BG75" si="188">BG5*(1+$BR$66)</f>
        <v>0</v>
      </c>
      <c r="BH66" s="296">
        <f>BG66-BF66</f>
        <v>0</v>
      </c>
      <c r="BI66" s="294">
        <f t="shared" ref="BI66:BI75" si="189">BI5</f>
        <v>0</v>
      </c>
      <c r="BJ66" s="295">
        <f t="shared" ref="BJ66:BJ75" si="190">BJ5*(1+$BR$66)</f>
        <v>0</v>
      </c>
      <c r="BK66" s="296">
        <f t="shared" ref="BK66:BK75" si="191">BJ66-BI66</f>
        <v>0</v>
      </c>
      <c r="BL66" s="294">
        <f t="shared" ref="BL66:BL75" si="192">BL5</f>
        <v>0</v>
      </c>
      <c r="BM66" s="295">
        <f t="shared" ref="BM66:BM75" si="193">BM5*(1+$BR$66)</f>
        <v>0</v>
      </c>
      <c r="BN66" s="296">
        <f t="shared" ref="BN66:BN75" si="194">BM66-BL66</f>
        <v>0</v>
      </c>
      <c r="BO66" s="294">
        <f t="shared" ref="BO66:BO75" si="195">BO5</f>
        <v>0</v>
      </c>
      <c r="BP66" s="295">
        <f t="shared" ref="BP66:BP75" si="196">BP5*(1+$BR$66)</f>
        <v>0</v>
      </c>
      <c r="BQ66" s="296">
        <f t="shared" ref="BQ66:BQ75" si="197">BP66-BO66</f>
        <v>0</v>
      </c>
      <c r="BR66" s="297">
        <f>'Analyza citlivosti - AgendovéIS'!K7</f>
        <v>0</v>
      </c>
    </row>
    <row r="67" spans="1:70">
      <c r="A67" s="801"/>
      <c r="B67" s="803"/>
      <c r="C67" s="290" t="s">
        <v>167</v>
      </c>
      <c r="D67" s="291">
        <f t="shared" si="141"/>
        <v>5013866</v>
      </c>
      <c r="E67" s="292">
        <f t="shared" si="142"/>
        <v>5013866</v>
      </c>
      <c r="F67" s="293">
        <f t="shared" si="143"/>
        <v>0</v>
      </c>
      <c r="G67" s="298">
        <f t="shared" si="144"/>
        <v>385682</v>
      </c>
      <c r="H67" s="299">
        <f t="shared" si="145"/>
        <v>385682</v>
      </c>
      <c r="I67" s="262">
        <f t="shared" ref="I67:I75" si="198">H67-G67</f>
        <v>0</v>
      </c>
      <c r="J67" s="298">
        <f t="shared" si="146"/>
        <v>385682</v>
      </c>
      <c r="K67" s="299">
        <f t="shared" si="147"/>
        <v>385682</v>
      </c>
      <c r="L67" s="262">
        <f t="shared" ref="L67:L75" si="199">K67-J67</f>
        <v>0</v>
      </c>
      <c r="M67" s="298">
        <f t="shared" si="148"/>
        <v>385682</v>
      </c>
      <c r="N67" s="299">
        <f t="shared" si="149"/>
        <v>385682</v>
      </c>
      <c r="O67" s="262">
        <f t="shared" ref="O67:O75" si="200">N67-M67</f>
        <v>0</v>
      </c>
      <c r="P67" s="298">
        <f t="shared" si="150"/>
        <v>385682</v>
      </c>
      <c r="Q67" s="299">
        <f t="shared" si="151"/>
        <v>385682</v>
      </c>
      <c r="R67" s="262">
        <f t="shared" si="152"/>
        <v>0</v>
      </c>
      <c r="S67" s="298">
        <f t="shared" si="153"/>
        <v>385682</v>
      </c>
      <c r="T67" s="299">
        <f t="shared" si="154"/>
        <v>385682</v>
      </c>
      <c r="U67" s="262">
        <f t="shared" si="155"/>
        <v>0</v>
      </c>
      <c r="V67" s="298">
        <f t="shared" si="156"/>
        <v>385682</v>
      </c>
      <c r="W67" s="299">
        <f t="shared" si="157"/>
        <v>385682</v>
      </c>
      <c r="X67" s="262">
        <f t="shared" si="158"/>
        <v>0</v>
      </c>
      <c r="Y67" s="298">
        <f t="shared" si="159"/>
        <v>385682</v>
      </c>
      <c r="Z67" s="299">
        <f t="shared" si="160"/>
        <v>385682</v>
      </c>
      <c r="AA67" s="262">
        <f t="shared" ref="AA67:AA75" si="201">Z67-Y67</f>
        <v>0</v>
      </c>
      <c r="AB67" s="298">
        <f t="shared" si="161"/>
        <v>385682</v>
      </c>
      <c r="AC67" s="299">
        <f t="shared" si="162"/>
        <v>385682</v>
      </c>
      <c r="AD67" s="262">
        <f t="shared" ref="AD67:AD75" si="202">AC67-AB67</f>
        <v>0</v>
      </c>
      <c r="AE67" s="298">
        <f t="shared" si="163"/>
        <v>385682</v>
      </c>
      <c r="AF67" s="299">
        <f t="shared" si="164"/>
        <v>385682</v>
      </c>
      <c r="AG67" s="262">
        <f t="shared" si="165"/>
        <v>0</v>
      </c>
      <c r="AH67" s="298">
        <f t="shared" si="166"/>
        <v>385682</v>
      </c>
      <c r="AI67" s="299">
        <f t="shared" si="167"/>
        <v>385682</v>
      </c>
      <c r="AJ67" s="262">
        <f t="shared" si="168"/>
        <v>0</v>
      </c>
      <c r="AK67" s="298">
        <f t="shared" si="169"/>
        <v>385682</v>
      </c>
      <c r="AL67" s="299">
        <f t="shared" si="170"/>
        <v>385682</v>
      </c>
      <c r="AM67" s="262">
        <f t="shared" si="171"/>
        <v>0</v>
      </c>
      <c r="AN67" s="298">
        <f t="shared" si="172"/>
        <v>385682</v>
      </c>
      <c r="AO67" s="299">
        <f t="shared" si="173"/>
        <v>385682</v>
      </c>
      <c r="AP67" s="262">
        <f t="shared" ref="AP67:AP75" si="203">AO67-AN67</f>
        <v>0</v>
      </c>
      <c r="AQ67" s="298">
        <f t="shared" si="174"/>
        <v>385682</v>
      </c>
      <c r="AR67" s="299">
        <f t="shared" si="175"/>
        <v>385682</v>
      </c>
      <c r="AS67" s="262">
        <f t="shared" ref="AS67:AS75" si="204">AR67-AQ67</f>
        <v>0</v>
      </c>
      <c r="AT67" s="298">
        <f t="shared" si="176"/>
        <v>0</v>
      </c>
      <c r="AU67" s="299">
        <f t="shared" si="177"/>
        <v>0</v>
      </c>
      <c r="AV67" s="262">
        <f t="shared" si="178"/>
        <v>0</v>
      </c>
      <c r="AW67" s="298">
        <f t="shared" si="179"/>
        <v>0</v>
      </c>
      <c r="AX67" s="299">
        <f t="shared" si="180"/>
        <v>0</v>
      </c>
      <c r="AY67" s="262">
        <f t="shared" si="181"/>
        <v>0</v>
      </c>
      <c r="AZ67" s="298">
        <f t="shared" si="182"/>
        <v>0</v>
      </c>
      <c r="BA67" s="299">
        <f t="shared" si="183"/>
        <v>0</v>
      </c>
      <c r="BB67" s="262">
        <f t="shared" si="184"/>
        <v>0</v>
      </c>
      <c r="BC67" s="298">
        <f t="shared" si="185"/>
        <v>0</v>
      </c>
      <c r="BD67" s="299">
        <f t="shared" si="186"/>
        <v>0</v>
      </c>
      <c r="BE67" s="262">
        <f t="shared" ref="BE67:BE75" si="205">BD67-BC67</f>
        <v>0</v>
      </c>
      <c r="BF67" s="298">
        <f t="shared" si="187"/>
        <v>0</v>
      </c>
      <c r="BG67" s="299">
        <f t="shared" si="188"/>
        <v>0</v>
      </c>
      <c r="BH67" s="262">
        <f t="shared" ref="BH67:BH75" si="206">BG67-BF67</f>
        <v>0</v>
      </c>
      <c r="BI67" s="298">
        <f t="shared" si="189"/>
        <v>0</v>
      </c>
      <c r="BJ67" s="299">
        <f t="shared" si="190"/>
        <v>0</v>
      </c>
      <c r="BK67" s="262">
        <f t="shared" si="191"/>
        <v>0</v>
      </c>
      <c r="BL67" s="298">
        <f t="shared" si="192"/>
        <v>0</v>
      </c>
      <c r="BM67" s="299">
        <f t="shared" si="193"/>
        <v>0</v>
      </c>
      <c r="BN67" s="262">
        <f t="shared" si="194"/>
        <v>0</v>
      </c>
      <c r="BO67" s="298">
        <f t="shared" si="195"/>
        <v>0</v>
      </c>
      <c r="BP67" s="299">
        <f t="shared" si="196"/>
        <v>0</v>
      </c>
      <c r="BQ67" s="262">
        <f t="shared" si="197"/>
        <v>0</v>
      </c>
    </row>
    <row r="68" spans="1:70">
      <c r="A68" s="801"/>
      <c r="B68" s="803"/>
      <c r="C68" s="290" t="s">
        <v>168</v>
      </c>
      <c r="D68" s="291">
        <f t="shared" si="141"/>
        <v>5013866</v>
      </c>
      <c r="E68" s="292">
        <f t="shared" si="142"/>
        <v>5013866</v>
      </c>
      <c r="F68" s="293">
        <f t="shared" si="143"/>
        <v>0</v>
      </c>
      <c r="G68" s="298">
        <f t="shared" si="144"/>
        <v>385682</v>
      </c>
      <c r="H68" s="299">
        <f t="shared" si="145"/>
        <v>385682</v>
      </c>
      <c r="I68" s="262">
        <f t="shared" si="198"/>
        <v>0</v>
      </c>
      <c r="J68" s="298">
        <f t="shared" si="146"/>
        <v>385682</v>
      </c>
      <c r="K68" s="299">
        <f t="shared" si="147"/>
        <v>385682</v>
      </c>
      <c r="L68" s="262">
        <f t="shared" si="199"/>
        <v>0</v>
      </c>
      <c r="M68" s="298">
        <f t="shared" si="148"/>
        <v>385682</v>
      </c>
      <c r="N68" s="299">
        <f t="shared" si="149"/>
        <v>385682</v>
      </c>
      <c r="O68" s="262">
        <f t="shared" si="200"/>
        <v>0</v>
      </c>
      <c r="P68" s="298">
        <f t="shared" si="150"/>
        <v>385682</v>
      </c>
      <c r="Q68" s="299">
        <f t="shared" si="151"/>
        <v>385682</v>
      </c>
      <c r="R68" s="262">
        <f t="shared" si="152"/>
        <v>0</v>
      </c>
      <c r="S68" s="298">
        <f t="shared" si="153"/>
        <v>385682</v>
      </c>
      <c r="T68" s="299">
        <f t="shared" si="154"/>
        <v>385682</v>
      </c>
      <c r="U68" s="262">
        <f t="shared" si="155"/>
        <v>0</v>
      </c>
      <c r="V68" s="298">
        <f t="shared" si="156"/>
        <v>385682</v>
      </c>
      <c r="W68" s="299">
        <f t="shared" si="157"/>
        <v>385682</v>
      </c>
      <c r="X68" s="262">
        <f t="shared" si="158"/>
        <v>0</v>
      </c>
      <c r="Y68" s="298">
        <f t="shared" si="159"/>
        <v>385682</v>
      </c>
      <c r="Z68" s="299">
        <f t="shared" si="160"/>
        <v>385682</v>
      </c>
      <c r="AA68" s="262">
        <f t="shared" si="201"/>
        <v>0</v>
      </c>
      <c r="AB68" s="298">
        <f t="shared" si="161"/>
        <v>385682</v>
      </c>
      <c r="AC68" s="299">
        <f t="shared" si="162"/>
        <v>385682</v>
      </c>
      <c r="AD68" s="262">
        <f t="shared" si="202"/>
        <v>0</v>
      </c>
      <c r="AE68" s="298">
        <f t="shared" si="163"/>
        <v>385682</v>
      </c>
      <c r="AF68" s="299">
        <f t="shared" si="164"/>
        <v>385682</v>
      </c>
      <c r="AG68" s="262">
        <f t="shared" si="165"/>
        <v>0</v>
      </c>
      <c r="AH68" s="298">
        <f t="shared" si="166"/>
        <v>385682</v>
      </c>
      <c r="AI68" s="299">
        <f t="shared" si="167"/>
        <v>385682</v>
      </c>
      <c r="AJ68" s="262">
        <f t="shared" si="168"/>
        <v>0</v>
      </c>
      <c r="AK68" s="298">
        <f t="shared" si="169"/>
        <v>385682</v>
      </c>
      <c r="AL68" s="299">
        <f t="shared" si="170"/>
        <v>385682</v>
      </c>
      <c r="AM68" s="262">
        <f t="shared" si="171"/>
        <v>0</v>
      </c>
      <c r="AN68" s="298">
        <f t="shared" si="172"/>
        <v>385682</v>
      </c>
      <c r="AO68" s="299">
        <f t="shared" si="173"/>
        <v>385682</v>
      </c>
      <c r="AP68" s="262">
        <f t="shared" si="203"/>
        <v>0</v>
      </c>
      <c r="AQ68" s="298">
        <f t="shared" si="174"/>
        <v>385682</v>
      </c>
      <c r="AR68" s="299">
        <f t="shared" si="175"/>
        <v>385682</v>
      </c>
      <c r="AS68" s="262">
        <f t="shared" si="204"/>
        <v>0</v>
      </c>
      <c r="AT68" s="298">
        <f t="shared" si="176"/>
        <v>0</v>
      </c>
      <c r="AU68" s="299">
        <f t="shared" si="177"/>
        <v>0</v>
      </c>
      <c r="AV68" s="262">
        <f t="shared" si="178"/>
        <v>0</v>
      </c>
      <c r="AW68" s="298">
        <f t="shared" si="179"/>
        <v>0</v>
      </c>
      <c r="AX68" s="299">
        <f t="shared" si="180"/>
        <v>0</v>
      </c>
      <c r="AY68" s="262">
        <f t="shared" si="181"/>
        <v>0</v>
      </c>
      <c r="AZ68" s="298">
        <f t="shared" si="182"/>
        <v>0</v>
      </c>
      <c r="BA68" s="299">
        <f t="shared" si="183"/>
        <v>0</v>
      </c>
      <c r="BB68" s="262">
        <f t="shared" si="184"/>
        <v>0</v>
      </c>
      <c r="BC68" s="298">
        <f t="shared" si="185"/>
        <v>0</v>
      </c>
      <c r="BD68" s="299">
        <f t="shared" si="186"/>
        <v>0</v>
      </c>
      <c r="BE68" s="262">
        <f t="shared" si="205"/>
        <v>0</v>
      </c>
      <c r="BF68" s="298">
        <f t="shared" si="187"/>
        <v>0</v>
      </c>
      <c r="BG68" s="299">
        <f t="shared" si="188"/>
        <v>0</v>
      </c>
      <c r="BH68" s="262">
        <f t="shared" si="206"/>
        <v>0</v>
      </c>
      <c r="BI68" s="298">
        <f t="shared" si="189"/>
        <v>0</v>
      </c>
      <c r="BJ68" s="299">
        <f t="shared" si="190"/>
        <v>0</v>
      </c>
      <c r="BK68" s="262">
        <f t="shared" si="191"/>
        <v>0</v>
      </c>
      <c r="BL68" s="298">
        <f t="shared" si="192"/>
        <v>0</v>
      </c>
      <c r="BM68" s="299">
        <f t="shared" si="193"/>
        <v>0</v>
      </c>
      <c r="BN68" s="262">
        <f t="shared" si="194"/>
        <v>0</v>
      </c>
      <c r="BO68" s="298">
        <f t="shared" si="195"/>
        <v>0</v>
      </c>
      <c r="BP68" s="299">
        <f t="shared" si="196"/>
        <v>0</v>
      </c>
      <c r="BQ68" s="262">
        <f t="shared" si="197"/>
        <v>0</v>
      </c>
    </row>
    <row r="69" spans="1:70">
      <c r="A69" s="801"/>
      <c r="B69" s="803"/>
      <c r="C69" s="290" t="s">
        <v>169</v>
      </c>
      <c r="D69" s="291">
        <f t="shared" si="141"/>
        <v>5013866</v>
      </c>
      <c r="E69" s="292">
        <f t="shared" si="142"/>
        <v>5013866</v>
      </c>
      <c r="F69" s="293">
        <f t="shared" si="143"/>
        <v>0</v>
      </c>
      <c r="G69" s="298">
        <f t="shared" si="144"/>
        <v>385682</v>
      </c>
      <c r="H69" s="299">
        <f t="shared" si="145"/>
        <v>385682</v>
      </c>
      <c r="I69" s="262">
        <f t="shared" si="198"/>
        <v>0</v>
      </c>
      <c r="J69" s="298">
        <f t="shared" si="146"/>
        <v>385682</v>
      </c>
      <c r="K69" s="299">
        <f t="shared" si="147"/>
        <v>385682</v>
      </c>
      <c r="L69" s="262">
        <f t="shared" si="199"/>
        <v>0</v>
      </c>
      <c r="M69" s="298">
        <f t="shared" si="148"/>
        <v>385682</v>
      </c>
      <c r="N69" s="299">
        <f t="shared" si="149"/>
        <v>385682</v>
      </c>
      <c r="O69" s="262">
        <f t="shared" si="200"/>
        <v>0</v>
      </c>
      <c r="P69" s="298">
        <f t="shared" si="150"/>
        <v>385682</v>
      </c>
      <c r="Q69" s="299">
        <f t="shared" si="151"/>
        <v>385682</v>
      </c>
      <c r="R69" s="262">
        <f t="shared" si="152"/>
        <v>0</v>
      </c>
      <c r="S69" s="298">
        <f t="shared" si="153"/>
        <v>385682</v>
      </c>
      <c r="T69" s="299">
        <f t="shared" si="154"/>
        <v>385682</v>
      </c>
      <c r="U69" s="262">
        <f t="shared" si="155"/>
        <v>0</v>
      </c>
      <c r="V69" s="298">
        <f t="shared" si="156"/>
        <v>385682</v>
      </c>
      <c r="W69" s="299">
        <f t="shared" si="157"/>
        <v>385682</v>
      </c>
      <c r="X69" s="262">
        <f t="shared" si="158"/>
        <v>0</v>
      </c>
      <c r="Y69" s="298">
        <f t="shared" si="159"/>
        <v>385682</v>
      </c>
      <c r="Z69" s="299">
        <f t="shared" si="160"/>
        <v>385682</v>
      </c>
      <c r="AA69" s="262">
        <f t="shared" si="201"/>
        <v>0</v>
      </c>
      <c r="AB69" s="298">
        <f t="shared" si="161"/>
        <v>385682</v>
      </c>
      <c r="AC69" s="299">
        <f t="shared" si="162"/>
        <v>385682</v>
      </c>
      <c r="AD69" s="262">
        <f t="shared" si="202"/>
        <v>0</v>
      </c>
      <c r="AE69" s="298">
        <f t="shared" si="163"/>
        <v>385682</v>
      </c>
      <c r="AF69" s="299">
        <f t="shared" si="164"/>
        <v>385682</v>
      </c>
      <c r="AG69" s="262">
        <f t="shared" si="165"/>
        <v>0</v>
      </c>
      <c r="AH69" s="298">
        <f t="shared" si="166"/>
        <v>385682</v>
      </c>
      <c r="AI69" s="299">
        <f t="shared" si="167"/>
        <v>385682</v>
      </c>
      <c r="AJ69" s="262">
        <f t="shared" si="168"/>
        <v>0</v>
      </c>
      <c r="AK69" s="298">
        <f t="shared" si="169"/>
        <v>385682</v>
      </c>
      <c r="AL69" s="299">
        <f t="shared" si="170"/>
        <v>385682</v>
      </c>
      <c r="AM69" s="262">
        <f t="shared" si="171"/>
        <v>0</v>
      </c>
      <c r="AN69" s="298">
        <f t="shared" si="172"/>
        <v>385682</v>
      </c>
      <c r="AO69" s="299">
        <f t="shared" si="173"/>
        <v>385682</v>
      </c>
      <c r="AP69" s="262">
        <f t="shared" si="203"/>
        <v>0</v>
      </c>
      <c r="AQ69" s="298">
        <f t="shared" si="174"/>
        <v>385682</v>
      </c>
      <c r="AR69" s="299">
        <f t="shared" si="175"/>
        <v>385682</v>
      </c>
      <c r="AS69" s="262">
        <f t="shared" si="204"/>
        <v>0</v>
      </c>
      <c r="AT69" s="298">
        <f t="shared" si="176"/>
        <v>0</v>
      </c>
      <c r="AU69" s="299">
        <f t="shared" si="177"/>
        <v>0</v>
      </c>
      <c r="AV69" s="262">
        <f t="shared" si="178"/>
        <v>0</v>
      </c>
      <c r="AW69" s="298">
        <f t="shared" si="179"/>
        <v>0</v>
      </c>
      <c r="AX69" s="299">
        <f t="shared" si="180"/>
        <v>0</v>
      </c>
      <c r="AY69" s="262">
        <f t="shared" si="181"/>
        <v>0</v>
      </c>
      <c r="AZ69" s="298">
        <f t="shared" si="182"/>
        <v>0</v>
      </c>
      <c r="BA69" s="299">
        <f t="shared" si="183"/>
        <v>0</v>
      </c>
      <c r="BB69" s="262">
        <f t="shared" si="184"/>
        <v>0</v>
      </c>
      <c r="BC69" s="298">
        <f t="shared" si="185"/>
        <v>0</v>
      </c>
      <c r="BD69" s="299">
        <f t="shared" si="186"/>
        <v>0</v>
      </c>
      <c r="BE69" s="262">
        <f t="shared" si="205"/>
        <v>0</v>
      </c>
      <c r="BF69" s="298">
        <f t="shared" si="187"/>
        <v>0</v>
      </c>
      <c r="BG69" s="299">
        <f t="shared" si="188"/>
        <v>0</v>
      </c>
      <c r="BH69" s="262">
        <f t="shared" si="206"/>
        <v>0</v>
      </c>
      <c r="BI69" s="298">
        <f t="shared" si="189"/>
        <v>0</v>
      </c>
      <c r="BJ69" s="299">
        <f t="shared" si="190"/>
        <v>0</v>
      </c>
      <c r="BK69" s="262">
        <f t="shared" si="191"/>
        <v>0</v>
      </c>
      <c r="BL69" s="298">
        <f t="shared" si="192"/>
        <v>0</v>
      </c>
      <c r="BM69" s="299">
        <f t="shared" si="193"/>
        <v>0</v>
      </c>
      <c r="BN69" s="262">
        <f t="shared" si="194"/>
        <v>0</v>
      </c>
      <c r="BO69" s="298">
        <f t="shared" si="195"/>
        <v>0</v>
      </c>
      <c r="BP69" s="299">
        <f t="shared" si="196"/>
        <v>0</v>
      </c>
      <c r="BQ69" s="262">
        <f t="shared" si="197"/>
        <v>0</v>
      </c>
    </row>
    <row r="70" spans="1:70">
      <c r="A70" s="801"/>
      <c r="B70" s="803"/>
      <c r="C70" s="290" t="s">
        <v>170</v>
      </c>
      <c r="D70" s="291">
        <f t="shared" si="141"/>
        <v>5013866</v>
      </c>
      <c r="E70" s="292">
        <f t="shared" si="142"/>
        <v>5013866</v>
      </c>
      <c r="F70" s="293">
        <f t="shared" si="143"/>
        <v>0</v>
      </c>
      <c r="G70" s="298">
        <f t="shared" si="144"/>
        <v>385682</v>
      </c>
      <c r="H70" s="299">
        <f t="shared" si="145"/>
        <v>385682</v>
      </c>
      <c r="I70" s="262">
        <f t="shared" si="198"/>
        <v>0</v>
      </c>
      <c r="J70" s="298">
        <f t="shared" si="146"/>
        <v>385682</v>
      </c>
      <c r="K70" s="299">
        <f t="shared" si="147"/>
        <v>385682</v>
      </c>
      <c r="L70" s="262">
        <f t="shared" si="199"/>
        <v>0</v>
      </c>
      <c r="M70" s="298">
        <f t="shared" si="148"/>
        <v>385682</v>
      </c>
      <c r="N70" s="299">
        <f t="shared" si="149"/>
        <v>385682</v>
      </c>
      <c r="O70" s="262">
        <f t="shared" si="200"/>
        <v>0</v>
      </c>
      <c r="P70" s="298">
        <f t="shared" si="150"/>
        <v>385682</v>
      </c>
      <c r="Q70" s="299">
        <f t="shared" si="151"/>
        <v>385682</v>
      </c>
      <c r="R70" s="262">
        <f t="shared" si="152"/>
        <v>0</v>
      </c>
      <c r="S70" s="298">
        <f t="shared" si="153"/>
        <v>385682</v>
      </c>
      <c r="T70" s="299">
        <f t="shared" si="154"/>
        <v>385682</v>
      </c>
      <c r="U70" s="262">
        <f t="shared" si="155"/>
        <v>0</v>
      </c>
      <c r="V70" s="298">
        <f t="shared" si="156"/>
        <v>385682</v>
      </c>
      <c r="W70" s="299">
        <f t="shared" si="157"/>
        <v>385682</v>
      </c>
      <c r="X70" s="262">
        <f t="shared" si="158"/>
        <v>0</v>
      </c>
      <c r="Y70" s="298">
        <f t="shared" si="159"/>
        <v>385682</v>
      </c>
      <c r="Z70" s="299">
        <f t="shared" si="160"/>
        <v>385682</v>
      </c>
      <c r="AA70" s="262">
        <f t="shared" si="201"/>
        <v>0</v>
      </c>
      <c r="AB70" s="298">
        <f t="shared" si="161"/>
        <v>385682</v>
      </c>
      <c r="AC70" s="299">
        <f t="shared" si="162"/>
        <v>385682</v>
      </c>
      <c r="AD70" s="262">
        <f t="shared" si="202"/>
        <v>0</v>
      </c>
      <c r="AE70" s="298">
        <f t="shared" si="163"/>
        <v>385682</v>
      </c>
      <c r="AF70" s="299">
        <f t="shared" si="164"/>
        <v>385682</v>
      </c>
      <c r="AG70" s="262">
        <f t="shared" si="165"/>
        <v>0</v>
      </c>
      <c r="AH70" s="298">
        <f t="shared" si="166"/>
        <v>385682</v>
      </c>
      <c r="AI70" s="299">
        <f t="shared" si="167"/>
        <v>385682</v>
      </c>
      <c r="AJ70" s="262">
        <f t="shared" si="168"/>
        <v>0</v>
      </c>
      <c r="AK70" s="298">
        <f t="shared" si="169"/>
        <v>385682</v>
      </c>
      <c r="AL70" s="299">
        <f t="shared" si="170"/>
        <v>385682</v>
      </c>
      <c r="AM70" s="262">
        <f t="shared" si="171"/>
        <v>0</v>
      </c>
      <c r="AN70" s="298">
        <f t="shared" si="172"/>
        <v>385682</v>
      </c>
      <c r="AO70" s="299">
        <f t="shared" si="173"/>
        <v>385682</v>
      </c>
      <c r="AP70" s="262">
        <f t="shared" si="203"/>
        <v>0</v>
      </c>
      <c r="AQ70" s="298">
        <f t="shared" si="174"/>
        <v>385682</v>
      </c>
      <c r="AR70" s="299">
        <f t="shared" si="175"/>
        <v>385682</v>
      </c>
      <c r="AS70" s="262">
        <f t="shared" si="204"/>
        <v>0</v>
      </c>
      <c r="AT70" s="298">
        <f t="shared" si="176"/>
        <v>0</v>
      </c>
      <c r="AU70" s="299">
        <f t="shared" si="177"/>
        <v>0</v>
      </c>
      <c r="AV70" s="262">
        <f t="shared" si="178"/>
        <v>0</v>
      </c>
      <c r="AW70" s="298">
        <f t="shared" si="179"/>
        <v>0</v>
      </c>
      <c r="AX70" s="299">
        <f t="shared" si="180"/>
        <v>0</v>
      </c>
      <c r="AY70" s="262">
        <f t="shared" si="181"/>
        <v>0</v>
      </c>
      <c r="AZ70" s="298">
        <f t="shared" si="182"/>
        <v>0</v>
      </c>
      <c r="BA70" s="299">
        <f t="shared" si="183"/>
        <v>0</v>
      </c>
      <c r="BB70" s="262">
        <f t="shared" si="184"/>
        <v>0</v>
      </c>
      <c r="BC70" s="298">
        <f t="shared" si="185"/>
        <v>0</v>
      </c>
      <c r="BD70" s="299">
        <f t="shared" si="186"/>
        <v>0</v>
      </c>
      <c r="BE70" s="262">
        <f t="shared" si="205"/>
        <v>0</v>
      </c>
      <c r="BF70" s="298">
        <f t="shared" si="187"/>
        <v>0</v>
      </c>
      <c r="BG70" s="299">
        <f t="shared" si="188"/>
        <v>0</v>
      </c>
      <c r="BH70" s="262">
        <f t="shared" si="206"/>
        <v>0</v>
      </c>
      <c r="BI70" s="298">
        <f t="shared" si="189"/>
        <v>0</v>
      </c>
      <c r="BJ70" s="299">
        <f t="shared" si="190"/>
        <v>0</v>
      </c>
      <c r="BK70" s="262">
        <f t="shared" si="191"/>
        <v>0</v>
      </c>
      <c r="BL70" s="298">
        <f t="shared" si="192"/>
        <v>0</v>
      </c>
      <c r="BM70" s="299">
        <f t="shared" si="193"/>
        <v>0</v>
      </c>
      <c r="BN70" s="262">
        <f t="shared" si="194"/>
        <v>0</v>
      </c>
      <c r="BO70" s="298">
        <f t="shared" si="195"/>
        <v>0</v>
      </c>
      <c r="BP70" s="299">
        <f t="shared" si="196"/>
        <v>0</v>
      </c>
      <c r="BQ70" s="262">
        <f t="shared" si="197"/>
        <v>0</v>
      </c>
    </row>
    <row r="71" spans="1:70">
      <c r="A71" s="801"/>
      <c r="B71" s="803"/>
      <c r="C71" s="290" t="s">
        <v>171</v>
      </c>
      <c r="D71" s="291">
        <f t="shared" si="141"/>
        <v>5013866</v>
      </c>
      <c r="E71" s="292">
        <f t="shared" si="142"/>
        <v>5013866</v>
      </c>
      <c r="F71" s="293">
        <f t="shared" si="143"/>
        <v>0</v>
      </c>
      <c r="G71" s="298">
        <f t="shared" si="144"/>
        <v>385682</v>
      </c>
      <c r="H71" s="299">
        <f t="shared" si="145"/>
        <v>385682</v>
      </c>
      <c r="I71" s="262">
        <f t="shared" si="198"/>
        <v>0</v>
      </c>
      <c r="J71" s="298">
        <f t="shared" si="146"/>
        <v>385682</v>
      </c>
      <c r="K71" s="299">
        <f t="shared" si="147"/>
        <v>385682</v>
      </c>
      <c r="L71" s="262">
        <f t="shared" si="199"/>
        <v>0</v>
      </c>
      <c r="M71" s="298">
        <f t="shared" si="148"/>
        <v>385682</v>
      </c>
      <c r="N71" s="299">
        <f t="shared" si="149"/>
        <v>385682</v>
      </c>
      <c r="O71" s="262">
        <f t="shared" si="200"/>
        <v>0</v>
      </c>
      <c r="P71" s="298">
        <f t="shared" si="150"/>
        <v>385682</v>
      </c>
      <c r="Q71" s="299">
        <f t="shared" si="151"/>
        <v>385682</v>
      </c>
      <c r="R71" s="262">
        <f t="shared" si="152"/>
        <v>0</v>
      </c>
      <c r="S71" s="298">
        <f t="shared" si="153"/>
        <v>385682</v>
      </c>
      <c r="T71" s="299">
        <f t="shared" si="154"/>
        <v>385682</v>
      </c>
      <c r="U71" s="262">
        <f t="shared" si="155"/>
        <v>0</v>
      </c>
      <c r="V71" s="298">
        <f t="shared" si="156"/>
        <v>385682</v>
      </c>
      <c r="W71" s="299">
        <f t="shared" si="157"/>
        <v>385682</v>
      </c>
      <c r="X71" s="262">
        <f t="shared" si="158"/>
        <v>0</v>
      </c>
      <c r="Y71" s="298">
        <f t="shared" si="159"/>
        <v>385682</v>
      </c>
      <c r="Z71" s="299">
        <f t="shared" si="160"/>
        <v>385682</v>
      </c>
      <c r="AA71" s="262">
        <f t="shared" si="201"/>
        <v>0</v>
      </c>
      <c r="AB71" s="298">
        <f t="shared" si="161"/>
        <v>385682</v>
      </c>
      <c r="AC71" s="299">
        <f t="shared" si="162"/>
        <v>385682</v>
      </c>
      <c r="AD71" s="262">
        <f t="shared" si="202"/>
        <v>0</v>
      </c>
      <c r="AE71" s="298">
        <f t="shared" si="163"/>
        <v>385682</v>
      </c>
      <c r="AF71" s="299">
        <f t="shared" si="164"/>
        <v>385682</v>
      </c>
      <c r="AG71" s="262">
        <f t="shared" si="165"/>
        <v>0</v>
      </c>
      <c r="AH71" s="298">
        <f t="shared" si="166"/>
        <v>385682</v>
      </c>
      <c r="AI71" s="299">
        <f t="shared" si="167"/>
        <v>385682</v>
      </c>
      <c r="AJ71" s="262">
        <f t="shared" si="168"/>
        <v>0</v>
      </c>
      <c r="AK71" s="298">
        <f t="shared" si="169"/>
        <v>385682</v>
      </c>
      <c r="AL71" s="299">
        <f t="shared" si="170"/>
        <v>385682</v>
      </c>
      <c r="AM71" s="262">
        <f t="shared" si="171"/>
        <v>0</v>
      </c>
      <c r="AN71" s="298">
        <f t="shared" si="172"/>
        <v>385682</v>
      </c>
      <c r="AO71" s="299">
        <f t="shared" si="173"/>
        <v>385682</v>
      </c>
      <c r="AP71" s="262">
        <f t="shared" si="203"/>
        <v>0</v>
      </c>
      <c r="AQ71" s="298">
        <f t="shared" si="174"/>
        <v>385682</v>
      </c>
      <c r="AR71" s="299">
        <f t="shared" si="175"/>
        <v>385682</v>
      </c>
      <c r="AS71" s="262">
        <f t="shared" si="204"/>
        <v>0</v>
      </c>
      <c r="AT71" s="298">
        <f t="shared" si="176"/>
        <v>0</v>
      </c>
      <c r="AU71" s="299">
        <f t="shared" si="177"/>
        <v>0</v>
      </c>
      <c r="AV71" s="262">
        <f t="shared" si="178"/>
        <v>0</v>
      </c>
      <c r="AW71" s="298">
        <f t="shared" si="179"/>
        <v>0</v>
      </c>
      <c r="AX71" s="299">
        <f t="shared" si="180"/>
        <v>0</v>
      </c>
      <c r="AY71" s="262">
        <f t="shared" si="181"/>
        <v>0</v>
      </c>
      <c r="AZ71" s="298">
        <f t="shared" si="182"/>
        <v>0</v>
      </c>
      <c r="BA71" s="299">
        <f t="shared" si="183"/>
        <v>0</v>
      </c>
      <c r="BB71" s="262">
        <f t="shared" si="184"/>
        <v>0</v>
      </c>
      <c r="BC71" s="298">
        <f t="shared" si="185"/>
        <v>0</v>
      </c>
      <c r="BD71" s="299">
        <f t="shared" si="186"/>
        <v>0</v>
      </c>
      <c r="BE71" s="262">
        <f t="shared" si="205"/>
        <v>0</v>
      </c>
      <c r="BF71" s="298">
        <f t="shared" si="187"/>
        <v>0</v>
      </c>
      <c r="BG71" s="299">
        <f t="shared" si="188"/>
        <v>0</v>
      </c>
      <c r="BH71" s="262">
        <f t="shared" si="206"/>
        <v>0</v>
      </c>
      <c r="BI71" s="298">
        <f t="shared" si="189"/>
        <v>0</v>
      </c>
      <c r="BJ71" s="299">
        <f t="shared" si="190"/>
        <v>0</v>
      </c>
      <c r="BK71" s="262">
        <f t="shared" si="191"/>
        <v>0</v>
      </c>
      <c r="BL71" s="298">
        <f t="shared" si="192"/>
        <v>0</v>
      </c>
      <c r="BM71" s="299">
        <f t="shared" si="193"/>
        <v>0</v>
      </c>
      <c r="BN71" s="262">
        <f t="shared" si="194"/>
        <v>0</v>
      </c>
      <c r="BO71" s="298">
        <f t="shared" si="195"/>
        <v>0</v>
      </c>
      <c r="BP71" s="299">
        <f t="shared" si="196"/>
        <v>0</v>
      </c>
      <c r="BQ71" s="262">
        <f t="shared" si="197"/>
        <v>0</v>
      </c>
    </row>
    <row r="72" spans="1:70">
      <c r="A72" s="801"/>
      <c r="B72" s="803"/>
      <c r="C72" s="290" t="s">
        <v>172</v>
      </c>
      <c r="D72" s="291">
        <f t="shared" si="141"/>
        <v>5013866</v>
      </c>
      <c r="E72" s="292">
        <f t="shared" si="142"/>
        <v>5013866</v>
      </c>
      <c r="F72" s="293">
        <f t="shared" si="143"/>
        <v>0</v>
      </c>
      <c r="G72" s="298">
        <f t="shared" si="144"/>
        <v>385682</v>
      </c>
      <c r="H72" s="299">
        <f t="shared" si="145"/>
        <v>385682</v>
      </c>
      <c r="I72" s="262">
        <f t="shared" si="198"/>
        <v>0</v>
      </c>
      <c r="J72" s="298">
        <f t="shared" si="146"/>
        <v>385682</v>
      </c>
      <c r="K72" s="299">
        <f t="shared" si="147"/>
        <v>385682</v>
      </c>
      <c r="L72" s="262">
        <f t="shared" si="199"/>
        <v>0</v>
      </c>
      <c r="M72" s="298">
        <f t="shared" si="148"/>
        <v>385682</v>
      </c>
      <c r="N72" s="299">
        <f t="shared" si="149"/>
        <v>385682</v>
      </c>
      <c r="O72" s="262">
        <f t="shared" si="200"/>
        <v>0</v>
      </c>
      <c r="P72" s="298">
        <f t="shared" si="150"/>
        <v>385682</v>
      </c>
      <c r="Q72" s="299">
        <f t="shared" si="151"/>
        <v>385682</v>
      </c>
      <c r="R72" s="262">
        <f t="shared" si="152"/>
        <v>0</v>
      </c>
      <c r="S72" s="298">
        <f t="shared" si="153"/>
        <v>385682</v>
      </c>
      <c r="T72" s="299">
        <f t="shared" si="154"/>
        <v>385682</v>
      </c>
      <c r="U72" s="262">
        <f t="shared" si="155"/>
        <v>0</v>
      </c>
      <c r="V72" s="298">
        <f t="shared" si="156"/>
        <v>385682</v>
      </c>
      <c r="W72" s="299">
        <f t="shared" si="157"/>
        <v>385682</v>
      </c>
      <c r="X72" s="262">
        <f t="shared" si="158"/>
        <v>0</v>
      </c>
      <c r="Y72" s="298">
        <f t="shared" si="159"/>
        <v>385682</v>
      </c>
      <c r="Z72" s="299">
        <f t="shared" si="160"/>
        <v>385682</v>
      </c>
      <c r="AA72" s="262">
        <f t="shared" si="201"/>
        <v>0</v>
      </c>
      <c r="AB72" s="298">
        <f t="shared" si="161"/>
        <v>385682</v>
      </c>
      <c r="AC72" s="299">
        <f t="shared" si="162"/>
        <v>385682</v>
      </c>
      <c r="AD72" s="262">
        <f t="shared" si="202"/>
        <v>0</v>
      </c>
      <c r="AE72" s="298">
        <f t="shared" si="163"/>
        <v>385682</v>
      </c>
      <c r="AF72" s="299">
        <f t="shared" si="164"/>
        <v>385682</v>
      </c>
      <c r="AG72" s="262">
        <f t="shared" si="165"/>
        <v>0</v>
      </c>
      <c r="AH72" s="298">
        <f t="shared" si="166"/>
        <v>385682</v>
      </c>
      <c r="AI72" s="299">
        <f t="shared" si="167"/>
        <v>385682</v>
      </c>
      <c r="AJ72" s="262">
        <f t="shared" si="168"/>
        <v>0</v>
      </c>
      <c r="AK72" s="298">
        <f t="shared" si="169"/>
        <v>385682</v>
      </c>
      <c r="AL72" s="299">
        <f t="shared" si="170"/>
        <v>385682</v>
      </c>
      <c r="AM72" s="262">
        <f t="shared" si="171"/>
        <v>0</v>
      </c>
      <c r="AN72" s="298">
        <f t="shared" si="172"/>
        <v>385682</v>
      </c>
      <c r="AO72" s="299">
        <f t="shared" si="173"/>
        <v>385682</v>
      </c>
      <c r="AP72" s="262">
        <f t="shared" si="203"/>
        <v>0</v>
      </c>
      <c r="AQ72" s="298">
        <f t="shared" si="174"/>
        <v>385682</v>
      </c>
      <c r="AR72" s="299">
        <f t="shared" si="175"/>
        <v>385682</v>
      </c>
      <c r="AS72" s="262">
        <f t="shared" si="204"/>
        <v>0</v>
      </c>
      <c r="AT72" s="298">
        <f t="shared" si="176"/>
        <v>0</v>
      </c>
      <c r="AU72" s="299">
        <f t="shared" si="177"/>
        <v>0</v>
      </c>
      <c r="AV72" s="262">
        <f t="shared" si="178"/>
        <v>0</v>
      </c>
      <c r="AW72" s="298">
        <f t="shared" si="179"/>
        <v>0</v>
      </c>
      <c r="AX72" s="299">
        <f t="shared" si="180"/>
        <v>0</v>
      </c>
      <c r="AY72" s="262">
        <f t="shared" si="181"/>
        <v>0</v>
      </c>
      <c r="AZ72" s="298">
        <f t="shared" si="182"/>
        <v>0</v>
      </c>
      <c r="BA72" s="299">
        <f t="shared" si="183"/>
        <v>0</v>
      </c>
      <c r="BB72" s="262">
        <f t="shared" si="184"/>
        <v>0</v>
      </c>
      <c r="BC72" s="298">
        <f t="shared" si="185"/>
        <v>0</v>
      </c>
      <c r="BD72" s="299">
        <f t="shared" si="186"/>
        <v>0</v>
      </c>
      <c r="BE72" s="262">
        <f t="shared" si="205"/>
        <v>0</v>
      </c>
      <c r="BF72" s="298">
        <f t="shared" si="187"/>
        <v>0</v>
      </c>
      <c r="BG72" s="299">
        <f t="shared" si="188"/>
        <v>0</v>
      </c>
      <c r="BH72" s="262">
        <f t="shared" si="206"/>
        <v>0</v>
      </c>
      <c r="BI72" s="298">
        <f t="shared" si="189"/>
        <v>0</v>
      </c>
      <c r="BJ72" s="299">
        <f t="shared" si="190"/>
        <v>0</v>
      </c>
      <c r="BK72" s="262">
        <f t="shared" si="191"/>
        <v>0</v>
      </c>
      <c r="BL72" s="298">
        <f t="shared" si="192"/>
        <v>0</v>
      </c>
      <c r="BM72" s="299">
        <f t="shared" si="193"/>
        <v>0</v>
      </c>
      <c r="BN72" s="262">
        <f t="shared" si="194"/>
        <v>0</v>
      </c>
      <c r="BO72" s="298">
        <f t="shared" si="195"/>
        <v>0</v>
      </c>
      <c r="BP72" s="299">
        <f t="shared" si="196"/>
        <v>0</v>
      </c>
      <c r="BQ72" s="262">
        <f t="shared" si="197"/>
        <v>0</v>
      </c>
    </row>
    <row r="73" spans="1:70">
      <c r="A73" s="801"/>
      <c r="B73" s="803"/>
      <c r="C73" s="290" t="s">
        <v>173</v>
      </c>
      <c r="D73" s="291">
        <f t="shared" si="141"/>
        <v>5013866</v>
      </c>
      <c r="E73" s="292">
        <f t="shared" si="142"/>
        <v>5013866</v>
      </c>
      <c r="F73" s="293">
        <f t="shared" si="143"/>
        <v>0</v>
      </c>
      <c r="G73" s="298">
        <f t="shared" si="144"/>
        <v>385682</v>
      </c>
      <c r="H73" s="299">
        <f t="shared" si="145"/>
        <v>385682</v>
      </c>
      <c r="I73" s="262">
        <f t="shared" si="198"/>
        <v>0</v>
      </c>
      <c r="J73" s="298">
        <f t="shared" si="146"/>
        <v>385682</v>
      </c>
      <c r="K73" s="299">
        <f t="shared" si="147"/>
        <v>385682</v>
      </c>
      <c r="L73" s="262">
        <f t="shared" si="199"/>
        <v>0</v>
      </c>
      <c r="M73" s="298">
        <f t="shared" si="148"/>
        <v>385682</v>
      </c>
      <c r="N73" s="299">
        <f t="shared" si="149"/>
        <v>385682</v>
      </c>
      <c r="O73" s="262">
        <f t="shared" si="200"/>
        <v>0</v>
      </c>
      <c r="P73" s="298">
        <f t="shared" si="150"/>
        <v>385682</v>
      </c>
      <c r="Q73" s="299">
        <f t="shared" si="151"/>
        <v>385682</v>
      </c>
      <c r="R73" s="262">
        <f t="shared" si="152"/>
        <v>0</v>
      </c>
      <c r="S73" s="298">
        <f t="shared" si="153"/>
        <v>385682</v>
      </c>
      <c r="T73" s="299">
        <f t="shared" si="154"/>
        <v>385682</v>
      </c>
      <c r="U73" s="262">
        <f t="shared" si="155"/>
        <v>0</v>
      </c>
      <c r="V73" s="298">
        <f t="shared" si="156"/>
        <v>385682</v>
      </c>
      <c r="W73" s="299">
        <f t="shared" si="157"/>
        <v>385682</v>
      </c>
      <c r="X73" s="262">
        <f t="shared" si="158"/>
        <v>0</v>
      </c>
      <c r="Y73" s="298">
        <f t="shared" si="159"/>
        <v>385682</v>
      </c>
      <c r="Z73" s="299">
        <f t="shared" si="160"/>
        <v>385682</v>
      </c>
      <c r="AA73" s="262">
        <f t="shared" si="201"/>
        <v>0</v>
      </c>
      <c r="AB73" s="298">
        <f t="shared" si="161"/>
        <v>385682</v>
      </c>
      <c r="AC73" s="299">
        <f t="shared" si="162"/>
        <v>385682</v>
      </c>
      <c r="AD73" s="262">
        <f t="shared" si="202"/>
        <v>0</v>
      </c>
      <c r="AE73" s="298">
        <f t="shared" si="163"/>
        <v>385682</v>
      </c>
      <c r="AF73" s="299">
        <f t="shared" si="164"/>
        <v>385682</v>
      </c>
      <c r="AG73" s="262">
        <f t="shared" si="165"/>
        <v>0</v>
      </c>
      <c r="AH73" s="298">
        <f t="shared" si="166"/>
        <v>385682</v>
      </c>
      <c r="AI73" s="299">
        <f t="shared" si="167"/>
        <v>385682</v>
      </c>
      <c r="AJ73" s="262">
        <f t="shared" si="168"/>
        <v>0</v>
      </c>
      <c r="AK73" s="298">
        <f t="shared" si="169"/>
        <v>385682</v>
      </c>
      <c r="AL73" s="299">
        <f t="shared" si="170"/>
        <v>385682</v>
      </c>
      <c r="AM73" s="262">
        <f t="shared" si="171"/>
        <v>0</v>
      </c>
      <c r="AN73" s="298">
        <f t="shared" si="172"/>
        <v>385682</v>
      </c>
      <c r="AO73" s="299">
        <f t="shared" si="173"/>
        <v>385682</v>
      </c>
      <c r="AP73" s="262">
        <f t="shared" si="203"/>
        <v>0</v>
      </c>
      <c r="AQ73" s="298">
        <f t="shared" si="174"/>
        <v>385682</v>
      </c>
      <c r="AR73" s="299">
        <f t="shared" si="175"/>
        <v>385682</v>
      </c>
      <c r="AS73" s="262">
        <f t="shared" si="204"/>
        <v>0</v>
      </c>
      <c r="AT73" s="298">
        <f t="shared" si="176"/>
        <v>0</v>
      </c>
      <c r="AU73" s="299">
        <f t="shared" si="177"/>
        <v>0</v>
      </c>
      <c r="AV73" s="262">
        <f t="shared" si="178"/>
        <v>0</v>
      </c>
      <c r="AW73" s="298">
        <f t="shared" si="179"/>
        <v>0</v>
      </c>
      <c r="AX73" s="299">
        <f t="shared" si="180"/>
        <v>0</v>
      </c>
      <c r="AY73" s="262">
        <f t="shared" si="181"/>
        <v>0</v>
      </c>
      <c r="AZ73" s="298">
        <f t="shared" si="182"/>
        <v>0</v>
      </c>
      <c r="BA73" s="299">
        <f t="shared" si="183"/>
        <v>0</v>
      </c>
      <c r="BB73" s="262">
        <f t="shared" si="184"/>
        <v>0</v>
      </c>
      <c r="BC73" s="298">
        <f t="shared" si="185"/>
        <v>0</v>
      </c>
      <c r="BD73" s="299">
        <f t="shared" si="186"/>
        <v>0</v>
      </c>
      <c r="BE73" s="262">
        <f t="shared" si="205"/>
        <v>0</v>
      </c>
      <c r="BF73" s="298">
        <f t="shared" si="187"/>
        <v>0</v>
      </c>
      <c r="BG73" s="299">
        <f t="shared" si="188"/>
        <v>0</v>
      </c>
      <c r="BH73" s="262">
        <f t="shared" si="206"/>
        <v>0</v>
      </c>
      <c r="BI73" s="298">
        <f t="shared" si="189"/>
        <v>0</v>
      </c>
      <c r="BJ73" s="299">
        <f t="shared" si="190"/>
        <v>0</v>
      </c>
      <c r="BK73" s="262">
        <f t="shared" si="191"/>
        <v>0</v>
      </c>
      <c r="BL73" s="298">
        <f t="shared" si="192"/>
        <v>0</v>
      </c>
      <c r="BM73" s="299">
        <f t="shared" si="193"/>
        <v>0</v>
      </c>
      <c r="BN73" s="262">
        <f t="shared" si="194"/>
        <v>0</v>
      </c>
      <c r="BO73" s="298">
        <f t="shared" si="195"/>
        <v>0</v>
      </c>
      <c r="BP73" s="299">
        <f t="shared" si="196"/>
        <v>0</v>
      </c>
      <c r="BQ73" s="262">
        <f t="shared" si="197"/>
        <v>0</v>
      </c>
    </row>
    <row r="74" spans="1:70">
      <c r="A74" s="801"/>
      <c r="B74" s="803"/>
      <c r="C74" s="290" t="s">
        <v>174</v>
      </c>
      <c r="D74" s="291">
        <f t="shared" si="141"/>
        <v>5013866</v>
      </c>
      <c r="E74" s="292">
        <f t="shared" si="142"/>
        <v>5013866</v>
      </c>
      <c r="F74" s="293">
        <f t="shared" si="143"/>
        <v>0</v>
      </c>
      <c r="G74" s="298">
        <f t="shared" si="144"/>
        <v>385682</v>
      </c>
      <c r="H74" s="299">
        <f t="shared" si="145"/>
        <v>385682</v>
      </c>
      <c r="I74" s="262">
        <f t="shared" si="198"/>
        <v>0</v>
      </c>
      <c r="J74" s="298">
        <f t="shared" si="146"/>
        <v>385682</v>
      </c>
      <c r="K74" s="299">
        <f t="shared" si="147"/>
        <v>385682</v>
      </c>
      <c r="L74" s="262">
        <f t="shared" si="199"/>
        <v>0</v>
      </c>
      <c r="M74" s="298">
        <f t="shared" si="148"/>
        <v>385682</v>
      </c>
      <c r="N74" s="299">
        <f t="shared" si="149"/>
        <v>385682</v>
      </c>
      <c r="O74" s="262">
        <f t="shared" si="200"/>
        <v>0</v>
      </c>
      <c r="P74" s="298">
        <f t="shared" si="150"/>
        <v>385682</v>
      </c>
      <c r="Q74" s="299">
        <f t="shared" si="151"/>
        <v>385682</v>
      </c>
      <c r="R74" s="262">
        <f t="shared" si="152"/>
        <v>0</v>
      </c>
      <c r="S74" s="298">
        <f t="shared" si="153"/>
        <v>385682</v>
      </c>
      <c r="T74" s="299">
        <f t="shared" si="154"/>
        <v>385682</v>
      </c>
      <c r="U74" s="262">
        <f t="shared" si="155"/>
        <v>0</v>
      </c>
      <c r="V74" s="298">
        <f t="shared" si="156"/>
        <v>385682</v>
      </c>
      <c r="W74" s="299">
        <f t="shared" si="157"/>
        <v>385682</v>
      </c>
      <c r="X74" s="262">
        <f t="shared" si="158"/>
        <v>0</v>
      </c>
      <c r="Y74" s="298">
        <f t="shared" si="159"/>
        <v>385682</v>
      </c>
      <c r="Z74" s="299">
        <f t="shared" si="160"/>
        <v>385682</v>
      </c>
      <c r="AA74" s="262">
        <f t="shared" si="201"/>
        <v>0</v>
      </c>
      <c r="AB74" s="298">
        <f t="shared" si="161"/>
        <v>385682</v>
      </c>
      <c r="AC74" s="299">
        <f t="shared" si="162"/>
        <v>385682</v>
      </c>
      <c r="AD74" s="262">
        <f t="shared" si="202"/>
        <v>0</v>
      </c>
      <c r="AE74" s="298">
        <f t="shared" si="163"/>
        <v>385682</v>
      </c>
      <c r="AF74" s="299">
        <f t="shared" si="164"/>
        <v>385682</v>
      </c>
      <c r="AG74" s="262">
        <f t="shared" si="165"/>
        <v>0</v>
      </c>
      <c r="AH74" s="298">
        <f t="shared" si="166"/>
        <v>385682</v>
      </c>
      <c r="AI74" s="299">
        <f t="shared" si="167"/>
        <v>385682</v>
      </c>
      <c r="AJ74" s="262">
        <f t="shared" si="168"/>
        <v>0</v>
      </c>
      <c r="AK74" s="298">
        <f t="shared" si="169"/>
        <v>385682</v>
      </c>
      <c r="AL74" s="299">
        <f t="shared" si="170"/>
        <v>385682</v>
      </c>
      <c r="AM74" s="262">
        <f t="shared" si="171"/>
        <v>0</v>
      </c>
      <c r="AN74" s="298">
        <f t="shared" si="172"/>
        <v>385682</v>
      </c>
      <c r="AO74" s="299">
        <f t="shared" si="173"/>
        <v>385682</v>
      </c>
      <c r="AP74" s="262">
        <f t="shared" si="203"/>
        <v>0</v>
      </c>
      <c r="AQ74" s="298">
        <f t="shared" si="174"/>
        <v>385682</v>
      </c>
      <c r="AR74" s="299">
        <f t="shared" si="175"/>
        <v>385682</v>
      </c>
      <c r="AS74" s="262">
        <f t="shared" si="204"/>
        <v>0</v>
      </c>
      <c r="AT74" s="298">
        <f t="shared" si="176"/>
        <v>0</v>
      </c>
      <c r="AU74" s="299">
        <f t="shared" si="177"/>
        <v>0</v>
      </c>
      <c r="AV74" s="262">
        <f t="shared" si="178"/>
        <v>0</v>
      </c>
      <c r="AW74" s="298">
        <f t="shared" si="179"/>
        <v>0</v>
      </c>
      <c r="AX74" s="299">
        <f t="shared" si="180"/>
        <v>0</v>
      </c>
      <c r="AY74" s="262">
        <f t="shared" si="181"/>
        <v>0</v>
      </c>
      <c r="AZ74" s="298">
        <f t="shared" si="182"/>
        <v>0</v>
      </c>
      <c r="BA74" s="299">
        <f t="shared" si="183"/>
        <v>0</v>
      </c>
      <c r="BB74" s="262">
        <f t="shared" si="184"/>
        <v>0</v>
      </c>
      <c r="BC74" s="298">
        <f t="shared" si="185"/>
        <v>0</v>
      </c>
      <c r="BD74" s="299">
        <f t="shared" si="186"/>
        <v>0</v>
      </c>
      <c r="BE74" s="262">
        <f t="shared" si="205"/>
        <v>0</v>
      </c>
      <c r="BF74" s="298">
        <f t="shared" si="187"/>
        <v>0</v>
      </c>
      <c r="BG74" s="299">
        <f t="shared" si="188"/>
        <v>0</v>
      </c>
      <c r="BH74" s="262">
        <f t="shared" si="206"/>
        <v>0</v>
      </c>
      <c r="BI74" s="298">
        <f t="shared" si="189"/>
        <v>0</v>
      </c>
      <c r="BJ74" s="299">
        <f t="shared" si="190"/>
        <v>0</v>
      </c>
      <c r="BK74" s="262">
        <f t="shared" si="191"/>
        <v>0</v>
      </c>
      <c r="BL74" s="298">
        <f t="shared" si="192"/>
        <v>0</v>
      </c>
      <c r="BM74" s="299">
        <f t="shared" si="193"/>
        <v>0</v>
      </c>
      <c r="BN74" s="262">
        <f t="shared" si="194"/>
        <v>0</v>
      </c>
      <c r="BO74" s="298">
        <f t="shared" si="195"/>
        <v>0</v>
      </c>
      <c r="BP74" s="299">
        <f t="shared" si="196"/>
        <v>0</v>
      </c>
      <c r="BQ74" s="262">
        <f t="shared" si="197"/>
        <v>0</v>
      </c>
    </row>
    <row r="75" spans="1:70" ht="15" thickBot="1">
      <c r="A75" s="802"/>
      <c r="B75" s="804"/>
      <c r="C75" s="300" t="s">
        <v>175</v>
      </c>
      <c r="D75" s="301">
        <f t="shared" si="141"/>
        <v>5013866</v>
      </c>
      <c r="E75" s="302">
        <f t="shared" si="142"/>
        <v>5013866</v>
      </c>
      <c r="F75" s="303">
        <f t="shared" si="143"/>
        <v>0</v>
      </c>
      <c r="G75" s="304">
        <f t="shared" si="144"/>
        <v>385682</v>
      </c>
      <c r="H75" s="305">
        <f t="shared" si="145"/>
        <v>385682</v>
      </c>
      <c r="I75" s="267">
        <f t="shared" si="198"/>
        <v>0</v>
      </c>
      <c r="J75" s="304">
        <f t="shared" si="146"/>
        <v>385682</v>
      </c>
      <c r="K75" s="305">
        <f t="shared" si="147"/>
        <v>385682</v>
      </c>
      <c r="L75" s="267">
        <f t="shared" si="199"/>
        <v>0</v>
      </c>
      <c r="M75" s="304">
        <f t="shared" si="148"/>
        <v>385682</v>
      </c>
      <c r="N75" s="305">
        <f t="shared" si="149"/>
        <v>385682</v>
      </c>
      <c r="O75" s="267">
        <f t="shared" si="200"/>
        <v>0</v>
      </c>
      <c r="P75" s="304">
        <f t="shared" si="150"/>
        <v>385682</v>
      </c>
      <c r="Q75" s="305">
        <f t="shared" si="151"/>
        <v>385682</v>
      </c>
      <c r="R75" s="267">
        <f t="shared" si="152"/>
        <v>0</v>
      </c>
      <c r="S75" s="304">
        <f t="shared" si="153"/>
        <v>385682</v>
      </c>
      <c r="T75" s="305">
        <f t="shared" si="154"/>
        <v>385682</v>
      </c>
      <c r="U75" s="267">
        <f t="shared" si="155"/>
        <v>0</v>
      </c>
      <c r="V75" s="304">
        <f t="shared" si="156"/>
        <v>385682</v>
      </c>
      <c r="W75" s="305">
        <f t="shared" si="157"/>
        <v>385682</v>
      </c>
      <c r="X75" s="267">
        <f t="shared" si="158"/>
        <v>0</v>
      </c>
      <c r="Y75" s="304">
        <f t="shared" si="159"/>
        <v>385682</v>
      </c>
      <c r="Z75" s="305">
        <f t="shared" si="160"/>
        <v>385682</v>
      </c>
      <c r="AA75" s="267">
        <f t="shared" si="201"/>
        <v>0</v>
      </c>
      <c r="AB75" s="304">
        <f t="shared" si="161"/>
        <v>385682</v>
      </c>
      <c r="AC75" s="305">
        <f t="shared" si="162"/>
        <v>385682</v>
      </c>
      <c r="AD75" s="267">
        <f t="shared" si="202"/>
        <v>0</v>
      </c>
      <c r="AE75" s="304">
        <f t="shared" si="163"/>
        <v>385682</v>
      </c>
      <c r="AF75" s="305">
        <f t="shared" si="164"/>
        <v>385682</v>
      </c>
      <c r="AG75" s="267">
        <f t="shared" si="165"/>
        <v>0</v>
      </c>
      <c r="AH75" s="304">
        <f t="shared" si="166"/>
        <v>385682</v>
      </c>
      <c r="AI75" s="305">
        <f t="shared" si="167"/>
        <v>385682</v>
      </c>
      <c r="AJ75" s="267">
        <f t="shared" si="168"/>
        <v>0</v>
      </c>
      <c r="AK75" s="304">
        <f t="shared" si="169"/>
        <v>385682</v>
      </c>
      <c r="AL75" s="305">
        <f t="shared" si="170"/>
        <v>385682</v>
      </c>
      <c r="AM75" s="267">
        <f t="shared" si="171"/>
        <v>0</v>
      </c>
      <c r="AN75" s="304">
        <f t="shared" si="172"/>
        <v>385682</v>
      </c>
      <c r="AO75" s="305">
        <f t="shared" si="173"/>
        <v>385682</v>
      </c>
      <c r="AP75" s="267">
        <f t="shared" si="203"/>
        <v>0</v>
      </c>
      <c r="AQ75" s="304">
        <f t="shared" si="174"/>
        <v>385682</v>
      </c>
      <c r="AR75" s="305">
        <f t="shared" si="175"/>
        <v>385682</v>
      </c>
      <c r="AS75" s="267">
        <f t="shared" si="204"/>
        <v>0</v>
      </c>
      <c r="AT75" s="304">
        <f t="shared" si="176"/>
        <v>0</v>
      </c>
      <c r="AU75" s="305">
        <f t="shared" si="177"/>
        <v>0</v>
      </c>
      <c r="AV75" s="267">
        <f t="shared" si="178"/>
        <v>0</v>
      </c>
      <c r="AW75" s="304">
        <f t="shared" si="179"/>
        <v>0</v>
      </c>
      <c r="AX75" s="305">
        <f t="shared" si="180"/>
        <v>0</v>
      </c>
      <c r="AY75" s="267">
        <f t="shared" si="181"/>
        <v>0</v>
      </c>
      <c r="AZ75" s="304">
        <f t="shared" si="182"/>
        <v>0</v>
      </c>
      <c r="BA75" s="305">
        <f t="shared" si="183"/>
        <v>0</v>
      </c>
      <c r="BB75" s="267">
        <f t="shared" si="184"/>
        <v>0</v>
      </c>
      <c r="BC75" s="304">
        <f t="shared" si="185"/>
        <v>0</v>
      </c>
      <c r="BD75" s="305">
        <f t="shared" si="186"/>
        <v>0</v>
      </c>
      <c r="BE75" s="267">
        <f t="shared" si="205"/>
        <v>0</v>
      </c>
      <c r="BF75" s="304">
        <f t="shared" si="187"/>
        <v>0</v>
      </c>
      <c r="BG75" s="305">
        <f t="shared" si="188"/>
        <v>0</v>
      </c>
      <c r="BH75" s="267">
        <f t="shared" si="206"/>
        <v>0</v>
      </c>
      <c r="BI75" s="304">
        <f t="shared" si="189"/>
        <v>0</v>
      </c>
      <c r="BJ75" s="305">
        <f t="shared" si="190"/>
        <v>0</v>
      </c>
      <c r="BK75" s="267">
        <f t="shared" si="191"/>
        <v>0</v>
      </c>
      <c r="BL75" s="304">
        <f t="shared" si="192"/>
        <v>0</v>
      </c>
      <c r="BM75" s="305">
        <f t="shared" si="193"/>
        <v>0</v>
      </c>
      <c r="BN75" s="267">
        <f t="shared" si="194"/>
        <v>0</v>
      </c>
      <c r="BO75" s="304">
        <f t="shared" si="195"/>
        <v>0</v>
      </c>
      <c r="BP75" s="305">
        <f t="shared" si="196"/>
        <v>0</v>
      </c>
      <c r="BQ75" s="267">
        <f t="shared" si="197"/>
        <v>0</v>
      </c>
    </row>
    <row r="76" spans="1:70">
      <c r="A76" s="801" t="s">
        <v>220</v>
      </c>
      <c r="B76" s="803" t="s">
        <v>214</v>
      </c>
      <c r="C76" s="290" t="s">
        <v>166</v>
      </c>
      <c r="D76" s="291">
        <f t="shared" ref="D76:D88" si="207">SUM(G76,J76,M76,P76,S76,V76,Y76,AB76,AE76,AH76,AK76,AN76,AQ76,AT76,AW76,AZ76,AZ76,BC76,BF76,BI76,BL76,BO76)</f>
        <v>0</v>
      </c>
      <c r="E76" s="292">
        <f t="shared" ref="E76:E135" si="208">SUM(H76,K76,N76,Q76,T76,W76,Z76,AC76,AF76,AI76,AL76,AO76,AR76,AU76,AX76,BA76,BA76,BD76,BG76,BJ76,BM76,BP76)</f>
        <v>0</v>
      </c>
      <c r="F76" s="293">
        <f t="shared" ref="F76:F105" si="209">SUM(I76,L76,O76,R76,U76,X76,AA76,AD76,AG76,AJ76,AM76,AP76,AS76,AV76,AY76,BB76,BB76,BE76,BH76,BK76,BN76,BQ76)</f>
        <v>0</v>
      </c>
      <c r="G76" s="306">
        <f>G5*G35*Faktory!$D$8</f>
        <v>0</v>
      </c>
      <c r="H76" s="307">
        <f>((H66*G35)-(H66*((G35-H35)*(1+$BR$35))))*Faktory!$D$8</f>
        <v>0</v>
      </c>
      <c r="I76" s="257">
        <f>H76-G76</f>
        <v>0</v>
      </c>
      <c r="J76" s="306">
        <f>J5*J35*Faktory!$D$8</f>
        <v>0</v>
      </c>
      <c r="K76" s="307">
        <f>((K66*J35)-(K66*((J35-K35)*(1+$BR$35))))*Faktory!$D$8</f>
        <v>0</v>
      </c>
      <c r="L76" s="257">
        <f>K76-J76</f>
        <v>0</v>
      </c>
      <c r="M76" s="306">
        <f>M5*M35*Faktory!$D$8</f>
        <v>0</v>
      </c>
      <c r="N76" s="307">
        <f>((N66*M35)-(N66*((M35-N35)*(1+$BR$35))))*Faktory!$D$8</f>
        <v>0</v>
      </c>
      <c r="O76" s="257">
        <f>N76-M76</f>
        <v>0</v>
      </c>
      <c r="P76" s="306">
        <f>P5*P35*Faktory!$D$8</f>
        <v>0</v>
      </c>
      <c r="Q76" s="307">
        <f>((Q66*P35)-(Q66*((P35-Q35)*(1+$BR$35))))*Faktory!$D$8</f>
        <v>0</v>
      </c>
      <c r="R76" s="257">
        <f>Q76-P76</f>
        <v>0</v>
      </c>
      <c r="S76" s="306">
        <f>S5*S35*Faktory!$D$8</f>
        <v>0</v>
      </c>
      <c r="T76" s="307">
        <f>((T66*S35)-(T66*((S35-T35)*(1+$BR$35))))*Faktory!$D$8</f>
        <v>0</v>
      </c>
      <c r="U76" s="257">
        <f>T76-S76</f>
        <v>0</v>
      </c>
      <c r="V76" s="306">
        <f>V5*V35*Faktory!$D$8</f>
        <v>0</v>
      </c>
      <c r="W76" s="307">
        <f>((W66*V35)-(W66*((V35-W35)*(1+$BR$35))))*Faktory!$D$8</f>
        <v>0</v>
      </c>
      <c r="X76" s="257">
        <f>W76-V76</f>
        <v>0</v>
      </c>
      <c r="Y76" s="306">
        <f>Y5*Y35*Faktory!$D$8</f>
        <v>0</v>
      </c>
      <c r="Z76" s="307">
        <f>((Z66*Y35)-(Z66*((Y35-Z35)*(1+$BR$35))))*Faktory!$D$8</f>
        <v>0</v>
      </c>
      <c r="AA76" s="257">
        <f>Z76-Y76</f>
        <v>0</v>
      </c>
      <c r="AB76" s="306">
        <f>AB5*AB35*Faktory!$D$8</f>
        <v>0</v>
      </c>
      <c r="AC76" s="307">
        <f>((AC66*AB35)-(AC66*((AB35-AC35)*(1+$BR$35))))*Faktory!$D$8</f>
        <v>0</v>
      </c>
      <c r="AD76" s="257">
        <f>AC76-AB76</f>
        <v>0</v>
      </c>
      <c r="AE76" s="306">
        <f>AE5*AE35*Faktory!$D$8</f>
        <v>0</v>
      </c>
      <c r="AF76" s="307">
        <f>((AF66*AE35)-(AF66*((AE35-AF35)*(1+$BR$35))))*Faktory!$D$8</f>
        <v>0</v>
      </c>
      <c r="AG76" s="257">
        <f>AF76-AE76</f>
        <v>0</v>
      </c>
      <c r="AH76" s="306">
        <f>AH5*AH35*Faktory!$D$8</f>
        <v>0</v>
      </c>
      <c r="AI76" s="307">
        <f>((AI66*AH35)-(AI66*((AH35-AI35)*(1+$BR$35))))*Faktory!$D$8</f>
        <v>0</v>
      </c>
      <c r="AJ76" s="257">
        <f>AI76-AH76</f>
        <v>0</v>
      </c>
      <c r="AK76" s="306">
        <f>AK5*AK35*Faktory!$D$8</f>
        <v>0</v>
      </c>
      <c r="AL76" s="307">
        <f>((AL66*AK35)-(AL66*((AK35-AL35)*(1+$BR$35))))*Faktory!$D$8</f>
        <v>0</v>
      </c>
      <c r="AM76" s="257">
        <f>AL76-AK76</f>
        <v>0</v>
      </c>
      <c r="AN76" s="306">
        <f>AN5*AN35*Faktory!$D$8</f>
        <v>0</v>
      </c>
      <c r="AO76" s="307">
        <f>((AO66*AN35)-(AO66*((AN35-AO35)*(1+$BR$35))))*Faktory!$D$8</f>
        <v>0</v>
      </c>
      <c r="AP76" s="257">
        <f>AO76-AN76</f>
        <v>0</v>
      </c>
      <c r="AQ76" s="306">
        <f>AQ5*AQ35*Faktory!$D$8</f>
        <v>0</v>
      </c>
      <c r="AR76" s="307">
        <f>((AR66*AQ35)-(AR66*((AQ35-AR35)*(1+$BR$35))))*Faktory!$D$8</f>
        <v>0</v>
      </c>
      <c r="AS76" s="257">
        <f>AR76-AQ76</f>
        <v>0</v>
      </c>
      <c r="AT76" s="306">
        <f>AT5*AT35*Faktory!$D$8</f>
        <v>0</v>
      </c>
      <c r="AU76" s="307">
        <f>((AU66*AT35)-(AU66*((AT35-AU35)*(1+$BR$35))))*Faktory!$D$8</f>
        <v>0</v>
      </c>
      <c r="AV76" s="257">
        <f>AU76-AT76</f>
        <v>0</v>
      </c>
      <c r="AW76" s="306">
        <f>AW5*AW35*Faktory!$D$8</f>
        <v>0</v>
      </c>
      <c r="AX76" s="307">
        <f>((AX66*AW35)-(AX66*((AW35-AX35)*(1+$BR$35))))*Faktory!$D$8</f>
        <v>0</v>
      </c>
      <c r="AY76" s="257">
        <f>AX76-AW76</f>
        <v>0</v>
      </c>
      <c r="AZ76" s="306">
        <f>AZ5*AZ35*Faktory!$D$8</f>
        <v>0</v>
      </c>
      <c r="BA76" s="307">
        <f>((BA66*AZ35)-(BA66*((AZ35-BA35)*(1+$BR$35))))*Faktory!$D$8</f>
        <v>0</v>
      </c>
      <c r="BB76" s="257">
        <f>BA76-AZ76</f>
        <v>0</v>
      </c>
      <c r="BC76" s="306">
        <f>BC5*BC35*Faktory!$D$8</f>
        <v>0</v>
      </c>
      <c r="BD76" s="307">
        <f>((BD66*BC35)-(BD66*((BC35-BD35)*(1+$BR$35))))*Faktory!$D$8</f>
        <v>0</v>
      </c>
      <c r="BE76" s="257">
        <f>BD76-BC76</f>
        <v>0</v>
      </c>
      <c r="BF76" s="306">
        <f>BF5*BF35*Faktory!$D$8</f>
        <v>0</v>
      </c>
      <c r="BG76" s="307">
        <f>((BG66*BF35)-(BG66*((BF35-BG35)*(1+$BR$35))))*Faktory!$D$8</f>
        <v>0</v>
      </c>
      <c r="BH76" s="257">
        <f>BG76-BF76</f>
        <v>0</v>
      </c>
      <c r="BI76" s="306">
        <f>BI5*BI35*Faktory!$D$8</f>
        <v>0</v>
      </c>
      <c r="BJ76" s="307">
        <f>((BJ66*BI35)-(BJ66*((BI35-BJ35)*(1+$BR$35))))*Faktory!$D$8</f>
        <v>0</v>
      </c>
      <c r="BK76" s="257">
        <f>BJ76-BI76</f>
        <v>0</v>
      </c>
      <c r="BL76" s="306">
        <f>BL5*BL35*Faktory!$D$8</f>
        <v>0</v>
      </c>
      <c r="BM76" s="307">
        <f>((BM66*BL35)-(BM66*((BL35-BM35)*(1+$BR$35))))*Faktory!$D$8</f>
        <v>0</v>
      </c>
      <c r="BN76" s="257">
        <f>BM76-BL76</f>
        <v>0</v>
      </c>
      <c r="BO76" s="306">
        <f>BO5*BO35*Faktory!$D$8</f>
        <v>0</v>
      </c>
      <c r="BP76" s="307">
        <f>((BP66*BO35)-(BP66*((BO35-BP35)*(1+$BR$35))))*Faktory!$D$8</f>
        <v>0</v>
      </c>
      <c r="BQ76" s="257">
        <f>BP76-BO76</f>
        <v>0</v>
      </c>
    </row>
    <row r="77" spans="1:70">
      <c r="A77" s="801"/>
      <c r="B77" s="803"/>
      <c r="C77" s="290" t="s">
        <v>167</v>
      </c>
      <c r="D77" s="291">
        <f t="shared" si="207"/>
        <v>0</v>
      </c>
      <c r="E77" s="292">
        <f t="shared" si="208"/>
        <v>0</v>
      </c>
      <c r="F77" s="293">
        <f t="shared" si="209"/>
        <v>0</v>
      </c>
      <c r="G77" s="298">
        <f>G6*G36*Faktory!$D$8</f>
        <v>0</v>
      </c>
      <c r="H77" s="299">
        <f>((H67*G36)-(H67*((G36-H36)*(1+$BR$35))))*Faktory!$D$8</f>
        <v>0</v>
      </c>
      <c r="I77" s="262">
        <f t="shared" ref="I77:I95" si="210">H77-G77</f>
        <v>0</v>
      </c>
      <c r="J77" s="298">
        <f>J6*J36*Faktory!$D$8</f>
        <v>0</v>
      </c>
      <c r="K77" s="299">
        <f>((K67*J36)-(K67*((J36-K36)*(1+$BR$35))))*Faktory!$D$8</f>
        <v>0</v>
      </c>
      <c r="L77" s="262">
        <f t="shared" ref="L77:L95" si="211">K77-J77</f>
        <v>0</v>
      </c>
      <c r="M77" s="298">
        <f>M6*M36*Faktory!$D$8</f>
        <v>0</v>
      </c>
      <c r="N77" s="299">
        <f>((N67*M36)-(N67*((M36-N36)*(1+$BR$35))))*Faktory!$D$8</f>
        <v>0</v>
      </c>
      <c r="O77" s="262">
        <f t="shared" ref="O77:O95" si="212">N77-M77</f>
        <v>0</v>
      </c>
      <c r="P77" s="298">
        <f>P6*P36*Faktory!$D$8</f>
        <v>0</v>
      </c>
      <c r="Q77" s="299">
        <f>((Q67*P36)-(Q67*((P36-Q36)*(1+$BR$35))))*Faktory!$D$8</f>
        <v>0</v>
      </c>
      <c r="R77" s="262">
        <f t="shared" ref="R77:R95" si="213">Q77-P77</f>
        <v>0</v>
      </c>
      <c r="S77" s="298">
        <f>S6*S36*Faktory!$D$8</f>
        <v>0</v>
      </c>
      <c r="T77" s="299">
        <f>((T67*S36)-(T67*((S36-T36)*(1+$BR$35))))*Faktory!$D$8</f>
        <v>0</v>
      </c>
      <c r="U77" s="262">
        <f t="shared" ref="U77:U95" si="214">T77-S77</f>
        <v>0</v>
      </c>
      <c r="V77" s="298">
        <f>V6*V36*Faktory!$D$8</f>
        <v>0</v>
      </c>
      <c r="W77" s="299">
        <f>((W67*V36)-(W67*((V36-W36)*(1+$BR$35))))*Faktory!$D$8</f>
        <v>0</v>
      </c>
      <c r="X77" s="262">
        <f t="shared" ref="X77:X95" si="215">W77-V77</f>
        <v>0</v>
      </c>
      <c r="Y77" s="298">
        <f>Y6*Y36*Faktory!$D$8</f>
        <v>0</v>
      </c>
      <c r="Z77" s="299">
        <f>((Z67*Y36)-(Z67*((Y36-Z36)*(1+$BR$35))))*Faktory!$D$8</f>
        <v>0</v>
      </c>
      <c r="AA77" s="262">
        <f t="shared" ref="AA77:AA95" si="216">Z77-Y77</f>
        <v>0</v>
      </c>
      <c r="AB77" s="298">
        <f>AB6*AB36*Faktory!$D$8</f>
        <v>0</v>
      </c>
      <c r="AC77" s="299">
        <f>((AC67*AB36)-(AC67*((AB36-AC36)*(1+$BR$35))))*Faktory!$D$8</f>
        <v>0</v>
      </c>
      <c r="AD77" s="262">
        <f t="shared" ref="AD77:AD95" si="217">AC77-AB77</f>
        <v>0</v>
      </c>
      <c r="AE77" s="298">
        <f>AE6*AE36*Faktory!$D$8</f>
        <v>0</v>
      </c>
      <c r="AF77" s="299">
        <f>((AF67*AE36)-(AF67*((AE36-AF36)*(1+$BR$35))))*Faktory!$D$8</f>
        <v>0</v>
      </c>
      <c r="AG77" s="262">
        <f t="shared" ref="AG77:AG95" si="218">AF77-AE77</f>
        <v>0</v>
      </c>
      <c r="AH77" s="298">
        <f>AH6*AH36*Faktory!$D$8</f>
        <v>0</v>
      </c>
      <c r="AI77" s="299">
        <f>((AI67*AH36)-(AI67*((AH36-AI36)*(1+$BR$35))))*Faktory!$D$8</f>
        <v>0</v>
      </c>
      <c r="AJ77" s="262">
        <f t="shared" ref="AJ77:AJ95" si="219">AI77-AH77</f>
        <v>0</v>
      </c>
      <c r="AK77" s="298">
        <f>AK6*AK36*Faktory!$D$8</f>
        <v>0</v>
      </c>
      <c r="AL77" s="299">
        <f>((AL67*AK36)-(AL67*((AK36-AL36)*(1+$BR$35))))*Faktory!$D$8</f>
        <v>0</v>
      </c>
      <c r="AM77" s="262">
        <f t="shared" ref="AM77:AM95" si="220">AL77-AK77</f>
        <v>0</v>
      </c>
      <c r="AN77" s="298">
        <f>AN6*AN36*Faktory!$D$8</f>
        <v>0</v>
      </c>
      <c r="AO77" s="299">
        <f>((AO67*AN36)-(AO67*((AN36-AO36)*(1+$BR$35))))*Faktory!$D$8</f>
        <v>0</v>
      </c>
      <c r="AP77" s="262">
        <f t="shared" ref="AP77:AP95" si="221">AO77-AN77</f>
        <v>0</v>
      </c>
      <c r="AQ77" s="298">
        <f>AQ6*AQ36*Faktory!$D$8</f>
        <v>0</v>
      </c>
      <c r="AR77" s="299">
        <f>((AR67*AQ36)-(AR67*((AQ36-AR36)*(1+$BR$35))))*Faktory!$D$8</f>
        <v>0</v>
      </c>
      <c r="AS77" s="262">
        <f t="shared" ref="AS77:AS95" si="222">AR77-AQ77</f>
        <v>0</v>
      </c>
      <c r="AT77" s="298">
        <f>AT6*AT36*Faktory!$D$8</f>
        <v>0</v>
      </c>
      <c r="AU77" s="299">
        <f>((AU67*AT36)-(AU67*((AT36-AU36)*(1+$BR$35))))*Faktory!$D$8</f>
        <v>0</v>
      </c>
      <c r="AV77" s="262">
        <f t="shared" ref="AV77:AV95" si="223">AU77-AT77</f>
        <v>0</v>
      </c>
      <c r="AW77" s="298">
        <f>AW6*AW36*Faktory!$D$8</f>
        <v>0</v>
      </c>
      <c r="AX77" s="299">
        <f>((AX67*AW36)-(AX67*((AW36-AX36)*(1+$BR$35))))*Faktory!$D$8</f>
        <v>0</v>
      </c>
      <c r="AY77" s="262">
        <f t="shared" ref="AY77:AY95" si="224">AX77-AW77</f>
        <v>0</v>
      </c>
      <c r="AZ77" s="298">
        <f>AZ6*AZ36*Faktory!$D$8</f>
        <v>0</v>
      </c>
      <c r="BA77" s="299">
        <f>((BA67*AZ36)-(BA67*((AZ36-BA36)*(1+$BR$35))))*Faktory!$D$8</f>
        <v>0</v>
      </c>
      <c r="BB77" s="262">
        <f t="shared" ref="BB77:BB95" si="225">BA77-AZ77</f>
        <v>0</v>
      </c>
      <c r="BC77" s="298">
        <f>BC6*BC36*Faktory!$D$8</f>
        <v>0</v>
      </c>
      <c r="BD77" s="299">
        <f>((BD67*BC36)-(BD67*((BC36-BD36)*(1+$BR$35))))*Faktory!$D$8</f>
        <v>0</v>
      </c>
      <c r="BE77" s="262">
        <f t="shared" ref="BE77:BE95" si="226">BD77-BC77</f>
        <v>0</v>
      </c>
      <c r="BF77" s="298">
        <f>BF6*BF36*Faktory!$D$8</f>
        <v>0</v>
      </c>
      <c r="BG77" s="299">
        <f>((BG67*BF36)-(BG67*((BF36-BG36)*(1+$BR$35))))*Faktory!$D$8</f>
        <v>0</v>
      </c>
      <c r="BH77" s="262">
        <f t="shared" ref="BH77:BH95" si="227">BG77-BF77</f>
        <v>0</v>
      </c>
      <c r="BI77" s="298">
        <f>BI6*BI36*Faktory!$D$8</f>
        <v>0</v>
      </c>
      <c r="BJ77" s="299">
        <f>((BJ67*BI36)-(BJ67*((BI36-BJ36)*(1+$BR$35))))*Faktory!$D$8</f>
        <v>0</v>
      </c>
      <c r="BK77" s="262">
        <f t="shared" ref="BK77:BK95" si="228">BJ77-BI77</f>
        <v>0</v>
      </c>
      <c r="BL77" s="298">
        <f>BL6*BL36*Faktory!$D$8</f>
        <v>0</v>
      </c>
      <c r="BM77" s="299">
        <f>((BM67*BL36)-(BM67*((BL36-BM36)*(1+$BR$35))))*Faktory!$D$8</f>
        <v>0</v>
      </c>
      <c r="BN77" s="262">
        <f t="shared" ref="BN77:BN95" si="229">BM77-BL77</f>
        <v>0</v>
      </c>
      <c r="BO77" s="298">
        <f>BO6*BO36*Faktory!$D$8</f>
        <v>0</v>
      </c>
      <c r="BP77" s="299">
        <f>((BP67*BO36)-(BP67*((BO36-BP36)*(1+$BR$35))))*Faktory!$D$8</f>
        <v>0</v>
      </c>
      <c r="BQ77" s="262">
        <f t="shared" ref="BQ77:BQ95" si="230">BP77-BO77</f>
        <v>0</v>
      </c>
    </row>
    <row r="78" spans="1:70">
      <c r="A78" s="801"/>
      <c r="B78" s="803"/>
      <c r="C78" s="290" t="s">
        <v>168</v>
      </c>
      <c r="D78" s="291">
        <f t="shared" si="207"/>
        <v>0</v>
      </c>
      <c r="E78" s="292">
        <f t="shared" si="208"/>
        <v>0</v>
      </c>
      <c r="F78" s="293">
        <f t="shared" si="209"/>
        <v>0</v>
      </c>
      <c r="G78" s="298">
        <f>G7*G37*Faktory!$D$8</f>
        <v>0</v>
      </c>
      <c r="H78" s="299">
        <f>((H68*G37)-(H68*((G37-H37)*(1+$BR$35))))*Faktory!$D$8</f>
        <v>0</v>
      </c>
      <c r="I78" s="262">
        <f t="shared" si="210"/>
        <v>0</v>
      </c>
      <c r="J78" s="298">
        <f>J7*J37*Faktory!$D$8</f>
        <v>0</v>
      </c>
      <c r="K78" s="299">
        <f>((K68*J37)-(K68*((J37-K37)*(1+$BR$35))))*Faktory!$D$8</f>
        <v>0</v>
      </c>
      <c r="L78" s="262">
        <f t="shared" si="211"/>
        <v>0</v>
      </c>
      <c r="M78" s="298">
        <f>M7*M37*Faktory!$D$8</f>
        <v>0</v>
      </c>
      <c r="N78" s="299">
        <f>((N68*M37)-(N68*((M37-N37)*(1+$BR$35))))*Faktory!$D$8</f>
        <v>0</v>
      </c>
      <c r="O78" s="262">
        <f t="shared" si="212"/>
        <v>0</v>
      </c>
      <c r="P78" s="298">
        <f>P7*P37*Faktory!$D$8</f>
        <v>0</v>
      </c>
      <c r="Q78" s="299">
        <f>((Q68*P37)-(Q68*((P37-Q37)*(1+$BR$35))))*Faktory!$D$8</f>
        <v>0</v>
      </c>
      <c r="R78" s="262">
        <f t="shared" si="213"/>
        <v>0</v>
      </c>
      <c r="S78" s="298">
        <f>S7*S37*Faktory!$D$8</f>
        <v>0</v>
      </c>
      <c r="T78" s="299">
        <f>((T68*S37)-(T68*((S37-T37)*(1+$BR$35))))*Faktory!$D$8</f>
        <v>0</v>
      </c>
      <c r="U78" s="262">
        <f t="shared" si="214"/>
        <v>0</v>
      </c>
      <c r="V78" s="298">
        <f>V7*V37*Faktory!$D$8</f>
        <v>0</v>
      </c>
      <c r="W78" s="299">
        <f>((W68*V37)-(W68*((V37-W37)*(1+$BR$35))))*Faktory!$D$8</f>
        <v>0</v>
      </c>
      <c r="X78" s="262">
        <f t="shared" si="215"/>
        <v>0</v>
      </c>
      <c r="Y78" s="298">
        <f>Y7*Y37*Faktory!$D$8</f>
        <v>0</v>
      </c>
      <c r="Z78" s="299">
        <f>((Z68*Y37)-(Z68*((Y37-Z37)*(1+$BR$35))))*Faktory!$D$8</f>
        <v>0</v>
      </c>
      <c r="AA78" s="262">
        <f t="shared" si="216"/>
        <v>0</v>
      </c>
      <c r="AB78" s="298">
        <f>AB7*AB37*Faktory!$D$8</f>
        <v>0</v>
      </c>
      <c r="AC78" s="299">
        <f>((AC68*AB37)-(AC68*((AB37-AC37)*(1+$BR$35))))*Faktory!$D$8</f>
        <v>0</v>
      </c>
      <c r="AD78" s="262">
        <f t="shared" si="217"/>
        <v>0</v>
      </c>
      <c r="AE78" s="298">
        <f>AE7*AE37*Faktory!$D$8</f>
        <v>0</v>
      </c>
      <c r="AF78" s="299">
        <f>((AF68*AE37)-(AF68*((AE37-AF37)*(1+$BR$35))))*Faktory!$D$8</f>
        <v>0</v>
      </c>
      <c r="AG78" s="262">
        <f t="shared" si="218"/>
        <v>0</v>
      </c>
      <c r="AH78" s="298">
        <f>AH7*AH37*Faktory!$D$8</f>
        <v>0</v>
      </c>
      <c r="AI78" s="299">
        <f>((AI68*AH37)-(AI68*((AH37-AI37)*(1+$BR$35))))*Faktory!$D$8</f>
        <v>0</v>
      </c>
      <c r="AJ78" s="262">
        <f t="shared" si="219"/>
        <v>0</v>
      </c>
      <c r="AK78" s="298">
        <f>AK7*AK37*Faktory!$D$8</f>
        <v>0</v>
      </c>
      <c r="AL78" s="299">
        <f>((AL68*AK37)-(AL68*((AK37-AL37)*(1+$BR$35))))*Faktory!$D$8</f>
        <v>0</v>
      </c>
      <c r="AM78" s="262">
        <f t="shared" si="220"/>
        <v>0</v>
      </c>
      <c r="AN78" s="298">
        <f>AN7*AN37*Faktory!$D$8</f>
        <v>0</v>
      </c>
      <c r="AO78" s="299">
        <f>((AO68*AN37)-(AO68*((AN37-AO37)*(1+$BR$35))))*Faktory!$D$8</f>
        <v>0</v>
      </c>
      <c r="AP78" s="262">
        <f t="shared" si="221"/>
        <v>0</v>
      </c>
      <c r="AQ78" s="298">
        <f>AQ7*AQ37*Faktory!$D$8</f>
        <v>0</v>
      </c>
      <c r="AR78" s="299">
        <f>((AR68*AQ37)-(AR68*((AQ37-AR37)*(1+$BR$35))))*Faktory!$D$8</f>
        <v>0</v>
      </c>
      <c r="AS78" s="262">
        <f t="shared" si="222"/>
        <v>0</v>
      </c>
      <c r="AT78" s="298">
        <f>AT7*AT37*Faktory!$D$8</f>
        <v>0</v>
      </c>
      <c r="AU78" s="299">
        <f>((AU68*AT37)-(AU68*((AT37-AU37)*(1+$BR$35))))*Faktory!$D$8</f>
        <v>0</v>
      </c>
      <c r="AV78" s="262">
        <f t="shared" si="223"/>
        <v>0</v>
      </c>
      <c r="AW78" s="298">
        <f>AW7*AW37*Faktory!$D$8</f>
        <v>0</v>
      </c>
      <c r="AX78" s="299">
        <f>((AX68*AW37)-(AX68*((AW37-AX37)*(1+$BR$35))))*Faktory!$D$8</f>
        <v>0</v>
      </c>
      <c r="AY78" s="262">
        <f t="shared" si="224"/>
        <v>0</v>
      </c>
      <c r="AZ78" s="298">
        <f>AZ7*AZ37*Faktory!$D$8</f>
        <v>0</v>
      </c>
      <c r="BA78" s="299">
        <f>((BA68*AZ37)-(BA68*((AZ37-BA37)*(1+$BR$35))))*Faktory!$D$8</f>
        <v>0</v>
      </c>
      <c r="BB78" s="262">
        <f t="shared" si="225"/>
        <v>0</v>
      </c>
      <c r="BC78" s="298">
        <f>BC7*BC37*Faktory!$D$8</f>
        <v>0</v>
      </c>
      <c r="BD78" s="299">
        <f>((BD68*BC37)-(BD68*((BC37-BD37)*(1+$BR$35))))*Faktory!$D$8</f>
        <v>0</v>
      </c>
      <c r="BE78" s="262">
        <f t="shared" si="226"/>
        <v>0</v>
      </c>
      <c r="BF78" s="298">
        <f>BF7*BF37*Faktory!$D$8</f>
        <v>0</v>
      </c>
      <c r="BG78" s="299">
        <f>((BG68*BF37)-(BG68*((BF37-BG37)*(1+$BR$35))))*Faktory!$D$8</f>
        <v>0</v>
      </c>
      <c r="BH78" s="262">
        <f t="shared" si="227"/>
        <v>0</v>
      </c>
      <c r="BI78" s="298">
        <f>BI7*BI37*Faktory!$D$8</f>
        <v>0</v>
      </c>
      <c r="BJ78" s="299">
        <f>((BJ68*BI37)-(BJ68*((BI37-BJ37)*(1+$BR$35))))*Faktory!$D$8</f>
        <v>0</v>
      </c>
      <c r="BK78" s="262">
        <f t="shared" si="228"/>
        <v>0</v>
      </c>
      <c r="BL78" s="298">
        <f>BL7*BL37*Faktory!$D$8</f>
        <v>0</v>
      </c>
      <c r="BM78" s="299">
        <f>((BM68*BL37)-(BM68*((BL37-BM37)*(1+$BR$35))))*Faktory!$D$8</f>
        <v>0</v>
      </c>
      <c r="BN78" s="262">
        <f t="shared" si="229"/>
        <v>0</v>
      </c>
      <c r="BO78" s="298">
        <f>BO7*BO37*Faktory!$D$8</f>
        <v>0</v>
      </c>
      <c r="BP78" s="299">
        <f>((BP68*BO37)-(BP68*((BO37-BP37)*(1+$BR$35))))*Faktory!$D$8</f>
        <v>0</v>
      </c>
      <c r="BQ78" s="262">
        <f t="shared" si="230"/>
        <v>0</v>
      </c>
    </row>
    <row r="79" spans="1:70">
      <c r="A79" s="801"/>
      <c r="B79" s="803"/>
      <c r="C79" s="290" t="s">
        <v>169</v>
      </c>
      <c r="D79" s="291">
        <f>MAX(G79,J79,M79,P79,S79,V79,Y79,AB79,AE79,AH79,AK79,AN79,AQ79,AT79,AW79,AZ79,AZ79,BC79,BF79,BI79,BL79,BO79)</f>
        <v>53624942.64280916</v>
      </c>
      <c r="E79" s="292">
        <f>MIN(H79,K79,N79,Q79,T79,W79,Z79,AC79,AF79,AI79,AL79,AO79,AR79)</f>
        <v>36196836.283896171</v>
      </c>
      <c r="F79" s="293">
        <f t="shared" si="209"/>
        <v>-17428106.35891296</v>
      </c>
      <c r="G79" s="298">
        <f>G8*G38*Faktory!$D$8</f>
        <v>53624942.64280916</v>
      </c>
      <c r="H79" s="299">
        <f>((H69*G38)-(H69*((G38-H38)*(1+$BR$35))))*Faktory!$D$8</f>
        <v>52284319.076738931</v>
      </c>
      <c r="I79" s="262">
        <f t="shared" si="210"/>
        <v>-1340623.5660702288</v>
      </c>
      <c r="J79" s="298">
        <f>J8*J38*Faktory!$D$8</f>
        <v>52284319.076738931</v>
      </c>
      <c r="K79" s="299">
        <f>((K69*J38)-(K69*((J38-K38)*(1+$BR$35))))*Faktory!$D$8</f>
        <v>50943695.510668702</v>
      </c>
      <c r="L79" s="262">
        <f t="shared" si="211"/>
        <v>-1340623.5660702288</v>
      </c>
      <c r="M79" s="298">
        <f>M8*M38*Faktory!$D$8</f>
        <v>50943695.510668695</v>
      </c>
      <c r="N79" s="299">
        <f>((N69*M38)-(N69*((M38-N38)*(1+$BR$35))))*Faktory!$D$8</f>
        <v>49603071.944598474</v>
      </c>
      <c r="O79" s="262">
        <f t="shared" si="212"/>
        <v>-1340623.5660702214</v>
      </c>
      <c r="P79" s="298">
        <f>P8*P38*Faktory!$D$8</f>
        <v>49603071.944598474</v>
      </c>
      <c r="Q79" s="299">
        <f>((Q69*P38)-(Q69*((P38-Q38)*(1+$BR$35))))*Faktory!$D$8</f>
        <v>48262448.378528245</v>
      </c>
      <c r="R79" s="262">
        <f t="shared" si="213"/>
        <v>-1340623.5660702288</v>
      </c>
      <c r="S79" s="298">
        <f>S8*S38*Faktory!$D$8</f>
        <v>48262448.378528245</v>
      </c>
      <c r="T79" s="299">
        <f>((T69*S38)-(T69*((S38-T38)*(1+$BR$35))))*Faktory!$D$8</f>
        <v>46921824.812458016</v>
      </c>
      <c r="U79" s="262">
        <f t="shared" si="214"/>
        <v>-1340623.5660702288</v>
      </c>
      <c r="V79" s="298">
        <f>V8*V38*Faktory!$D$8</f>
        <v>46921824.812458009</v>
      </c>
      <c r="W79" s="299">
        <f>((W69*V38)-(W69*((V38-W38)*(1+$BR$35))))*Faktory!$D$8</f>
        <v>45581201.24638778</v>
      </c>
      <c r="X79" s="262">
        <f t="shared" si="215"/>
        <v>-1340623.5660702288</v>
      </c>
      <c r="Y79" s="298">
        <f>Y8*Y38*Faktory!$D$8</f>
        <v>45581201.24638778</v>
      </c>
      <c r="Z79" s="299">
        <f>((Z69*Y38)-(Z69*((Y38-Z38)*(1+$BR$35))))*Faktory!$D$8</f>
        <v>44240577.680317551</v>
      </c>
      <c r="AA79" s="262">
        <f t="shared" si="216"/>
        <v>-1340623.5660702288</v>
      </c>
      <c r="AB79" s="298">
        <f>AB8*AB38*Faktory!$D$8</f>
        <v>44240577.680317551</v>
      </c>
      <c r="AC79" s="299">
        <f>((AC69*AB38)-(AC69*((AB38-AC38)*(1+$BR$35))))*Faktory!$D$8</f>
        <v>42899954.114247322</v>
      </c>
      <c r="AD79" s="262">
        <f t="shared" si="217"/>
        <v>-1340623.5660702288</v>
      </c>
      <c r="AE79" s="298">
        <f>AE8*AE38*Faktory!$D$8</f>
        <v>42899954.114247315</v>
      </c>
      <c r="AF79" s="299">
        <f>((AF69*AE38)-(AF69*((AE38-AF38)*(1+$BR$35))))*Faktory!$D$8</f>
        <v>41559330.548177086</v>
      </c>
      <c r="AG79" s="262">
        <f t="shared" si="218"/>
        <v>-1340623.5660702288</v>
      </c>
      <c r="AH79" s="298">
        <f>AH8*AH38*Faktory!$D$8</f>
        <v>41559330.548177086</v>
      </c>
      <c r="AI79" s="299">
        <f>((AI69*AH38)-(AI69*((AH38-AI38)*(1+$BR$35))))*Faktory!$D$8</f>
        <v>40218706.982106864</v>
      </c>
      <c r="AJ79" s="262">
        <f t="shared" si="219"/>
        <v>-1340623.5660702214</v>
      </c>
      <c r="AK79" s="298">
        <f>AK8*AK38*Faktory!$D$8</f>
        <v>40218706.982106864</v>
      </c>
      <c r="AL79" s="299">
        <f>((AL69*AK38)-(AL69*((AK38-AL38)*(1+$BR$35))))*Faktory!$D$8</f>
        <v>38878083.416036636</v>
      </c>
      <c r="AM79" s="262">
        <f t="shared" si="220"/>
        <v>-1340623.5660702288</v>
      </c>
      <c r="AN79" s="298">
        <f>AN8*AN38*Faktory!$D$8</f>
        <v>38878083.416036628</v>
      </c>
      <c r="AO79" s="299">
        <f>((AO69*AN38)-(AO69*((AN38-AO38)*(1+$BR$35))))*Faktory!$D$8</f>
        <v>37537459.849966399</v>
      </c>
      <c r="AP79" s="262">
        <f t="shared" si="221"/>
        <v>-1340623.5660702288</v>
      </c>
      <c r="AQ79" s="298">
        <f>AQ8*AQ38*Faktory!$D$8</f>
        <v>37537459.849966399</v>
      </c>
      <c r="AR79" s="299">
        <f>((AR69*AQ38)-(AR69*((AQ38-AR38)*(1+$BR$35))))*Faktory!$D$8</f>
        <v>36196836.283896171</v>
      </c>
      <c r="AS79" s="262">
        <f t="shared" si="222"/>
        <v>-1340623.5660702288</v>
      </c>
      <c r="AT79" s="298">
        <f>AT8*AT38*Faktory!$D$8</f>
        <v>0</v>
      </c>
      <c r="AU79" s="299">
        <f>((AU69*AT38)-(AU69*((AT38-AU38)*(1+$BR$35))))*Faktory!$D$8</f>
        <v>0</v>
      </c>
      <c r="AV79" s="262">
        <f t="shared" si="223"/>
        <v>0</v>
      </c>
      <c r="AW79" s="298">
        <f>AW8*AW38*Faktory!$D$8</f>
        <v>0</v>
      </c>
      <c r="AX79" s="299">
        <f>((AX69*AW38)-(AX69*((AW38-AX38)*(1+$BR$35))))*Faktory!$D$8</f>
        <v>0</v>
      </c>
      <c r="AY79" s="262">
        <f t="shared" si="224"/>
        <v>0</v>
      </c>
      <c r="AZ79" s="298">
        <f>AZ8*AZ38*Faktory!$D$8</f>
        <v>0</v>
      </c>
      <c r="BA79" s="299">
        <f>((BA69*AZ38)-(BA69*((AZ38-BA38)*(1+$BR$35))))*Faktory!$D$8</f>
        <v>0</v>
      </c>
      <c r="BB79" s="262">
        <f t="shared" si="225"/>
        <v>0</v>
      </c>
      <c r="BC79" s="298">
        <f>BC8*BC38*Faktory!$D$8</f>
        <v>0</v>
      </c>
      <c r="BD79" s="299">
        <f>((BD69*BC38)-(BD69*((BC38-BD38)*(1+$BR$35))))*Faktory!$D$8</f>
        <v>0</v>
      </c>
      <c r="BE79" s="262">
        <f t="shared" si="226"/>
        <v>0</v>
      </c>
      <c r="BF79" s="298">
        <f>BF8*BF38*Faktory!$D$8</f>
        <v>0</v>
      </c>
      <c r="BG79" s="299">
        <f>((BG69*BF38)-(BG69*((BF38-BG38)*(1+$BR$35))))*Faktory!$D$8</f>
        <v>0</v>
      </c>
      <c r="BH79" s="262">
        <f t="shared" si="227"/>
        <v>0</v>
      </c>
      <c r="BI79" s="298">
        <f>BI8*BI38*Faktory!$D$8</f>
        <v>0</v>
      </c>
      <c r="BJ79" s="299">
        <f>((BJ69*BI38)-(BJ69*((BI38-BJ38)*(1+$BR$35))))*Faktory!$D$8</f>
        <v>0</v>
      </c>
      <c r="BK79" s="262">
        <f t="shared" si="228"/>
        <v>0</v>
      </c>
      <c r="BL79" s="298">
        <f>BL8*BL38*Faktory!$D$8</f>
        <v>0</v>
      </c>
      <c r="BM79" s="299">
        <f>((BM69*BL38)-(BM69*((BL38-BM38)*(1+$BR$35))))*Faktory!$D$8</f>
        <v>0</v>
      </c>
      <c r="BN79" s="262">
        <f t="shared" si="229"/>
        <v>0</v>
      </c>
      <c r="BO79" s="298">
        <f>BO8*BO38*Faktory!$D$8</f>
        <v>0</v>
      </c>
      <c r="BP79" s="299">
        <f>((BP69*BO38)-(BP69*((BO38-BP38)*(1+$BR$35))))*Faktory!$D$8</f>
        <v>0</v>
      </c>
      <c r="BQ79" s="262">
        <f t="shared" si="230"/>
        <v>0</v>
      </c>
    </row>
    <row r="80" spans="1:70">
      <c r="A80" s="801"/>
      <c r="B80" s="803"/>
      <c r="C80" s="290" t="s">
        <v>170</v>
      </c>
      <c r="D80" s="291">
        <f t="shared" ref="D80:D85" si="231">MAX(G80,J80,M80,P80,S80,V80,Y80,AB80,AE80,AH80,AK80,AN80,AQ80,AT80,AW80,AZ80,AZ80,BC80,BF80,BI80,BL80,BO80)</f>
        <v>53624942.64280916</v>
      </c>
      <c r="E80" s="292">
        <f t="shared" ref="E80:E85" si="232">MIN(H80,K80,N80,Q80,T80,W80,Z80,AC80,AF80,AI80,AL80,AO80,AR80)</f>
        <v>36196836.283896171</v>
      </c>
      <c r="F80" s="293">
        <f t="shared" si="209"/>
        <v>-17428106.35891296</v>
      </c>
      <c r="G80" s="298">
        <f>G9*G39*Faktory!$D$8</f>
        <v>53624942.64280916</v>
      </c>
      <c r="H80" s="299">
        <f>((H70*G39)-(H70*((G39-H39)*(1+$BR$35))))*Faktory!$D$8</f>
        <v>52284319.076738931</v>
      </c>
      <c r="I80" s="262">
        <f t="shared" si="210"/>
        <v>-1340623.5660702288</v>
      </c>
      <c r="J80" s="298">
        <f>J9*J39*Faktory!$D$8</f>
        <v>52284319.076738931</v>
      </c>
      <c r="K80" s="299">
        <f>((K70*J39)-(K70*((J39-K39)*(1+$BR$35))))*Faktory!$D$8</f>
        <v>50943695.510668702</v>
      </c>
      <c r="L80" s="262">
        <f t="shared" si="211"/>
        <v>-1340623.5660702288</v>
      </c>
      <c r="M80" s="298">
        <f>M9*M39*Faktory!$D$8</f>
        <v>50943695.510668695</v>
      </c>
      <c r="N80" s="299">
        <f>((N70*M39)-(N70*((M39-N39)*(1+$BR$35))))*Faktory!$D$8</f>
        <v>49603071.944598474</v>
      </c>
      <c r="O80" s="262">
        <f t="shared" si="212"/>
        <v>-1340623.5660702214</v>
      </c>
      <c r="P80" s="298">
        <f>P9*P39*Faktory!$D$8</f>
        <v>49603071.944598474</v>
      </c>
      <c r="Q80" s="299">
        <f>((Q70*P39)-(Q70*((P39-Q39)*(1+$BR$35))))*Faktory!$D$8</f>
        <v>48262448.378528245</v>
      </c>
      <c r="R80" s="262">
        <f t="shared" si="213"/>
        <v>-1340623.5660702288</v>
      </c>
      <c r="S80" s="298">
        <f>S9*S39*Faktory!$D$8</f>
        <v>48262448.378528245</v>
      </c>
      <c r="T80" s="299">
        <f>((T70*S39)-(T70*((S39-T39)*(1+$BR$35))))*Faktory!$D$8</f>
        <v>46921824.812458016</v>
      </c>
      <c r="U80" s="262">
        <f t="shared" si="214"/>
        <v>-1340623.5660702288</v>
      </c>
      <c r="V80" s="298">
        <f>V9*V39*Faktory!$D$8</f>
        <v>46921824.812458009</v>
      </c>
      <c r="W80" s="299">
        <f>((W70*V39)-(W70*((V39-W39)*(1+$BR$35))))*Faktory!$D$8</f>
        <v>45581201.24638778</v>
      </c>
      <c r="X80" s="262">
        <f t="shared" si="215"/>
        <v>-1340623.5660702288</v>
      </c>
      <c r="Y80" s="298">
        <f>Y9*Y39*Faktory!$D$8</f>
        <v>45581201.24638778</v>
      </c>
      <c r="Z80" s="299">
        <f>((Z70*Y39)-(Z70*((Y39-Z39)*(1+$BR$35))))*Faktory!$D$8</f>
        <v>44240577.680317551</v>
      </c>
      <c r="AA80" s="262">
        <f t="shared" si="216"/>
        <v>-1340623.5660702288</v>
      </c>
      <c r="AB80" s="298">
        <f>AB9*AB39*Faktory!$D$8</f>
        <v>44240577.680317551</v>
      </c>
      <c r="AC80" s="299">
        <f>((AC70*AB39)-(AC70*((AB39-AC39)*(1+$BR$35))))*Faktory!$D$8</f>
        <v>42899954.114247322</v>
      </c>
      <c r="AD80" s="262">
        <f t="shared" si="217"/>
        <v>-1340623.5660702288</v>
      </c>
      <c r="AE80" s="298">
        <f>AE9*AE39*Faktory!$D$8</f>
        <v>42899954.114247315</v>
      </c>
      <c r="AF80" s="299">
        <f>((AF70*AE39)-(AF70*((AE39-AF39)*(1+$BR$35))))*Faktory!$D$8</f>
        <v>41559330.548177086</v>
      </c>
      <c r="AG80" s="262">
        <f t="shared" si="218"/>
        <v>-1340623.5660702288</v>
      </c>
      <c r="AH80" s="298">
        <f>AH9*AH39*Faktory!$D$8</f>
        <v>41559330.548177086</v>
      </c>
      <c r="AI80" s="299">
        <f>((AI70*AH39)-(AI70*((AH39-AI39)*(1+$BR$35))))*Faktory!$D$8</f>
        <v>40218706.982106864</v>
      </c>
      <c r="AJ80" s="262">
        <f t="shared" si="219"/>
        <v>-1340623.5660702214</v>
      </c>
      <c r="AK80" s="298">
        <f>AK9*AK39*Faktory!$D$8</f>
        <v>40218706.982106864</v>
      </c>
      <c r="AL80" s="299">
        <f>((AL70*AK39)-(AL70*((AK39-AL39)*(1+$BR$35))))*Faktory!$D$8</f>
        <v>38878083.416036636</v>
      </c>
      <c r="AM80" s="262">
        <f t="shared" si="220"/>
        <v>-1340623.5660702288</v>
      </c>
      <c r="AN80" s="298">
        <f>AN9*AN39*Faktory!$D$8</f>
        <v>38878083.416036628</v>
      </c>
      <c r="AO80" s="299">
        <f>((AO70*AN39)-(AO70*((AN39-AO39)*(1+$BR$35))))*Faktory!$D$8</f>
        <v>37537459.849966399</v>
      </c>
      <c r="AP80" s="262">
        <f t="shared" si="221"/>
        <v>-1340623.5660702288</v>
      </c>
      <c r="AQ80" s="298">
        <f>AQ9*AQ39*Faktory!$D$8</f>
        <v>37537459.849966399</v>
      </c>
      <c r="AR80" s="299">
        <f>((AR70*AQ39)-(AR70*((AQ39-AR39)*(1+$BR$35))))*Faktory!$D$8</f>
        <v>36196836.283896171</v>
      </c>
      <c r="AS80" s="262">
        <f t="shared" si="222"/>
        <v>-1340623.5660702288</v>
      </c>
      <c r="AT80" s="298">
        <f>AT9*AT39*Faktory!$D$8</f>
        <v>0</v>
      </c>
      <c r="AU80" s="299">
        <f>((AU70*AT39)-(AU70*((AT39-AU39)*(1+$BR$35))))*Faktory!$D$8</f>
        <v>0</v>
      </c>
      <c r="AV80" s="262">
        <f t="shared" si="223"/>
        <v>0</v>
      </c>
      <c r="AW80" s="298">
        <f>AW9*AW39*Faktory!$D$8</f>
        <v>0</v>
      </c>
      <c r="AX80" s="299">
        <f>((AX70*AW39)-(AX70*((AW39-AX39)*(1+$BR$35))))*Faktory!$D$8</f>
        <v>0</v>
      </c>
      <c r="AY80" s="262">
        <f t="shared" si="224"/>
        <v>0</v>
      </c>
      <c r="AZ80" s="298">
        <f>AZ9*AZ39*Faktory!$D$8</f>
        <v>0</v>
      </c>
      <c r="BA80" s="299">
        <f>((BA70*AZ39)-(BA70*((AZ39-BA39)*(1+$BR$35))))*Faktory!$D$8</f>
        <v>0</v>
      </c>
      <c r="BB80" s="262">
        <f t="shared" si="225"/>
        <v>0</v>
      </c>
      <c r="BC80" s="298">
        <f>BC9*BC39*Faktory!$D$8</f>
        <v>0</v>
      </c>
      <c r="BD80" s="299">
        <f>((BD70*BC39)-(BD70*((BC39-BD39)*(1+$BR$35))))*Faktory!$D$8</f>
        <v>0</v>
      </c>
      <c r="BE80" s="262">
        <f t="shared" si="226"/>
        <v>0</v>
      </c>
      <c r="BF80" s="298">
        <f>BF9*BF39*Faktory!$D$8</f>
        <v>0</v>
      </c>
      <c r="BG80" s="299">
        <f>((BG70*BF39)-(BG70*((BF39-BG39)*(1+$BR$35))))*Faktory!$D$8</f>
        <v>0</v>
      </c>
      <c r="BH80" s="262">
        <f t="shared" si="227"/>
        <v>0</v>
      </c>
      <c r="BI80" s="298">
        <f>BI9*BI39*Faktory!$D$8</f>
        <v>0</v>
      </c>
      <c r="BJ80" s="299">
        <f>((BJ70*BI39)-(BJ70*((BI39-BJ39)*(1+$BR$35))))*Faktory!$D$8</f>
        <v>0</v>
      </c>
      <c r="BK80" s="262">
        <f t="shared" si="228"/>
        <v>0</v>
      </c>
      <c r="BL80" s="298">
        <f>BL9*BL39*Faktory!$D$8</f>
        <v>0</v>
      </c>
      <c r="BM80" s="299">
        <f>((BM70*BL39)-(BM70*((BL39-BM39)*(1+$BR$35))))*Faktory!$D$8</f>
        <v>0</v>
      </c>
      <c r="BN80" s="262">
        <f t="shared" si="229"/>
        <v>0</v>
      </c>
      <c r="BO80" s="298">
        <f>BO9*BO39*Faktory!$D$8</f>
        <v>0</v>
      </c>
      <c r="BP80" s="299">
        <f>((BP70*BO39)-(BP70*((BO39-BP39)*(1+$BR$35))))*Faktory!$D$8</f>
        <v>0</v>
      </c>
      <c r="BQ80" s="262">
        <f t="shared" si="230"/>
        <v>0</v>
      </c>
    </row>
    <row r="81" spans="1:69">
      <c r="A81" s="801"/>
      <c r="B81" s="803"/>
      <c r="C81" s="290" t="s">
        <v>171</v>
      </c>
      <c r="D81" s="291">
        <f t="shared" si="231"/>
        <v>53624942.64280916</v>
      </c>
      <c r="E81" s="292">
        <f t="shared" si="232"/>
        <v>36196836.283896171</v>
      </c>
      <c r="F81" s="293">
        <f t="shared" si="209"/>
        <v>-17428106.35891296</v>
      </c>
      <c r="G81" s="298">
        <f>G10*G40*Faktory!$D$8</f>
        <v>53624942.64280916</v>
      </c>
      <c r="H81" s="299">
        <f>((H71*G40)-(H71*((G40-H40)*(1+$BR$35))))*Faktory!$D$8</f>
        <v>52284319.076738931</v>
      </c>
      <c r="I81" s="262">
        <f t="shared" si="210"/>
        <v>-1340623.5660702288</v>
      </c>
      <c r="J81" s="298">
        <f>J10*J40*Faktory!$D$8</f>
        <v>52284319.076738931</v>
      </c>
      <c r="K81" s="299">
        <f>((K71*J40)-(K71*((J40-K40)*(1+$BR$35))))*Faktory!$D$8</f>
        <v>50943695.510668702</v>
      </c>
      <c r="L81" s="262">
        <f t="shared" si="211"/>
        <v>-1340623.5660702288</v>
      </c>
      <c r="M81" s="298">
        <f>M10*M40*Faktory!$D$8</f>
        <v>50943695.510668695</v>
      </c>
      <c r="N81" s="299">
        <f>((N71*M40)-(N71*((M40-N40)*(1+$BR$35))))*Faktory!$D$8</f>
        <v>49603071.944598474</v>
      </c>
      <c r="O81" s="262">
        <f t="shared" si="212"/>
        <v>-1340623.5660702214</v>
      </c>
      <c r="P81" s="298">
        <f>P10*P40*Faktory!$D$8</f>
        <v>49603071.944598474</v>
      </c>
      <c r="Q81" s="299">
        <f>((Q71*P40)-(Q71*((P40-Q40)*(1+$BR$35))))*Faktory!$D$8</f>
        <v>48262448.378528245</v>
      </c>
      <c r="R81" s="262">
        <f t="shared" si="213"/>
        <v>-1340623.5660702288</v>
      </c>
      <c r="S81" s="298">
        <f>S10*S40*Faktory!$D$8</f>
        <v>48262448.378528245</v>
      </c>
      <c r="T81" s="299">
        <f>((T71*S40)-(T71*((S40-T40)*(1+$BR$35))))*Faktory!$D$8</f>
        <v>46921824.812458016</v>
      </c>
      <c r="U81" s="262">
        <f t="shared" si="214"/>
        <v>-1340623.5660702288</v>
      </c>
      <c r="V81" s="298">
        <f>V10*V40*Faktory!$D$8</f>
        <v>46921824.812458009</v>
      </c>
      <c r="W81" s="299">
        <f>((W71*V40)-(W71*((V40-W40)*(1+$BR$35))))*Faktory!$D$8</f>
        <v>45581201.24638778</v>
      </c>
      <c r="X81" s="262">
        <f t="shared" si="215"/>
        <v>-1340623.5660702288</v>
      </c>
      <c r="Y81" s="298">
        <f>Y10*Y40*Faktory!$D$8</f>
        <v>45581201.24638778</v>
      </c>
      <c r="Z81" s="299">
        <f>((Z71*Y40)-(Z71*((Y40-Z40)*(1+$BR$35))))*Faktory!$D$8</f>
        <v>44240577.680317551</v>
      </c>
      <c r="AA81" s="262">
        <f t="shared" si="216"/>
        <v>-1340623.5660702288</v>
      </c>
      <c r="AB81" s="298">
        <f>AB10*AB40*Faktory!$D$8</f>
        <v>44240577.680317551</v>
      </c>
      <c r="AC81" s="299">
        <f>((AC71*AB40)-(AC71*((AB40-AC40)*(1+$BR$35))))*Faktory!$D$8</f>
        <v>42899954.114247322</v>
      </c>
      <c r="AD81" s="262">
        <f t="shared" si="217"/>
        <v>-1340623.5660702288</v>
      </c>
      <c r="AE81" s="298">
        <f>AE10*AE40*Faktory!$D$8</f>
        <v>42899954.114247315</v>
      </c>
      <c r="AF81" s="299">
        <f>((AF71*AE40)-(AF71*((AE40-AF40)*(1+$BR$35))))*Faktory!$D$8</f>
        <v>41559330.548177086</v>
      </c>
      <c r="AG81" s="262">
        <f t="shared" si="218"/>
        <v>-1340623.5660702288</v>
      </c>
      <c r="AH81" s="298">
        <f>AH10*AH40*Faktory!$D$8</f>
        <v>41559330.548177086</v>
      </c>
      <c r="AI81" s="299">
        <f>((AI71*AH40)-(AI71*((AH40-AI40)*(1+$BR$35))))*Faktory!$D$8</f>
        <v>40218706.982106864</v>
      </c>
      <c r="AJ81" s="262">
        <f t="shared" si="219"/>
        <v>-1340623.5660702214</v>
      </c>
      <c r="AK81" s="298">
        <f>AK10*AK40*Faktory!$D$8</f>
        <v>40218706.982106864</v>
      </c>
      <c r="AL81" s="299">
        <f>((AL71*AK40)-(AL71*((AK40-AL40)*(1+$BR$35))))*Faktory!$D$8</f>
        <v>38878083.416036636</v>
      </c>
      <c r="AM81" s="262">
        <f t="shared" si="220"/>
        <v>-1340623.5660702288</v>
      </c>
      <c r="AN81" s="298">
        <f>AN10*AN40*Faktory!$D$8</f>
        <v>38878083.416036628</v>
      </c>
      <c r="AO81" s="299">
        <f>((AO71*AN40)-(AO71*((AN40-AO40)*(1+$BR$35))))*Faktory!$D$8</f>
        <v>37537459.849966399</v>
      </c>
      <c r="AP81" s="262">
        <f t="shared" si="221"/>
        <v>-1340623.5660702288</v>
      </c>
      <c r="AQ81" s="298">
        <f>AQ10*AQ40*Faktory!$D$8</f>
        <v>37537459.849966399</v>
      </c>
      <c r="AR81" s="299">
        <f>((AR71*AQ40)-(AR71*((AQ40-AR40)*(1+$BR$35))))*Faktory!$D$8</f>
        <v>36196836.283896171</v>
      </c>
      <c r="AS81" s="262">
        <f t="shared" si="222"/>
        <v>-1340623.5660702288</v>
      </c>
      <c r="AT81" s="298">
        <f>AT10*AT40*Faktory!$D$8</f>
        <v>0</v>
      </c>
      <c r="AU81" s="299">
        <f>((AU71*AT40)-(AU71*((AT40-AU40)*(1+$BR$35))))*Faktory!$D$8</f>
        <v>0</v>
      </c>
      <c r="AV81" s="262">
        <f t="shared" si="223"/>
        <v>0</v>
      </c>
      <c r="AW81" s="298">
        <f>AW10*AW40*Faktory!$D$8</f>
        <v>0</v>
      </c>
      <c r="AX81" s="299">
        <f>((AX71*AW40)-(AX71*((AW40-AX40)*(1+$BR$35))))*Faktory!$D$8</f>
        <v>0</v>
      </c>
      <c r="AY81" s="262">
        <f t="shared" si="224"/>
        <v>0</v>
      </c>
      <c r="AZ81" s="298">
        <f>AZ10*AZ40*Faktory!$D$8</f>
        <v>0</v>
      </c>
      <c r="BA81" s="299">
        <f>((BA71*AZ40)-(BA71*((AZ40-BA40)*(1+$BR$35))))*Faktory!$D$8</f>
        <v>0</v>
      </c>
      <c r="BB81" s="262">
        <f t="shared" si="225"/>
        <v>0</v>
      </c>
      <c r="BC81" s="298">
        <f>BC10*BC40*Faktory!$D$8</f>
        <v>0</v>
      </c>
      <c r="BD81" s="299">
        <f>((BD71*BC40)-(BD71*((BC40-BD40)*(1+$BR$35))))*Faktory!$D$8</f>
        <v>0</v>
      </c>
      <c r="BE81" s="262">
        <f t="shared" si="226"/>
        <v>0</v>
      </c>
      <c r="BF81" s="298">
        <f>BF10*BF40*Faktory!$D$8</f>
        <v>0</v>
      </c>
      <c r="BG81" s="299">
        <f>((BG71*BF40)-(BG71*((BF40-BG40)*(1+$BR$35))))*Faktory!$D$8</f>
        <v>0</v>
      </c>
      <c r="BH81" s="262">
        <f t="shared" si="227"/>
        <v>0</v>
      </c>
      <c r="BI81" s="298">
        <f>BI10*BI40*Faktory!$D$8</f>
        <v>0</v>
      </c>
      <c r="BJ81" s="299">
        <f>((BJ71*BI40)-(BJ71*((BI40-BJ40)*(1+$BR$35))))*Faktory!$D$8</f>
        <v>0</v>
      </c>
      <c r="BK81" s="262">
        <f t="shared" si="228"/>
        <v>0</v>
      </c>
      <c r="BL81" s="298">
        <f>BL10*BL40*Faktory!$D$8</f>
        <v>0</v>
      </c>
      <c r="BM81" s="299">
        <f>((BM71*BL40)-(BM71*((BL40-BM40)*(1+$BR$35))))*Faktory!$D$8</f>
        <v>0</v>
      </c>
      <c r="BN81" s="262">
        <f t="shared" si="229"/>
        <v>0</v>
      </c>
      <c r="BO81" s="298">
        <f>BO10*BO40*Faktory!$D$8</f>
        <v>0</v>
      </c>
      <c r="BP81" s="299">
        <f>((BP71*BO40)-(BP71*((BO40-BP40)*(1+$BR$35))))*Faktory!$D$8</f>
        <v>0</v>
      </c>
      <c r="BQ81" s="262">
        <f t="shared" si="230"/>
        <v>0</v>
      </c>
    </row>
    <row r="82" spans="1:69">
      <c r="A82" s="801"/>
      <c r="B82" s="803"/>
      <c r="C82" s="290" t="s">
        <v>172</v>
      </c>
      <c r="D82" s="291">
        <f t="shared" si="231"/>
        <v>53624942.64280916</v>
      </c>
      <c r="E82" s="292">
        <f t="shared" si="232"/>
        <v>36196836.283896171</v>
      </c>
      <c r="F82" s="293">
        <f t="shared" si="209"/>
        <v>-17428106.35891296</v>
      </c>
      <c r="G82" s="298">
        <f>G11*G41*Faktory!$D$8</f>
        <v>53624942.64280916</v>
      </c>
      <c r="H82" s="299">
        <f>((H72*G41)-(H72*((G41-H41)*(1+$BR$35))))*Faktory!$D$8</f>
        <v>52284319.076738931</v>
      </c>
      <c r="I82" s="262">
        <f t="shared" si="210"/>
        <v>-1340623.5660702288</v>
      </c>
      <c r="J82" s="298">
        <f>J11*J41*Faktory!$D$8</f>
        <v>52284319.076738931</v>
      </c>
      <c r="K82" s="299">
        <f>((K72*J41)-(K72*((J41-K41)*(1+$BR$35))))*Faktory!$D$8</f>
        <v>50943695.510668702</v>
      </c>
      <c r="L82" s="262">
        <f t="shared" si="211"/>
        <v>-1340623.5660702288</v>
      </c>
      <c r="M82" s="298">
        <f>M11*M41*Faktory!$D$8</f>
        <v>50943695.510668695</v>
      </c>
      <c r="N82" s="299">
        <f>((N72*M41)-(N72*((M41-N41)*(1+$BR$35))))*Faktory!$D$8</f>
        <v>49603071.944598474</v>
      </c>
      <c r="O82" s="262">
        <f t="shared" si="212"/>
        <v>-1340623.5660702214</v>
      </c>
      <c r="P82" s="298">
        <f>P11*P41*Faktory!$D$8</f>
        <v>49603071.944598474</v>
      </c>
      <c r="Q82" s="299">
        <f>((Q72*P41)-(Q72*((P41-Q41)*(1+$BR$35))))*Faktory!$D$8</f>
        <v>48262448.378528245</v>
      </c>
      <c r="R82" s="262">
        <f t="shared" si="213"/>
        <v>-1340623.5660702288</v>
      </c>
      <c r="S82" s="298">
        <f>S11*S41*Faktory!$D$8</f>
        <v>48262448.378528245</v>
      </c>
      <c r="T82" s="299">
        <f>((T72*S41)-(T72*((S41-T41)*(1+$BR$35))))*Faktory!$D$8</f>
        <v>46921824.812458016</v>
      </c>
      <c r="U82" s="262">
        <f t="shared" si="214"/>
        <v>-1340623.5660702288</v>
      </c>
      <c r="V82" s="298">
        <f>V11*V41*Faktory!$D$8</f>
        <v>46921824.812458009</v>
      </c>
      <c r="W82" s="299">
        <f>((W72*V41)-(W72*((V41-W41)*(1+$BR$35))))*Faktory!$D$8</f>
        <v>45581201.24638778</v>
      </c>
      <c r="X82" s="262">
        <f t="shared" si="215"/>
        <v>-1340623.5660702288</v>
      </c>
      <c r="Y82" s="298">
        <f>Y11*Y41*Faktory!$D$8</f>
        <v>45581201.24638778</v>
      </c>
      <c r="Z82" s="299">
        <f>((Z72*Y41)-(Z72*((Y41-Z41)*(1+$BR$35))))*Faktory!$D$8</f>
        <v>44240577.680317551</v>
      </c>
      <c r="AA82" s="262">
        <f t="shared" si="216"/>
        <v>-1340623.5660702288</v>
      </c>
      <c r="AB82" s="298">
        <f>AB11*AB41*Faktory!$D$8</f>
        <v>44240577.680317551</v>
      </c>
      <c r="AC82" s="299">
        <f>((AC72*AB41)-(AC72*((AB41-AC41)*(1+$BR$35))))*Faktory!$D$8</f>
        <v>42899954.114247322</v>
      </c>
      <c r="AD82" s="262">
        <f t="shared" si="217"/>
        <v>-1340623.5660702288</v>
      </c>
      <c r="AE82" s="298">
        <f>AE11*AE41*Faktory!$D$8</f>
        <v>42899954.114247315</v>
      </c>
      <c r="AF82" s="299">
        <f>((AF72*AE41)-(AF72*((AE41-AF41)*(1+$BR$35))))*Faktory!$D$8</f>
        <v>41559330.548177086</v>
      </c>
      <c r="AG82" s="262">
        <f t="shared" si="218"/>
        <v>-1340623.5660702288</v>
      </c>
      <c r="AH82" s="298">
        <f>AH11*AH41*Faktory!$D$8</f>
        <v>41559330.548177086</v>
      </c>
      <c r="AI82" s="299">
        <f>((AI72*AH41)-(AI72*((AH41-AI41)*(1+$BR$35))))*Faktory!$D$8</f>
        <v>40218706.982106864</v>
      </c>
      <c r="AJ82" s="262">
        <f t="shared" si="219"/>
        <v>-1340623.5660702214</v>
      </c>
      <c r="AK82" s="298">
        <f>AK11*AK41*Faktory!$D$8</f>
        <v>40218706.982106864</v>
      </c>
      <c r="AL82" s="299">
        <f>((AL72*AK41)-(AL72*((AK41-AL41)*(1+$BR$35))))*Faktory!$D$8</f>
        <v>38878083.416036636</v>
      </c>
      <c r="AM82" s="262">
        <f t="shared" si="220"/>
        <v>-1340623.5660702288</v>
      </c>
      <c r="AN82" s="298">
        <f>AN11*AN41*Faktory!$D$8</f>
        <v>38878083.416036628</v>
      </c>
      <c r="AO82" s="299">
        <f>((AO72*AN41)-(AO72*((AN41-AO41)*(1+$BR$35))))*Faktory!$D$8</f>
        <v>37537459.849966399</v>
      </c>
      <c r="AP82" s="262">
        <f t="shared" si="221"/>
        <v>-1340623.5660702288</v>
      </c>
      <c r="AQ82" s="298">
        <f>AQ11*AQ41*Faktory!$D$8</f>
        <v>37537459.849966399</v>
      </c>
      <c r="AR82" s="299">
        <f>((AR72*AQ41)-(AR72*((AQ41-AR41)*(1+$BR$35))))*Faktory!$D$8</f>
        <v>36196836.283896171</v>
      </c>
      <c r="AS82" s="262">
        <f t="shared" si="222"/>
        <v>-1340623.5660702288</v>
      </c>
      <c r="AT82" s="298">
        <f>AT11*AT41*Faktory!$D$8</f>
        <v>0</v>
      </c>
      <c r="AU82" s="299">
        <f>((AU72*AT41)-(AU72*((AT41-AU41)*(1+$BR$35))))*Faktory!$D$8</f>
        <v>0</v>
      </c>
      <c r="AV82" s="262">
        <f t="shared" si="223"/>
        <v>0</v>
      </c>
      <c r="AW82" s="298">
        <f>AW11*AW41*Faktory!$D$8</f>
        <v>0</v>
      </c>
      <c r="AX82" s="299">
        <f>((AX72*AW41)-(AX72*((AW41-AX41)*(1+$BR$35))))*Faktory!$D$8</f>
        <v>0</v>
      </c>
      <c r="AY82" s="262">
        <f t="shared" si="224"/>
        <v>0</v>
      </c>
      <c r="AZ82" s="298">
        <f>AZ11*AZ41*Faktory!$D$8</f>
        <v>0</v>
      </c>
      <c r="BA82" s="299">
        <f>((BA72*AZ41)-(BA72*((AZ41-BA41)*(1+$BR$35))))*Faktory!$D$8</f>
        <v>0</v>
      </c>
      <c r="BB82" s="262">
        <f t="shared" si="225"/>
        <v>0</v>
      </c>
      <c r="BC82" s="298">
        <f>BC11*BC41*Faktory!$D$8</f>
        <v>0</v>
      </c>
      <c r="BD82" s="299">
        <f>((BD72*BC41)-(BD72*((BC41-BD41)*(1+$BR$35))))*Faktory!$D$8</f>
        <v>0</v>
      </c>
      <c r="BE82" s="262">
        <f t="shared" si="226"/>
        <v>0</v>
      </c>
      <c r="BF82" s="298">
        <f>BF11*BF41*Faktory!$D$8</f>
        <v>0</v>
      </c>
      <c r="BG82" s="299">
        <f>((BG72*BF41)-(BG72*((BF41-BG41)*(1+$BR$35))))*Faktory!$D$8</f>
        <v>0</v>
      </c>
      <c r="BH82" s="262">
        <f t="shared" si="227"/>
        <v>0</v>
      </c>
      <c r="BI82" s="298">
        <f>BI11*BI41*Faktory!$D$8</f>
        <v>0</v>
      </c>
      <c r="BJ82" s="299">
        <f>((BJ72*BI41)-(BJ72*((BI41-BJ41)*(1+$BR$35))))*Faktory!$D$8</f>
        <v>0</v>
      </c>
      <c r="BK82" s="262">
        <f t="shared" si="228"/>
        <v>0</v>
      </c>
      <c r="BL82" s="298">
        <f>BL11*BL41*Faktory!$D$8</f>
        <v>0</v>
      </c>
      <c r="BM82" s="299">
        <f>((BM72*BL41)-(BM72*((BL41-BM41)*(1+$BR$35))))*Faktory!$D$8</f>
        <v>0</v>
      </c>
      <c r="BN82" s="262">
        <f t="shared" si="229"/>
        <v>0</v>
      </c>
      <c r="BO82" s="298">
        <f>BO11*BO41*Faktory!$D$8</f>
        <v>0</v>
      </c>
      <c r="BP82" s="299">
        <f>((BP72*BO41)-(BP72*((BO41-BP41)*(1+$BR$35))))*Faktory!$D$8</f>
        <v>0</v>
      </c>
      <c r="BQ82" s="262">
        <f t="shared" si="230"/>
        <v>0</v>
      </c>
    </row>
    <row r="83" spans="1:69">
      <c r="A83" s="801"/>
      <c r="B83" s="803"/>
      <c r="C83" s="290" t="s">
        <v>173</v>
      </c>
      <c r="D83" s="291">
        <f t="shared" si="231"/>
        <v>53624942.64280916</v>
      </c>
      <c r="E83" s="292">
        <f t="shared" si="232"/>
        <v>36196836.283896171</v>
      </c>
      <c r="F83" s="293">
        <f t="shared" si="209"/>
        <v>-17428106.35891296</v>
      </c>
      <c r="G83" s="298">
        <f>G12*G42*Faktory!$D$8</f>
        <v>53624942.64280916</v>
      </c>
      <c r="H83" s="299">
        <f>((H73*G42)-(H73*((G42-H42)*(1+$BR$35))))*Faktory!$D$8</f>
        <v>52284319.076738931</v>
      </c>
      <c r="I83" s="262">
        <f t="shared" si="210"/>
        <v>-1340623.5660702288</v>
      </c>
      <c r="J83" s="298">
        <f>J12*J42*Faktory!$D$8</f>
        <v>52284319.076738931</v>
      </c>
      <c r="K83" s="299">
        <f>((K73*J42)-(K73*((J42-K42)*(1+$BR$35))))*Faktory!$D$8</f>
        <v>50943695.510668702</v>
      </c>
      <c r="L83" s="262">
        <f t="shared" si="211"/>
        <v>-1340623.5660702288</v>
      </c>
      <c r="M83" s="298">
        <f>M12*M42*Faktory!$D$8</f>
        <v>50943695.510668695</v>
      </c>
      <c r="N83" s="299">
        <f>((N73*M42)-(N73*((M42-N42)*(1+$BR$35))))*Faktory!$D$8</f>
        <v>49603071.944598474</v>
      </c>
      <c r="O83" s="262">
        <f t="shared" si="212"/>
        <v>-1340623.5660702214</v>
      </c>
      <c r="P83" s="298">
        <f>P12*P42*Faktory!$D$8</f>
        <v>49603071.944598474</v>
      </c>
      <c r="Q83" s="299">
        <f>((Q73*P42)-(Q73*((P42-Q42)*(1+$BR$35))))*Faktory!$D$8</f>
        <v>48262448.378528245</v>
      </c>
      <c r="R83" s="262">
        <f t="shared" si="213"/>
        <v>-1340623.5660702288</v>
      </c>
      <c r="S83" s="298">
        <f>S12*S42*Faktory!$D$8</f>
        <v>48262448.378528245</v>
      </c>
      <c r="T83" s="299">
        <f>((T73*S42)-(T73*((S42-T42)*(1+$BR$35))))*Faktory!$D$8</f>
        <v>46921824.812458016</v>
      </c>
      <c r="U83" s="262">
        <f t="shared" si="214"/>
        <v>-1340623.5660702288</v>
      </c>
      <c r="V83" s="298">
        <f>V12*V42*Faktory!$D$8</f>
        <v>46921824.812458009</v>
      </c>
      <c r="W83" s="299">
        <f>((W73*V42)-(W73*((V42-W42)*(1+$BR$35))))*Faktory!$D$8</f>
        <v>45581201.24638778</v>
      </c>
      <c r="X83" s="262">
        <f t="shared" si="215"/>
        <v>-1340623.5660702288</v>
      </c>
      <c r="Y83" s="298">
        <f>Y12*Y42*Faktory!$D$8</f>
        <v>45581201.24638778</v>
      </c>
      <c r="Z83" s="299">
        <f>((Z73*Y42)-(Z73*((Y42-Z42)*(1+$BR$35))))*Faktory!$D$8</f>
        <v>44240577.680317551</v>
      </c>
      <c r="AA83" s="262">
        <f t="shared" si="216"/>
        <v>-1340623.5660702288</v>
      </c>
      <c r="AB83" s="298">
        <f>AB12*AB42*Faktory!$D$8</f>
        <v>44240577.680317551</v>
      </c>
      <c r="AC83" s="299">
        <f>((AC73*AB42)-(AC73*((AB42-AC42)*(1+$BR$35))))*Faktory!$D$8</f>
        <v>42899954.114247322</v>
      </c>
      <c r="AD83" s="262">
        <f t="shared" si="217"/>
        <v>-1340623.5660702288</v>
      </c>
      <c r="AE83" s="298">
        <f>AE12*AE42*Faktory!$D$8</f>
        <v>42899954.114247315</v>
      </c>
      <c r="AF83" s="299">
        <f>((AF73*AE42)-(AF73*((AE42-AF42)*(1+$BR$35))))*Faktory!$D$8</f>
        <v>41559330.548177086</v>
      </c>
      <c r="AG83" s="262">
        <f t="shared" si="218"/>
        <v>-1340623.5660702288</v>
      </c>
      <c r="AH83" s="298">
        <f>AH12*AH42*Faktory!$D$8</f>
        <v>41559330.548177086</v>
      </c>
      <c r="AI83" s="299">
        <f>((AI73*AH42)-(AI73*((AH42-AI42)*(1+$BR$35))))*Faktory!$D$8</f>
        <v>40218706.982106864</v>
      </c>
      <c r="AJ83" s="262">
        <f t="shared" si="219"/>
        <v>-1340623.5660702214</v>
      </c>
      <c r="AK83" s="298">
        <f>AK12*AK42*Faktory!$D$8</f>
        <v>40218706.982106864</v>
      </c>
      <c r="AL83" s="299">
        <f>((AL73*AK42)-(AL73*((AK42-AL42)*(1+$BR$35))))*Faktory!$D$8</f>
        <v>38878083.416036636</v>
      </c>
      <c r="AM83" s="262">
        <f t="shared" si="220"/>
        <v>-1340623.5660702288</v>
      </c>
      <c r="AN83" s="298">
        <f>AN12*AN42*Faktory!$D$8</f>
        <v>38878083.416036628</v>
      </c>
      <c r="AO83" s="299">
        <f>((AO73*AN42)-(AO73*((AN42-AO42)*(1+$BR$35))))*Faktory!$D$8</f>
        <v>37537459.849966399</v>
      </c>
      <c r="AP83" s="262">
        <f t="shared" si="221"/>
        <v>-1340623.5660702288</v>
      </c>
      <c r="AQ83" s="298">
        <f>AQ12*AQ42*Faktory!$D$8</f>
        <v>37537459.849966399</v>
      </c>
      <c r="AR83" s="299">
        <f>((AR73*AQ42)-(AR73*((AQ42-AR42)*(1+$BR$35))))*Faktory!$D$8</f>
        <v>36196836.283896171</v>
      </c>
      <c r="AS83" s="262">
        <f t="shared" si="222"/>
        <v>-1340623.5660702288</v>
      </c>
      <c r="AT83" s="298">
        <f>AT12*AT42*Faktory!$D$8</f>
        <v>0</v>
      </c>
      <c r="AU83" s="299">
        <f>((AU73*AT42)-(AU73*((AT42-AU42)*(1+$BR$35))))*Faktory!$D$8</f>
        <v>0</v>
      </c>
      <c r="AV83" s="262">
        <f t="shared" si="223"/>
        <v>0</v>
      </c>
      <c r="AW83" s="298">
        <f>AW12*AW42*Faktory!$D$8</f>
        <v>0</v>
      </c>
      <c r="AX83" s="299">
        <f>((AX73*AW42)-(AX73*((AW42-AX42)*(1+$BR$35))))*Faktory!$D$8</f>
        <v>0</v>
      </c>
      <c r="AY83" s="262">
        <f t="shared" si="224"/>
        <v>0</v>
      </c>
      <c r="AZ83" s="298">
        <f>AZ12*AZ42*Faktory!$D$8</f>
        <v>0</v>
      </c>
      <c r="BA83" s="299">
        <f>((BA73*AZ42)-(BA73*((AZ42-BA42)*(1+$BR$35))))*Faktory!$D$8</f>
        <v>0</v>
      </c>
      <c r="BB83" s="262">
        <f t="shared" si="225"/>
        <v>0</v>
      </c>
      <c r="BC83" s="298">
        <f>BC12*BC42*Faktory!$D$8</f>
        <v>0</v>
      </c>
      <c r="BD83" s="299">
        <f>((BD73*BC42)-(BD73*((BC42-BD42)*(1+$BR$35))))*Faktory!$D$8</f>
        <v>0</v>
      </c>
      <c r="BE83" s="262">
        <f t="shared" si="226"/>
        <v>0</v>
      </c>
      <c r="BF83" s="298">
        <f>BF12*BF42*Faktory!$D$8</f>
        <v>0</v>
      </c>
      <c r="BG83" s="299">
        <f>((BG73*BF42)-(BG73*((BF42-BG42)*(1+$BR$35))))*Faktory!$D$8</f>
        <v>0</v>
      </c>
      <c r="BH83" s="262">
        <f t="shared" si="227"/>
        <v>0</v>
      </c>
      <c r="BI83" s="298">
        <f>BI12*BI42*Faktory!$D$8</f>
        <v>0</v>
      </c>
      <c r="BJ83" s="299">
        <f>((BJ73*BI42)-(BJ73*((BI42-BJ42)*(1+$BR$35))))*Faktory!$D$8</f>
        <v>0</v>
      </c>
      <c r="BK83" s="262">
        <f t="shared" si="228"/>
        <v>0</v>
      </c>
      <c r="BL83" s="298">
        <f>BL12*BL42*Faktory!$D$8</f>
        <v>0</v>
      </c>
      <c r="BM83" s="299">
        <f>((BM73*BL42)-(BM73*((BL42-BM42)*(1+$BR$35))))*Faktory!$D$8</f>
        <v>0</v>
      </c>
      <c r="BN83" s="262">
        <f t="shared" si="229"/>
        <v>0</v>
      </c>
      <c r="BO83" s="298">
        <f>BO12*BO42*Faktory!$D$8</f>
        <v>0</v>
      </c>
      <c r="BP83" s="299">
        <f>((BP73*BO42)-(BP73*((BO42-BP42)*(1+$BR$35))))*Faktory!$D$8</f>
        <v>0</v>
      </c>
      <c r="BQ83" s="262">
        <f t="shared" si="230"/>
        <v>0</v>
      </c>
    </row>
    <row r="84" spans="1:69">
      <c r="A84" s="801"/>
      <c r="B84" s="803"/>
      <c r="C84" s="290" t="s">
        <v>174</v>
      </c>
      <c r="D84" s="291">
        <f t="shared" si="231"/>
        <v>53624942.64280916</v>
      </c>
      <c r="E84" s="292">
        <f t="shared" si="232"/>
        <v>36196836.283896171</v>
      </c>
      <c r="F84" s="293">
        <f t="shared" si="209"/>
        <v>-17428106.35891296</v>
      </c>
      <c r="G84" s="298">
        <f>G13*G43*Faktory!$D$8</f>
        <v>53624942.64280916</v>
      </c>
      <c r="H84" s="299">
        <f>((H74*G43)-(H74*((G43-H43)*(1+$BR$35))))*Faktory!$D$8</f>
        <v>52284319.076738931</v>
      </c>
      <c r="I84" s="262">
        <f t="shared" si="210"/>
        <v>-1340623.5660702288</v>
      </c>
      <c r="J84" s="298">
        <f>J13*J43*Faktory!$D$8</f>
        <v>52284319.076738931</v>
      </c>
      <c r="K84" s="299">
        <f>((K74*J43)-(K74*((J43-K43)*(1+$BR$35))))*Faktory!$D$8</f>
        <v>50943695.510668702</v>
      </c>
      <c r="L84" s="262">
        <f t="shared" si="211"/>
        <v>-1340623.5660702288</v>
      </c>
      <c r="M84" s="298">
        <f>M13*M43*Faktory!$D$8</f>
        <v>50943695.510668695</v>
      </c>
      <c r="N84" s="299">
        <f>((N74*M43)-(N74*((M43-N43)*(1+$BR$35))))*Faktory!$D$8</f>
        <v>49603071.944598474</v>
      </c>
      <c r="O84" s="262">
        <f t="shared" si="212"/>
        <v>-1340623.5660702214</v>
      </c>
      <c r="P84" s="298">
        <f>P13*P43*Faktory!$D$8</f>
        <v>49603071.944598474</v>
      </c>
      <c r="Q84" s="299">
        <f>((Q74*P43)-(Q74*((P43-Q43)*(1+$BR$35))))*Faktory!$D$8</f>
        <v>48262448.378528245</v>
      </c>
      <c r="R84" s="262">
        <f t="shared" si="213"/>
        <v>-1340623.5660702288</v>
      </c>
      <c r="S84" s="298">
        <f>S13*S43*Faktory!$D$8</f>
        <v>48262448.378528245</v>
      </c>
      <c r="T84" s="299">
        <f>((T74*S43)-(T74*((S43-T43)*(1+$BR$35))))*Faktory!$D$8</f>
        <v>46921824.812458016</v>
      </c>
      <c r="U84" s="262">
        <f t="shared" si="214"/>
        <v>-1340623.5660702288</v>
      </c>
      <c r="V84" s="298">
        <f>V13*V43*Faktory!$D$8</f>
        <v>46921824.812458009</v>
      </c>
      <c r="W84" s="299">
        <f>((W74*V43)-(W74*((V43-W43)*(1+$BR$35))))*Faktory!$D$8</f>
        <v>45581201.24638778</v>
      </c>
      <c r="X84" s="262">
        <f t="shared" si="215"/>
        <v>-1340623.5660702288</v>
      </c>
      <c r="Y84" s="298">
        <f>Y13*Y43*Faktory!$D$8</f>
        <v>45581201.24638778</v>
      </c>
      <c r="Z84" s="299">
        <f>((Z74*Y43)-(Z74*((Y43-Z43)*(1+$BR$35))))*Faktory!$D$8</f>
        <v>44240577.680317551</v>
      </c>
      <c r="AA84" s="262">
        <f t="shared" si="216"/>
        <v>-1340623.5660702288</v>
      </c>
      <c r="AB84" s="298">
        <f>AB13*AB43*Faktory!$D$8</f>
        <v>44240577.680317551</v>
      </c>
      <c r="AC84" s="299">
        <f>((AC74*AB43)-(AC74*((AB43-AC43)*(1+$BR$35))))*Faktory!$D$8</f>
        <v>42899954.114247322</v>
      </c>
      <c r="AD84" s="262">
        <f t="shared" si="217"/>
        <v>-1340623.5660702288</v>
      </c>
      <c r="AE84" s="298">
        <f>AE13*AE43*Faktory!$D$8</f>
        <v>42899954.114247315</v>
      </c>
      <c r="AF84" s="299">
        <f>((AF74*AE43)-(AF74*((AE43-AF43)*(1+$BR$35))))*Faktory!$D$8</f>
        <v>41559330.548177086</v>
      </c>
      <c r="AG84" s="262">
        <f t="shared" si="218"/>
        <v>-1340623.5660702288</v>
      </c>
      <c r="AH84" s="298">
        <f>AH13*AH43*Faktory!$D$8</f>
        <v>41559330.548177086</v>
      </c>
      <c r="AI84" s="299">
        <f>((AI74*AH43)-(AI74*((AH43-AI43)*(1+$BR$35))))*Faktory!$D$8</f>
        <v>40218706.982106864</v>
      </c>
      <c r="AJ84" s="262">
        <f t="shared" si="219"/>
        <v>-1340623.5660702214</v>
      </c>
      <c r="AK84" s="298">
        <f>AK13*AK43*Faktory!$D$8</f>
        <v>40218706.982106864</v>
      </c>
      <c r="AL84" s="299">
        <f>((AL74*AK43)-(AL74*((AK43-AL43)*(1+$BR$35))))*Faktory!$D$8</f>
        <v>38878083.416036636</v>
      </c>
      <c r="AM84" s="262">
        <f t="shared" si="220"/>
        <v>-1340623.5660702288</v>
      </c>
      <c r="AN84" s="298">
        <f>AN13*AN43*Faktory!$D$8</f>
        <v>38878083.416036628</v>
      </c>
      <c r="AO84" s="299">
        <f>((AO74*AN43)-(AO74*((AN43-AO43)*(1+$BR$35))))*Faktory!$D$8</f>
        <v>37537459.849966399</v>
      </c>
      <c r="AP84" s="262">
        <f t="shared" si="221"/>
        <v>-1340623.5660702288</v>
      </c>
      <c r="AQ84" s="298">
        <f>AQ13*AQ43*Faktory!$D$8</f>
        <v>37537459.849966399</v>
      </c>
      <c r="AR84" s="299">
        <f>((AR74*AQ43)-(AR74*((AQ43-AR43)*(1+$BR$35))))*Faktory!$D$8</f>
        <v>36196836.283896171</v>
      </c>
      <c r="AS84" s="262">
        <f t="shared" si="222"/>
        <v>-1340623.5660702288</v>
      </c>
      <c r="AT84" s="298">
        <f>AT13*AT43*Faktory!$D$8</f>
        <v>0</v>
      </c>
      <c r="AU84" s="299">
        <f>((AU74*AT43)-(AU74*((AT43-AU43)*(1+$BR$35))))*Faktory!$D$8</f>
        <v>0</v>
      </c>
      <c r="AV84" s="262">
        <f t="shared" si="223"/>
        <v>0</v>
      </c>
      <c r="AW84" s="298">
        <f>AW13*AW43*Faktory!$D$8</f>
        <v>0</v>
      </c>
      <c r="AX84" s="299">
        <f>((AX74*AW43)-(AX74*((AW43-AX43)*(1+$BR$35))))*Faktory!$D$8</f>
        <v>0</v>
      </c>
      <c r="AY84" s="262">
        <f t="shared" si="224"/>
        <v>0</v>
      </c>
      <c r="AZ84" s="298">
        <f>AZ13*AZ43*Faktory!$D$8</f>
        <v>0</v>
      </c>
      <c r="BA84" s="299">
        <f>((BA74*AZ43)-(BA74*((AZ43-BA43)*(1+$BR$35))))*Faktory!$D$8</f>
        <v>0</v>
      </c>
      <c r="BB84" s="262">
        <f t="shared" si="225"/>
        <v>0</v>
      </c>
      <c r="BC84" s="298">
        <f>BC13*BC43*Faktory!$D$8</f>
        <v>0</v>
      </c>
      <c r="BD84" s="299">
        <f>((BD74*BC43)-(BD74*((BC43-BD43)*(1+$BR$35))))*Faktory!$D$8</f>
        <v>0</v>
      </c>
      <c r="BE84" s="262">
        <f t="shared" si="226"/>
        <v>0</v>
      </c>
      <c r="BF84" s="298">
        <f>BF13*BF43*Faktory!$D$8</f>
        <v>0</v>
      </c>
      <c r="BG84" s="299">
        <f>((BG74*BF43)-(BG74*((BF43-BG43)*(1+$BR$35))))*Faktory!$D$8</f>
        <v>0</v>
      </c>
      <c r="BH84" s="262">
        <f t="shared" si="227"/>
        <v>0</v>
      </c>
      <c r="BI84" s="298">
        <f>BI13*BI43*Faktory!$D$8</f>
        <v>0</v>
      </c>
      <c r="BJ84" s="299">
        <f>((BJ74*BI43)-(BJ74*((BI43-BJ43)*(1+$BR$35))))*Faktory!$D$8</f>
        <v>0</v>
      </c>
      <c r="BK84" s="262">
        <f t="shared" si="228"/>
        <v>0</v>
      </c>
      <c r="BL84" s="298">
        <f>BL13*BL43*Faktory!$D$8</f>
        <v>0</v>
      </c>
      <c r="BM84" s="299">
        <f>((BM74*BL43)-(BM74*((BL43-BM43)*(1+$BR$35))))*Faktory!$D$8</f>
        <v>0</v>
      </c>
      <c r="BN84" s="262">
        <f t="shared" si="229"/>
        <v>0</v>
      </c>
      <c r="BO84" s="298">
        <f>BO13*BO43*Faktory!$D$8</f>
        <v>0</v>
      </c>
      <c r="BP84" s="299">
        <f>((BP74*BO43)-(BP74*((BO43-BP43)*(1+$BR$35))))*Faktory!$D$8</f>
        <v>0</v>
      </c>
      <c r="BQ84" s="262">
        <f t="shared" si="230"/>
        <v>0</v>
      </c>
    </row>
    <row r="85" spans="1:69" ht="15" thickBot="1">
      <c r="A85" s="802"/>
      <c r="B85" s="804"/>
      <c r="C85" s="300" t="s">
        <v>175</v>
      </c>
      <c r="D85" s="301">
        <f t="shared" si="231"/>
        <v>53624942.64280916</v>
      </c>
      <c r="E85" s="302">
        <f t="shared" si="232"/>
        <v>36196836.283896171</v>
      </c>
      <c r="F85" s="303">
        <f t="shared" si="209"/>
        <v>-17428106.35891296</v>
      </c>
      <c r="G85" s="304">
        <f>G14*G44*Faktory!$D$8</f>
        <v>53624942.64280916</v>
      </c>
      <c r="H85" s="305">
        <f>((H75*G44)-(H75*((G44-H44)*(1+$BR$35))))*Faktory!$D$8</f>
        <v>52284319.076738931</v>
      </c>
      <c r="I85" s="267">
        <f t="shared" si="210"/>
        <v>-1340623.5660702288</v>
      </c>
      <c r="J85" s="304">
        <f>J14*J44*Faktory!$D$8</f>
        <v>52284319.076738931</v>
      </c>
      <c r="K85" s="305">
        <f>((K75*J44)-(K75*((J44-K44)*(1+$BR$35))))*Faktory!$D$8</f>
        <v>50943695.510668702</v>
      </c>
      <c r="L85" s="267">
        <f t="shared" si="211"/>
        <v>-1340623.5660702288</v>
      </c>
      <c r="M85" s="304">
        <f>M14*M44*Faktory!$D$8</f>
        <v>50943695.510668695</v>
      </c>
      <c r="N85" s="305">
        <f>((N75*M44)-(N75*((M44-N44)*(1+$BR$35))))*Faktory!$D$8</f>
        <v>49603071.944598474</v>
      </c>
      <c r="O85" s="267">
        <f t="shared" si="212"/>
        <v>-1340623.5660702214</v>
      </c>
      <c r="P85" s="304">
        <f>P14*P44*Faktory!$D$8</f>
        <v>49603071.944598474</v>
      </c>
      <c r="Q85" s="305">
        <f>((Q75*P44)-(Q75*((P44-Q44)*(1+$BR$35))))*Faktory!$D$8</f>
        <v>48262448.378528245</v>
      </c>
      <c r="R85" s="267">
        <f t="shared" si="213"/>
        <v>-1340623.5660702288</v>
      </c>
      <c r="S85" s="304">
        <f>S14*S44*Faktory!$D$8</f>
        <v>48262448.378528245</v>
      </c>
      <c r="T85" s="305">
        <f>((T75*S44)-(T75*((S44-T44)*(1+$BR$35))))*Faktory!$D$8</f>
        <v>46921824.812458016</v>
      </c>
      <c r="U85" s="267">
        <f t="shared" si="214"/>
        <v>-1340623.5660702288</v>
      </c>
      <c r="V85" s="304">
        <f>V14*V44*Faktory!$D$8</f>
        <v>46921824.812458009</v>
      </c>
      <c r="W85" s="305">
        <f>((W75*V44)-(W75*((V44-W44)*(1+$BR$35))))*Faktory!$D$8</f>
        <v>45581201.24638778</v>
      </c>
      <c r="X85" s="267">
        <f t="shared" si="215"/>
        <v>-1340623.5660702288</v>
      </c>
      <c r="Y85" s="304">
        <f>Y14*Y44*Faktory!$D$8</f>
        <v>45581201.24638778</v>
      </c>
      <c r="Z85" s="305">
        <f>((Z75*Y44)-(Z75*((Y44-Z44)*(1+$BR$35))))*Faktory!$D$8</f>
        <v>44240577.680317551</v>
      </c>
      <c r="AA85" s="267">
        <f t="shared" si="216"/>
        <v>-1340623.5660702288</v>
      </c>
      <c r="AB85" s="304">
        <f>AB14*AB44*Faktory!$D$8</f>
        <v>44240577.680317551</v>
      </c>
      <c r="AC85" s="305">
        <f>((AC75*AB44)-(AC75*((AB44-AC44)*(1+$BR$35))))*Faktory!$D$8</f>
        <v>42899954.114247322</v>
      </c>
      <c r="AD85" s="267">
        <f t="shared" si="217"/>
        <v>-1340623.5660702288</v>
      </c>
      <c r="AE85" s="304">
        <f>AE14*AE44*Faktory!$D$8</f>
        <v>42899954.114247315</v>
      </c>
      <c r="AF85" s="305">
        <f>((AF75*AE44)-(AF75*((AE44-AF44)*(1+$BR$35))))*Faktory!$D$8</f>
        <v>41559330.548177086</v>
      </c>
      <c r="AG85" s="267">
        <f t="shared" si="218"/>
        <v>-1340623.5660702288</v>
      </c>
      <c r="AH85" s="304">
        <f>AH14*AH44*Faktory!$D$8</f>
        <v>41559330.548177086</v>
      </c>
      <c r="AI85" s="305">
        <f>((AI75*AH44)-(AI75*((AH44-AI44)*(1+$BR$35))))*Faktory!$D$8</f>
        <v>40218706.982106864</v>
      </c>
      <c r="AJ85" s="267">
        <f t="shared" si="219"/>
        <v>-1340623.5660702214</v>
      </c>
      <c r="AK85" s="304">
        <f>AK14*AK44*Faktory!$D$8</f>
        <v>40218706.982106864</v>
      </c>
      <c r="AL85" s="305">
        <f>((AL75*AK44)-(AL75*((AK44-AL44)*(1+$BR$35))))*Faktory!$D$8</f>
        <v>38878083.416036636</v>
      </c>
      <c r="AM85" s="267">
        <f t="shared" si="220"/>
        <v>-1340623.5660702288</v>
      </c>
      <c r="AN85" s="304">
        <f>AN14*AN44*Faktory!$D$8</f>
        <v>38878083.416036628</v>
      </c>
      <c r="AO85" s="305">
        <f>((AO75*AN44)-(AO75*((AN44-AO44)*(1+$BR$35))))*Faktory!$D$8</f>
        <v>37537459.849966399</v>
      </c>
      <c r="AP85" s="267">
        <f t="shared" si="221"/>
        <v>-1340623.5660702288</v>
      </c>
      <c r="AQ85" s="304">
        <f>AQ14*AQ44*Faktory!$D$8</f>
        <v>37537459.849966399</v>
      </c>
      <c r="AR85" s="305">
        <f>((AR75*AQ44)-(AR75*((AQ44-AR44)*(1+$BR$35))))*Faktory!$D$8</f>
        <v>36196836.283896171</v>
      </c>
      <c r="AS85" s="267">
        <f t="shared" si="222"/>
        <v>-1340623.5660702288</v>
      </c>
      <c r="AT85" s="304">
        <f>AT14*AT44*Faktory!$D$8</f>
        <v>0</v>
      </c>
      <c r="AU85" s="305">
        <f>((AU75*AT44)-(AU75*((AT44-AU44)*(1+$BR$35))))*Faktory!$D$8</f>
        <v>0</v>
      </c>
      <c r="AV85" s="267">
        <f t="shared" si="223"/>
        <v>0</v>
      </c>
      <c r="AW85" s="304">
        <f>AW14*AW44*Faktory!$D$8</f>
        <v>0</v>
      </c>
      <c r="AX85" s="305">
        <f>((AX75*AW44)-(AX75*((AW44-AX44)*(1+$BR$35))))*Faktory!$D$8</f>
        <v>0</v>
      </c>
      <c r="AY85" s="267">
        <f t="shared" si="224"/>
        <v>0</v>
      </c>
      <c r="AZ85" s="304">
        <f>AZ14*AZ44*Faktory!$D$8</f>
        <v>0</v>
      </c>
      <c r="BA85" s="305">
        <f>((BA75*AZ44)-(BA75*((AZ44-BA44)*(1+$BR$35))))*Faktory!$D$8</f>
        <v>0</v>
      </c>
      <c r="BB85" s="267">
        <f t="shared" si="225"/>
        <v>0</v>
      </c>
      <c r="BC85" s="304">
        <f>BC14*BC44*Faktory!$D$8</f>
        <v>0</v>
      </c>
      <c r="BD85" s="305">
        <f>((BD75*BC44)-(BD75*((BC44-BD44)*(1+$BR$35))))*Faktory!$D$8</f>
        <v>0</v>
      </c>
      <c r="BE85" s="267">
        <f t="shared" si="226"/>
        <v>0</v>
      </c>
      <c r="BF85" s="304">
        <f>BF14*BF44*Faktory!$D$8</f>
        <v>0</v>
      </c>
      <c r="BG85" s="305">
        <f>((BG75*BF44)-(BG75*((BF44-BG44)*(1+$BR$35))))*Faktory!$D$8</f>
        <v>0</v>
      </c>
      <c r="BH85" s="267">
        <f t="shared" si="227"/>
        <v>0</v>
      </c>
      <c r="BI85" s="304">
        <f>BI14*BI44*Faktory!$D$8</f>
        <v>0</v>
      </c>
      <c r="BJ85" s="305">
        <f>((BJ75*BI44)-(BJ75*((BI44-BJ44)*(1+$BR$35))))*Faktory!$D$8</f>
        <v>0</v>
      </c>
      <c r="BK85" s="267">
        <f t="shared" si="228"/>
        <v>0</v>
      </c>
      <c r="BL85" s="304">
        <f>BL14*BL44*Faktory!$D$8</f>
        <v>0</v>
      </c>
      <c r="BM85" s="305">
        <f>((BM75*BL44)-(BM75*((BL44-BM44)*(1+$BR$35))))*Faktory!$D$8</f>
        <v>0</v>
      </c>
      <c r="BN85" s="267">
        <f t="shared" si="229"/>
        <v>0</v>
      </c>
      <c r="BO85" s="304">
        <f>BO14*BO44*Faktory!$D$8</f>
        <v>0</v>
      </c>
      <c r="BP85" s="305">
        <f>((BP75*BO44)-(BP75*((BO44-BP44)*(1+$BR$35))))*Faktory!$D$8</f>
        <v>0</v>
      </c>
      <c r="BQ85" s="267">
        <f t="shared" si="230"/>
        <v>0</v>
      </c>
    </row>
    <row r="86" spans="1:69">
      <c r="A86" s="805" t="s">
        <v>221</v>
      </c>
      <c r="B86" s="806" t="s">
        <v>222</v>
      </c>
      <c r="C86" s="290" t="s">
        <v>166</v>
      </c>
      <c r="D86" s="682">
        <f t="shared" si="207"/>
        <v>0</v>
      </c>
      <c r="E86" s="683">
        <f t="shared" si="208"/>
        <v>0</v>
      </c>
      <c r="F86" s="684">
        <f t="shared" si="209"/>
        <v>0</v>
      </c>
      <c r="G86" s="308">
        <f t="shared" ref="G86:H95" si="233">(G5*G35)/12/21/7.5</f>
        <v>0</v>
      </c>
      <c r="H86" s="309">
        <f t="shared" si="233"/>
        <v>0</v>
      </c>
      <c r="I86" s="310">
        <f t="shared" si="210"/>
        <v>0</v>
      </c>
      <c r="J86" s="308">
        <f t="shared" ref="J86:K86" si="234">(J5*J35)/12/21/7.5</f>
        <v>0</v>
      </c>
      <c r="K86" s="309">
        <f t="shared" si="234"/>
        <v>0</v>
      </c>
      <c r="L86" s="310">
        <f t="shared" si="211"/>
        <v>0</v>
      </c>
      <c r="M86" s="308">
        <f t="shared" ref="M86:N86" si="235">(M5*M35)/12/21/7.5</f>
        <v>0</v>
      </c>
      <c r="N86" s="309">
        <f t="shared" si="235"/>
        <v>0</v>
      </c>
      <c r="O86" s="310">
        <f t="shared" si="212"/>
        <v>0</v>
      </c>
      <c r="P86" s="308">
        <f t="shared" ref="P86:Q86" si="236">(P5*P35)/12/21/7.5</f>
        <v>0</v>
      </c>
      <c r="Q86" s="309">
        <f t="shared" si="236"/>
        <v>0</v>
      </c>
      <c r="R86" s="310">
        <f t="shared" si="213"/>
        <v>0</v>
      </c>
      <c r="S86" s="308">
        <f t="shared" ref="S86:T86" si="237">(S5*S35)/12/21/7.5</f>
        <v>0</v>
      </c>
      <c r="T86" s="309">
        <f t="shared" si="237"/>
        <v>0</v>
      </c>
      <c r="U86" s="310">
        <f t="shared" si="214"/>
        <v>0</v>
      </c>
      <c r="V86" s="308">
        <f t="shared" ref="V86:W86" si="238">(V5*V35)/12/21/7.5</f>
        <v>0</v>
      </c>
      <c r="W86" s="309">
        <f t="shared" si="238"/>
        <v>0</v>
      </c>
      <c r="X86" s="310">
        <f t="shared" si="215"/>
        <v>0</v>
      </c>
      <c r="Y86" s="308">
        <f t="shared" ref="Y86:Z86" si="239">(Y5*Y35)/12/21/7.5</f>
        <v>0</v>
      </c>
      <c r="Z86" s="309">
        <f t="shared" si="239"/>
        <v>0</v>
      </c>
      <c r="AA86" s="310">
        <f t="shared" si="216"/>
        <v>0</v>
      </c>
      <c r="AB86" s="308">
        <f t="shared" ref="AB86:AC86" si="240">(AB5*AB35)/12/21/7.5</f>
        <v>0</v>
      </c>
      <c r="AC86" s="309">
        <f t="shared" si="240"/>
        <v>0</v>
      </c>
      <c r="AD86" s="310">
        <f t="shared" si="217"/>
        <v>0</v>
      </c>
      <c r="AE86" s="308">
        <f t="shared" ref="AE86:AF86" si="241">(AE5*AE35)/12/21/7.5</f>
        <v>0</v>
      </c>
      <c r="AF86" s="309">
        <f t="shared" si="241"/>
        <v>0</v>
      </c>
      <c r="AG86" s="310">
        <f t="shared" si="218"/>
        <v>0</v>
      </c>
      <c r="AH86" s="308">
        <f t="shared" ref="AH86:AI86" si="242">(AH5*AH35)/12/21/7.5</f>
        <v>0</v>
      </c>
      <c r="AI86" s="309">
        <f t="shared" si="242"/>
        <v>0</v>
      </c>
      <c r="AJ86" s="310">
        <f t="shared" si="219"/>
        <v>0</v>
      </c>
      <c r="AK86" s="308">
        <f t="shared" ref="AK86:AL86" si="243">(AK5*AK35)/12/21/7.5</f>
        <v>0</v>
      </c>
      <c r="AL86" s="309">
        <f t="shared" si="243"/>
        <v>0</v>
      </c>
      <c r="AM86" s="310">
        <f t="shared" si="220"/>
        <v>0</v>
      </c>
      <c r="AN86" s="308">
        <f t="shared" ref="AN86:AO86" si="244">(AN5*AN35)/12/21/7.5</f>
        <v>0</v>
      </c>
      <c r="AO86" s="309">
        <f t="shared" si="244"/>
        <v>0</v>
      </c>
      <c r="AP86" s="310">
        <f t="shared" si="221"/>
        <v>0</v>
      </c>
      <c r="AQ86" s="308">
        <f t="shared" ref="AQ86:AR86" si="245">(AQ5*AQ35)/12/21/7.5</f>
        <v>0</v>
      </c>
      <c r="AR86" s="309">
        <f t="shared" si="245"/>
        <v>0</v>
      </c>
      <c r="AS86" s="310">
        <f t="shared" si="222"/>
        <v>0</v>
      </c>
      <c r="AT86" s="308">
        <f t="shared" ref="AT86:AU86" si="246">(AT5*AT35)/12/21/7.5</f>
        <v>0</v>
      </c>
      <c r="AU86" s="309">
        <f t="shared" si="246"/>
        <v>0</v>
      </c>
      <c r="AV86" s="310">
        <f t="shared" si="223"/>
        <v>0</v>
      </c>
      <c r="AW86" s="308">
        <f t="shared" ref="AW86:AX86" si="247">(AW5*AW35)/12/21/7.5</f>
        <v>0</v>
      </c>
      <c r="AX86" s="309">
        <f t="shared" si="247"/>
        <v>0</v>
      </c>
      <c r="AY86" s="310">
        <f t="shared" si="224"/>
        <v>0</v>
      </c>
      <c r="AZ86" s="308">
        <f t="shared" ref="AZ86:BA86" si="248">(AZ5*AZ35)/12/21/7.5</f>
        <v>0</v>
      </c>
      <c r="BA86" s="309">
        <f t="shared" si="248"/>
        <v>0</v>
      </c>
      <c r="BB86" s="310">
        <f t="shared" si="225"/>
        <v>0</v>
      </c>
      <c r="BC86" s="308">
        <f t="shared" ref="BC86:BD86" si="249">(BC5*BC35)/12/21/7.5</f>
        <v>0</v>
      </c>
      <c r="BD86" s="309">
        <f t="shared" si="249"/>
        <v>0</v>
      </c>
      <c r="BE86" s="310">
        <f t="shared" si="226"/>
        <v>0</v>
      </c>
      <c r="BF86" s="308">
        <f t="shared" ref="BF86:BG86" si="250">(BF5*BF35)/12/21/7.5</f>
        <v>0</v>
      </c>
      <c r="BG86" s="309">
        <f t="shared" si="250"/>
        <v>0</v>
      </c>
      <c r="BH86" s="310">
        <f t="shared" si="227"/>
        <v>0</v>
      </c>
      <c r="BI86" s="308">
        <f t="shared" ref="BI86:BJ95" si="251">(BI5*BI35)/12/21/7.5</f>
        <v>0</v>
      </c>
      <c r="BJ86" s="309">
        <f t="shared" si="251"/>
        <v>0</v>
      </c>
      <c r="BK86" s="310">
        <f t="shared" si="228"/>
        <v>0</v>
      </c>
      <c r="BL86" s="308">
        <f t="shared" ref="BL86:BM95" si="252">(BL5*BL35)/12/21/7.5</f>
        <v>0</v>
      </c>
      <c r="BM86" s="309">
        <f t="shared" si="252"/>
        <v>0</v>
      </c>
      <c r="BN86" s="310">
        <f t="shared" si="229"/>
        <v>0</v>
      </c>
      <c r="BO86" s="308">
        <f t="shared" ref="BO86:BP95" si="253">(BO5*BO35)/12/21/7.5</f>
        <v>0</v>
      </c>
      <c r="BP86" s="309">
        <f t="shared" si="253"/>
        <v>0</v>
      </c>
      <c r="BQ86" s="310">
        <f t="shared" si="230"/>
        <v>0</v>
      </c>
    </row>
    <row r="87" spans="1:69">
      <c r="A87" s="801"/>
      <c r="B87" s="803"/>
      <c r="C87" s="290" t="s">
        <v>167</v>
      </c>
      <c r="D87" s="291">
        <f t="shared" si="207"/>
        <v>0</v>
      </c>
      <c r="E87" s="292">
        <f t="shared" si="208"/>
        <v>0</v>
      </c>
      <c r="F87" s="293">
        <f t="shared" si="209"/>
        <v>0</v>
      </c>
      <c r="G87" s="311">
        <f t="shared" si="233"/>
        <v>0</v>
      </c>
      <c r="H87" s="312">
        <f t="shared" si="233"/>
        <v>0</v>
      </c>
      <c r="I87" s="313">
        <f t="shared" si="210"/>
        <v>0</v>
      </c>
      <c r="J87" s="311">
        <f t="shared" ref="J87:K87" si="254">(J6*J36)/12/21/7.5</f>
        <v>0</v>
      </c>
      <c r="K87" s="312">
        <f t="shared" si="254"/>
        <v>0</v>
      </c>
      <c r="L87" s="313">
        <f t="shared" si="211"/>
        <v>0</v>
      </c>
      <c r="M87" s="311">
        <f t="shared" ref="M87:N87" si="255">(M6*M36)/12/21/7.5</f>
        <v>0</v>
      </c>
      <c r="N87" s="312">
        <f t="shared" si="255"/>
        <v>0</v>
      </c>
      <c r="O87" s="313">
        <f t="shared" si="212"/>
        <v>0</v>
      </c>
      <c r="P87" s="311">
        <f t="shared" ref="P87:Q87" si="256">(P6*P36)/12/21/7.5</f>
        <v>0</v>
      </c>
      <c r="Q87" s="312">
        <f t="shared" si="256"/>
        <v>0</v>
      </c>
      <c r="R87" s="313">
        <f t="shared" si="213"/>
        <v>0</v>
      </c>
      <c r="S87" s="311">
        <f t="shared" ref="S87:T87" si="257">(S6*S36)/12/21/7.5</f>
        <v>0</v>
      </c>
      <c r="T87" s="312">
        <f t="shared" si="257"/>
        <v>0</v>
      </c>
      <c r="U87" s="313">
        <f t="shared" si="214"/>
        <v>0</v>
      </c>
      <c r="V87" s="311">
        <f t="shared" ref="V87:W87" si="258">(V6*V36)/12/21/7.5</f>
        <v>0</v>
      </c>
      <c r="W87" s="312">
        <f t="shared" si="258"/>
        <v>0</v>
      </c>
      <c r="X87" s="313">
        <f t="shared" si="215"/>
        <v>0</v>
      </c>
      <c r="Y87" s="311">
        <f t="shared" ref="Y87:Z87" si="259">(Y6*Y36)/12/21/7.5</f>
        <v>0</v>
      </c>
      <c r="Z87" s="312">
        <f t="shared" si="259"/>
        <v>0</v>
      </c>
      <c r="AA87" s="313">
        <f t="shared" si="216"/>
        <v>0</v>
      </c>
      <c r="AB87" s="311">
        <f t="shared" ref="AB87:AC87" si="260">(AB6*AB36)/12/21/7.5</f>
        <v>0</v>
      </c>
      <c r="AC87" s="312">
        <f t="shared" si="260"/>
        <v>0</v>
      </c>
      <c r="AD87" s="313">
        <f t="shared" si="217"/>
        <v>0</v>
      </c>
      <c r="AE87" s="311">
        <f t="shared" ref="AE87:AF87" si="261">(AE6*AE36)/12/21/7.5</f>
        <v>0</v>
      </c>
      <c r="AF87" s="312">
        <f t="shared" si="261"/>
        <v>0</v>
      </c>
      <c r="AG87" s="313">
        <f t="shared" si="218"/>
        <v>0</v>
      </c>
      <c r="AH87" s="311">
        <f t="shared" ref="AH87:AI87" si="262">(AH6*AH36)/12/21/7.5</f>
        <v>0</v>
      </c>
      <c r="AI87" s="312">
        <f t="shared" si="262"/>
        <v>0</v>
      </c>
      <c r="AJ87" s="313">
        <f t="shared" si="219"/>
        <v>0</v>
      </c>
      <c r="AK87" s="311">
        <f t="shared" ref="AK87:AL87" si="263">(AK6*AK36)/12/21/7.5</f>
        <v>0</v>
      </c>
      <c r="AL87" s="312">
        <f t="shared" si="263"/>
        <v>0</v>
      </c>
      <c r="AM87" s="313">
        <f t="shared" si="220"/>
        <v>0</v>
      </c>
      <c r="AN87" s="311">
        <f t="shared" ref="AN87:AO87" si="264">(AN6*AN36)/12/21/7.5</f>
        <v>0</v>
      </c>
      <c r="AO87" s="312">
        <f t="shared" si="264"/>
        <v>0</v>
      </c>
      <c r="AP87" s="313">
        <f t="shared" si="221"/>
        <v>0</v>
      </c>
      <c r="AQ87" s="311">
        <f t="shared" ref="AQ87:AR87" si="265">(AQ6*AQ36)/12/21/7.5</f>
        <v>0</v>
      </c>
      <c r="AR87" s="312">
        <f t="shared" si="265"/>
        <v>0</v>
      </c>
      <c r="AS87" s="313">
        <f t="shared" si="222"/>
        <v>0</v>
      </c>
      <c r="AT87" s="311">
        <f t="shared" ref="AT87:AU87" si="266">(AT6*AT36)/12/21/7.5</f>
        <v>0</v>
      </c>
      <c r="AU87" s="312">
        <f t="shared" si="266"/>
        <v>0</v>
      </c>
      <c r="AV87" s="313">
        <f t="shared" si="223"/>
        <v>0</v>
      </c>
      <c r="AW87" s="311">
        <f t="shared" ref="AW87:AX87" si="267">(AW6*AW36)/12/21/7.5</f>
        <v>0</v>
      </c>
      <c r="AX87" s="312">
        <f t="shared" si="267"/>
        <v>0</v>
      </c>
      <c r="AY87" s="313">
        <f t="shared" si="224"/>
        <v>0</v>
      </c>
      <c r="AZ87" s="311">
        <f t="shared" ref="AZ87:BA87" si="268">(AZ6*AZ36)/12/21/7.5</f>
        <v>0</v>
      </c>
      <c r="BA87" s="312">
        <f t="shared" si="268"/>
        <v>0</v>
      </c>
      <c r="BB87" s="313">
        <f t="shared" si="225"/>
        <v>0</v>
      </c>
      <c r="BC87" s="311">
        <f t="shared" ref="BC87:BD87" si="269">(BC6*BC36)/12/21/7.5</f>
        <v>0</v>
      </c>
      <c r="BD87" s="312">
        <f t="shared" si="269"/>
        <v>0</v>
      </c>
      <c r="BE87" s="313">
        <f t="shared" si="226"/>
        <v>0</v>
      </c>
      <c r="BF87" s="311">
        <f t="shared" ref="BF87:BG87" si="270">(BF6*BF36)/12/21/7.5</f>
        <v>0</v>
      </c>
      <c r="BG87" s="312">
        <f t="shared" si="270"/>
        <v>0</v>
      </c>
      <c r="BH87" s="313">
        <f t="shared" si="227"/>
        <v>0</v>
      </c>
      <c r="BI87" s="311">
        <f t="shared" si="251"/>
        <v>0</v>
      </c>
      <c r="BJ87" s="312">
        <f t="shared" si="251"/>
        <v>0</v>
      </c>
      <c r="BK87" s="313">
        <f t="shared" si="228"/>
        <v>0</v>
      </c>
      <c r="BL87" s="311">
        <f t="shared" si="252"/>
        <v>0</v>
      </c>
      <c r="BM87" s="312">
        <f t="shared" si="252"/>
        <v>0</v>
      </c>
      <c r="BN87" s="313">
        <f t="shared" si="229"/>
        <v>0</v>
      </c>
      <c r="BO87" s="311">
        <f t="shared" si="253"/>
        <v>0</v>
      </c>
      <c r="BP87" s="312">
        <f t="shared" si="253"/>
        <v>0</v>
      </c>
      <c r="BQ87" s="313">
        <f t="shared" si="230"/>
        <v>0</v>
      </c>
    </row>
    <row r="88" spans="1:69">
      <c r="A88" s="801"/>
      <c r="B88" s="803"/>
      <c r="C88" s="290" t="s">
        <v>168</v>
      </c>
      <c r="D88" s="291">
        <f t="shared" si="207"/>
        <v>0</v>
      </c>
      <c r="E88" s="292">
        <f t="shared" si="208"/>
        <v>0</v>
      </c>
      <c r="F88" s="293">
        <f t="shared" si="209"/>
        <v>0</v>
      </c>
      <c r="G88" s="311">
        <f t="shared" si="233"/>
        <v>0</v>
      </c>
      <c r="H88" s="312">
        <f t="shared" si="233"/>
        <v>0</v>
      </c>
      <c r="I88" s="313">
        <f t="shared" si="210"/>
        <v>0</v>
      </c>
      <c r="J88" s="311">
        <f t="shared" ref="J88:K88" si="271">(J7*J37)/12/21/7.5</f>
        <v>0</v>
      </c>
      <c r="K88" s="312">
        <f t="shared" si="271"/>
        <v>0</v>
      </c>
      <c r="L88" s="313">
        <f t="shared" si="211"/>
        <v>0</v>
      </c>
      <c r="M88" s="311">
        <f t="shared" ref="M88:N88" si="272">(M7*M37)/12/21/7.5</f>
        <v>0</v>
      </c>
      <c r="N88" s="312">
        <f t="shared" si="272"/>
        <v>0</v>
      </c>
      <c r="O88" s="313">
        <f t="shared" si="212"/>
        <v>0</v>
      </c>
      <c r="P88" s="311">
        <f t="shared" ref="P88:Q88" si="273">(P7*P37)/12/21/7.5</f>
        <v>0</v>
      </c>
      <c r="Q88" s="312">
        <f t="shared" si="273"/>
        <v>0</v>
      </c>
      <c r="R88" s="313">
        <f t="shared" si="213"/>
        <v>0</v>
      </c>
      <c r="S88" s="311">
        <f t="shared" ref="S88:T88" si="274">(S7*S37)/12/21/7.5</f>
        <v>0</v>
      </c>
      <c r="T88" s="312">
        <f t="shared" si="274"/>
        <v>0</v>
      </c>
      <c r="U88" s="313">
        <f t="shared" si="214"/>
        <v>0</v>
      </c>
      <c r="V88" s="311">
        <f t="shared" ref="V88:W88" si="275">(V7*V37)/12/21/7.5</f>
        <v>0</v>
      </c>
      <c r="W88" s="312">
        <f t="shared" si="275"/>
        <v>0</v>
      </c>
      <c r="X88" s="313">
        <f t="shared" si="215"/>
        <v>0</v>
      </c>
      <c r="Y88" s="311">
        <f t="shared" ref="Y88:Z88" si="276">(Y7*Y37)/12/21/7.5</f>
        <v>0</v>
      </c>
      <c r="Z88" s="312">
        <f t="shared" si="276"/>
        <v>0</v>
      </c>
      <c r="AA88" s="313">
        <f t="shared" si="216"/>
        <v>0</v>
      </c>
      <c r="AB88" s="311">
        <f t="shared" ref="AB88:AC88" si="277">(AB7*AB37)/12/21/7.5</f>
        <v>0</v>
      </c>
      <c r="AC88" s="312">
        <f t="shared" si="277"/>
        <v>0</v>
      </c>
      <c r="AD88" s="313">
        <f t="shared" si="217"/>
        <v>0</v>
      </c>
      <c r="AE88" s="311">
        <f t="shared" ref="AE88:AF88" si="278">(AE7*AE37)/12/21/7.5</f>
        <v>0</v>
      </c>
      <c r="AF88" s="312">
        <f t="shared" si="278"/>
        <v>0</v>
      </c>
      <c r="AG88" s="313">
        <f t="shared" si="218"/>
        <v>0</v>
      </c>
      <c r="AH88" s="311">
        <f t="shared" ref="AH88:AI88" si="279">(AH7*AH37)/12/21/7.5</f>
        <v>0</v>
      </c>
      <c r="AI88" s="312">
        <f t="shared" si="279"/>
        <v>0</v>
      </c>
      <c r="AJ88" s="313">
        <f t="shared" si="219"/>
        <v>0</v>
      </c>
      <c r="AK88" s="311">
        <f t="shared" ref="AK88:AL88" si="280">(AK7*AK37)/12/21/7.5</f>
        <v>0</v>
      </c>
      <c r="AL88" s="312">
        <f t="shared" si="280"/>
        <v>0</v>
      </c>
      <c r="AM88" s="313">
        <f t="shared" si="220"/>
        <v>0</v>
      </c>
      <c r="AN88" s="311">
        <f t="shared" ref="AN88:AO88" si="281">(AN7*AN37)/12/21/7.5</f>
        <v>0</v>
      </c>
      <c r="AO88" s="312">
        <f t="shared" si="281"/>
        <v>0</v>
      </c>
      <c r="AP88" s="313">
        <f t="shared" si="221"/>
        <v>0</v>
      </c>
      <c r="AQ88" s="311">
        <f t="shared" ref="AQ88:AR88" si="282">(AQ7*AQ37)/12/21/7.5</f>
        <v>0</v>
      </c>
      <c r="AR88" s="312">
        <f t="shared" si="282"/>
        <v>0</v>
      </c>
      <c r="AS88" s="313">
        <f t="shared" si="222"/>
        <v>0</v>
      </c>
      <c r="AT88" s="311">
        <f t="shared" ref="AT88:AU88" si="283">(AT7*AT37)/12/21/7.5</f>
        <v>0</v>
      </c>
      <c r="AU88" s="312">
        <f t="shared" si="283"/>
        <v>0</v>
      </c>
      <c r="AV88" s="313">
        <f t="shared" si="223"/>
        <v>0</v>
      </c>
      <c r="AW88" s="311">
        <f t="shared" ref="AW88:AX88" si="284">(AW7*AW37)/12/21/7.5</f>
        <v>0</v>
      </c>
      <c r="AX88" s="312">
        <f t="shared" si="284"/>
        <v>0</v>
      </c>
      <c r="AY88" s="313">
        <f t="shared" si="224"/>
        <v>0</v>
      </c>
      <c r="AZ88" s="311">
        <f t="shared" ref="AZ88:BA88" si="285">(AZ7*AZ37)/12/21/7.5</f>
        <v>0</v>
      </c>
      <c r="BA88" s="312">
        <f t="shared" si="285"/>
        <v>0</v>
      </c>
      <c r="BB88" s="313">
        <f t="shared" si="225"/>
        <v>0</v>
      </c>
      <c r="BC88" s="311">
        <f t="shared" ref="BC88:BD88" si="286">(BC7*BC37)/12/21/7.5</f>
        <v>0</v>
      </c>
      <c r="BD88" s="312">
        <f t="shared" si="286"/>
        <v>0</v>
      </c>
      <c r="BE88" s="313">
        <f t="shared" si="226"/>
        <v>0</v>
      </c>
      <c r="BF88" s="311">
        <f t="shared" ref="BF88:BG88" si="287">(BF7*BF37)/12/21/7.5</f>
        <v>0</v>
      </c>
      <c r="BG88" s="312">
        <f t="shared" si="287"/>
        <v>0</v>
      </c>
      <c r="BH88" s="313">
        <f t="shared" si="227"/>
        <v>0</v>
      </c>
      <c r="BI88" s="311">
        <f t="shared" si="251"/>
        <v>0</v>
      </c>
      <c r="BJ88" s="312">
        <f t="shared" si="251"/>
        <v>0</v>
      </c>
      <c r="BK88" s="313">
        <f t="shared" si="228"/>
        <v>0</v>
      </c>
      <c r="BL88" s="311">
        <f t="shared" si="252"/>
        <v>0</v>
      </c>
      <c r="BM88" s="312">
        <f t="shared" si="252"/>
        <v>0</v>
      </c>
      <c r="BN88" s="313">
        <f t="shared" si="229"/>
        <v>0</v>
      </c>
      <c r="BO88" s="311">
        <f t="shared" si="253"/>
        <v>0</v>
      </c>
      <c r="BP88" s="312">
        <f t="shared" si="253"/>
        <v>0</v>
      </c>
      <c r="BQ88" s="313">
        <f t="shared" si="230"/>
        <v>0</v>
      </c>
    </row>
    <row r="89" spans="1:69">
      <c r="A89" s="801"/>
      <c r="B89" s="803"/>
      <c r="C89" s="290" t="s">
        <v>169</v>
      </c>
      <c r="D89" s="291">
        <f t="shared" ref="D89:D95" si="288">MAX(G89,J89,M89,P89,S89,V89,Y89,AB89,AE89,AH89,AK89,AN89,AQ89,AT89,AW89,AZ89,AZ89,BC89,BF89,BI89,BL89,BO89)</f>
        <v>1632.5164021164021</v>
      </c>
      <c r="E89" s="292">
        <f t="shared" ref="E89:E95" si="289">MIN(H89,K89,N89,Q89,T89,W89,Z89,AC89,AF89,AI89,AL89,AO89,AR89)</f>
        <v>1101.9485714285709</v>
      </c>
      <c r="F89" s="293">
        <f t="shared" si="209"/>
        <v>-530.56783068783125</v>
      </c>
      <c r="G89" s="311">
        <f t="shared" si="233"/>
        <v>1632.5164021164021</v>
      </c>
      <c r="H89" s="312">
        <f t="shared" si="233"/>
        <v>1591.7034920634921</v>
      </c>
      <c r="I89" s="313">
        <f t="shared" si="210"/>
        <v>-40.812910052909956</v>
      </c>
      <c r="J89" s="311">
        <f t="shared" ref="J89:K89" si="290">(J8*J38)/12/21/7.5</f>
        <v>1591.7034920634921</v>
      </c>
      <c r="K89" s="312">
        <f t="shared" si="290"/>
        <v>1550.890582010582</v>
      </c>
      <c r="L89" s="313">
        <f t="shared" si="211"/>
        <v>-40.812910052910183</v>
      </c>
      <c r="M89" s="311">
        <f t="shared" ref="M89:N89" si="291">(M8*M38)/12/21/7.5</f>
        <v>1550.890582010582</v>
      </c>
      <c r="N89" s="312">
        <f t="shared" si="291"/>
        <v>1510.0776719576718</v>
      </c>
      <c r="O89" s="313">
        <f t="shared" si="212"/>
        <v>-40.812910052910183</v>
      </c>
      <c r="P89" s="311">
        <f t="shared" ref="P89:Q89" si="292">(P8*P38)/12/21/7.5</f>
        <v>1510.0776719576718</v>
      </c>
      <c r="Q89" s="312">
        <f t="shared" si="292"/>
        <v>1469.2647619047616</v>
      </c>
      <c r="R89" s="313">
        <f t="shared" si="213"/>
        <v>-40.812910052910183</v>
      </c>
      <c r="S89" s="311">
        <f t="shared" ref="S89:T89" si="293">(S8*S38)/12/21/7.5</f>
        <v>1469.2647619047616</v>
      </c>
      <c r="T89" s="312">
        <f t="shared" si="293"/>
        <v>1428.4518518518516</v>
      </c>
      <c r="U89" s="313">
        <f t="shared" si="214"/>
        <v>-40.812910052909956</v>
      </c>
      <c r="V89" s="311">
        <f t="shared" ref="V89:W89" si="294">(V8*V38)/12/21/7.5</f>
        <v>1428.4518518518516</v>
      </c>
      <c r="W89" s="312">
        <f t="shared" si="294"/>
        <v>1387.6389417989417</v>
      </c>
      <c r="X89" s="313">
        <f t="shared" si="215"/>
        <v>-40.812910052909956</v>
      </c>
      <c r="Y89" s="311">
        <f t="shared" ref="Y89:Z89" si="295">(Y8*Y38)/12/21/7.5</f>
        <v>1387.6389417989417</v>
      </c>
      <c r="Z89" s="312">
        <f t="shared" si="295"/>
        <v>1346.8260317460315</v>
      </c>
      <c r="AA89" s="313">
        <f t="shared" si="216"/>
        <v>-40.812910052910183</v>
      </c>
      <c r="AB89" s="311">
        <f t="shared" ref="AB89:AC89" si="296">(AB8*AB38)/12/21/7.5</f>
        <v>1346.8260317460315</v>
      </c>
      <c r="AC89" s="312">
        <f t="shared" si="296"/>
        <v>1306.0131216931215</v>
      </c>
      <c r="AD89" s="313">
        <f t="shared" si="217"/>
        <v>-40.812910052909956</v>
      </c>
      <c r="AE89" s="311">
        <f t="shared" ref="AE89:AF89" si="297">(AE8*AE38)/12/21/7.5</f>
        <v>1306.0131216931215</v>
      </c>
      <c r="AF89" s="312">
        <f t="shared" si="297"/>
        <v>1265.2002116402114</v>
      </c>
      <c r="AG89" s="313">
        <f t="shared" si="218"/>
        <v>-40.812910052910183</v>
      </c>
      <c r="AH89" s="311">
        <f t="shared" ref="AH89:AI89" si="298">(AH8*AH38)/12/21/7.5</f>
        <v>1265.2002116402114</v>
      </c>
      <c r="AI89" s="312">
        <f t="shared" si="298"/>
        <v>1224.3873015873012</v>
      </c>
      <c r="AJ89" s="313">
        <f t="shared" si="219"/>
        <v>-40.812910052910183</v>
      </c>
      <c r="AK89" s="311">
        <f t="shared" ref="AK89:AL89" si="299">(AK8*AK38)/12/21/7.5</f>
        <v>1224.3873015873012</v>
      </c>
      <c r="AL89" s="312">
        <f t="shared" si="299"/>
        <v>1183.574391534391</v>
      </c>
      <c r="AM89" s="313">
        <f t="shared" si="220"/>
        <v>-40.812910052910183</v>
      </c>
      <c r="AN89" s="311">
        <f t="shared" ref="AN89:AO89" si="300">(AN8*AN38)/12/21/7.5</f>
        <v>1183.574391534391</v>
      </c>
      <c r="AO89" s="312">
        <f t="shared" si="300"/>
        <v>1142.761481481481</v>
      </c>
      <c r="AP89" s="313">
        <f t="shared" si="221"/>
        <v>-40.812910052909956</v>
      </c>
      <c r="AQ89" s="311">
        <f t="shared" ref="AQ89:AR89" si="301">(AQ8*AQ38)/12/21/7.5</f>
        <v>1142.761481481481</v>
      </c>
      <c r="AR89" s="312">
        <f t="shared" si="301"/>
        <v>1101.9485714285709</v>
      </c>
      <c r="AS89" s="313">
        <f t="shared" si="222"/>
        <v>-40.812910052910183</v>
      </c>
      <c r="AT89" s="311">
        <f t="shared" ref="AT89:AU89" si="302">(AT8*AT38)/12/21/7.5</f>
        <v>0</v>
      </c>
      <c r="AU89" s="312">
        <f t="shared" si="302"/>
        <v>0</v>
      </c>
      <c r="AV89" s="313">
        <f t="shared" si="223"/>
        <v>0</v>
      </c>
      <c r="AW89" s="311">
        <f t="shared" ref="AW89:AX89" si="303">(AW8*AW38)/12/21/7.5</f>
        <v>0</v>
      </c>
      <c r="AX89" s="312">
        <f t="shared" si="303"/>
        <v>0</v>
      </c>
      <c r="AY89" s="313">
        <f t="shared" si="224"/>
        <v>0</v>
      </c>
      <c r="AZ89" s="311">
        <f t="shared" ref="AZ89:BA89" si="304">(AZ8*AZ38)/12/21/7.5</f>
        <v>0</v>
      </c>
      <c r="BA89" s="312">
        <f t="shared" si="304"/>
        <v>0</v>
      </c>
      <c r="BB89" s="313">
        <f t="shared" si="225"/>
        <v>0</v>
      </c>
      <c r="BC89" s="311">
        <f t="shared" ref="BC89:BD89" si="305">(BC8*BC38)/12/21/7.5</f>
        <v>0</v>
      </c>
      <c r="BD89" s="312">
        <f t="shared" si="305"/>
        <v>0</v>
      </c>
      <c r="BE89" s="313">
        <f t="shared" si="226"/>
        <v>0</v>
      </c>
      <c r="BF89" s="311">
        <f t="shared" ref="BF89:BG89" si="306">(BF8*BF38)/12/21/7.5</f>
        <v>0</v>
      </c>
      <c r="BG89" s="312">
        <f t="shared" si="306"/>
        <v>0</v>
      </c>
      <c r="BH89" s="313">
        <f t="shared" si="227"/>
        <v>0</v>
      </c>
      <c r="BI89" s="311">
        <f t="shared" si="251"/>
        <v>0</v>
      </c>
      <c r="BJ89" s="312">
        <f t="shared" si="251"/>
        <v>0</v>
      </c>
      <c r="BK89" s="313">
        <f t="shared" si="228"/>
        <v>0</v>
      </c>
      <c r="BL89" s="311">
        <f t="shared" si="252"/>
        <v>0</v>
      </c>
      <c r="BM89" s="312">
        <f t="shared" si="252"/>
        <v>0</v>
      </c>
      <c r="BN89" s="313">
        <f t="shared" si="229"/>
        <v>0</v>
      </c>
      <c r="BO89" s="311">
        <f t="shared" si="253"/>
        <v>0</v>
      </c>
      <c r="BP89" s="312">
        <f t="shared" si="253"/>
        <v>0</v>
      </c>
      <c r="BQ89" s="313">
        <f t="shared" si="230"/>
        <v>0</v>
      </c>
    </row>
    <row r="90" spans="1:69">
      <c r="A90" s="801"/>
      <c r="B90" s="803"/>
      <c r="C90" s="290" t="s">
        <v>170</v>
      </c>
      <c r="D90" s="291">
        <f t="shared" si="288"/>
        <v>1632.5164021164021</v>
      </c>
      <c r="E90" s="292">
        <f t="shared" si="289"/>
        <v>1101.9485714285709</v>
      </c>
      <c r="F90" s="293">
        <f t="shared" si="209"/>
        <v>-530.56783068783125</v>
      </c>
      <c r="G90" s="311">
        <f t="shared" si="233"/>
        <v>1632.5164021164021</v>
      </c>
      <c r="H90" s="312">
        <f t="shared" si="233"/>
        <v>1591.7034920634921</v>
      </c>
      <c r="I90" s="313">
        <f t="shared" si="210"/>
        <v>-40.812910052909956</v>
      </c>
      <c r="J90" s="311">
        <f t="shared" ref="J90:K90" si="307">(J9*J39)/12/21/7.5</f>
        <v>1591.7034920634921</v>
      </c>
      <c r="K90" s="312">
        <f t="shared" si="307"/>
        <v>1550.890582010582</v>
      </c>
      <c r="L90" s="313">
        <f t="shared" si="211"/>
        <v>-40.812910052910183</v>
      </c>
      <c r="M90" s="311">
        <f t="shared" ref="M90:N90" si="308">(M9*M39)/12/21/7.5</f>
        <v>1550.890582010582</v>
      </c>
      <c r="N90" s="312">
        <f t="shared" si="308"/>
        <v>1510.0776719576718</v>
      </c>
      <c r="O90" s="313">
        <f t="shared" si="212"/>
        <v>-40.812910052910183</v>
      </c>
      <c r="P90" s="311">
        <f t="shared" ref="P90:Q90" si="309">(P9*P39)/12/21/7.5</f>
        <v>1510.0776719576718</v>
      </c>
      <c r="Q90" s="312">
        <f t="shared" si="309"/>
        <v>1469.2647619047616</v>
      </c>
      <c r="R90" s="313">
        <f t="shared" si="213"/>
        <v>-40.812910052910183</v>
      </c>
      <c r="S90" s="311">
        <f t="shared" ref="S90:T90" si="310">(S9*S39)/12/21/7.5</f>
        <v>1469.2647619047616</v>
      </c>
      <c r="T90" s="312">
        <f t="shared" si="310"/>
        <v>1428.4518518518516</v>
      </c>
      <c r="U90" s="313">
        <f t="shared" si="214"/>
        <v>-40.812910052909956</v>
      </c>
      <c r="V90" s="311">
        <f t="shared" ref="V90:W90" si="311">(V9*V39)/12/21/7.5</f>
        <v>1428.4518518518516</v>
      </c>
      <c r="W90" s="312">
        <f t="shared" si="311"/>
        <v>1387.6389417989417</v>
      </c>
      <c r="X90" s="313">
        <f t="shared" si="215"/>
        <v>-40.812910052909956</v>
      </c>
      <c r="Y90" s="311">
        <f t="shared" ref="Y90:Z90" si="312">(Y9*Y39)/12/21/7.5</f>
        <v>1387.6389417989417</v>
      </c>
      <c r="Z90" s="312">
        <f t="shared" si="312"/>
        <v>1346.8260317460315</v>
      </c>
      <c r="AA90" s="313">
        <f t="shared" si="216"/>
        <v>-40.812910052910183</v>
      </c>
      <c r="AB90" s="311">
        <f t="shared" ref="AB90:AC90" si="313">(AB9*AB39)/12/21/7.5</f>
        <v>1346.8260317460315</v>
      </c>
      <c r="AC90" s="312">
        <f t="shared" si="313"/>
        <v>1306.0131216931215</v>
      </c>
      <c r="AD90" s="313">
        <f t="shared" si="217"/>
        <v>-40.812910052909956</v>
      </c>
      <c r="AE90" s="311">
        <f t="shared" ref="AE90:AF90" si="314">(AE9*AE39)/12/21/7.5</f>
        <v>1306.0131216931215</v>
      </c>
      <c r="AF90" s="312">
        <f t="shared" si="314"/>
        <v>1265.2002116402114</v>
      </c>
      <c r="AG90" s="313">
        <f t="shared" si="218"/>
        <v>-40.812910052910183</v>
      </c>
      <c r="AH90" s="311">
        <f t="shared" ref="AH90:AI90" si="315">(AH9*AH39)/12/21/7.5</f>
        <v>1265.2002116402114</v>
      </c>
      <c r="AI90" s="312">
        <f t="shared" si="315"/>
        <v>1224.3873015873012</v>
      </c>
      <c r="AJ90" s="313">
        <f t="shared" si="219"/>
        <v>-40.812910052910183</v>
      </c>
      <c r="AK90" s="311">
        <f t="shared" ref="AK90:AL90" si="316">(AK9*AK39)/12/21/7.5</f>
        <v>1224.3873015873012</v>
      </c>
      <c r="AL90" s="312">
        <f t="shared" si="316"/>
        <v>1183.574391534391</v>
      </c>
      <c r="AM90" s="313">
        <f t="shared" si="220"/>
        <v>-40.812910052910183</v>
      </c>
      <c r="AN90" s="311">
        <f t="shared" ref="AN90:AO90" si="317">(AN9*AN39)/12/21/7.5</f>
        <v>1183.574391534391</v>
      </c>
      <c r="AO90" s="312">
        <f t="shared" si="317"/>
        <v>1142.761481481481</v>
      </c>
      <c r="AP90" s="313">
        <f t="shared" si="221"/>
        <v>-40.812910052909956</v>
      </c>
      <c r="AQ90" s="311">
        <f t="shared" ref="AQ90:AR90" si="318">(AQ9*AQ39)/12/21/7.5</f>
        <v>1142.761481481481</v>
      </c>
      <c r="AR90" s="312">
        <f t="shared" si="318"/>
        <v>1101.9485714285709</v>
      </c>
      <c r="AS90" s="313">
        <f t="shared" si="222"/>
        <v>-40.812910052910183</v>
      </c>
      <c r="AT90" s="311">
        <f t="shared" ref="AT90:AU90" si="319">(AT9*AT39)/12/21/7.5</f>
        <v>0</v>
      </c>
      <c r="AU90" s="312">
        <f t="shared" si="319"/>
        <v>0</v>
      </c>
      <c r="AV90" s="313">
        <f t="shared" si="223"/>
        <v>0</v>
      </c>
      <c r="AW90" s="311">
        <f t="shared" ref="AW90:AX90" si="320">(AW9*AW39)/12/21/7.5</f>
        <v>0</v>
      </c>
      <c r="AX90" s="312">
        <f t="shared" si="320"/>
        <v>0</v>
      </c>
      <c r="AY90" s="313">
        <f t="shared" si="224"/>
        <v>0</v>
      </c>
      <c r="AZ90" s="311">
        <f t="shared" ref="AZ90:BA90" si="321">(AZ9*AZ39)/12/21/7.5</f>
        <v>0</v>
      </c>
      <c r="BA90" s="312">
        <f t="shared" si="321"/>
        <v>0</v>
      </c>
      <c r="BB90" s="313">
        <f t="shared" si="225"/>
        <v>0</v>
      </c>
      <c r="BC90" s="311">
        <f t="shared" ref="BC90:BD90" si="322">(BC9*BC39)/12/21/7.5</f>
        <v>0</v>
      </c>
      <c r="BD90" s="312">
        <f t="shared" si="322"/>
        <v>0</v>
      </c>
      <c r="BE90" s="313">
        <f t="shared" si="226"/>
        <v>0</v>
      </c>
      <c r="BF90" s="311">
        <f t="shared" ref="BF90:BG90" si="323">(BF9*BF39)/12/21/7.5</f>
        <v>0</v>
      </c>
      <c r="BG90" s="312">
        <f t="shared" si="323"/>
        <v>0</v>
      </c>
      <c r="BH90" s="313">
        <f t="shared" si="227"/>
        <v>0</v>
      </c>
      <c r="BI90" s="311">
        <f t="shared" si="251"/>
        <v>0</v>
      </c>
      <c r="BJ90" s="312">
        <f t="shared" si="251"/>
        <v>0</v>
      </c>
      <c r="BK90" s="313">
        <f t="shared" si="228"/>
        <v>0</v>
      </c>
      <c r="BL90" s="311">
        <f t="shared" si="252"/>
        <v>0</v>
      </c>
      <c r="BM90" s="312">
        <f t="shared" si="252"/>
        <v>0</v>
      </c>
      <c r="BN90" s="313">
        <f t="shared" si="229"/>
        <v>0</v>
      </c>
      <c r="BO90" s="311">
        <f t="shared" si="253"/>
        <v>0</v>
      </c>
      <c r="BP90" s="312">
        <f t="shared" si="253"/>
        <v>0</v>
      </c>
      <c r="BQ90" s="313">
        <f t="shared" si="230"/>
        <v>0</v>
      </c>
    </row>
    <row r="91" spans="1:69">
      <c r="A91" s="801"/>
      <c r="B91" s="803"/>
      <c r="C91" s="290" t="s">
        <v>171</v>
      </c>
      <c r="D91" s="291">
        <f t="shared" si="288"/>
        <v>1632.5164021164021</v>
      </c>
      <c r="E91" s="292">
        <f t="shared" si="289"/>
        <v>1101.9485714285709</v>
      </c>
      <c r="F91" s="293">
        <f t="shared" si="209"/>
        <v>-530.56783068783125</v>
      </c>
      <c r="G91" s="311">
        <f t="shared" si="233"/>
        <v>1632.5164021164021</v>
      </c>
      <c r="H91" s="312">
        <f t="shared" si="233"/>
        <v>1591.7034920634921</v>
      </c>
      <c r="I91" s="313">
        <f t="shared" si="210"/>
        <v>-40.812910052909956</v>
      </c>
      <c r="J91" s="311">
        <f t="shared" ref="J91:K91" si="324">(J10*J40)/12/21/7.5</f>
        <v>1591.7034920634921</v>
      </c>
      <c r="K91" s="312">
        <f t="shared" si="324"/>
        <v>1550.890582010582</v>
      </c>
      <c r="L91" s="313">
        <f t="shared" si="211"/>
        <v>-40.812910052910183</v>
      </c>
      <c r="M91" s="311">
        <f t="shared" ref="M91:N91" si="325">(M10*M40)/12/21/7.5</f>
        <v>1550.890582010582</v>
      </c>
      <c r="N91" s="312">
        <f t="shared" si="325"/>
        <v>1510.0776719576718</v>
      </c>
      <c r="O91" s="313">
        <f t="shared" si="212"/>
        <v>-40.812910052910183</v>
      </c>
      <c r="P91" s="311">
        <f t="shared" ref="P91:Q91" si="326">(P10*P40)/12/21/7.5</f>
        <v>1510.0776719576718</v>
      </c>
      <c r="Q91" s="312">
        <f t="shared" si="326"/>
        <v>1469.2647619047616</v>
      </c>
      <c r="R91" s="313">
        <f t="shared" si="213"/>
        <v>-40.812910052910183</v>
      </c>
      <c r="S91" s="311">
        <f t="shared" ref="S91:T91" si="327">(S10*S40)/12/21/7.5</f>
        <v>1469.2647619047616</v>
      </c>
      <c r="T91" s="312">
        <f t="shared" si="327"/>
        <v>1428.4518518518516</v>
      </c>
      <c r="U91" s="313">
        <f t="shared" si="214"/>
        <v>-40.812910052909956</v>
      </c>
      <c r="V91" s="311">
        <f t="shared" ref="V91:W91" si="328">(V10*V40)/12/21/7.5</f>
        <v>1428.4518518518516</v>
      </c>
      <c r="W91" s="312">
        <f t="shared" si="328"/>
        <v>1387.6389417989417</v>
      </c>
      <c r="X91" s="313">
        <f t="shared" si="215"/>
        <v>-40.812910052909956</v>
      </c>
      <c r="Y91" s="311">
        <f t="shared" ref="Y91:Z91" si="329">(Y10*Y40)/12/21/7.5</f>
        <v>1387.6389417989417</v>
      </c>
      <c r="Z91" s="312">
        <f t="shared" si="329"/>
        <v>1346.8260317460315</v>
      </c>
      <c r="AA91" s="313">
        <f t="shared" si="216"/>
        <v>-40.812910052910183</v>
      </c>
      <c r="AB91" s="311">
        <f t="shared" ref="AB91:AC91" si="330">(AB10*AB40)/12/21/7.5</f>
        <v>1346.8260317460315</v>
      </c>
      <c r="AC91" s="312">
        <f t="shared" si="330"/>
        <v>1306.0131216931215</v>
      </c>
      <c r="AD91" s="313">
        <f t="shared" si="217"/>
        <v>-40.812910052909956</v>
      </c>
      <c r="AE91" s="311">
        <f t="shared" ref="AE91:AF91" si="331">(AE10*AE40)/12/21/7.5</f>
        <v>1306.0131216931215</v>
      </c>
      <c r="AF91" s="312">
        <f t="shared" si="331"/>
        <v>1265.2002116402114</v>
      </c>
      <c r="AG91" s="313">
        <f t="shared" si="218"/>
        <v>-40.812910052910183</v>
      </c>
      <c r="AH91" s="311">
        <f t="shared" ref="AH91:AI91" si="332">(AH10*AH40)/12/21/7.5</f>
        <v>1265.2002116402114</v>
      </c>
      <c r="AI91" s="312">
        <f t="shared" si="332"/>
        <v>1224.3873015873012</v>
      </c>
      <c r="AJ91" s="313">
        <f t="shared" si="219"/>
        <v>-40.812910052910183</v>
      </c>
      <c r="AK91" s="311">
        <f t="shared" ref="AK91:AL91" si="333">(AK10*AK40)/12/21/7.5</f>
        <v>1224.3873015873012</v>
      </c>
      <c r="AL91" s="312">
        <f t="shared" si="333"/>
        <v>1183.574391534391</v>
      </c>
      <c r="AM91" s="313">
        <f t="shared" si="220"/>
        <v>-40.812910052910183</v>
      </c>
      <c r="AN91" s="311">
        <f t="shared" ref="AN91:AO91" si="334">(AN10*AN40)/12/21/7.5</f>
        <v>1183.574391534391</v>
      </c>
      <c r="AO91" s="312">
        <f t="shared" si="334"/>
        <v>1142.761481481481</v>
      </c>
      <c r="AP91" s="313">
        <f t="shared" si="221"/>
        <v>-40.812910052909956</v>
      </c>
      <c r="AQ91" s="311">
        <f t="shared" ref="AQ91:AR91" si="335">(AQ10*AQ40)/12/21/7.5</f>
        <v>1142.761481481481</v>
      </c>
      <c r="AR91" s="312">
        <f t="shared" si="335"/>
        <v>1101.9485714285709</v>
      </c>
      <c r="AS91" s="313">
        <f t="shared" si="222"/>
        <v>-40.812910052910183</v>
      </c>
      <c r="AT91" s="311">
        <f t="shared" ref="AT91:AU91" si="336">(AT10*AT40)/12/21/7.5</f>
        <v>0</v>
      </c>
      <c r="AU91" s="312">
        <f t="shared" si="336"/>
        <v>0</v>
      </c>
      <c r="AV91" s="313">
        <f t="shared" si="223"/>
        <v>0</v>
      </c>
      <c r="AW91" s="311">
        <f t="shared" ref="AW91:AX91" si="337">(AW10*AW40)/12/21/7.5</f>
        <v>0</v>
      </c>
      <c r="AX91" s="312">
        <f t="shared" si="337"/>
        <v>0</v>
      </c>
      <c r="AY91" s="313">
        <f t="shared" si="224"/>
        <v>0</v>
      </c>
      <c r="AZ91" s="311">
        <f t="shared" ref="AZ91:BA91" si="338">(AZ10*AZ40)/12/21/7.5</f>
        <v>0</v>
      </c>
      <c r="BA91" s="312">
        <f t="shared" si="338"/>
        <v>0</v>
      </c>
      <c r="BB91" s="313">
        <f t="shared" si="225"/>
        <v>0</v>
      </c>
      <c r="BC91" s="311">
        <f t="shared" ref="BC91:BD91" si="339">(BC10*BC40)/12/21/7.5</f>
        <v>0</v>
      </c>
      <c r="BD91" s="312">
        <f t="shared" si="339"/>
        <v>0</v>
      </c>
      <c r="BE91" s="313">
        <f t="shared" si="226"/>
        <v>0</v>
      </c>
      <c r="BF91" s="311">
        <f t="shared" ref="BF91:BG91" si="340">(BF10*BF40)/12/21/7.5</f>
        <v>0</v>
      </c>
      <c r="BG91" s="312">
        <f t="shared" si="340"/>
        <v>0</v>
      </c>
      <c r="BH91" s="313">
        <f t="shared" si="227"/>
        <v>0</v>
      </c>
      <c r="BI91" s="311">
        <f t="shared" si="251"/>
        <v>0</v>
      </c>
      <c r="BJ91" s="312">
        <f t="shared" si="251"/>
        <v>0</v>
      </c>
      <c r="BK91" s="313">
        <f t="shared" si="228"/>
        <v>0</v>
      </c>
      <c r="BL91" s="311">
        <f t="shared" si="252"/>
        <v>0</v>
      </c>
      <c r="BM91" s="312">
        <f t="shared" si="252"/>
        <v>0</v>
      </c>
      <c r="BN91" s="313">
        <f t="shared" si="229"/>
        <v>0</v>
      </c>
      <c r="BO91" s="311">
        <f t="shared" si="253"/>
        <v>0</v>
      </c>
      <c r="BP91" s="312">
        <f t="shared" si="253"/>
        <v>0</v>
      </c>
      <c r="BQ91" s="313">
        <f t="shared" si="230"/>
        <v>0</v>
      </c>
    </row>
    <row r="92" spans="1:69">
      <c r="A92" s="801"/>
      <c r="B92" s="803"/>
      <c r="C92" s="290" t="s">
        <v>172</v>
      </c>
      <c r="D92" s="291">
        <f t="shared" si="288"/>
        <v>1632.5164021164021</v>
      </c>
      <c r="E92" s="292">
        <f t="shared" si="289"/>
        <v>1101.9485714285709</v>
      </c>
      <c r="F92" s="293">
        <f t="shared" si="209"/>
        <v>-530.56783068783125</v>
      </c>
      <c r="G92" s="311">
        <f t="shared" si="233"/>
        <v>1632.5164021164021</v>
      </c>
      <c r="H92" s="312">
        <f t="shared" si="233"/>
        <v>1591.7034920634921</v>
      </c>
      <c r="I92" s="313">
        <f t="shared" si="210"/>
        <v>-40.812910052909956</v>
      </c>
      <c r="J92" s="311">
        <f t="shared" ref="J92:K92" si="341">(J11*J41)/12/21/7.5</f>
        <v>1591.7034920634921</v>
      </c>
      <c r="K92" s="312">
        <f t="shared" si="341"/>
        <v>1550.890582010582</v>
      </c>
      <c r="L92" s="313">
        <f t="shared" si="211"/>
        <v>-40.812910052910183</v>
      </c>
      <c r="M92" s="311">
        <f t="shared" ref="M92:N92" si="342">(M11*M41)/12/21/7.5</f>
        <v>1550.890582010582</v>
      </c>
      <c r="N92" s="312">
        <f t="shared" si="342"/>
        <v>1510.0776719576718</v>
      </c>
      <c r="O92" s="313">
        <f t="shared" si="212"/>
        <v>-40.812910052910183</v>
      </c>
      <c r="P92" s="311">
        <f t="shared" ref="P92:Q92" si="343">(P11*P41)/12/21/7.5</f>
        <v>1510.0776719576718</v>
      </c>
      <c r="Q92" s="312">
        <f t="shared" si="343"/>
        <v>1469.2647619047616</v>
      </c>
      <c r="R92" s="313">
        <f t="shared" si="213"/>
        <v>-40.812910052910183</v>
      </c>
      <c r="S92" s="311">
        <f t="shared" ref="S92:T92" si="344">(S11*S41)/12/21/7.5</f>
        <v>1469.2647619047616</v>
      </c>
      <c r="T92" s="312">
        <f t="shared" si="344"/>
        <v>1428.4518518518516</v>
      </c>
      <c r="U92" s="313">
        <f t="shared" si="214"/>
        <v>-40.812910052909956</v>
      </c>
      <c r="V92" s="311">
        <f t="shared" ref="V92:W92" si="345">(V11*V41)/12/21/7.5</f>
        <v>1428.4518518518516</v>
      </c>
      <c r="W92" s="312">
        <f t="shared" si="345"/>
        <v>1387.6389417989417</v>
      </c>
      <c r="X92" s="313">
        <f t="shared" si="215"/>
        <v>-40.812910052909956</v>
      </c>
      <c r="Y92" s="311">
        <f t="shared" ref="Y92:Z92" si="346">(Y11*Y41)/12/21/7.5</f>
        <v>1387.6389417989417</v>
      </c>
      <c r="Z92" s="312">
        <f t="shared" si="346"/>
        <v>1346.8260317460315</v>
      </c>
      <c r="AA92" s="313">
        <f t="shared" si="216"/>
        <v>-40.812910052910183</v>
      </c>
      <c r="AB92" s="311">
        <f t="shared" ref="AB92:AC92" si="347">(AB11*AB41)/12/21/7.5</f>
        <v>1346.8260317460315</v>
      </c>
      <c r="AC92" s="312">
        <f t="shared" si="347"/>
        <v>1306.0131216931215</v>
      </c>
      <c r="AD92" s="313">
        <f t="shared" si="217"/>
        <v>-40.812910052909956</v>
      </c>
      <c r="AE92" s="311">
        <f t="shared" ref="AE92:AF92" si="348">(AE11*AE41)/12/21/7.5</f>
        <v>1306.0131216931215</v>
      </c>
      <c r="AF92" s="312">
        <f t="shared" si="348"/>
        <v>1265.2002116402114</v>
      </c>
      <c r="AG92" s="313">
        <f t="shared" si="218"/>
        <v>-40.812910052910183</v>
      </c>
      <c r="AH92" s="311">
        <f t="shared" ref="AH92:AI92" si="349">(AH11*AH41)/12/21/7.5</f>
        <v>1265.2002116402114</v>
      </c>
      <c r="AI92" s="312">
        <f t="shared" si="349"/>
        <v>1224.3873015873012</v>
      </c>
      <c r="AJ92" s="313">
        <f t="shared" si="219"/>
        <v>-40.812910052910183</v>
      </c>
      <c r="AK92" s="311">
        <f t="shared" ref="AK92:AL92" si="350">(AK11*AK41)/12/21/7.5</f>
        <v>1224.3873015873012</v>
      </c>
      <c r="AL92" s="312">
        <f t="shared" si="350"/>
        <v>1183.574391534391</v>
      </c>
      <c r="AM92" s="313">
        <f t="shared" si="220"/>
        <v>-40.812910052910183</v>
      </c>
      <c r="AN92" s="311">
        <f t="shared" ref="AN92:AO92" si="351">(AN11*AN41)/12/21/7.5</f>
        <v>1183.574391534391</v>
      </c>
      <c r="AO92" s="312">
        <f t="shared" si="351"/>
        <v>1142.761481481481</v>
      </c>
      <c r="AP92" s="313">
        <f t="shared" si="221"/>
        <v>-40.812910052909956</v>
      </c>
      <c r="AQ92" s="311">
        <f t="shared" ref="AQ92:AR92" si="352">(AQ11*AQ41)/12/21/7.5</f>
        <v>1142.761481481481</v>
      </c>
      <c r="AR92" s="312">
        <f t="shared" si="352"/>
        <v>1101.9485714285709</v>
      </c>
      <c r="AS92" s="313">
        <f t="shared" si="222"/>
        <v>-40.812910052910183</v>
      </c>
      <c r="AT92" s="311">
        <f t="shared" ref="AT92:AU92" si="353">(AT11*AT41)/12/21/7.5</f>
        <v>0</v>
      </c>
      <c r="AU92" s="312">
        <f t="shared" si="353"/>
        <v>0</v>
      </c>
      <c r="AV92" s="313">
        <f t="shared" si="223"/>
        <v>0</v>
      </c>
      <c r="AW92" s="311">
        <f t="shared" ref="AW92:AX92" si="354">(AW11*AW41)/12/21/7.5</f>
        <v>0</v>
      </c>
      <c r="AX92" s="312">
        <f t="shared" si="354"/>
        <v>0</v>
      </c>
      <c r="AY92" s="313">
        <f t="shared" si="224"/>
        <v>0</v>
      </c>
      <c r="AZ92" s="311">
        <f t="shared" ref="AZ92:BA92" si="355">(AZ11*AZ41)/12/21/7.5</f>
        <v>0</v>
      </c>
      <c r="BA92" s="312">
        <f t="shared" si="355"/>
        <v>0</v>
      </c>
      <c r="BB92" s="313">
        <f t="shared" si="225"/>
        <v>0</v>
      </c>
      <c r="BC92" s="311">
        <f t="shared" ref="BC92:BD92" si="356">(BC11*BC41)/12/21/7.5</f>
        <v>0</v>
      </c>
      <c r="BD92" s="312">
        <f t="shared" si="356"/>
        <v>0</v>
      </c>
      <c r="BE92" s="313">
        <f t="shared" si="226"/>
        <v>0</v>
      </c>
      <c r="BF92" s="311">
        <f t="shared" ref="BF92:BG92" si="357">(BF11*BF41)/12/21/7.5</f>
        <v>0</v>
      </c>
      <c r="BG92" s="312">
        <f t="shared" si="357"/>
        <v>0</v>
      </c>
      <c r="BH92" s="313">
        <f t="shared" si="227"/>
        <v>0</v>
      </c>
      <c r="BI92" s="311">
        <f t="shared" si="251"/>
        <v>0</v>
      </c>
      <c r="BJ92" s="312">
        <f t="shared" si="251"/>
        <v>0</v>
      </c>
      <c r="BK92" s="313">
        <f t="shared" si="228"/>
        <v>0</v>
      </c>
      <c r="BL92" s="311">
        <f t="shared" si="252"/>
        <v>0</v>
      </c>
      <c r="BM92" s="312">
        <f t="shared" si="252"/>
        <v>0</v>
      </c>
      <c r="BN92" s="313">
        <f t="shared" si="229"/>
        <v>0</v>
      </c>
      <c r="BO92" s="311">
        <f t="shared" si="253"/>
        <v>0</v>
      </c>
      <c r="BP92" s="312">
        <f t="shared" si="253"/>
        <v>0</v>
      </c>
      <c r="BQ92" s="313">
        <f t="shared" si="230"/>
        <v>0</v>
      </c>
    </row>
    <row r="93" spans="1:69">
      <c r="A93" s="801"/>
      <c r="B93" s="803"/>
      <c r="C93" s="290" t="s">
        <v>173</v>
      </c>
      <c r="D93" s="291">
        <f t="shared" si="288"/>
        <v>1632.5164021164021</v>
      </c>
      <c r="E93" s="292">
        <f t="shared" si="289"/>
        <v>1101.9485714285709</v>
      </c>
      <c r="F93" s="293">
        <f t="shared" si="209"/>
        <v>-530.56783068783125</v>
      </c>
      <c r="G93" s="311">
        <f t="shared" si="233"/>
        <v>1632.5164021164021</v>
      </c>
      <c r="H93" s="312">
        <f t="shared" si="233"/>
        <v>1591.7034920634921</v>
      </c>
      <c r="I93" s="313">
        <f t="shared" si="210"/>
        <v>-40.812910052909956</v>
      </c>
      <c r="J93" s="311">
        <f t="shared" ref="J93:K93" si="358">(J12*J42)/12/21/7.5</f>
        <v>1591.7034920634921</v>
      </c>
      <c r="K93" s="312">
        <f t="shared" si="358"/>
        <v>1550.890582010582</v>
      </c>
      <c r="L93" s="313">
        <f t="shared" si="211"/>
        <v>-40.812910052910183</v>
      </c>
      <c r="M93" s="311">
        <f t="shared" ref="M93:N93" si="359">(M12*M42)/12/21/7.5</f>
        <v>1550.890582010582</v>
      </c>
      <c r="N93" s="312">
        <f t="shared" si="359"/>
        <v>1510.0776719576718</v>
      </c>
      <c r="O93" s="313">
        <f t="shared" si="212"/>
        <v>-40.812910052910183</v>
      </c>
      <c r="P93" s="311">
        <f t="shared" ref="P93:Q93" si="360">(P12*P42)/12/21/7.5</f>
        <v>1510.0776719576718</v>
      </c>
      <c r="Q93" s="312">
        <f t="shared" si="360"/>
        <v>1469.2647619047616</v>
      </c>
      <c r="R93" s="313">
        <f t="shared" si="213"/>
        <v>-40.812910052910183</v>
      </c>
      <c r="S93" s="311">
        <f t="shared" ref="S93:T93" si="361">(S12*S42)/12/21/7.5</f>
        <v>1469.2647619047616</v>
      </c>
      <c r="T93" s="312">
        <f t="shared" si="361"/>
        <v>1428.4518518518516</v>
      </c>
      <c r="U93" s="313">
        <f t="shared" si="214"/>
        <v>-40.812910052909956</v>
      </c>
      <c r="V93" s="311">
        <f t="shared" ref="V93:W93" si="362">(V12*V42)/12/21/7.5</f>
        <v>1428.4518518518516</v>
      </c>
      <c r="W93" s="312">
        <f t="shared" si="362"/>
        <v>1387.6389417989417</v>
      </c>
      <c r="X93" s="313">
        <f t="shared" si="215"/>
        <v>-40.812910052909956</v>
      </c>
      <c r="Y93" s="311">
        <f t="shared" ref="Y93:Z93" si="363">(Y12*Y42)/12/21/7.5</f>
        <v>1387.6389417989417</v>
      </c>
      <c r="Z93" s="312">
        <f t="shared" si="363"/>
        <v>1346.8260317460315</v>
      </c>
      <c r="AA93" s="313">
        <f t="shared" si="216"/>
        <v>-40.812910052910183</v>
      </c>
      <c r="AB93" s="311">
        <f t="shared" ref="AB93:AC93" si="364">(AB12*AB42)/12/21/7.5</f>
        <v>1346.8260317460315</v>
      </c>
      <c r="AC93" s="312">
        <f t="shared" si="364"/>
        <v>1306.0131216931215</v>
      </c>
      <c r="AD93" s="313">
        <f t="shared" si="217"/>
        <v>-40.812910052909956</v>
      </c>
      <c r="AE93" s="311">
        <f t="shared" ref="AE93:AF93" si="365">(AE12*AE42)/12/21/7.5</f>
        <v>1306.0131216931215</v>
      </c>
      <c r="AF93" s="312">
        <f t="shared" si="365"/>
        <v>1265.2002116402114</v>
      </c>
      <c r="AG93" s="313">
        <f t="shared" si="218"/>
        <v>-40.812910052910183</v>
      </c>
      <c r="AH93" s="311">
        <f t="shared" ref="AH93:AI93" si="366">(AH12*AH42)/12/21/7.5</f>
        <v>1265.2002116402114</v>
      </c>
      <c r="AI93" s="312">
        <f t="shared" si="366"/>
        <v>1224.3873015873012</v>
      </c>
      <c r="AJ93" s="313">
        <f t="shared" si="219"/>
        <v>-40.812910052910183</v>
      </c>
      <c r="AK93" s="311">
        <f t="shared" ref="AK93:AL93" si="367">(AK12*AK42)/12/21/7.5</f>
        <v>1224.3873015873012</v>
      </c>
      <c r="AL93" s="312">
        <f t="shared" si="367"/>
        <v>1183.574391534391</v>
      </c>
      <c r="AM93" s="313">
        <f t="shared" si="220"/>
        <v>-40.812910052910183</v>
      </c>
      <c r="AN93" s="311">
        <f t="shared" ref="AN93:AO93" si="368">(AN12*AN42)/12/21/7.5</f>
        <v>1183.574391534391</v>
      </c>
      <c r="AO93" s="312">
        <f t="shared" si="368"/>
        <v>1142.761481481481</v>
      </c>
      <c r="AP93" s="313">
        <f t="shared" si="221"/>
        <v>-40.812910052909956</v>
      </c>
      <c r="AQ93" s="311">
        <f t="shared" ref="AQ93:AR93" si="369">(AQ12*AQ42)/12/21/7.5</f>
        <v>1142.761481481481</v>
      </c>
      <c r="AR93" s="312">
        <f t="shared" si="369"/>
        <v>1101.9485714285709</v>
      </c>
      <c r="AS93" s="313">
        <f t="shared" si="222"/>
        <v>-40.812910052910183</v>
      </c>
      <c r="AT93" s="311">
        <f t="shared" ref="AT93:AU93" si="370">(AT12*AT42)/12/21/7.5</f>
        <v>0</v>
      </c>
      <c r="AU93" s="312">
        <f t="shared" si="370"/>
        <v>0</v>
      </c>
      <c r="AV93" s="313">
        <f t="shared" si="223"/>
        <v>0</v>
      </c>
      <c r="AW93" s="311">
        <f t="shared" ref="AW93:AX93" si="371">(AW12*AW42)/12/21/7.5</f>
        <v>0</v>
      </c>
      <c r="AX93" s="312">
        <f t="shared" si="371"/>
        <v>0</v>
      </c>
      <c r="AY93" s="313">
        <f t="shared" si="224"/>
        <v>0</v>
      </c>
      <c r="AZ93" s="311">
        <f t="shared" ref="AZ93:BA93" si="372">(AZ12*AZ42)/12/21/7.5</f>
        <v>0</v>
      </c>
      <c r="BA93" s="312">
        <f t="shared" si="372"/>
        <v>0</v>
      </c>
      <c r="BB93" s="313">
        <f t="shared" si="225"/>
        <v>0</v>
      </c>
      <c r="BC93" s="311">
        <f t="shared" ref="BC93:BD93" si="373">(BC12*BC42)/12/21/7.5</f>
        <v>0</v>
      </c>
      <c r="BD93" s="312">
        <f t="shared" si="373"/>
        <v>0</v>
      </c>
      <c r="BE93" s="313">
        <f t="shared" si="226"/>
        <v>0</v>
      </c>
      <c r="BF93" s="311">
        <f t="shared" ref="BF93:BG93" si="374">(BF12*BF42)/12/21/7.5</f>
        <v>0</v>
      </c>
      <c r="BG93" s="312">
        <f t="shared" si="374"/>
        <v>0</v>
      </c>
      <c r="BH93" s="313">
        <f t="shared" si="227"/>
        <v>0</v>
      </c>
      <c r="BI93" s="311">
        <f t="shared" si="251"/>
        <v>0</v>
      </c>
      <c r="BJ93" s="312">
        <f t="shared" si="251"/>
        <v>0</v>
      </c>
      <c r="BK93" s="313">
        <f t="shared" si="228"/>
        <v>0</v>
      </c>
      <c r="BL93" s="311">
        <f t="shared" si="252"/>
        <v>0</v>
      </c>
      <c r="BM93" s="312">
        <f t="shared" si="252"/>
        <v>0</v>
      </c>
      <c r="BN93" s="313">
        <f t="shared" si="229"/>
        <v>0</v>
      </c>
      <c r="BO93" s="311">
        <f t="shared" si="253"/>
        <v>0</v>
      </c>
      <c r="BP93" s="312">
        <f t="shared" si="253"/>
        <v>0</v>
      </c>
      <c r="BQ93" s="313">
        <f t="shared" si="230"/>
        <v>0</v>
      </c>
    </row>
    <row r="94" spans="1:69">
      <c r="A94" s="801"/>
      <c r="B94" s="803"/>
      <c r="C94" s="290" t="s">
        <v>174</v>
      </c>
      <c r="D94" s="291">
        <f t="shared" si="288"/>
        <v>1632.5164021164021</v>
      </c>
      <c r="E94" s="292">
        <f t="shared" si="289"/>
        <v>1101.9485714285709</v>
      </c>
      <c r="F94" s="293">
        <f t="shared" si="209"/>
        <v>-530.56783068783125</v>
      </c>
      <c r="G94" s="311">
        <f t="shared" si="233"/>
        <v>1632.5164021164021</v>
      </c>
      <c r="H94" s="312">
        <f t="shared" si="233"/>
        <v>1591.7034920634921</v>
      </c>
      <c r="I94" s="313">
        <f t="shared" si="210"/>
        <v>-40.812910052909956</v>
      </c>
      <c r="J94" s="311">
        <f t="shared" ref="J94:K94" si="375">(J13*J43)/12/21/7.5</f>
        <v>1591.7034920634921</v>
      </c>
      <c r="K94" s="312">
        <f t="shared" si="375"/>
        <v>1550.890582010582</v>
      </c>
      <c r="L94" s="313">
        <f t="shared" si="211"/>
        <v>-40.812910052910183</v>
      </c>
      <c r="M94" s="311">
        <f t="shared" ref="M94:N94" si="376">(M13*M43)/12/21/7.5</f>
        <v>1550.890582010582</v>
      </c>
      <c r="N94" s="312">
        <f t="shared" si="376"/>
        <v>1510.0776719576718</v>
      </c>
      <c r="O94" s="313">
        <f t="shared" si="212"/>
        <v>-40.812910052910183</v>
      </c>
      <c r="P94" s="311">
        <f t="shared" ref="P94:Q94" si="377">(P13*P43)/12/21/7.5</f>
        <v>1510.0776719576718</v>
      </c>
      <c r="Q94" s="312">
        <f t="shared" si="377"/>
        <v>1469.2647619047616</v>
      </c>
      <c r="R94" s="313">
        <f t="shared" si="213"/>
        <v>-40.812910052910183</v>
      </c>
      <c r="S94" s="311">
        <f t="shared" ref="S94:T94" si="378">(S13*S43)/12/21/7.5</f>
        <v>1469.2647619047616</v>
      </c>
      <c r="T94" s="312">
        <f t="shared" si="378"/>
        <v>1428.4518518518516</v>
      </c>
      <c r="U94" s="313">
        <f t="shared" si="214"/>
        <v>-40.812910052909956</v>
      </c>
      <c r="V94" s="311">
        <f t="shared" ref="V94:W94" si="379">(V13*V43)/12/21/7.5</f>
        <v>1428.4518518518516</v>
      </c>
      <c r="W94" s="312">
        <f t="shared" si="379"/>
        <v>1387.6389417989417</v>
      </c>
      <c r="X94" s="313">
        <f t="shared" si="215"/>
        <v>-40.812910052909956</v>
      </c>
      <c r="Y94" s="311">
        <f t="shared" ref="Y94:Z94" si="380">(Y13*Y43)/12/21/7.5</f>
        <v>1387.6389417989417</v>
      </c>
      <c r="Z94" s="312">
        <f t="shared" si="380"/>
        <v>1346.8260317460315</v>
      </c>
      <c r="AA94" s="313">
        <f t="shared" si="216"/>
        <v>-40.812910052910183</v>
      </c>
      <c r="AB94" s="311">
        <f t="shared" ref="AB94:AC94" si="381">(AB13*AB43)/12/21/7.5</f>
        <v>1346.8260317460315</v>
      </c>
      <c r="AC94" s="312">
        <f t="shared" si="381"/>
        <v>1306.0131216931215</v>
      </c>
      <c r="AD94" s="313">
        <f t="shared" si="217"/>
        <v>-40.812910052909956</v>
      </c>
      <c r="AE94" s="311">
        <f t="shared" ref="AE94:AF94" si="382">(AE13*AE43)/12/21/7.5</f>
        <v>1306.0131216931215</v>
      </c>
      <c r="AF94" s="312">
        <f t="shared" si="382"/>
        <v>1265.2002116402114</v>
      </c>
      <c r="AG94" s="313">
        <f t="shared" si="218"/>
        <v>-40.812910052910183</v>
      </c>
      <c r="AH94" s="311">
        <f t="shared" ref="AH94:AI94" si="383">(AH13*AH43)/12/21/7.5</f>
        <v>1265.2002116402114</v>
      </c>
      <c r="AI94" s="312">
        <f t="shared" si="383"/>
        <v>1224.3873015873012</v>
      </c>
      <c r="AJ94" s="313">
        <f t="shared" si="219"/>
        <v>-40.812910052910183</v>
      </c>
      <c r="AK94" s="311">
        <f t="shared" ref="AK94:AL94" si="384">(AK13*AK43)/12/21/7.5</f>
        <v>1224.3873015873012</v>
      </c>
      <c r="AL94" s="312">
        <f t="shared" si="384"/>
        <v>1183.574391534391</v>
      </c>
      <c r="AM94" s="313">
        <f t="shared" si="220"/>
        <v>-40.812910052910183</v>
      </c>
      <c r="AN94" s="311">
        <f t="shared" ref="AN94:AO94" si="385">(AN13*AN43)/12/21/7.5</f>
        <v>1183.574391534391</v>
      </c>
      <c r="AO94" s="312">
        <f t="shared" si="385"/>
        <v>1142.761481481481</v>
      </c>
      <c r="AP94" s="313">
        <f t="shared" si="221"/>
        <v>-40.812910052909956</v>
      </c>
      <c r="AQ94" s="311">
        <f t="shared" ref="AQ94:AR94" si="386">(AQ13*AQ43)/12/21/7.5</f>
        <v>1142.761481481481</v>
      </c>
      <c r="AR94" s="312">
        <f t="shared" si="386"/>
        <v>1101.9485714285709</v>
      </c>
      <c r="AS94" s="313">
        <f t="shared" si="222"/>
        <v>-40.812910052910183</v>
      </c>
      <c r="AT94" s="311">
        <f t="shared" ref="AT94:AU94" si="387">(AT13*AT43)/12/21/7.5</f>
        <v>0</v>
      </c>
      <c r="AU94" s="312">
        <f t="shared" si="387"/>
        <v>0</v>
      </c>
      <c r="AV94" s="313">
        <f t="shared" si="223"/>
        <v>0</v>
      </c>
      <c r="AW94" s="311">
        <f t="shared" ref="AW94:AX94" si="388">(AW13*AW43)/12/21/7.5</f>
        <v>0</v>
      </c>
      <c r="AX94" s="312">
        <f t="shared" si="388"/>
        <v>0</v>
      </c>
      <c r="AY94" s="313">
        <f t="shared" si="224"/>
        <v>0</v>
      </c>
      <c r="AZ94" s="311">
        <f t="shared" ref="AZ94:BA94" si="389">(AZ13*AZ43)/12/21/7.5</f>
        <v>0</v>
      </c>
      <c r="BA94" s="312">
        <f t="shared" si="389"/>
        <v>0</v>
      </c>
      <c r="BB94" s="313">
        <f t="shared" si="225"/>
        <v>0</v>
      </c>
      <c r="BC94" s="311">
        <f t="shared" ref="BC94:BD94" si="390">(BC13*BC43)/12/21/7.5</f>
        <v>0</v>
      </c>
      <c r="BD94" s="312">
        <f t="shared" si="390"/>
        <v>0</v>
      </c>
      <c r="BE94" s="313">
        <f t="shared" si="226"/>
        <v>0</v>
      </c>
      <c r="BF94" s="311">
        <f t="shared" ref="BF94:BG94" si="391">(BF13*BF43)/12/21/7.5</f>
        <v>0</v>
      </c>
      <c r="BG94" s="312">
        <f t="shared" si="391"/>
        <v>0</v>
      </c>
      <c r="BH94" s="313">
        <f t="shared" si="227"/>
        <v>0</v>
      </c>
      <c r="BI94" s="311">
        <f t="shared" si="251"/>
        <v>0</v>
      </c>
      <c r="BJ94" s="312">
        <f t="shared" si="251"/>
        <v>0</v>
      </c>
      <c r="BK94" s="313">
        <f t="shared" si="228"/>
        <v>0</v>
      </c>
      <c r="BL94" s="311">
        <f t="shared" si="252"/>
        <v>0</v>
      </c>
      <c r="BM94" s="312">
        <f t="shared" si="252"/>
        <v>0</v>
      </c>
      <c r="BN94" s="313">
        <f t="shared" si="229"/>
        <v>0</v>
      </c>
      <c r="BO94" s="311">
        <f t="shared" si="253"/>
        <v>0</v>
      </c>
      <c r="BP94" s="312">
        <f t="shared" si="253"/>
        <v>0</v>
      </c>
      <c r="BQ94" s="313">
        <f t="shared" si="230"/>
        <v>0</v>
      </c>
    </row>
    <row r="95" spans="1:69" ht="15" thickBot="1">
      <c r="A95" s="802"/>
      <c r="B95" s="804"/>
      <c r="C95" s="300" t="s">
        <v>175</v>
      </c>
      <c r="D95" s="301">
        <f t="shared" si="288"/>
        <v>1632.5164021164021</v>
      </c>
      <c r="E95" s="302">
        <f t="shared" si="289"/>
        <v>1101.9485714285709</v>
      </c>
      <c r="F95" s="303">
        <f t="shared" si="209"/>
        <v>-530.56783068783125</v>
      </c>
      <c r="G95" s="314">
        <f t="shared" si="233"/>
        <v>1632.5164021164021</v>
      </c>
      <c r="H95" s="315">
        <f t="shared" si="233"/>
        <v>1591.7034920634921</v>
      </c>
      <c r="I95" s="316">
        <f t="shared" si="210"/>
        <v>-40.812910052909956</v>
      </c>
      <c r="J95" s="314">
        <f t="shared" ref="J95:K95" si="392">(J14*J44)/12/21/7.5</f>
        <v>1591.7034920634921</v>
      </c>
      <c r="K95" s="315">
        <f t="shared" si="392"/>
        <v>1550.890582010582</v>
      </c>
      <c r="L95" s="316">
        <f t="shared" si="211"/>
        <v>-40.812910052910183</v>
      </c>
      <c r="M95" s="314">
        <f t="shared" ref="M95:N95" si="393">(M14*M44)/12/21/7.5</f>
        <v>1550.890582010582</v>
      </c>
      <c r="N95" s="315">
        <f t="shared" si="393"/>
        <v>1510.0776719576718</v>
      </c>
      <c r="O95" s="316">
        <f t="shared" si="212"/>
        <v>-40.812910052910183</v>
      </c>
      <c r="P95" s="314">
        <f t="shared" ref="P95:Q95" si="394">(P14*P44)/12/21/7.5</f>
        <v>1510.0776719576718</v>
      </c>
      <c r="Q95" s="315">
        <f t="shared" si="394"/>
        <v>1469.2647619047616</v>
      </c>
      <c r="R95" s="316">
        <f t="shared" si="213"/>
        <v>-40.812910052910183</v>
      </c>
      <c r="S95" s="314">
        <f t="shared" ref="S95:T95" si="395">(S14*S44)/12/21/7.5</f>
        <v>1469.2647619047616</v>
      </c>
      <c r="T95" s="315">
        <f t="shared" si="395"/>
        <v>1428.4518518518516</v>
      </c>
      <c r="U95" s="316">
        <f t="shared" si="214"/>
        <v>-40.812910052909956</v>
      </c>
      <c r="V95" s="314">
        <f t="shared" ref="V95:W95" si="396">(V14*V44)/12/21/7.5</f>
        <v>1428.4518518518516</v>
      </c>
      <c r="W95" s="315">
        <f t="shared" si="396"/>
        <v>1387.6389417989417</v>
      </c>
      <c r="X95" s="316">
        <f t="shared" si="215"/>
        <v>-40.812910052909956</v>
      </c>
      <c r="Y95" s="314">
        <f t="shared" ref="Y95:Z95" si="397">(Y14*Y44)/12/21/7.5</f>
        <v>1387.6389417989417</v>
      </c>
      <c r="Z95" s="315">
        <f t="shared" si="397"/>
        <v>1346.8260317460315</v>
      </c>
      <c r="AA95" s="316">
        <f t="shared" si="216"/>
        <v>-40.812910052910183</v>
      </c>
      <c r="AB95" s="314">
        <f t="shared" ref="AB95:AC95" si="398">(AB14*AB44)/12/21/7.5</f>
        <v>1346.8260317460315</v>
      </c>
      <c r="AC95" s="315">
        <f t="shared" si="398"/>
        <v>1306.0131216931215</v>
      </c>
      <c r="AD95" s="316">
        <f t="shared" si="217"/>
        <v>-40.812910052909956</v>
      </c>
      <c r="AE95" s="314">
        <f t="shared" ref="AE95:AF95" si="399">(AE14*AE44)/12/21/7.5</f>
        <v>1306.0131216931215</v>
      </c>
      <c r="AF95" s="315">
        <f t="shared" si="399"/>
        <v>1265.2002116402114</v>
      </c>
      <c r="AG95" s="316">
        <f t="shared" si="218"/>
        <v>-40.812910052910183</v>
      </c>
      <c r="AH95" s="314">
        <f t="shared" ref="AH95:AI95" si="400">(AH14*AH44)/12/21/7.5</f>
        <v>1265.2002116402114</v>
      </c>
      <c r="AI95" s="315">
        <f t="shared" si="400"/>
        <v>1224.3873015873012</v>
      </c>
      <c r="AJ95" s="316">
        <f t="shared" si="219"/>
        <v>-40.812910052910183</v>
      </c>
      <c r="AK95" s="314">
        <f t="shared" ref="AK95:AL95" si="401">(AK14*AK44)/12/21/7.5</f>
        <v>1224.3873015873012</v>
      </c>
      <c r="AL95" s="315">
        <f t="shared" si="401"/>
        <v>1183.574391534391</v>
      </c>
      <c r="AM95" s="316">
        <f t="shared" si="220"/>
        <v>-40.812910052910183</v>
      </c>
      <c r="AN95" s="314">
        <f t="shared" ref="AN95:AO95" si="402">(AN14*AN44)/12/21/7.5</f>
        <v>1183.574391534391</v>
      </c>
      <c r="AO95" s="315">
        <f t="shared" si="402"/>
        <v>1142.761481481481</v>
      </c>
      <c r="AP95" s="316">
        <f t="shared" si="221"/>
        <v>-40.812910052909956</v>
      </c>
      <c r="AQ95" s="314">
        <f t="shared" ref="AQ95:AR95" si="403">(AQ14*AQ44)/12/21/7.5</f>
        <v>1142.761481481481</v>
      </c>
      <c r="AR95" s="315">
        <f t="shared" si="403"/>
        <v>1101.9485714285709</v>
      </c>
      <c r="AS95" s="316">
        <f t="shared" si="222"/>
        <v>-40.812910052910183</v>
      </c>
      <c r="AT95" s="314">
        <f t="shared" ref="AT95:AU95" si="404">(AT14*AT44)/12/21/7.5</f>
        <v>0</v>
      </c>
      <c r="AU95" s="315">
        <f t="shared" si="404"/>
        <v>0</v>
      </c>
      <c r="AV95" s="316">
        <f t="shared" si="223"/>
        <v>0</v>
      </c>
      <c r="AW95" s="314">
        <f t="shared" ref="AW95:AX95" si="405">(AW14*AW44)/12/21/7.5</f>
        <v>0</v>
      </c>
      <c r="AX95" s="315">
        <f t="shared" si="405"/>
        <v>0</v>
      </c>
      <c r="AY95" s="316">
        <f t="shared" si="224"/>
        <v>0</v>
      </c>
      <c r="AZ95" s="314">
        <f t="shared" ref="AZ95:BA95" si="406">(AZ14*AZ44)/12/21/7.5</f>
        <v>0</v>
      </c>
      <c r="BA95" s="315">
        <f t="shared" si="406"/>
        <v>0</v>
      </c>
      <c r="BB95" s="316">
        <f t="shared" si="225"/>
        <v>0</v>
      </c>
      <c r="BC95" s="314">
        <f t="shared" ref="BC95:BD95" si="407">(BC14*BC44)/12/21/7.5</f>
        <v>0</v>
      </c>
      <c r="BD95" s="315">
        <f t="shared" si="407"/>
        <v>0</v>
      </c>
      <c r="BE95" s="316">
        <f t="shared" si="226"/>
        <v>0</v>
      </c>
      <c r="BF95" s="314">
        <f t="shared" ref="BF95:BG95" si="408">(BF14*BF44)/12/21/7.5</f>
        <v>0</v>
      </c>
      <c r="BG95" s="315">
        <f t="shared" si="408"/>
        <v>0</v>
      </c>
      <c r="BH95" s="316">
        <f t="shared" si="227"/>
        <v>0</v>
      </c>
      <c r="BI95" s="314">
        <f t="shared" si="251"/>
        <v>0</v>
      </c>
      <c r="BJ95" s="315">
        <f t="shared" si="251"/>
        <v>0</v>
      </c>
      <c r="BK95" s="316">
        <f t="shared" si="228"/>
        <v>0</v>
      </c>
      <c r="BL95" s="314">
        <f t="shared" si="252"/>
        <v>0</v>
      </c>
      <c r="BM95" s="315">
        <f t="shared" si="252"/>
        <v>0</v>
      </c>
      <c r="BN95" s="316">
        <f t="shared" si="229"/>
        <v>0</v>
      </c>
      <c r="BO95" s="314">
        <f t="shared" si="253"/>
        <v>0</v>
      </c>
      <c r="BP95" s="315">
        <f t="shared" si="253"/>
        <v>0</v>
      </c>
      <c r="BQ95" s="316">
        <f t="shared" si="230"/>
        <v>0</v>
      </c>
    </row>
    <row r="96" spans="1:69">
      <c r="A96" s="801" t="s">
        <v>223</v>
      </c>
      <c r="B96" s="803" t="s">
        <v>214</v>
      </c>
      <c r="C96" s="290" t="s">
        <v>166</v>
      </c>
      <c r="D96" s="291">
        <f t="shared" ref="D96:D111" si="409">SUM(G96,J96,M96,P96,S96,V96,Y96,AB96,AE96,AH96,AK96,AN96,AQ96,AT96,AW96,AZ96,AZ96,BC96,BF96,BI96,BL96,BO96)</f>
        <v>0</v>
      </c>
      <c r="E96" s="292">
        <f t="shared" si="208"/>
        <v>0</v>
      </c>
      <c r="F96" s="293">
        <f t="shared" si="209"/>
        <v>0</v>
      </c>
      <c r="G96" s="306">
        <v>0</v>
      </c>
      <c r="H96" s="307">
        <f>(G66+I66/2)*((G45-H45)*(1+$BR$45))*Faktory!$D$10</f>
        <v>0</v>
      </c>
      <c r="I96" s="257">
        <f>H96</f>
        <v>0</v>
      </c>
      <c r="J96" s="306">
        <v>0</v>
      </c>
      <c r="K96" s="307">
        <f>(J66+L66/2)*((J45-K45)*(1+$BR$45))*Faktory!$D$10</f>
        <v>0</v>
      </c>
      <c r="L96" s="257">
        <f>K96</f>
        <v>0</v>
      </c>
      <c r="M96" s="306">
        <v>0</v>
      </c>
      <c r="N96" s="307">
        <f>(M66+O66/2)*((M45-N45)*(1+$BR$45))*Faktory!$D$10</f>
        <v>0</v>
      </c>
      <c r="O96" s="257">
        <f>N96</f>
        <v>0</v>
      </c>
      <c r="P96" s="306">
        <v>0</v>
      </c>
      <c r="Q96" s="307">
        <f>(P66+R66/2)*((P45-Q45)*(1+$BR$45))*Faktory!$D$10</f>
        <v>0</v>
      </c>
      <c r="R96" s="257">
        <f>Q96</f>
        <v>0</v>
      </c>
      <c r="S96" s="306">
        <v>0</v>
      </c>
      <c r="T96" s="307">
        <f>(S66+U66/2)*((S45-T45)*(1+$BR$45))*Faktory!$D$10</f>
        <v>0</v>
      </c>
      <c r="U96" s="257">
        <f>T96</f>
        <v>0</v>
      </c>
      <c r="V96" s="306">
        <v>0</v>
      </c>
      <c r="W96" s="307">
        <f>(V66+X66/2)*((V45-W45)*(1+$BR$45))*Faktory!$D$10</f>
        <v>0</v>
      </c>
      <c r="X96" s="257">
        <f>W96</f>
        <v>0</v>
      </c>
      <c r="Y96" s="306">
        <v>0</v>
      </c>
      <c r="Z96" s="307">
        <f>(Y66+AA66/2)*((Y45-Z45)*(1+$BR$45))*Faktory!$D$10</f>
        <v>0</v>
      </c>
      <c r="AA96" s="257">
        <f>Z96</f>
        <v>0</v>
      </c>
      <c r="AB96" s="306">
        <v>0</v>
      </c>
      <c r="AC96" s="307">
        <f>(AB66+AD66/2)*((AB45-AC45)*(1+$BR$45))*Faktory!$D$10</f>
        <v>0</v>
      </c>
      <c r="AD96" s="257">
        <f>AC96</f>
        <v>0</v>
      </c>
      <c r="AE96" s="306">
        <v>0</v>
      </c>
      <c r="AF96" s="307">
        <f>(AE66+AG66/2)*((AE45-AF45)*(1+$BR$45))*Faktory!$D$10</f>
        <v>0</v>
      </c>
      <c r="AG96" s="257">
        <f>AF96</f>
        <v>0</v>
      </c>
      <c r="AH96" s="306">
        <v>0</v>
      </c>
      <c r="AI96" s="307">
        <f>(AH66+AJ66/2)*((AH45-AI45)*(1+$BR$45))*Faktory!$D$10</f>
        <v>0</v>
      </c>
      <c r="AJ96" s="257">
        <f>AI96</f>
        <v>0</v>
      </c>
      <c r="AK96" s="306">
        <v>0</v>
      </c>
      <c r="AL96" s="307">
        <f>(AK66+AM66/2)*((AK45-AL45)*(1+$BR$45))*Faktory!$D$10</f>
        <v>0</v>
      </c>
      <c r="AM96" s="257">
        <f>AL96</f>
        <v>0</v>
      </c>
      <c r="AN96" s="306">
        <v>0</v>
      </c>
      <c r="AO96" s="307">
        <f>(AN66+AP66/2)*((AN45-AO45)*(1+$BR$45))*Faktory!$D$10</f>
        <v>0</v>
      </c>
      <c r="AP96" s="257">
        <f>AO96</f>
        <v>0</v>
      </c>
      <c r="AQ96" s="306">
        <v>0</v>
      </c>
      <c r="AR96" s="307">
        <f>(AQ66+AS66/2)*((AQ45-AR45)*(1+$BR$45))*Faktory!$D$10</f>
        <v>0</v>
      </c>
      <c r="AS96" s="257">
        <f>AR96</f>
        <v>0</v>
      </c>
      <c r="AT96" s="306">
        <v>0</v>
      </c>
      <c r="AU96" s="307">
        <f>(AT66+AV66/2)*((AT45-AU45)*(1+$BR$45))*Faktory!$D$10</f>
        <v>0</v>
      </c>
      <c r="AV96" s="257">
        <f>AU96</f>
        <v>0</v>
      </c>
      <c r="AW96" s="306">
        <v>0</v>
      </c>
      <c r="AX96" s="307">
        <f>(AW66+AY66/2)*((AW45-AX45)*(1+$BR$45))*Faktory!$D$10</f>
        <v>0</v>
      </c>
      <c r="AY96" s="257">
        <f>AX96</f>
        <v>0</v>
      </c>
      <c r="AZ96" s="306">
        <v>0</v>
      </c>
      <c r="BA96" s="307">
        <f>(AZ66+BB66/2)*((AZ45-BA45)*(1+$BR$45))*Faktory!$D$10</f>
        <v>0</v>
      </c>
      <c r="BB96" s="257">
        <f>BA96</f>
        <v>0</v>
      </c>
      <c r="BC96" s="306">
        <v>0</v>
      </c>
      <c r="BD96" s="307">
        <f>(BC66+BE66/2)*((BC45-BD45)*(1+$BR$45))*Faktory!$D$10</f>
        <v>0</v>
      </c>
      <c r="BE96" s="257">
        <f>BD96</f>
        <v>0</v>
      </c>
      <c r="BF96" s="306">
        <v>0</v>
      </c>
      <c r="BG96" s="307">
        <f>(BF66+BH66/2)*((BF45-BG45)*(1+$BR$45))*Faktory!$D$10</f>
        <v>0</v>
      </c>
      <c r="BH96" s="257">
        <f>BG96</f>
        <v>0</v>
      </c>
      <c r="BI96" s="306">
        <v>0</v>
      </c>
      <c r="BJ96" s="307">
        <f>(BI66+BK66/2)*((BI45-BJ45)*(1+$BR$45))*Faktory!$D$10</f>
        <v>0</v>
      </c>
      <c r="BK96" s="257">
        <f>BJ96</f>
        <v>0</v>
      </c>
      <c r="BL96" s="306">
        <v>0</v>
      </c>
      <c r="BM96" s="307">
        <f>(BL66+BN66/2)*((BL45-BM45)*(1+$BR$45))*Faktory!$D$10</f>
        <v>0</v>
      </c>
      <c r="BN96" s="257">
        <f>BM96</f>
        <v>0</v>
      </c>
      <c r="BO96" s="306">
        <v>0</v>
      </c>
      <c r="BP96" s="307">
        <f>(BO66+BQ66/2)*((BO45-BP45)*(1+$BR$45))*Faktory!$D$10</f>
        <v>0</v>
      </c>
      <c r="BQ96" s="257">
        <f>BP96</f>
        <v>0</v>
      </c>
    </row>
    <row r="97" spans="1:69">
      <c r="A97" s="801"/>
      <c r="B97" s="803"/>
      <c r="C97" s="290" t="s">
        <v>167</v>
      </c>
      <c r="D97" s="291">
        <f t="shared" si="409"/>
        <v>0</v>
      </c>
      <c r="E97" s="292">
        <f t="shared" si="208"/>
        <v>0</v>
      </c>
      <c r="F97" s="293">
        <f t="shared" si="209"/>
        <v>0</v>
      </c>
      <c r="G97" s="298">
        <v>0</v>
      </c>
      <c r="H97" s="299">
        <f>(G67+I67/2)*((G46-H46)*(1+$BR$45))*Faktory!$D$10</f>
        <v>0</v>
      </c>
      <c r="I97" s="262">
        <f t="shared" ref="I97:I105" si="410">H97</f>
        <v>0</v>
      </c>
      <c r="J97" s="298">
        <v>0</v>
      </c>
      <c r="K97" s="299">
        <f>(J67+L67/2)*((J46-K46)*(1+$BR$45))*Faktory!$D$10</f>
        <v>0</v>
      </c>
      <c r="L97" s="262">
        <f t="shared" ref="L97:L105" si="411">K97</f>
        <v>0</v>
      </c>
      <c r="M97" s="298">
        <v>0</v>
      </c>
      <c r="N97" s="299">
        <f>(M67+O67/2)*((M46-N46)*(1+$BR$45))*Faktory!$D$10</f>
        <v>0</v>
      </c>
      <c r="O97" s="262">
        <f t="shared" ref="O97:O105" si="412">N97</f>
        <v>0</v>
      </c>
      <c r="P97" s="298">
        <v>0</v>
      </c>
      <c r="Q97" s="299">
        <f>(P67+R67/2)*((P46-Q46)*(1+$BR$45))*Faktory!$D$10</f>
        <v>0</v>
      </c>
      <c r="R97" s="262">
        <f t="shared" ref="R97:R105" si="413">Q97</f>
        <v>0</v>
      </c>
      <c r="S97" s="298">
        <v>0</v>
      </c>
      <c r="T97" s="299">
        <f>(S67+U67/2)*((S46-T46)*(1+$BR$45))*Faktory!$D$10</f>
        <v>0</v>
      </c>
      <c r="U97" s="262">
        <f t="shared" ref="U97:U105" si="414">T97</f>
        <v>0</v>
      </c>
      <c r="V97" s="298">
        <v>0</v>
      </c>
      <c r="W97" s="299">
        <f>(V67+X67/2)*((V46-W46)*(1+$BR$45))*Faktory!$D$10</f>
        <v>0</v>
      </c>
      <c r="X97" s="262">
        <f t="shared" ref="X97:X105" si="415">W97</f>
        <v>0</v>
      </c>
      <c r="Y97" s="298">
        <v>0</v>
      </c>
      <c r="Z97" s="299">
        <f>(Y67+AA67/2)*((Y46-Z46)*(1+$BR$45))*Faktory!$D$10</f>
        <v>0</v>
      </c>
      <c r="AA97" s="262">
        <f t="shared" ref="AA97:AA105" si="416">Z97</f>
        <v>0</v>
      </c>
      <c r="AB97" s="298">
        <v>0</v>
      </c>
      <c r="AC97" s="299">
        <f>(AB67+AD67/2)*((AB46-AC46)*(1+$BR$45))*Faktory!$D$10</f>
        <v>0</v>
      </c>
      <c r="AD97" s="262">
        <f t="shared" ref="AD97:AD105" si="417">AC97</f>
        <v>0</v>
      </c>
      <c r="AE97" s="298">
        <v>0</v>
      </c>
      <c r="AF97" s="299">
        <f>(AE67+AG67/2)*((AE46-AF46)*(1+$BR$45))*Faktory!$D$10</f>
        <v>0</v>
      </c>
      <c r="AG97" s="262">
        <f t="shared" ref="AG97:AG105" si="418">AF97</f>
        <v>0</v>
      </c>
      <c r="AH97" s="298">
        <v>0</v>
      </c>
      <c r="AI97" s="299">
        <f>(AH67+AJ67/2)*((AH46-AI46)*(1+$BR$45))*Faktory!$D$10</f>
        <v>0</v>
      </c>
      <c r="AJ97" s="262">
        <f t="shared" ref="AJ97:AJ105" si="419">AI97</f>
        <v>0</v>
      </c>
      <c r="AK97" s="298">
        <v>0</v>
      </c>
      <c r="AL97" s="299">
        <f>(AK67+AM67/2)*((AK46-AL46)*(1+$BR$45))*Faktory!$D$10</f>
        <v>0</v>
      </c>
      <c r="AM97" s="262">
        <f t="shared" ref="AM97:AM105" si="420">AL97</f>
        <v>0</v>
      </c>
      <c r="AN97" s="298">
        <v>0</v>
      </c>
      <c r="AO97" s="299">
        <f>(AN67+AP67/2)*((AN46-AO46)*(1+$BR$45))*Faktory!$D$10</f>
        <v>0</v>
      </c>
      <c r="AP97" s="262">
        <f t="shared" ref="AP97:AP105" si="421">AO97</f>
        <v>0</v>
      </c>
      <c r="AQ97" s="298">
        <v>0</v>
      </c>
      <c r="AR97" s="299">
        <f>(AQ67+AS67/2)*((AQ46-AR46)*(1+$BR$45))*Faktory!$D$10</f>
        <v>0</v>
      </c>
      <c r="AS97" s="262">
        <f t="shared" ref="AS97:AS105" si="422">AR97</f>
        <v>0</v>
      </c>
      <c r="AT97" s="298">
        <v>0</v>
      </c>
      <c r="AU97" s="299">
        <f>(AT67+AV67/2)*((AT46-AU46)*(1+$BR$45))*Faktory!$D$10</f>
        <v>0</v>
      </c>
      <c r="AV97" s="262">
        <f t="shared" ref="AV97:AV105" si="423">AU97</f>
        <v>0</v>
      </c>
      <c r="AW97" s="298">
        <v>0</v>
      </c>
      <c r="AX97" s="299">
        <f>(AW67+AY67/2)*((AW46-AX46)*(1+$BR$45))*Faktory!$D$10</f>
        <v>0</v>
      </c>
      <c r="AY97" s="262">
        <f t="shared" ref="AY97:AY105" si="424">AX97</f>
        <v>0</v>
      </c>
      <c r="AZ97" s="298">
        <v>0</v>
      </c>
      <c r="BA97" s="299">
        <f>(AZ67+BB67/2)*((AZ46-BA46)*(1+$BR$45))*Faktory!$D$10</f>
        <v>0</v>
      </c>
      <c r="BB97" s="262">
        <f t="shared" ref="BB97:BB105" si="425">BA97</f>
        <v>0</v>
      </c>
      <c r="BC97" s="298">
        <v>0</v>
      </c>
      <c r="BD97" s="299">
        <f>(BC67+BE67/2)*((BC46-BD46)*(1+$BR$45))*Faktory!$D$10</f>
        <v>0</v>
      </c>
      <c r="BE97" s="262">
        <f t="shared" ref="BE97:BE105" si="426">BD97</f>
        <v>0</v>
      </c>
      <c r="BF97" s="298">
        <v>0</v>
      </c>
      <c r="BG97" s="299">
        <f>(BF67+BH67/2)*((BF46-BG46)*(1+$BR$45))*Faktory!$D$10</f>
        <v>0</v>
      </c>
      <c r="BH97" s="262">
        <f t="shared" ref="BH97:BH105" si="427">BG97</f>
        <v>0</v>
      </c>
      <c r="BI97" s="298">
        <v>0</v>
      </c>
      <c r="BJ97" s="299">
        <f>(BI67+BK67/2)*((BI46-BJ46)*(1+$BR$45))*Faktory!$D$10</f>
        <v>0</v>
      </c>
      <c r="BK97" s="262">
        <f t="shared" ref="BK97:BK105" si="428">BJ97</f>
        <v>0</v>
      </c>
      <c r="BL97" s="298">
        <v>0</v>
      </c>
      <c r="BM97" s="299">
        <f>(BL67+BN67/2)*((BL46-BM46)*(1+$BR$45))*Faktory!$D$10</f>
        <v>0</v>
      </c>
      <c r="BN97" s="262">
        <f t="shared" ref="BN97:BN105" si="429">BM97</f>
        <v>0</v>
      </c>
      <c r="BO97" s="298">
        <v>0</v>
      </c>
      <c r="BP97" s="299">
        <f>(BO67+BQ67/2)*((BO46-BP46)*(1+$BR$45))*Faktory!$D$10</f>
        <v>0</v>
      </c>
      <c r="BQ97" s="262">
        <f t="shared" ref="BQ97:BQ105" si="430">BP97</f>
        <v>0</v>
      </c>
    </row>
    <row r="98" spans="1:69">
      <c r="A98" s="801"/>
      <c r="B98" s="803"/>
      <c r="C98" s="290" t="s">
        <v>168</v>
      </c>
      <c r="D98" s="291">
        <f t="shared" si="409"/>
        <v>0</v>
      </c>
      <c r="E98" s="292">
        <f t="shared" si="208"/>
        <v>0</v>
      </c>
      <c r="F98" s="293">
        <f t="shared" si="209"/>
        <v>0</v>
      </c>
      <c r="G98" s="298">
        <v>0</v>
      </c>
      <c r="H98" s="299">
        <f>(G68+I68/2)*((G47-H47)*(1+$BR$45))*Faktory!$D$10</f>
        <v>0</v>
      </c>
      <c r="I98" s="262">
        <f t="shared" si="410"/>
        <v>0</v>
      </c>
      <c r="J98" s="298">
        <v>0</v>
      </c>
      <c r="K98" s="299">
        <f>(J68+L68/2)*((J47-K47)*(1+$BR$45))*Faktory!$D$10</f>
        <v>0</v>
      </c>
      <c r="L98" s="262">
        <f t="shared" si="411"/>
        <v>0</v>
      </c>
      <c r="M98" s="298">
        <v>0</v>
      </c>
      <c r="N98" s="299">
        <f>(M68+O68/2)*((M47-N47)*(1+$BR$45))*Faktory!$D$10</f>
        <v>0</v>
      </c>
      <c r="O98" s="262">
        <f t="shared" si="412"/>
        <v>0</v>
      </c>
      <c r="P98" s="298">
        <v>0</v>
      </c>
      <c r="Q98" s="299">
        <f>(P68+R68/2)*((P47-Q47)*(1+$BR$45))*Faktory!$D$10</f>
        <v>0</v>
      </c>
      <c r="R98" s="262">
        <f t="shared" si="413"/>
        <v>0</v>
      </c>
      <c r="S98" s="298">
        <v>0</v>
      </c>
      <c r="T98" s="299">
        <f>(S68+U68/2)*((S47-T47)*(1+$BR$45))*Faktory!$D$10</f>
        <v>0</v>
      </c>
      <c r="U98" s="262">
        <f t="shared" si="414"/>
        <v>0</v>
      </c>
      <c r="V98" s="298">
        <v>0</v>
      </c>
      <c r="W98" s="299">
        <f>(V68+X68/2)*((V47-W47)*(1+$BR$45))*Faktory!$D$10</f>
        <v>0</v>
      </c>
      <c r="X98" s="262">
        <f t="shared" si="415"/>
        <v>0</v>
      </c>
      <c r="Y98" s="298">
        <v>0</v>
      </c>
      <c r="Z98" s="299">
        <f>(Y68+AA68/2)*((Y47-Z47)*(1+$BR$45))*Faktory!$D$10</f>
        <v>0</v>
      </c>
      <c r="AA98" s="262">
        <f t="shared" si="416"/>
        <v>0</v>
      </c>
      <c r="AB98" s="298">
        <v>0</v>
      </c>
      <c r="AC98" s="299">
        <f>(AB68+AD68/2)*((AB47-AC47)*(1+$BR$45))*Faktory!$D$10</f>
        <v>0</v>
      </c>
      <c r="AD98" s="262">
        <f t="shared" si="417"/>
        <v>0</v>
      </c>
      <c r="AE98" s="298">
        <v>0</v>
      </c>
      <c r="AF98" s="299">
        <f>(AE68+AG68/2)*((AE47-AF47)*(1+$BR$45))*Faktory!$D$10</f>
        <v>0</v>
      </c>
      <c r="AG98" s="262">
        <f t="shared" si="418"/>
        <v>0</v>
      </c>
      <c r="AH98" s="298">
        <v>0</v>
      </c>
      <c r="AI98" s="299">
        <f>(AH68+AJ68/2)*((AH47-AI47)*(1+$BR$45))*Faktory!$D$10</f>
        <v>0</v>
      </c>
      <c r="AJ98" s="262">
        <f t="shared" si="419"/>
        <v>0</v>
      </c>
      <c r="AK98" s="298">
        <v>0</v>
      </c>
      <c r="AL98" s="299">
        <f>(AK68+AM68/2)*((AK47-AL47)*(1+$BR$45))*Faktory!$D$10</f>
        <v>0</v>
      </c>
      <c r="AM98" s="262">
        <f t="shared" si="420"/>
        <v>0</v>
      </c>
      <c r="AN98" s="298">
        <v>0</v>
      </c>
      <c r="AO98" s="299">
        <f>(AN68+AP68/2)*((AN47-AO47)*(1+$BR$45))*Faktory!$D$10</f>
        <v>0</v>
      </c>
      <c r="AP98" s="262">
        <f t="shared" si="421"/>
        <v>0</v>
      </c>
      <c r="AQ98" s="298">
        <v>0</v>
      </c>
      <c r="AR98" s="299">
        <f>(AQ68+AS68/2)*((AQ47-AR47)*(1+$BR$45))*Faktory!$D$10</f>
        <v>0</v>
      </c>
      <c r="AS98" s="262">
        <f t="shared" si="422"/>
        <v>0</v>
      </c>
      <c r="AT98" s="298">
        <v>0</v>
      </c>
      <c r="AU98" s="299">
        <f>(AT68+AV68/2)*((AT47-AU47)*(1+$BR$45))*Faktory!$D$10</f>
        <v>0</v>
      </c>
      <c r="AV98" s="262">
        <f t="shared" si="423"/>
        <v>0</v>
      </c>
      <c r="AW98" s="298">
        <v>0</v>
      </c>
      <c r="AX98" s="299">
        <f>(AW68+AY68/2)*((AW47-AX47)*(1+$BR$45))*Faktory!$D$10</f>
        <v>0</v>
      </c>
      <c r="AY98" s="262">
        <f t="shared" si="424"/>
        <v>0</v>
      </c>
      <c r="AZ98" s="298">
        <v>0</v>
      </c>
      <c r="BA98" s="299">
        <f>(AZ68+BB68/2)*((AZ47-BA47)*(1+$BR$45))*Faktory!$D$10</f>
        <v>0</v>
      </c>
      <c r="BB98" s="262">
        <f t="shared" si="425"/>
        <v>0</v>
      </c>
      <c r="BC98" s="298">
        <v>0</v>
      </c>
      <c r="BD98" s="299">
        <f>(BC68+BE68/2)*((BC47-BD47)*(1+$BR$45))*Faktory!$D$10</f>
        <v>0</v>
      </c>
      <c r="BE98" s="262">
        <f t="shared" si="426"/>
        <v>0</v>
      </c>
      <c r="BF98" s="298">
        <v>0</v>
      </c>
      <c r="BG98" s="299">
        <f>(BF68+BH68/2)*((BF47-BG47)*(1+$BR$45))*Faktory!$D$10</f>
        <v>0</v>
      </c>
      <c r="BH98" s="262">
        <f t="shared" si="427"/>
        <v>0</v>
      </c>
      <c r="BI98" s="298">
        <v>0</v>
      </c>
      <c r="BJ98" s="299">
        <f>(BI68+BK68/2)*((BI47-BJ47)*(1+$BR$45))*Faktory!$D$10</f>
        <v>0</v>
      </c>
      <c r="BK98" s="262">
        <f t="shared" si="428"/>
        <v>0</v>
      </c>
      <c r="BL98" s="298">
        <v>0</v>
      </c>
      <c r="BM98" s="299">
        <f>(BL68+BN68/2)*((BL47-BM47)*(1+$BR$45))*Faktory!$D$10</f>
        <v>0</v>
      </c>
      <c r="BN98" s="262">
        <f t="shared" si="429"/>
        <v>0</v>
      </c>
      <c r="BO98" s="298">
        <v>0</v>
      </c>
      <c r="BP98" s="299">
        <f>(BO68+BQ68/2)*((BO47-BP47)*(1+$BR$45))*Faktory!$D$10</f>
        <v>0</v>
      </c>
      <c r="BQ98" s="262">
        <f t="shared" si="430"/>
        <v>0</v>
      </c>
    </row>
    <row r="99" spans="1:69">
      <c r="A99" s="801"/>
      <c r="B99" s="803"/>
      <c r="C99" s="290" t="s">
        <v>169</v>
      </c>
      <c r="D99" s="291">
        <f t="shared" si="409"/>
        <v>0</v>
      </c>
      <c r="E99" s="292">
        <f t="shared" si="208"/>
        <v>437710.50180000038</v>
      </c>
      <c r="F99" s="293">
        <f t="shared" si="209"/>
        <v>437710.50180000038</v>
      </c>
      <c r="G99" s="298">
        <v>0</v>
      </c>
      <c r="H99" s="299">
        <f>(G69+I69/2)*((G48-H48)*(1+$BR$45))*Faktory!$D$10</f>
        <v>33670.038600000029</v>
      </c>
      <c r="I99" s="262">
        <f t="shared" si="410"/>
        <v>33670.038600000029</v>
      </c>
      <c r="J99" s="298">
        <v>0</v>
      </c>
      <c r="K99" s="299">
        <f>(J69+L69/2)*((J48-K48)*(1+$BR$45))*Faktory!$D$10</f>
        <v>33670.038600000029</v>
      </c>
      <c r="L99" s="262">
        <f t="shared" si="411"/>
        <v>33670.038600000029</v>
      </c>
      <c r="M99" s="298">
        <v>0</v>
      </c>
      <c r="N99" s="299">
        <f>(M69+O69/2)*((M48-N48)*(1+$BR$45))*Faktory!$D$10</f>
        <v>33670.038600000029</v>
      </c>
      <c r="O99" s="262">
        <f t="shared" si="412"/>
        <v>33670.038600000029</v>
      </c>
      <c r="P99" s="298">
        <v>0</v>
      </c>
      <c r="Q99" s="299">
        <f>(P69+R69/2)*((P48-Q48)*(1+$BR$45))*Faktory!$D$10</f>
        <v>33670.038600000029</v>
      </c>
      <c r="R99" s="262">
        <f t="shared" si="413"/>
        <v>33670.038600000029</v>
      </c>
      <c r="S99" s="298">
        <v>0</v>
      </c>
      <c r="T99" s="299">
        <f>(S69+U69/2)*((S48-T48)*(1+$BR$45))*Faktory!$D$10</f>
        <v>33670.038600000029</v>
      </c>
      <c r="U99" s="262">
        <f t="shared" si="414"/>
        <v>33670.038600000029</v>
      </c>
      <c r="V99" s="298">
        <v>0</v>
      </c>
      <c r="W99" s="299">
        <f>(V69+X69/2)*((V48-W48)*(1+$BR$45))*Faktory!$D$10</f>
        <v>33670.038600000029</v>
      </c>
      <c r="X99" s="262">
        <f t="shared" si="415"/>
        <v>33670.038600000029</v>
      </c>
      <c r="Y99" s="298">
        <v>0</v>
      </c>
      <c r="Z99" s="299">
        <f>(Y69+AA69/2)*((Y48-Z48)*(1+$BR$45))*Faktory!$D$10</f>
        <v>33670.038600000029</v>
      </c>
      <c r="AA99" s="262">
        <f t="shared" si="416"/>
        <v>33670.038600000029</v>
      </c>
      <c r="AB99" s="298">
        <v>0</v>
      </c>
      <c r="AC99" s="299">
        <f>(AB69+AD69/2)*((AB48-AC48)*(1+$BR$45))*Faktory!$D$10</f>
        <v>33670.038600000029</v>
      </c>
      <c r="AD99" s="262">
        <f t="shared" si="417"/>
        <v>33670.038600000029</v>
      </c>
      <c r="AE99" s="298">
        <v>0</v>
      </c>
      <c r="AF99" s="299">
        <f>(AE69+AG69/2)*((AE48-AF48)*(1+$BR$45))*Faktory!$D$10</f>
        <v>33670.038600000029</v>
      </c>
      <c r="AG99" s="262">
        <f t="shared" si="418"/>
        <v>33670.038600000029</v>
      </c>
      <c r="AH99" s="298">
        <v>0</v>
      </c>
      <c r="AI99" s="299">
        <f>(AH69+AJ69/2)*((AH48-AI48)*(1+$BR$45))*Faktory!$D$10</f>
        <v>33670.038600000029</v>
      </c>
      <c r="AJ99" s="262">
        <f t="shared" si="419"/>
        <v>33670.038600000029</v>
      </c>
      <c r="AK99" s="298">
        <v>0</v>
      </c>
      <c r="AL99" s="299">
        <f>(AK69+AM69/2)*((AK48-AL48)*(1+$BR$45))*Faktory!$D$10</f>
        <v>33670.038600000029</v>
      </c>
      <c r="AM99" s="262">
        <f t="shared" si="420"/>
        <v>33670.038600000029</v>
      </c>
      <c r="AN99" s="298">
        <v>0</v>
      </c>
      <c r="AO99" s="299">
        <f>(AN69+AP69/2)*((AN48-AO48)*(1+$BR$45))*Faktory!$D$10</f>
        <v>33670.038600000029</v>
      </c>
      <c r="AP99" s="262">
        <f t="shared" si="421"/>
        <v>33670.038600000029</v>
      </c>
      <c r="AQ99" s="298">
        <v>0</v>
      </c>
      <c r="AR99" s="299">
        <f>(AQ69+AS69/2)*((AQ48-AR48)*(1+$BR$45))*Faktory!$D$10</f>
        <v>33670.038600000029</v>
      </c>
      <c r="AS99" s="262">
        <f t="shared" si="422"/>
        <v>33670.038600000029</v>
      </c>
      <c r="AT99" s="298">
        <v>0</v>
      </c>
      <c r="AU99" s="299">
        <f>(AT69+AV69/2)*((AT48-AU48)*(1+$BR$45))*Faktory!$D$10</f>
        <v>0</v>
      </c>
      <c r="AV99" s="262">
        <f t="shared" si="423"/>
        <v>0</v>
      </c>
      <c r="AW99" s="298">
        <v>0</v>
      </c>
      <c r="AX99" s="299">
        <f>(AW69+AY69/2)*((AW48-AX48)*(1+$BR$45))*Faktory!$D$10</f>
        <v>0</v>
      </c>
      <c r="AY99" s="262">
        <f t="shared" si="424"/>
        <v>0</v>
      </c>
      <c r="AZ99" s="298">
        <v>0</v>
      </c>
      <c r="BA99" s="299">
        <f>(AZ69+BB69/2)*((AZ48-BA48)*(1+$BR$45))*Faktory!$D$10</f>
        <v>0</v>
      </c>
      <c r="BB99" s="262">
        <f t="shared" si="425"/>
        <v>0</v>
      </c>
      <c r="BC99" s="298">
        <v>0</v>
      </c>
      <c r="BD99" s="299">
        <f>(BC69+BE69/2)*((BC48-BD48)*(1+$BR$45))*Faktory!$D$10</f>
        <v>0</v>
      </c>
      <c r="BE99" s="262">
        <f t="shared" si="426"/>
        <v>0</v>
      </c>
      <c r="BF99" s="298">
        <v>0</v>
      </c>
      <c r="BG99" s="299">
        <f>(BF69+BH69/2)*((BF48-BG48)*(1+$BR$45))*Faktory!$D$10</f>
        <v>0</v>
      </c>
      <c r="BH99" s="262">
        <f t="shared" si="427"/>
        <v>0</v>
      </c>
      <c r="BI99" s="298">
        <v>0</v>
      </c>
      <c r="BJ99" s="299">
        <f>(BI69+BK69/2)*((BI48-BJ48)*(1+$BR$45))*Faktory!$D$10</f>
        <v>0</v>
      </c>
      <c r="BK99" s="262">
        <f t="shared" si="428"/>
        <v>0</v>
      </c>
      <c r="BL99" s="298">
        <v>0</v>
      </c>
      <c r="BM99" s="299">
        <f>(BL69+BN69/2)*((BL48-BM48)*(1+$BR$45))*Faktory!$D$10</f>
        <v>0</v>
      </c>
      <c r="BN99" s="262">
        <f t="shared" si="429"/>
        <v>0</v>
      </c>
      <c r="BO99" s="298">
        <v>0</v>
      </c>
      <c r="BP99" s="299">
        <f>(BO69+BQ69/2)*((BO48-BP48)*(1+$BR$45))*Faktory!$D$10</f>
        <v>0</v>
      </c>
      <c r="BQ99" s="262">
        <f t="shared" si="430"/>
        <v>0</v>
      </c>
    </row>
    <row r="100" spans="1:69">
      <c r="A100" s="801"/>
      <c r="B100" s="803"/>
      <c r="C100" s="290" t="s">
        <v>170</v>
      </c>
      <c r="D100" s="291">
        <f t="shared" si="409"/>
        <v>0</v>
      </c>
      <c r="E100" s="292">
        <f t="shared" si="208"/>
        <v>437710.50180000038</v>
      </c>
      <c r="F100" s="293">
        <f t="shared" si="209"/>
        <v>437710.50180000038</v>
      </c>
      <c r="G100" s="298">
        <v>0</v>
      </c>
      <c r="H100" s="299">
        <f>(G70+I70/2)*((G49-H49)*(1+$BR$45))*Faktory!$D$10</f>
        <v>33670.038600000029</v>
      </c>
      <c r="I100" s="262">
        <f t="shared" si="410"/>
        <v>33670.038600000029</v>
      </c>
      <c r="J100" s="298">
        <v>0</v>
      </c>
      <c r="K100" s="299">
        <f>(J70+L70/2)*((J49-K49)*(1+$BR$45))*Faktory!$D$10</f>
        <v>33670.038600000029</v>
      </c>
      <c r="L100" s="262">
        <f t="shared" si="411"/>
        <v>33670.038600000029</v>
      </c>
      <c r="M100" s="298">
        <v>0</v>
      </c>
      <c r="N100" s="299">
        <f>(M70+O70/2)*((M49-N49)*(1+$BR$45))*Faktory!$D$10</f>
        <v>33670.038600000029</v>
      </c>
      <c r="O100" s="262">
        <f t="shared" si="412"/>
        <v>33670.038600000029</v>
      </c>
      <c r="P100" s="298">
        <v>0</v>
      </c>
      <c r="Q100" s="299">
        <f>(P70+R70/2)*((P49-Q49)*(1+$BR$45))*Faktory!$D$10</f>
        <v>33670.038600000029</v>
      </c>
      <c r="R100" s="262">
        <f t="shared" si="413"/>
        <v>33670.038600000029</v>
      </c>
      <c r="S100" s="298">
        <v>0</v>
      </c>
      <c r="T100" s="299">
        <f>(S70+U70/2)*((S49-T49)*(1+$BR$45))*Faktory!$D$10</f>
        <v>33670.038600000029</v>
      </c>
      <c r="U100" s="262">
        <f t="shared" si="414"/>
        <v>33670.038600000029</v>
      </c>
      <c r="V100" s="298">
        <v>0</v>
      </c>
      <c r="W100" s="299">
        <f>(V70+X70/2)*((V49-W49)*(1+$BR$45))*Faktory!$D$10</f>
        <v>33670.038600000029</v>
      </c>
      <c r="X100" s="262">
        <f t="shared" si="415"/>
        <v>33670.038600000029</v>
      </c>
      <c r="Y100" s="298">
        <v>0</v>
      </c>
      <c r="Z100" s="299">
        <f>(Y70+AA70/2)*((Y49-Z49)*(1+$BR$45))*Faktory!$D$10</f>
        <v>33670.038600000029</v>
      </c>
      <c r="AA100" s="262">
        <f t="shared" si="416"/>
        <v>33670.038600000029</v>
      </c>
      <c r="AB100" s="298">
        <v>0</v>
      </c>
      <c r="AC100" s="299">
        <f>(AB70+AD70/2)*((AB49-AC49)*(1+$BR$45))*Faktory!$D$10</f>
        <v>33670.038600000029</v>
      </c>
      <c r="AD100" s="262">
        <f t="shared" si="417"/>
        <v>33670.038600000029</v>
      </c>
      <c r="AE100" s="298">
        <v>0</v>
      </c>
      <c r="AF100" s="299">
        <f>(AE70+AG70/2)*((AE49-AF49)*(1+$BR$45))*Faktory!$D$10</f>
        <v>33670.038600000029</v>
      </c>
      <c r="AG100" s="262">
        <f t="shared" si="418"/>
        <v>33670.038600000029</v>
      </c>
      <c r="AH100" s="298">
        <v>0</v>
      </c>
      <c r="AI100" s="299">
        <f>(AH70+AJ70/2)*((AH49-AI49)*(1+$BR$45))*Faktory!$D$10</f>
        <v>33670.038600000029</v>
      </c>
      <c r="AJ100" s="262">
        <f t="shared" si="419"/>
        <v>33670.038600000029</v>
      </c>
      <c r="AK100" s="298">
        <v>0</v>
      </c>
      <c r="AL100" s="299">
        <f>(AK70+AM70/2)*((AK49-AL49)*(1+$BR$45))*Faktory!$D$10</f>
        <v>33670.038600000029</v>
      </c>
      <c r="AM100" s="262">
        <f t="shared" si="420"/>
        <v>33670.038600000029</v>
      </c>
      <c r="AN100" s="298">
        <v>0</v>
      </c>
      <c r="AO100" s="299">
        <f>(AN70+AP70/2)*((AN49-AO49)*(1+$BR$45))*Faktory!$D$10</f>
        <v>33670.038600000029</v>
      </c>
      <c r="AP100" s="262">
        <f t="shared" si="421"/>
        <v>33670.038600000029</v>
      </c>
      <c r="AQ100" s="298">
        <v>0</v>
      </c>
      <c r="AR100" s="299">
        <f>(AQ70+AS70/2)*((AQ49-AR49)*(1+$BR$45))*Faktory!$D$10</f>
        <v>33670.038600000029</v>
      </c>
      <c r="AS100" s="262">
        <f t="shared" si="422"/>
        <v>33670.038600000029</v>
      </c>
      <c r="AT100" s="298">
        <v>0</v>
      </c>
      <c r="AU100" s="299">
        <f>(AT70+AV70/2)*((AT49-AU49)*(1+$BR$45))*Faktory!$D$10</f>
        <v>0</v>
      </c>
      <c r="AV100" s="262">
        <f t="shared" si="423"/>
        <v>0</v>
      </c>
      <c r="AW100" s="298">
        <v>0</v>
      </c>
      <c r="AX100" s="299">
        <f>(AW70+AY70/2)*((AW49-AX49)*(1+$BR$45))*Faktory!$D$10</f>
        <v>0</v>
      </c>
      <c r="AY100" s="262">
        <f t="shared" si="424"/>
        <v>0</v>
      </c>
      <c r="AZ100" s="298">
        <v>0</v>
      </c>
      <c r="BA100" s="299">
        <f>(AZ70+BB70/2)*((AZ49-BA49)*(1+$BR$45))*Faktory!$D$10</f>
        <v>0</v>
      </c>
      <c r="BB100" s="262">
        <f t="shared" si="425"/>
        <v>0</v>
      </c>
      <c r="BC100" s="298">
        <v>0</v>
      </c>
      <c r="BD100" s="299">
        <f>(BC70+BE70/2)*((BC49-BD49)*(1+$BR$45))*Faktory!$D$10</f>
        <v>0</v>
      </c>
      <c r="BE100" s="262">
        <f t="shared" si="426"/>
        <v>0</v>
      </c>
      <c r="BF100" s="298">
        <v>0</v>
      </c>
      <c r="BG100" s="299">
        <f>(BF70+BH70/2)*((BF49-BG49)*(1+$BR$45))*Faktory!$D$10</f>
        <v>0</v>
      </c>
      <c r="BH100" s="262">
        <f t="shared" si="427"/>
        <v>0</v>
      </c>
      <c r="BI100" s="298">
        <v>0</v>
      </c>
      <c r="BJ100" s="299">
        <f>(BI70+BK70/2)*((BI49-BJ49)*(1+$BR$45))*Faktory!$D$10</f>
        <v>0</v>
      </c>
      <c r="BK100" s="262">
        <f t="shared" si="428"/>
        <v>0</v>
      </c>
      <c r="BL100" s="298">
        <v>0</v>
      </c>
      <c r="BM100" s="299">
        <f>(BL70+BN70/2)*((BL49-BM49)*(1+$BR$45))*Faktory!$D$10</f>
        <v>0</v>
      </c>
      <c r="BN100" s="262">
        <f t="shared" si="429"/>
        <v>0</v>
      </c>
      <c r="BO100" s="298">
        <v>0</v>
      </c>
      <c r="BP100" s="299">
        <f>(BO70+BQ70/2)*((BO49-BP49)*(1+$BR$45))*Faktory!$D$10</f>
        <v>0</v>
      </c>
      <c r="BQ100" s="262">
        <f t="shared" si="430"/>
        <v>0</v>
      </c>
    </row>
    <row r="101" spans="1:69">
      <c r="A101" s="801"/>
      <c r="B101" s="803"/>
      <c r="C101" s="290" t="s">
        <v>171</v>
      </c>
      <c r="D101" s="291">
        <f t="shared" si="409"/>
        <v>0</v>
      </c>
      <c r="E101" s="292">
        <f t="shared" si="208"/>
        <v>437710.50180000038</v>
      </c>
      <c r="F101" s="293">
        <f t="shared" si="209"/>
        <v>437710.50180000038</v>
      </c>
      <c r="G101" s="298">
        <v>0</v>
      </c>
      <c r="H101" s="299">
        <f>(G71+I71/2)*((G50-H50)*(1+$BR$45))*Faktory!$D$10</f>
        <v>33670.038600000029</v>
      </c>
      <c r="I101" s="262">
        <f t="shared" si="410"/>
        <v>33670.038600000029</v>
      </c>
      <c r="J101" s="298">
        <v>0</v>
      </c>
      <c r="K101" s="299">
        <f>(J71+L71/2)*((J50-K50)*(1+$BR$45))*Faktory!$D$10</f>
        <v>33670.038600000029</v>
      </c>
      <c r="L101" s="262">
        <f t="shared" si="411"/>
        <v>33670.038600000029</v>
      </c>
      <c r="M101" s="298">
        <v>0</v>
      </c>
      <c r="N101" s="299">
        <f>(M71+O71/2)*((M50-N50)*(1+$BR$45))*Faktory!$D$10</f>
        <v>33670.038600000029</v>
      </c>
      <c r="O101" s="262">
        <f t="shared" si="412"/>
        <v>33670.038600000029</v>
      </c>
      <c r="P101" s="298">
        <v>0</v>
      </c>
      <c r="Q101" s="299">
        <f>(P71+R71/2)*((P50-Q50)*(1+$BR$45))*Faktory!$D$10</f>
        <v>33670.038600000029</v>
      </c>
      <c r="R101" s="262">
        <f t="shared" si="413"/>
        <v>33670.038600000029</v>
      </c>
      <c r="S101" s="298">
        <v>0</v>
      </c>
      <c r="T101" s="299">
        <f>(S71+U71/2)*((S50-T50)*(1+$BR$45))*Faktory!$D$10</f>
        <v>33670.038600000029</v>
      </c>
      <c r="U101" s="262">
        <f t="shared" si="414"/>
        <v>33670.038600000029</v>
      </c>
      <c r="V101" s="298">
        <v>0</v>
      </c>
      <c r="W101" s="299">
        <f>(V71+X71/2)*((V50-W50)*(1+$BR$45))*Faktory!$D$10</f>
        <v>33670.038600000029</v>
      </c>
      <c r="X101" s="262">
        <f t="shared" si="415"/>
        <v>33670.038600000029</v>
      </c>
      <c r="Y101" s="298">
        <v>0</v>
      </c>
      <c r="Z101" s="299">
        <f>(Y71+AA71/2)*((Y50-Z50)*(1+$BR$45))*Faktory!$D$10</f>
        <v>33670.038600000029</v>
      </c>
      <c r="AA101" s="262">
        <f t="shared" si="416"/>
        <v>33670.038600000029</v>
      </c>
      <c r="AB101" s="298">
        <v>0</v>
      </c>
      <c r="AC101" s="299">
        <f>(AB71+AD71/2)*((AB50-AC50)*(1+$BR$45))*Faktory!$D$10</f>
        <v>33670.038600000029</v>
      </c>
      <c r="AD101" s="262">
        <f t="shared" si="417"/>
        <v>33670.038600000029</v>
      </c>
      <c r="AE101" s="298">
        <v>0</v>
      </c>
      <c r="AF101" s="299">
        <f>(AE71+AG71/2)*((AE50-AF50)*(1+$BR$45))*Faktory!$D$10</f>
        <v>33670.038600000029</v>
      </c>
      <c r="AG101" s="262">
        <f t="shared" si="418"/>
        <v>33670.038600000029</v>
      </c>
      <c r="AH101" s="298">
        <v>0</v>
      </c>
      <c r="AI101" s="299">
        <f>(AH71+AJ71/2)*((AH50-AI50)*(1+$BR$45))*Faktory!$D$10</f>
        <v>33670.038600000029</v>
      </c>
      <c r="AJ101" s="262">
        <f t="shared" si="419"/>
        <v>33670.038600000029</v>
      </c>
      <c r="AK101" s="298">
        <v>0</v>
      </c>
      <c r="AL101" s="299">
        <f>(AK71+AM71/2)*((AK50-AL50)*(1+$BR$45))*Faktory!$D$10</f>
        <v>33670.038600000029</v>
      </c>
      <c r="AM101" s="262">
        <f t="shared" si="420"/>
        <v>33670.038600000029</v>
      </c>
      <c r="AN101" s="298">
        <v>0</v>
      </c>
      <c r="AO101" s="299">
        <f>(AN71+AP71/2)*((AN50-AO50)*(1+$BR$45))*Faktory!$D$10</f>
        <v>33670.038600000029</v>
      </c>
      <c r="AP101" s="262">
        <f t="shared" si="421"/>
        <v>33670.038600000029</v>
      </c>
      <c r="AQ101" s="298">
        <v>0</v>
      </c>
      <c r="AR101" s="299">
        <f>(AQ71+AS71/2)*((AQ50-AR50)*(1+$BR$45))*Faktory!$D$10</f>
        <v>33670.038600000029</v>
      </c>
      <c r="AS101" s="262">
        <f t="shared" si="422"/>
        <v>33670.038600000029</v>
      </c>
      <c r="AT101" s="298">
        <v>0</v>
      </c>
      <c r="AU101" s="299">
        <f>(AT71+AV71/2)*((AT50-AU50)*(1+$BR$45))*Faktory!$D$10</f>
        <v>0</v>
      </c>
      <c r="AV101" s="262">
        <f t="shared" si="423"/>
        <v>0</v>
      </c>
      <c r="AW101" s="298">
        <v>0</v>
      </c>
      <c r="AX101" s="299">
        <f>(AW71+AY71/2)*((AW50-AX50)*(1+$BR$45))*Faktory!$D$10</f>
        <v>0</v>
      </c>
      <c r="AY101" s="262">
        <f t="shared" si="424"/>
        <v>0</v>
      </c>
      <c r="AZ101" s="298">
        <v>0</v>
      </c>
      <c r="BA101" s="299">
        <f>(AZ71+BB71/2)*((AZ50-BA50)*(1+$BR$45))*Faktory!$D$10</f>
        <v>0</v>
      </c>
      <c r="BB101" s="262">
        <f t="shared" si="425"/>
        <v>0</v>
      </c>
      <c r="BC101" s="298">
        <v>0</v>
      </c>
      <c r="BD101" s="299">
        <f>(BC71+BE71/2)*((BC50-BD50)*(1+$BR$45))*Faktory!$D$10</f>
        <v>0</v>
      </c>
      <c r="BE101" s="262">
        <f t="shared" si="426"/>
        <v>0</v>
      </c>
      <c r="BF101" s="298">
        <v>0</v>
      </c>
      <c r="BG101" s="299">
        <f>(BF71+BH71/2)*((BF50-BG50)*(1+$BR$45))*Faktory!$D$10</f>
        <v>0</v>
      </c>
      <c r="BH101" s="262">
        <f t="shared" si="427"/>
        <v>0</v>
      </c>
      <c r="BI101" s="298">
        <v>0</v>
      </c>
      <c r="BJ101" s="299">
        <f>(BI71+BK71/2)*((BI50-BJ50)*(1+$BR$45))*Faktory!$D$10</f>
        <v>0</v>
      </c>
      <c r="BK101" s="262">
        <f t="shared" si="428"/>
        <v>0</v>
      </c>
      <c r="BL101" s="298">
        <v>0</v>
      </c>
      <c r="BM101" s="299">
        <f>(BL71+BN71/2)*((BL50-BM50)*(1+$BR$45))*Faktory!$D$10</f>
        <v>0</v>
      </c>
      <c r="BN101" s="262">
        <f t="shared" si="429"/>
        <v>0</v>
      </c>
      <c r="BO101" s="298">
        <v>0</v>
      </c>
      <c r="BP101" s="299">
        <f>(BO71+BQ71/2)*((BO50-BP50)*(1+$BR$45))*Faktory!$D$10</f>
        <v>0</v>
      </c>
      <c r="BQ101" s="262">
        <f t="shared" si="430"/>
        <v>0</v>
      </c>
    </row>
    <row r="102" spans="1:69">
      <c r="A102" s="801"/>
      <c r="B102" s="803"/>
      <c r="C102" s="290" t="s">
        <v>172</v>
      </c>
      <c r="D102" s="291">
        <f t="shared" si="409"/>
        <v>0</v>
      </c>
      <c r="E102" s="292">
        <f t="shared" si="208"/>
        <v>437710.50180000038</v>
      </c>
      <c r="F102" s="293">
        <f t="shared" si="209"/>
        <v>437710.50180000038</v>
      </c>
      <c r="G102" s="298">
        <v>0</v>
      </c>
      <c r="H102" s="299">
        <f>(G72+I72/2)*((G51-H51)*(1+$BR$45))*Faktory!$D$10</f>
        <v>33670.038600000029</v>
      </c>
      <c r="I102" s="262">
        <f t="shared" si="410"/>
        <v>33670.038600000029</v>
      </c>
      <c r="J102" s="298">
        <v>0</v>
      </c>
      <c r="K102" s="299">
        <f>(J72+L72/2)*((J51-K51)*(1+$BR$45))*Faktory!$D$10</f>
        <v>33670.038600000029</v>
      </c>
      <c r="L102" s="262">
        <f t="shared" si="411"/>
        <v>33670.038600000029</v>
      </c>
      <c r="M102" s="298">
        <v>0</v>
      </c>
      <c r="N102" s="299">
        <f>(M72+O72/2)*((M51-N51)*(1+$BR$45))*Faktory!$D$10</f>
        <v>33670.038600000029</v>
      </c>
      <c r="O102" s="262">
        <f t="shared" si="412"/>
        <v>33670.038600000029</v>
      </c>
      <c r="P102" s="298">
        <v>0</v>
      </c>
      <c r="Q102" s="299">
        <f>(P72+R72/2)*((P51-Q51)*(1+$BR$45))*Faktory!$D$10</f>
        <v>33670.038600000029</v>
      </c>
      <c r="R102" s="262">
        <f t="shared" si="413"/>
        <v>33670.038600000029</v>
      </c>
      <c r="S102" s="298">
        <v>0</v>
      </c>
      <c r="T102" s="299">
        <f>(S72+U72/2)*((S51-T51)*(1+$BR$45))*Faktory!$D$10</f>
        <v>33670.038600000029</v>
      </c>
      <c r="U102" s="262">
        <f t="shared" si="414"/>
        <v>33670.038600000029</v>
      </c>
      <c r="V102" s="298">
        <v>0</v>
      </c>
      <c r="W102" s="299">
        <f>(V72+X72/2)*((V51-W51)*(1+$BR$45))*Faktory!$D$10</f>
        <v>33670.038600000029</v>
      </c>
      <c r="X102" s="262">
        <f t="shared" si="415"/>
        <v>33670.038600000029</v>
      </c>
      <c r="Y102" s="298">
        <v>0</v>
      </c>
      <c r="Z102" s="299">
        <f>(Y72+AA72/2)*((Y51-Z51)*(1+$BR$45))*Faktory!$D$10</f>
        <v>33670.038600000029</v>
      </c>
      <c r="AA102" s="262">
        <f t="shared" si="416"/>
        <v>33670.038600000029</v>
      </c>
      <c r="AB102" s="298">
        <v>0</v>
      </c>
      <c r="AC102" s="299">
        <f>(AB72+AD72/2)*((AB51-AC51)*(1+$BR$45))*Faktory!$D$10</f>
        <v>33670.038600000029</v>
      </c>
      <c r="AD102" s="262">
        <f t="shared" si="417"/>
        <v>33670.038600000029</v>
      </c>
      <c r="AE102" s="298">
        <v>0</v>
      </c>
      <c r="AF102" s="299">
        <f>(AE72+AG72/2)*((AE51-AF51)*(1+$BR$45))*Faktory!$D$10</f>
        <v>33670.038600000029</v>
      </c>
      <c r="AG102" s="262">
        <f t="shared" si="418"/>
        <v>33670.038600000029</v>
      </c>
      <c r="AH102" s="298">
        <v>0</v>
      </c>
      <c r="AI102" s="299">
        <f>(AH72+AJ72/2)*((AH51-AI51)*(1+$BR$45))*Faktory!$D$10</f>
        <v>33670.038600000029</v>
      </c>
      <c r="AJ102" s="262">
        <f t="shared" si="419"/>
        <v>33670.038600000029</v>
      </c>
      <c r="AK102" s="298">
        <v>0</v>
      </c>
      <c r="AL102" s="299">
        <f>(AK72+AM72/2)*((AK51-AL51)*(1+$BR$45))*Faktory!$D$10</f>
        <v>33670.038600000029</v>
      </c>
      <c r="AM102" s="262">
        <f t="shared" si="420"/>
        <v>33670.038600000029</v>
      </c>
      <c r="AN102" s="298">
        <v>0</v>
      </c>
      <c r="AO102" s="299">
        <f>(AN72+AP72/2)*((AN51-AO51)*(1+$BR$45))*Faktory!$D$10</f>
        <v>33670.038600000029</v>
      </c>
      <c r="AP102" s="262">
        <f t="shared" si="421"/>
        <v>33670.038600000029</v>
      </c>
      <c r="AQ102" s="298">
        <v>0</v>
      </c>
      <c r="AR102" s="299">
        <f>(AQ72+AS72/2)*((AQ51-AR51)*(1+$BR$45))*Faktory!$D$10</f>
        <v>33670.038600000029</v>
      </c>
      <c r="AS102" s="262">
        <f t="shared" si="422"/>
        <v>33670.038600000029</v>
      </c>
      <c r="AT102" s="298">
        <v>0</v>
      </c>
      <c r="AU102" s="299">
        <f>(AT72+AV72/2)*((AT51-AU51)*(1+$BR$45))*Faktory!$D$10</f>
        <v>0</v>
      </c>
      <c r="AV102" s="262">
        <f t="shared" si="423"/>
        <v>0</v>
      </c>
      <c r="AW102" s="298">
        <v>0</v>
      </c>
      <c r="AX102" s="299">
        <f>(AW72+AY72/2)*((AW51-AX51)*(1+$BR$45))*Faktory!$D$10</f>
        <v>0</v>
      </c>
      <c r="AY102" s="262">
        <f t="shared" si="424"/>
        <v>0</v>
      </c>
      <c r="AZ102" s="298">
        <v>0</v>
      </c>
      <c r="BA102" s="299">
        <f>(AZ72+BB72/2)*((AZ51-BA51)*(1+$BR$45))*Faktory!$D$10</f>
        <v>0</v>
      </c>
      <c r="BB102" s="262">
        <f t="shared" si="425"/>
        <v>0</v>
      </c>
      <c r="BC102" s="298">
        <v>0</v>
      </c>
      <c r="BD102" s="299">
        <f>(BC72+BE72/2)*((BC51-BD51)*(1+$BR$45))*Faktory!$D$10</f>
        <v>0</v>
      </c>
      <c r="BE102" s="262">
        <f t="shared" si="426"/>
        <v>0</v>
      </c>
      <c r="BF102" s="298">
        <v>0</v>
      </c>
      <c r="BG102" s="299">
        <f>(BF72+BH72/2)*((BF51-BG51)*(1+$BR$45))*Faktory!$D$10</f>
        <v>0</v>
      </c>
      <c r="BH102" s="262">
        <f t="shared" si="427"/>
        <v>0</v>
      </c>
      <c r="BI102" s="298">
        <v>0</v>
      </c>
      <c r="BJ102" s="299">
        <f>(BI72+BK72/2)*((BI51-BJ51)*(1+$BR$45))*Faktory!$D$10</f>
        <v>0</v>
      </c>
      <c r="BK102" s="262">
        <f t="shared" si="428"/>
        <v>0</v>
      </c>
      <c r="BL102" s="298">
        <v>0</v>
      </c>
      <c r="BM102" s="299">
        <f>(BL72+BN72/2)*((BL51-BM51)*(1+$BR$45))*Faktory!$D$10</f>
        <v>0</v>
      </c>
      <c r="BN102" s="262">
        <f t="shared" si="429"/>
        <v>0</v>
      </c>
      <c r="BO102" s="298">
        <v>0</v>
      </c>
      <c r="BP102" s="299">
        <f>(BO72+BQ72/2)*((BO51-BP51)*(1+$BR$45))*Faktory!$D$10</f>
        <v>0</v>
      </c>
      <c r="BQ102" s="262">
        <f t="shared" si="430"/>
        <v>0</v>
      </c>
    </row>
    <row r="103" spans="1:69">
      <c r="A103" s="801"/>
      <c r="B103" s="803"/>
      <c r="C103" s="290" t="s">
        <v>173</v>
      </c>
      <c r="D103" s="291">
        <f t="shared" si="409"/>
        <v>0</v>
      </c>
      <c r="E103" s="292">
        <f t="shared" si="208"/>
        <v>437710.50180000038</v>
      </c>
      <c r="F103" s="293">
        <f t="shared" si="209"/>
        <v>437710.50180000038</v>
      </c>
      <c r="G103" s="298">
        <v>0</v>
      </c>
      <c r="H103" s="299">
        <f>(G73+I73/2)*((G52-H52)*(1+$BR$45))*Faktory!$D$10</f>
        <v>33670.038600000029</v>
      </c>
      <c r="I103" s="262">
        <f t="shared" si="410"/>
        <v>33670.038600000029</v>
      </c>
      <c r="J103" s="298">
        <v>0</v>
      </c>
      <c r="K103" s="299">
        <f>(J73+L73/2)*((J52-K52)*(1+$BR$45))*Faktory!$D$10</f>
        <v>33670.038600000029</v>
      </c>
      <c r="L103" s="262">
        <f t="shared" si="411"/>
        <v>33670.038600000029</v>
      </c>
      <c r="M103" s="298">
        <v>0</v>
      </c>
      <c r="N103" s="299">
        <f>(M73+O73/2)*((M52-N52)*(1+$BR$45))*Faktory!$D$10</f>
        <v>33670.038600000029</v>
      </c>
      <c r="O103" s="262">
        <f t="shared" si="412"/>
        <v>33670.038600000029</v>
      </c>
      <c r="P103" s="298">
        <v>0</v>
      </c>
      <c r="Q103" s="299">
        <f>(P73+R73/2)*((P52-Q52)*(1+$BR$45))*Faktory!$D$10</f>
        <v>33670.038600000029</v>
      </c>
      <c r="R103" s="262">
        <f t="shared" si="413"/>
        <v>33670.038600000029</v>
      </c>
      <c r="S103" s="298">
        <v>0</v>
      </c>
      <c r="T103" s="299">
        <f>(S73+U73/2)*((S52-T52)*(1+$BR$45))*Faktory!$D$10</f>
        <v>33670.038600000029</v>
      </c>
      <c r="U103" s="262">
        <f t="shared" si="414"/>
        <v>33670.038600000029</v>
      </c>
      <c r="V103" s="298">
        <v>0</v>
      </c>
      <c r="W103" s="299">
        <f>(V73+X73/2)*((V52-W52)*(1+$BR$45))*Faktory!$D$10</f>
        <v>33670.038600000029</v>
      </c>
      <c r="X103" s="262">
        <f t="shared" si="415"/>
        <v>33670.038600000029</v>
      </c>
      <c r="Y103" s="298">
        <v>0</v>
      </c>
      <c r="Z103" s="299">
        <f>(Y73+AA73/2)*((Y52-Z52)*(1+$BR$45))*Faktory!$D$10</f>
        <v>33670.038600000029</v>
      </c>
      <c r="AA103" s="262">
        <f t="shared" si="416"/>
        <v>33670.038600000029</v>
      </c>
      <c r="AB103" s="298">
        <v>0</v>
      </c>
      <c r="AC103" s="299">
        <f>(AB73+AD73/2)*((AB52-AC52)*(1+$BR$45))*Faktory!$D$10</f>
        <v>33670.038600000029</v>
      </c>
      <c r="AD103" s="262">
        <f t="shared" si="417"/>
        <v>33670.038600000029</v>
      </c>
      <c r="AE103" s="298">
        <v>0</v>
      </c>
      <c r="AF103" s="299">
        <f>(AE73+AG73/2)*((AE52-AF52)*(1+$BR$45))*Faktory!$D$10</f>
        <v>33670.038600000029</v>
      </c>
      <c r="AG103" s="262">
        <f t="shared" si="418"/>
        <v>33670.038600000029</v>
      </c>
      <c r="AH103" s="298">
        <v>0</v>
      </c>
      <c r="AI103" s="299">
        <f>(AH73+AJ73/2)*((AH52-AI52)*(1+$BR$45))*Faktory!$D$10</f>
        <v>33670.038600000029</v>
      </c>
      <c r="AJ103" s="262">
        <f t="shared" si="419"/>
        <v>33670.038600000029</v>
      </c>
      <c r="AK103" s="298">
        <v>0</v>
      </c>
      <c r="AL103" s="299">
        <f>(AK73+AM73/2)*((AK52-AL52)*(1+$BR$45))*Faktory!$D$10</f>
        <v>33670.038600000029</v>
      </c>
      <c r="AM103" s="262">
        <f t="shared" si="420"/>
        <v>33670.038600000029</v>
      </c>
      <c r="AN103" s="298">
        <v>0</v>
      </c>
      <c r="AO103" s="299">
        <f>(AN73+AP73/2)*((AN52-AO52)*(1+$BR$45))*Faktory!$D$10</f>
        <v>33670.038600000029</v>
      </c>
      <c r="AP103" s="262">
        <f t="shared" si="421"/>
        <v>33670.038600000029</v>
      </c>
      <c r="AQ103" s="298">
        <v>0</v>
      </c>
      <c r="AR103" s="299">
        <f>(AQ73+AS73/2)*((AQ52-AR52)*(1+$BR$45))*Faktory!$D$10</f>
        <v>33670.038600000029</v>
      </c>
      <c r="AS103" s="262">
        <f t="shared" si="422"/>
        <v>33670.038600000029</v>
      </c>
      <c r="AT103" s="298">
        <v>0</v>
      </c>
      <c r="AU103" s="299">
        <f>(AT73+AV73/2)*((AT52-AU52)*(1+$BR$45))*Faktory!$D$10</f>
        <v>0</v>
      </c>
      <c r="AV103" s="262">
        <f t="shared" si="423"/>
        <v>0</v>
      </c>
      <c r="AW103" s="298">
        <v>0</v>
      </c>
      <c r="AX103" s="299">
        <f>(AW73+AY73/2)*((AW52-AX52)*(1+$BR$45))*Faktory!$D$10</f>
        <v>0</v>
      </c>
      <c r="AY103" s="262">
        <f t="shared" si="424"/>
        <v>0</v>
      </c>
      <c r="AZ103" s="298">
        <v>0</v>
      </c>
      <c r="BA103" s="299">
        <f>(AZ73+BB73/2)*((AZ52-BA52)*(1+$BR$45))*Faktory!$D$10</f>
        <v>0</v>
      </c>
      <c r="BB103" s="262">
        <f t="shared" si="425"/>
        <v>0</v>
      </c>
      <c r="BC103" s="298">
        <v>0</v>
      </c>
      <c r="BD103" s="299">
        <f>(BC73+BE73/2)*((BC52-BD52)*(1+$BR$45))*Faktory!$D$10</f>
        <v>0</v>
      </c>
      <c r="BE103" s="262">
        <f t="shared" si="426"/>
        <v>0</v>
      </c>
      <c r="BF103" s="298">
        <v>0</v>
      </c>
      <c r="BG103" s="299">
        <f>(BF73+BH73/2)*((BF52-BG52)*(1+$BR$45))*Faktory!$D$10</f>
        <v>0</v>
      </c>
      <c r="BH103" s="262">
        <f t="shared" si="427"/>
        <v>0</v>
      </c>
      <c r="BI103" s="298">
        <v>0</v>
      </c>
      <c r="BJ103" s="299">
        <f>(BI73+BK73/2)*((BI52-BJ52)*(1+$BR$45))*Faktory!$D$10</f>
        <v>0</v>
      </c>
      <c r="BK103" s="262">
        <f t="shared" si="428"/>
        <v>0</v>
      </c>
      <c r="BL103" s="298">
        <v>0</v>
      </c>
      <c r="BM103" s="299">
        <f>(BL73+BN73/2)*((BL52-BM52)*(1+$BR$45))*Faktory!$D$10</f>
        <v>0</v>
      </c>
      <c r="BN103" s="262">
        <f t="shared" si="429"/>
        <v>0</v>
      </c>
      <c r="BO103" s="298">
        <v>0</v>
      </c>
      <c r="BP103" s="299">
        <f>(BO73+BQ73/2)*((BO52-BP52)*(1+$BR$45))*Faktory!$D$10</f>
        <v>0</v>
      </c>
      <c r="BQ103" s="262">
        <f t="shared" si="430"/>
        <v>0</v>
      </c>
    </row>
    <row r="104" spans="1:69">
      <c r="A104" s="801"/>
      <c r="B104" s="803"/>
      <c r="C104" s="290" t="s">
        <v>174</v>
      </c>
      <c r="D104" s="291">
        <f t="shared" si="409"/>
        <v>0</v>
      </c>
      <c r="E104" s="292">
        <f t="shared" si="208"/>
        <v>437710.50180000038</v>
      </c>
      <c r="F104" s="293">
        <f t="shared" si="209"/>
        <v>437710.50180000038</v>
      </c>
      <c r="G104" s="298">
        <v>0</v>
      </c>
      <c r="H104" s="299">
        <f>(G74+I74/2)*((G53-H53)*(1+$BR$45))*Faktory!$D$10</f>
        <v>33670.038600000029</v>
      </c>
      <c r="I104" s="262">
        <f t="shared" si="410"/>
        <v>33670.038600000029</v>
      </c>
      <c r="J104" s="298">
        <v>0</v>
      </c>
      <c r="K104" s="299">
        <f>(J74+L74/2)*((J53-K53)*(1+$BR$45))*Faktory!$D$10</f>
        <v>33670.038600000029</v>
      </c>
      <c r="L104" s="262">
        <f t="shared" si="411"/>
        <v>33670.038600000029</v>
      </c>
      <c r="M104" s="298">
        <v>0</v>
      </c>
      <c r="N104" s="299">
        <f>(M74+O74/2)*((M53-N53)*(1+$BR$45))*Faktory!$D$10</f>
        <v>33670.038600000029</v>
      </c>
      <c r="O104" s="262">
        <f t="shared" si="412"/>
        <v>33670.038600000029</v>
      </c>
      <c r="P104" s="298">
        <v>0</v>
      </c>
      <c r="Q104" s="299">
        <f>(P74+R74/2)*((P53-Q53)*(1+$BR$45))*Faktory!$D$10</f>
        <v>33670.038600000029</v>
      </c>
      <c r="R104" s="262">
        <f t="shared" si="413"/>
        <v>33670.038600000029</v>
      </c>
      <c r="S104" s="298">
        <v>0</v>
      </c>
      <c r="T104" s="299">
        <f>(S74+U74/2)*((S53-T53)*(1+$BR$45))*Faktory!$D$10</f>
        <v>33670.038600000029</v>
      </c>
      <c r="U104" s="262">
        <f t="shared" si="414"/>
        <v>33670.038600000029</v>
      </c>
      <c r="V104" s="298">
        <v>0</v>
      </c>
      <c r="W104" s="299">
        <f>(V74+X74/2)*((V53-W53)*(1+$BR$45))*Faktory!$D$10</f>
        <v>33670.038600000029</v>
      </c>
      <c r="X104" s="262">
        <f t="shared" si="415"/>
        <v>33670.038600000029</v>
      </c>
      <c r="Y104" s="298">
        <v>0</v>
      </c>
      <c r="Z104" s="299">
        <f>(Y74+AA74/2)*((Y53-Z53)*(1+$BR$45))*Faktory!$D$10</f>
        <v>33670.038600000029</v>
      </c>
      <c r="AA104" s="262">
        <f t="shared" si="416"/>
        <v>33670.038600000029</v>
      </c>
      <c r="AB104" s="298">
        <v>0</v>
      </c>
      <c r="AC104" s="299">
        <f>(AB74+AD74/2)*((AB53-AC53)*(1+$BR$45))*Faktory!$D$10</f>
        <v>33670.038600000029</v>
      </c>
      <c r="AD104" s="262">
        <f t="shared" si="417"/>
        <v>33670.038600000029</v>
      </c>
      <c r="AE104" s="298">
        <v>0</v>
      </c>
      <c r="AF104" s="299">
        <f>(AE74+AG74/2)*((AE53-AF53)*(1+$BR$45))*Faktory!$D$10</f>
        <v>33670.038600000029</v>
      </c>
      <c r="AG104" s="262">
        <f t="shared" si="418"/>
        <v>33670.038600000029</v>
      </c>
      <c r="AH104" s="298">
        <v>0</v>
      </c>
      <c r="AI104" s="299">
        <f>(AH74+AJ74/2)*((AH53-AI53)*(1+$BR$45))*Faktory!$D$10</f>
        <v>33670.038600000029</v>
      </c>
      <c r="AJ104" s="262">
        <f t="shared" si="419"/>
        <v>33670.038600000029</v>
      </c>
      <c r="AK104" s="298">
        <v>0</v>
      </c>
      <c r="AL104" s="299">
        <f>(AK74+AM74/2)*((AK53-AL53)*(1+$BR$45))*Faktory!$D$10</f>
        <v>33670.038600000029</v>
      </c>
      <c r="AM104" s="262">
        <f t="shared" si="420"/>
        <v>33670.038600000029</v>
      </c>
      <c r="AN104" s="298">
        <v>0</v>
      </c>
      <c r="AO104" s="299">
        <f>(AN74+AP74/2)*((AN53-AO53)*(1+$BR$45))*Faktory!$D$10</f>
        <v>33670.038600000029</v>
      </c>
      <c r="AP104" s="262">
        <f t="shared" si="421"/>
        <v>33670.038600000029</v>
      </c>
      <c r="AQ104" s="298">
        <v>0</v>
      </c>
      <c r="AR104" s="299">
        <f>(AQ74+AS74/2)*((AQ53-AR53)*(1+$BR$45))*Faktory!$D$10</f>
        <v>33670.038600000029</v>
      </c>
      <c r="AS104" s="262">
        <f t="shared" si="422"/>
        <v>33670.038600000029</v>
      </c>
      <c r="AT104" s="298">
        <v>0</v>
      </c>
      <c r="AU104" s="299">
        <f>(AT74+AV74/2)*((AT53-AU53)*(1+$BR$45))*Faktory!$D$10</f>
        <v>0</v>
      </c>
      <c r="AV104" s="262">
        <f t="shared" si="423"/>
        <v>0</v>
      </c>
      <c r="AW104" s="298">
        <v>0</v>
      </c>
      <c r="AX104" s="299">
        <f>(AW74+AY74/2)*((AW53-AX53)*(1+$BR$45))*Faktory!$D$10</f>
        <v>0</v>
      </c>
      <c r="AY104" s="262">
        <f t="shared" si="424"/>
        <v>0</v>
      </c>
      <c r="AZ104" s="298">
        <v>0</v>
      </c>
      <c r="BA104" s="299">
        <f>(AZ74+BB74/2)*((AZ53-BA53)*(1+$BR$45))*Faktory!$D$10</f>
        <v>0</v>
      </c>
      <c r="BB104" s="262">
        <f t="shared" si="425"/>
        <v>0</v>
      </c>
      <c r="BC104" s="298">
        <v>0</v>
      </c>
      <c r="BD104" s="299">
        <f>(BC74+BE74/2)*((BC53-BD53)*(1+$BR$45))*Faktory!$D$10</f>
        <v>0</v>
      </c>
      <c r="BE104" s="262">
        <f t="shared" si="426"/>
        <v>0</v>
      </c>
      <c r="BF104" s="298">
        <v>0</v>
      </c>
      <c r="BG104" s="299">
        <f>(BF74+BH74/2)*((BF53-BG53)*(1+$BR$45))*Faktory!$D$10</f>
        <v>0</v>
      </c>
      <c r="BH104" s="262">
        <f t="shared" si="427"/>
        <v>0</v>
      </c>
      <c r="BI104" s="298">
        <v>0</v>
      </c>
      <c r="BJ104" s="299">
        <f>(BI74+BK74/2)*((BI53-BJ53)*(1+$BR$45))*Faktory!$D$10</f>
        <v>0</v>
      </c>
      <c r="BK104" s="262">
        <f t="shared" si="428"/>
        <v>0</v>
      </c>
      <c r="BL104" s="298">
        <v>0</v>
      </c>
      <c r="BM104" s="299">
        <f>(BL74+BN74/2)*((BL53-BM53)*(1+$BR$45))*Faktory!$D$10</f>
        <v>0</v>
      </c>
      <c r="BN104" s="262">
        <f t="shared" si="429"/>
        <v>0</v>
      </c>
      <c r="BO104" s="298">
        <v>0</v>
      </c>
      <c r="BP104" s="299">
        <f>(BO74+BQ74/2)*((BO53-BP53)*(1+$BR$45))*Faktory!$D$10</f>
        <v>0</v>
      </c>
      <c r="BQ104" s="262">
        <f t="shared" si="430"/>
        <v>0</v>
      </c>
    </row>
    <row r="105" spans="1:69" ht="15" thickBot="1">
      <c r="A105" s="802"/>
      <c r="B105" s="804"/>
      <c r="C105" s="300" t="s">
        <v>175</v>
      </c>
      <c r="D105" s="301">
        <f t="shared" si="409"/>
        <v>0</v>
      </c>
      <c r="E105" s="302">
        <f t="shared" si="208"/>
        <v>437710.50180000038</v>
      </c>
      <c r="F105" s="303">
        <f t="shared" si="209"/>
        <v>437710.50180000038</v>
      </c>
      <c r="G105" s="304">
        <v>0</v>
      </c>
      <c r="H105" s="305">
        <f>(G75+I75/2)*((G54-H54)*(1+$BR$45))*Faktory!$D$10</f>
        <v>33670.038600000029</v>
      </c>
      <c r="I105" s="267">
        <f t="shared" si="410"/>
        <v>33670.038600000029</v>
      </c>
      <c r="J105" s="304">
        <v>0</v>
      </c>
      <c r="K105" s="305">
        <f>(J75+L75/2)*((J54-K54)*(1+$BR$45))*Faktory!$D$10</f>
        <v>33670.038600000029</v>
      </c>
      <c r="L105" s="267">
        <f t="shared" si="411"/>
        <v>33670.038600000029</v>
      </c>
      <c r="M105" s="304">
        <v>0</v>
      </c>
      <c r="N105" s="305">
        <f>(M75+O75/2)*((M54-N54)*(1+$BR$45))*Faktory!$D$10</f>
        <v>33670.038600000029</v>
      </c>
      <c r="O105" s="267">
        <f t="shared" si="412"/>
        <v>33670.038600000029</v>
      </c>
      <c r="P105" s="304">
        <v>0</v>
      </c>
      <c r="Q105" s="305">
        <f>(P75+R75/2)*((P54-Q54)*(1+$BR$45))*Faktory!$D$10</f>
        <v>33670.038600000029</v>
      </c>
      <c r="R105" s="267">
        <f t="shared" si="413"/>
        <v>33670.038600000029</v>
      </c>
      <c r="S105" s="304">
        <v>0</v>
      </c>
      <c r="T105" s="305">
        <f>(S75+U75/2)*((S54-T54)*(1+$BR$45))*Faktory!$D$10</f>
        <v>33670.038600000029</v>
      </c>
      <c r="U105" s="267">
        <f t="shared" si="414"/>
        <v>33670.038600000029</v>
      </c>
      <c r="V105" s="304">
        <v>0</v>
      </c>
      <c r="W105" s="305">
        <f>(V75+X75/2)*((V54-W54)*(1+$BR$45))*Faktory!$D$10</f>
        <v>33670.038600000029</v>
      </c>
      <c r="X105" s="267">
        <f t="shared" si="415"/>
        <v>33670.038600000029</v>
      </c>
      <c r="Y105" s="304">
        <v>0</v>
      </c>
      <c r="Z105" s="305">
        <f>(Y75+AA75/2)*((Y54-Z54)*(1+$BR$45))*Faktory!$D$10</f>
        <v>33670.038600000029</v>
      </c>
      <c r="AA105" s="267">
        <f t="shared" si="416"/>
        <v>33670.038600000029</v>
      </c>
      <c r="AB105" s="304">
        <v>0</v>
      </c>
      <c r="AC105" s="305">
        <f>(AB75+AD75/2)*((AB54-AC54)*(1+$BR$45))*Faktory!$D$10</f>
        <v>33670.038600000029</v>
      </c>
      <c r="AD105" s="267">
        <f t="shared" si="417"/>
        <v>33670.038600000029</v>
      </c>
      <c r="AE105" s="304">
        <v>0</v>
      </c>
      <c r="AF105" s="305">
        <f>(AE75+AG75/2)*((AE54-AF54)*(1+$BR$45))*Faktory!$D$10</f>
        <v>33670.038600000029</v>
      </c>
      <c r="AG105" s="267">
        <f t="shared" si="418"/>
        <v>33670.038600000029</v>
      </c>
      <c r="AH105" s="304">
        <v>0</v>
      </c>
      <c r="AI105" s="305">
        <f>(AH75+AJ75/2)*((AH54-AI54)*(1+$BR$45))*Faktory!$D$10</f>
        <v>33670.038600000029</v>
      </c>
      <c r="AJ105" s="267">
        <f t="shared" si="419"/>
        <v>33670.038600000029</v>
      </c>
      <c r="AK105" s="304">
        <v>0</v>
      </c>
      <c r="AL105" s="305">
        <f>(AK75+AM75/2)*((AK54-AL54)*(1+$BR$45))*Faktory!$D$10</f>
        <v>33670.038600000029</v>
      </c>
      <c r="AM105" s="267">
        <f t="shared" si="420"/>
        <v>33670.038600000029</v>
      </c>
      <c r="AN105" s="304">
        <v>0</v>
      </c>
      <c r="AO105" s="305">
        <f>(AN75+AP75/2)*((AN54-AO54)*(1+$BR$45))*Faktory!$D$10</f>
        <v>33670.038600000029</v>
      </c>
      <c r="AP105" s="267">
        <f t="shared" si="421"/>
        <v>33670.038600000029</v>
      </c>
      <c r="AQ105" s="304">
        <v>0</v>
      </c>
      <c r="AR105" s="305">
        <f>(AQ75+AS75/2)*((AQ54-AR54)*(1+$BR$45))*Faktory!$D$10</f>
        <v>33670.038600000029</v>
      </c>
      <c r="AS105" s="267">
        <f t="shared" si="422"/>
        <v>33670.038600000029</v>
      </c>
      <c r="AT105" s="304">
        <v>0</v>
      </c>
      <c r="AU105" s="305">
        <f>(AT75+AV75/2)*((AT54-AU54)*(1+$BR$45))*Faktory!$D$10</f>
        <v>0</v>
      </c>
      <c r="AV105" s="267">
        <f t="shared" si="423"/>
        <v>0</v>
      </c>
      <c r="AW105" s="304">
        <v>0</v>
      </c>
      <c r="AX105" s="305">
        <f>(AW75+AY75/2)*((AW54-AX54)*(1+$BR$45))*Faktory!$D$10</f>
        <v>0</v>
      </c>
      <c r="AY105" s="267">
        <f t="shared" si="424"/>
        <v>0</v>
      </c>
      <c r="AZ105" s="304">
        <v>0</v>
      </c>
      <c r="BA105" s="305">
        <f>(AZ75+BB75/2)*((AZ54-BA54)*(1+$BR$45))*Faktory!$D$10</f>
        <v>0</v>
      </c>
      <c r="BB105" s="267">
        <f t="shared" si="425"/>
        <v>0</v>
      </c>
      <c r="BC105" s="304">
        <v>0</v>
      </c>
      <c r="BD105" s="305">
        <f>(BC75+BE75/2)*((BC54-BD54)*(1+$BR$45))*Faktory!$D$10</f>
        <v>0</v>
      </c>
      <c r="BE105" s="267">
        <f t="shared" si="426"/>
        <v>0</v>
      </c>
      <c r="BF105" s="304">
        <v>0</v>
      </c>
      <c r="BG105" s="305">
        <f>(BF75+BH75/2)*((BF54-BG54)*(1+$BR$45))*Faktory!$D$10</f>
        <v>0</v>
      </c>
      <c r="BH105" s="267">
        <f t="shared" si="427"/>
        <v>0</v>
      </c>
      <c r="BI105" s="304">
        <v>0</v>
      </c>
      <c r="BJ105" s="305">
        <f>(BI75+BK75/2)*((BI54-BJ54)*(1+$BR$45))*Faktory!$D$10</f>
        <v>0</v>
      </c>
      <c r="BK105" s="267">
        <f t="shared" si="428"/>
        <v>0</v>
      </c>
      <c r="BL105" s="304">
        <v>0</v>
      </c>
      <c r="BM105" s="305">
        <f>(BL75+BN75/2)*((BL54-BM54)*(1+$BR$45))*Faktory!$D$10</f>
        <v>0</v>
      </c>
      <c r="BN105" s="267">
        <f t="shared" si="429"/>
        <v>0</v>
      </c>
      <c r="BO105" s="304">
        <v>0</v>
      </c>
      <c r="BP105" s="305">
        <f>(BO75+BQ75/2)*((BO54-BP54)*(1+$BR$45))*Faktory!$D$10</f>
        <v>0</v>
      </c>
      <c r="BQ105" s="267">
        <f t="shared" si="430"/>
        <v>0</v>
      </c>
    </row>
    <row r="106" spans="1:69">
      <c r="A106" s="801" t="s">
        <v>224</v>
      </c>
      <c r="B106" s="803" t="s">
        <v>214</v>
      </c>
      <c r="C106" s="290" t="s">
        <v>166</v>
      </c>
      <c r="D106" s="291">
        <f t="shared" si="409"/>
        <v>0</v>
      </c>
      <c r="E106" s="292">
        <f t="shared" si="208"/>
        <v>0</v>
      </c>
      <c r="F106" s="293">
        <f>E106-D106</f>
        <v>0</v>
      </c>
      <c r="G106" s="306">
        <f t="shared" ref="G106:H115" si="431">G5*G15</f>
        <v>0</v>
      </c>
      <c r="H106" s="307">
        <f t="shared" si="431"/>
        <v>0</v>
      </c>
      <c r="I106" s="257">
        <f>H106-G106</f>
        <v>0</v>
      </c>
      <c r="J106" s="306">
        <f t="shared" ref="J106:K106" si="432">J5*J15</f>
        <v>0</v>
      </c>
      <c r="K106" s="307">
        <f t="shared" si="432"/>
        <v>0</v>
      </c>
      <c r="L106" s="257">
        <f>K106-J106</f>
        <v>0</v>
      </c>
      <c r="M106" s="306">
        <f t="shared" ref="M106:N106" si="433">M5*M15</f>
        <v>0</v>
      </c>
      <c r="N106" s="307">
        <f t="shared" si="433"/>
        <v>0</v>
      </c>
      <c r="O106" s="257">
        <f>N106-M106</f>
        <v>0</v>
      </c>
      <c r="P106" s="306">
        <f t="shared" ref="P106:Q106" si="434">P5*P15</f>
        <v>0</v>
      </c>
      <c r="Q106" s="307">
        <f t="shared" si="434"/>
        <v>0</v>
      </c>
      <c r="R106" s="257">
        <f t="shared" ref="R106:R115" si="435">Q106-P106</f>
        <v>0</v>
      </c>
      <c r="S106" s="306">
        <f t="shared" ref="S106:T106" si="436">S5*S15</f>
        <v>0</v>
      </c>
      <c r="T106" s="307">
        <f t="shared" si="436"/>
        <v>0</v>
      </c>
      <c r="U106" s="257">
        <f t="shared" ref="U106:U115" si="437">T106-S106</f>
        <v>0</v>
      </c>
      <c r="V106" s="306">
        <f t="shared" ref="V106:W106" si="438">V5*V15</f>
        <v>0</v>
      </c>
      <c r="W106" s="307">
        <f t="shared" si="438"/>
        <v>0</v>
      </c>
      <c r="X106" s="257">
        <f t="shared" ref="X106:X115" si="439">W106-V106</f>
        <v>0</v>
      </c>
      <c r="Y106" s="306">
        <f t="shared" ref="Y106:Z106" si="440">Y5*Y15</f>
        <v>0</v>
      </c>
      <c r="Z106" s="307">
        <f t="shared" si="440"/>
        <v>0</v>
      </c>
      <c r="AA106" s="257">
        <f>Z106-Y106</f>
        <v>0</v>
      </c>
      <c r="AB106" s="306">
        <f t="shared" ref="AB106:AC106" si="441">AB5*AB15</f>
        <v>0</v>
      </c>
      <c r="AC106" s="307">
        <f t="shared" si="441"/>
        <v>0</v>
      </c>
      <c r="AD106" s="257">
        <f>AC106-AB106</f>
        <v>0</v>
      </c>
      <c r="AE106" s="306">
        <f t="shared" ref="AE106:AF106" si="442">AE5*AE15</f>
        <v>0</v>
      </c>
      <c r="AF106" s="307">
        <f t="shared" si="442"/>
        <v>0</v>
      </c>
      <c r="AG106" s="257">
        <f t="shared" ref="AG106:AG115" si="443">AF106-AE106</f>
        <v>0</v>
      </c>
      <c r="AH106" s="306">
        <f t="shared" ref="AH106:AI106" si="444">AH5*AH15</f>
        <v>0</v>
      </c>
      <c r="AI106" s="307">
        <f t="shared" si="444"/>
        <v>0</v>
      </c>
      <c r="AJ106" s="257">
        <f t="shared" ref="AJ106:AJ115" si="445">AI106-AH106</f>
        <v>0</v>
      </c>
      <c r="AK106" s="306">
        <f t="shared" ref="AK106:AL106" si="446">AK5*AK15</f>
        <v>0</v>
      </c>
      <c r="AL106" s="307">
        <f t="shared" si="446"/>
        <v>0</v>
      </c>
      <c r="AM106" s="257">
        <f t="shared" ref="AM106:AM115" si="447">AL106-AK106</f>
        <v>0</v>
      </c>
      <c r="AN106" s="306">
        <f t="shared" ref="AN106:AO106" si="448">AN5*AN15</f>
        <v>0</v>
      </c>
      <c r="AO106" s="307">
        <f t="shared" si="448"/>
        <v>0</v>
      </c>
      <c r="AP106" s="257">
        <f>AO106-AN106</f>
        <v>0</v>
      </c>
      <c r="AQ106" s="306">
        <f t="shared" ref="AQ106:AR106" si="449">AQ5*AQ15</f>
        <v>0</v>
      </c>
      <c r="AR106" s="307">
        <f t="shared" si="449"/>
        <v>0</v>
      </c>
      <c r="AS106" s="257">
        <f>AR106-AQ106</f>
        <v>0</v>
      </c>
      <c r="AT106" s="306">
        <f t="shared" ref="AT106:AU106" si="450">AT5*AT15</f>
        <v>0</v>
      </c>
      <c r="AU106" s="307">
        <f t="shared" si="450"/>
        <v>0</v>
      </c>
      <c r="AV106" s="257">
        <f t="shared" ref="AV106:AV115" si="451">AU106-AT106</f>
        <v>0</v>
      </c>
      <c r="AW106" s="306">
        <f t="shared" ref="AW106:AX106" si="452">AW5*AW15</f>
        <v>0</v>
      </c>
      <c r="AX106" s="307">
        <f t="shared" si="452"/>
        <v>0</v>
      </c>
      <c r="AY106" s="257">
        <f t="shared" ref="AY106:AY115" si="453">AX106-AW106</f>
        <v>0</v>
      </c>
      <c r="AZ106" s="306">
        <f t="shared" ref="AZ106:BA106" si="454">AZ5*AZ15</f>
        <v>0</v>
      </c>
      <c r="BA106" s="307">
        <f t="shared" si="454"/>
        <v>0</v>
      </c>
      <c r="BB106" s="257">
        <f t="shared" ref="BB106:BB115" si="455">BA106-AZ106</f>
        <v>0</v>
      </c>
      <c r="BC106" s="306">
        <f t="shared" ref="BC106:BD106" si="456">BC5*BC15</f>
        <v>0</v>
      </c>
      <c r="BD106" s="307">
        <f t="shared" si="456"/>
        <v>0</v>
      </c>
      <c r="BE106" s="257">
        <f>BD106-BC106</f>
        <v>0</v>
      </c>
      <c r="BF106" s="306">
        <f t="shared" ref="BF106:BG106" si="457">BF5*BF15</f>
        <v>0</v>
      </c>
      <c r="BG106" s="307">
        <f t="shared" si="457"/>
        <v>0</v>
      </c>
      <c r="BH106" s="257">
        <f>BG106-BF106</f>
        <v>0</v>
      </c>
      <c r="BI106" s="306">
        <f t="shared" ref="BI106:BJ115" si="458">BI5*BI15</f>
        <v>0</v>
      </c>
      <c r="BJ106" s="307">
        <f t="shared" si="458"/>
        <v>0</v>
      </c>
      <c r="BK106" s="257">
        <f t="shared" ref="BK106:BK115" si="459">BJ106-BI106</f>
        <v>0</v>
      </c>
      <c r="BL106" s="306">
        <f t="shared" ref="BL106:BM115" si="460">BL5*BL15</f>
        <v>0</v>
      </c>
      <c r="BM106" s="307">
        <f t="shared" si="460"/>
        <v>0</v>
      </c>
      <c r="BN106" s="257">
        <f t="shared" ref="BN106:BN115" si="461">BM106-BL106</f>
        <v>0</v>
      </c>
      <c r="BO106" s="306">
        <f t="shared" ref="BO106:BP115" si="462">BO5*BO15</f>
        <v>0</v>
      </c>
      <c r="BP106" s="307">
        <f t="shared" si="462"/>
        <v>0</v>
      </c>
      <c r="BQ106" s="257">
        <f t="shared" ref="BQ106:BQ115" si="463">BP106-BO106</f>
        <v>0</v>
      </c>
    </row>
    <row r="107" spans="1:69">
      <c r="A107" s="801"/>
      <c r="B107" s="803"/>
      <c r="C107" s="290" t="s">
        <v>167</v>
      </c>
      <c r="D107" s="291">
        <f t="shared" si="409"/>
        <v>0</v>
      </c>
      <c r="E107" s="292">
        <f t="shared" si="208"/>
        <v>0</v>
      </c>
      <c r="F107" s="293">
        <f t="shared" ref="F107:F115" si="464">E107-D107</f>
        <v>0</v>
      </c>
      <c r="G107" s="298">
        <f t="shared" si="431"/>
        <v>0</v>
      </c>
      <c r="H107" s="299">
        <f t="shared" si="431"/>
        <v>0</v>
      </c>
      <c r="I107" s="262">
        <f t="shared" ref="I107:I115" si="465">H107-G107</f>
        <v>0</v>
      </c>
      <c r="J107" s="298">
        <f t="shared" ref="J107:K107" si="466">J6*J16</f>
        <v>0</v>
      </c>
      <c r="K107" s="299">
        <f t="shared" si="466"/>
        <v>0</v>
      </c>
      <c r="L107" s="262">
        <f t="shared" ref="L107:L115" si="467">K107-J107</f>
        <v>0</v>
      </c>
      <c r="M107" s="298">
        <f t="shared" ref="M107:N107" si="468">M6*M16</f>
        <v>0</v>
      </c>
      <c r="N107" s="299">
        <f t="shared" si="468"/>
        <v>0</v>
      </c>
      <c r="O107" s="262">
        <f t="shared" ref="O107:O115" si="469">N107-M107</f>
        <v>0</v>
      </c>
      <c r="P107" s="298">
        <f t="shared" ref="P107:Q107" si="470">P6*P16</f>
        <v>0</v>
      </c>
      <c r="Q107" s="299">
        <f t="shared" si="470"/>
        <v>0</v>
      </c>
      <c r="R107" s="262">
        <f t="shared" si="435"/>
        <v>0</v>
      </c>
      <c r="S107" s="298">
        <f t="shared" ref="S107:T107" si="471">S6*S16</f>
        <v>0</v>
      </c>
      <c r="T107" s="299">
        <f t="shared" si="471"/>
        <v>0</v>
      </c>
      <c r="U107" s="262">
        <f t="shared" si="437"/>
        <v>0</v>
      </c>
      <c r="V107" s="298">
        <f t="shared" ref="V107:W107" si="472">V6*V16</f>
        <v>0</v>
      </c>
      <c r="W107" s="299">
        <f t="shared" si="472"/>
        <v>0</v>
      </c>
      <c r="X107" s="262">
        <f t="shared" si="439"/>
        <v>0</v>
      </c>
      <c r="Y107" s="298">
        <f t="shared" ref="Y107:Z107" si="473">Y6*Y16</f>
        <v>0</v>
      </c>
      <c r="Z107" s="299">
        <f t="shared" si="473"/>
        <v>0</v>
      </c>
      <c r="AA107" s="262">
        <f t="shared" ref="AA107:AA115" si="474">Z107-Y107</f>
        <v>0</v>
      </c>
      <c r="AB107" s="298">
        <f t="shared" ref="AB107:AC107" si="475">AB6*AB16</f>
        <v>0</v>
      </c>
      <c r="AC107" s="299">
        <f t="shared" si="475"/>
        <v>0</v>
      </c>
      <c r="AD107" s="262">
        <f t="shared" ref="AD107:AD115" si="476">AC107-AB107</f>
        <v>0</v>
      </c>
      <c r="AE107" s="298">
        <f t="shared" ref="AE107:AF107" si="477">AE6*AE16</f>
        <v>0</v>
      </c>
      <c r="AF107" s="299">
        <f t="shared" si="477"/>
        <v>0</v>
      </c>
      <c r="AG107" s="262">
        <f t="shared" si="443"/>
        <v>0</v>
      </c>
      <c r="AH107" s="298">
        <f t="shared" ref="AH107:AI107" si="478">AH6*AH16</f>
        <v>0</v>
      </c>
      <c r="AI107" s="299">
        <f t="shared" si="478"/>
        <v>0</v>
      </c>
      <c r="AJ107" s="262">
        <f t="shared" si="445"/>
        <v>0</v>
      </c>
      <c r="AK107" s="298">
        <f t="shared" ref="AK107:AL107" si="479">AK6*AK16</f>
        <v>0</v>
      </c>
      <c r="AL107" s="299">
        <f t="shared" si="479"/>
        <v>0</v>
      </c>
      <c r="AM107" s="262">
        <f t="shared" si="447"/>
        <v>0</v>
      </c>
      <c r="AN107" s="298">
        <f t="shared" ref="AN107:AO107" si="480">AN6*AN16</f>
        <v>0</v>
      </c>
      <c r="AO107" s="299">
        <f t="shared" si="480"/>
        <v>0</v>
      </c>
      <c r="AP107" s="262">
        <f t="shared" ref="AP107:AP115" si="481">AO107-AN107</f>
        <v>0</v>
      </c>
      <c r="AQ107" s="298">
        <f t="shared" ref="AQ107:AR107" si="482">AQ6*AQ16</f>
        <v>0</v>
      </c>
      <c r="AR107" s="299">
        <f t="shared" si="482"/>
        <v>0</v>
      </c>
      <c r="AS107" s="262">
        <f t="shared" ref="AS107:AS115" si="483">AR107-AQ107</f>
        <v>0</v>
      </c>
      <c r="AT107" s="298">
        <f t="shared" ref="AT107:AU107" si="484">AT6*AT16</f>
        <v>0</v>
      </c>
      <c r="AU107" s="299">
        <f t="shared" si="484"/>
        <v>0</v>
      </c>
      <c r="AV107" s="262">
        <f t="shared" si="451"/>
        <v>0</v>
      </c>
      <c r="AW107" s="298">
        <f t="shared" ref="AW107:AX107" si="485">AW6*AW16</f>
        <v>0</v>
      </c>
      <c r="AX107" s="299">
        <f t="shared" si="485"/>
        <v>0</v>
      </c>
      <c r="AY107" s="262">
        <f t="shared" si="453"/>
        <v>0</v>
      </c>
      <c r="AZ107" s="298">
        <f t="shared" ref="AZ107:BA107" si="486">AZ6*AZ16</f>
        <v>0</v>
      </c>
      <c r="BA107" s="299">
        <f t="shared" si="486"/>
        <v>0</v>
      </c>
      <c r="BB107" s="262">
        <f t="shared" si="455"/>
        <v>0</v>
      </c>
      <c r="BC107" s="298">
        <f t="shared" ref="BC107:BD107" si="487">BC6*BC16</f>
        <v>0</v>
      </c>
      <c r="BD107" s="299">
        <f t="shared" si="487"/>
        <v>0</v>
      </c>
      <c r="BE107" s="262">
        <f t="shared" ref="BE107:BE115" si="488">BD107-BC107</f>
        <v>0</v>
      </c>
      <c r="BF107" s="298">
        <f t="shared" ref="BF107:BG107" si="489">BF6*BF16</f>
        <v>0</v>
      </c>
      <c r="BG107" s="299">
        <f t="shared" si="489"/>
        <v>0</v>
      </c>
      <c r="BH107" s="262">
        <f t="shared" ref="BH107:BH115" si="490">BG107-BF107</f>
        <v>0</v>
      </c>
      <c r="BI107" s="298">
        <f t="shared" si="458"/>
        <v>0</v>
      </c>
      <c r="BJ107" s="299">
        <f t="shared" si="458"/>
        <v>0</v>
      </c>
      <c r="BK107" s="262">
        <f t="shared" si="459"/>
        <v>0</v>
      </c>
      <c r="BL107" s="298">
        <f t="shared" si="460"/>
        <v>0</v>
      </c>
      <c r="BM107" s="299">
        <f t="shared" si="460"/>
        <v>0</v>
      </c>
      <c r="BN107" s="262">
        <f t="shared" si="461"/>
        <v>0</v>
      </c>
      <c r="BO107" s="298">
        <f t="shared" si="462"/>
        <v>0</v>
      </c>
      <c r="BP107" s="299">
        <f t="shared" si="462"/>
        <v>0</v>
      </c>
      <c r="BQ107" s="262">
        <f t="shared" si="463"/>
        <v>0</v>
      </c>
    </row>
    <row r="108" spans="1:69">
      <c r="A108" s="801"/>
      <c r="B108" s="803"/>
      <c r="C108" s="290" t="s">
        <v>168</v>
      </c>
      <c r="D108" s="291">
        <f t="shared" si="409"/>
        <v>0</v>
      </c>
      <c r="E108" s="292">
        <f t="shared" si="208"/>
        <v>0</v>
      </c>
      <c r="F108" s="293">
        <f t="shared" si="464"/>
        <v>0</v>
      </c>
      <c r="G108" s="298">
        <f t="shared" si="431"/>
        <v>0</v>
      </c>
      <c r="H108" s="299">
        <f t="shared" si="431"/>
        <v>0</v>
      </c>
      <c r="I108" s="262">
        <f t="shared" si="465"/>
        <v>0</v>
      </c>
      <c r="J108" s="298">
        <f t="shared" ref="J108:K108" si="491">J7*J17</f>
        <v>0</v>
      </c>
      <c r="K108" s="299">
        <f t="shared" si="491"/>
        <v>0</v>
      </c>
      <c r="L108" s="262">
        <f t="shared" si="467"/>
        <v>0</v>
      </c>
      <c r="M108" s="298">
        <f t="shared" ref="M108:N108" si="492">M7*M17</f>
        <v>0</v>
      </c>
      <c r="N108" s="299">
        <f t="shared" si="492"/>
        <v>0</v>
      </c>
      <c r="O108" s="262">
        <f t="shared" si="469"/>
        <v>0</v>
      </c>
      <c r="P108" s="298">
        <f t="shared" ref="P108:Q108" si="493">P7*P17</f>
        <v>0</v>
      </c>
      <c r="Q108" s="299">
        <f t="shared" si="493"/>
        <v>0</v>
      </c>
      <c r="R108" s="262">
        <f t="shared" si="435"/>
        <v>0</v>
      </c>
      <c r="S108" s="298">
        <f t="shared" ref="S108:T108" si="494">S7*S17</f>
        <v>0</v>
      </c>
      <c r="T108" s="299">
        <f t="shared" si="494"/>
        <v>0</v>
      </c>
      <c r="U108" s="262">
        <f t="shared" si="437"/>
        <v>0</v>
      </c>
      <c r="V108" s="298">
        <f t="shared" ref="V108:W108" si="495">V7*V17</f>
        <v>0</v>
      </c>
      <c r="W108" s="299">
        <f t="shared" si="495"/>
        <v>0</v>
      </c>
      <c r="X108" s="262">
        <f t="shared" si="439"/>
        <v>0</v>
      </c>
      <c r="Y108" s="298">
        <f t="shared" ref="Y108:Z108" si="496">Y7*Y17</f>
        <v>0</v>
      </c>
      <c r="Z108" s="299">
        <f t="shared" si="496"/>
        <v>0</v>
      </c>
      <c r="AA108" s="262">
        <f t="shared" si="474"/>
        <v>0</v>
      </c>
      <c r="AB108" s="298">
        <f t="shared" ref="AB108:AC108" si="497">AB7*AB17</f>
        <v>0</v>
      </c>
      <c r="AC108" s="299">
        <f t="shared" si="497"/>
        <v>0</v>
      </c>
      <c r="AD108" s="262">
        <f t="shared" si="476"/>
        <v>0</v>
      </c>
      <c r="AE108" s="298">
        <f t="shared" ref="AE108:AF108" si="498">AE7*AE17</f>
        <v>0</v>
      </c>
      <c r="AF108" s="299">
        <f t="shared" si="498"/>
        <v>0</v>
      </c>
      <c r="AG108" s="262">
        <f t="shared" si="443"/>
        <v>0</v>
      </c>
      <c r="AH108" s="298">
        <f t="shared" ref="AH108:AI108" si="499">AH7*AH17</f>
        <v>0</v>
      </c>
      <c r="AI108" s="299">
        <f t="shared" si="499"/>
        <v>0</v>
      </c>
      <c r="AJ108" s="262">
        <f t="shared" si="445"/>
        <v>0</v>
      </c>
      <c r="AK108" s="298">
        <f t="shared" ref="AK108:AL108" si="500">AK7*AK17</f>
        <v>0</v>
      </c>
      <c r="AL108" s="299">
        <f t="shared" si="500"/>
        <v>0</v>
      </c>
      <c r="AM108" s="262">
        <f t="shared" si="447"/>
        <v>0</v>
      </c>
      <c r="AN108" s="298">
        <f t="shared" ref="AN108:AO108" si="501">AN7*AN17</f>
        <v>0</v>
      </c>
      <c r="AO108" s="299">
        <f t="shared" si="501"/>
        <v>0</v>
      </c>
      <c r="AP108" s="262">
        <f t="shared" si="481"/>
        <v>0</v>
      </c>
      <c r="AQ108" s="298">
        <f t="shared" ref="AQ108:AR108" si="502">AQ7*AQ17</f>
        <v>0</v>
      </c>
      <c r="AR108" s="299">
        <f t="shared" si="502"/>
        <v>0</v>
      </c>
      <c r="AS108" s="262">
        <f t="shared" si="483"/>
        <v>0</v>
      </c>
      <c r="AT108" s="298">
        <f t="shared" ref="AT108:AU108" si="503">AT7*AT17</f>
        <v>0</v>
      </c>
      <c r="AU108" s="299">
        <f t="shared" si="503"/>
        <v>0</v>
      </c>
      <c r="AV108" s="262">
        <f t="shared" si="451"/>
        <v>0</v>
      </c>
      <c r="AW108" s="298">
        <f t="shared" ref="AW108:AX108" si="504">AW7*AW17</f>
        <v>0</v>
      </c>
      <c r="AX108" s="299">
        <f t="shared" si="504"/>
        <v>0</v>
      </c>
      <c r="AY108" s="262">
        <f t="shared" si="453"/>
        <v>0</v>
      </c>
      <c r="AZ108" s="298">
        <f t="shared" ref="AZ108:BA108" si="505">AZ7*AZ17</f>
        <v>0</v>
      </c>
      <c r="BA108" s="299">
        <f t="shared" si="505"/>
        <v>0</v>
      </c>
      <c r="BB108" s="262">
        <f t="shared" si="455"/>
        <v>0</v>
      </c>
      <c r="BC108" s="298">
        <f t="shared" ref="BC108:BD108" si="506">BC7*BC17</f>
        <v>0</v>
      </c>
      <c r="BD108" s="299">
        <f t="shared" si="506"/>
        <v>0</v>
      </c>
      <c r="BE108" s="262">
        <f t="shared" si="488"/>
        <v>0</v>
      </c>
      <c r="BF108" s="298">
        <f t="shared" ref="BF108:BG108" si="507">BF7*BF17</f>
        <v>0</v>
      </c>
      <c r="BG108" s="299">
        <f t="shared" si="507"/>
        <v>0</v>
      </c>
      <c r="BH108" s="262">
        <f t="shared" si="490"/>
        <v>0</v>
      </c>
      <c r="BI108" s="298">
        <f t="shared" si="458"/>
        <v>0</v>
      </c>
      <c r="BJ108" s="299">
        <f t="shared" si="458"/>
        <v>0</v>
      </c>
      <c r="BK108" s="262">
        <f t="shared" si="459"/>
        <v>0</v>
      </c>
      <c r="BL108" s="298">
        <f t="shared" si="460"/>
        <v>0</v>
      </c>
      <c r="BM108" s="299">
        <f t="shared" si="460"/>
        <v>0</v>
      </c>
      <c r="BN108" s="262">
        <f t="shared" si="461"/>
        <v>0</v>
      </c>
      <c r="BO108" s="298">
        <f t="shared" si="462"/>
        <v>0</v>
      </c>
      <c r="BP108" s="299">
        <f t="shared" si="462"/>
        <v>0</v>
      </c>
      <c r="BQ108" s="262">
        <f t="shared" si="463"/>
        <v>0</v>
      </c>
    </row>
    <row r="109" spans="1:69">
      <c r="A109" s="801"/>
      <c r="B109" s="803"/>
      <c r="C109" s="290" t="s">
        <v>169</v>
      </c>
      <c r="D109" s="291">
        <f t="shared" si="409"/>
        <v>0</v>
      </c>
      <c r="E109" s="292">
        <f t="shared" si="208"/>
        <v>0</v>
      </c>
      <c r="F109" s="293">
        <f t="shared" si="464"/>
        <v>0</v>
      </c>
      <c r="G109" s="298">
        <f t="shared" si="431"/>
        <v>0</v>
      </c>
      <c r="H109" s="299">
        <f t="shared" si="431"/>
        <v>0</v>
      </c>
      <c r="I109" s="262">
        <f t="shared" si="465"/>
        <v>0</v>
      </c>
      <c r="J109" s="298">
        <f t="shared" ref="J109:K109" si="508">J8*J18</f>
        <v>0</v>
      </c>
      <c r="K109" s="299">
        <f t="shared" si="508"/>
        <v>0</v>
      </c>
      <c r="L109" s="262">
        <f t="shared" si="467"/>
        <v>0</v>
      </c>
      <c r="M109" s="298">
        <f t="shared" ref="M109:N109" si="509">M8*M18</f>
        <v>0</v>
      </c>
      <c r="N109" s="299">
        <f t="shared" si="509"/>
        <v>0</v>
      </c>
      <c r="O109" s="262">
        <f t="shared" si="469"/>
        <v>0</v>
      </c>
      <c r="P109" s="298">
        <f t="shared" ref="P109:Q109" si="510">P8*P18</f>
        <v>0</v>
      </c>
      <c r="Q109" s="299">
        <f t="shared" si="510"/>
        <v>0</v>
      </c>
      <c r="R109" s="262">
        <f t="shared" si="435"/>
        <v>0</v>
      </c>
      <c r="S109" s="298">
        <f t="shared" ref="S109:T109" si="511">S8*S18</f>
        <v>0</v>
      </c>
      <c r="T109" s="299">
        <f t="shared" si="511"/>
        <v>0</v>
      </c>
      <c r="U109" s="262">
        <f t="shared" si="437"/>
        <v>0</v>
      </c>
      <c r="V109" s="298">
        <f t="shared" ref="V109:W109" si="512">V8*V18</f>
        <v>0</v>
      </c>
      <c r="W109" s="299">
        <f t="shared" si="512"/>
        <v>0</v>
      </c>
      <c r="X109" s="262">
        <f t="shared" si="439"/>
        <v>0</v>
      </c>
      <c r="Y109" s="298">
        <f t="shared" ref="Y109:Z109" si="513">Y8*Y18</f>
        <v>0</v>
      </c>
      <c r="Z109" s="299">
        <f t="shared" si="513"/>
        <v>0</v>
      </c>
      <c r="AA109" s="262">
        <f t="shared" si="474"/>
        <v>0</v>
      </c>
      <c r="AB109" s="298">
        <f t="shared" ref="AB109:AC109" si="514">AB8*AB18</f>
        <v>0</v>
      </c>
      <c r="AC109" s="299">
        <f t="shared" si="514"/>
        <v>0</v>
      </c>
      <c r="AD109" s="262">
        <f t="shared" si="476"/>
        <v>0</v>
      </c>
      <c r="AE109" s="298">
        <f t="shared" ref="AE109:AF109" si="515">AE8*AE18</f>
        <v>0</v>
      </c>
      <c r="AF109" s="299">
        <f t="shared" si="515"/>
        <v>0</v>
      </c>
      <c r="AG109" s="262">
        <f t="shared" si="443"/>
        <v>0</v>
      </c>
      <c r="AH109" s="298">
        <f t="shared" ref="AH109:AI109" si="516">AH8*AH18</f>
        <v>0</v>
      </c>
      <c r="AI109" s="299">
        <f t="shared" si="516"/>
        <v>0</v>
      </c>
      <c r="AJ109" s="262">
        <f t="shared" si="445"/>
        <v>0</v>
      </c>
      <c r="AK109" s="298">
        <f t="shared" ref="AK109:AL109" si="517">AK8*AK18</f>
        <v>0</v>
      </c>
      <c r="AL109" s="299">
        <f t="shared" si="517"/>
        <v>0</v>
      </c>
      <c r="AM109" s="262">
        <f t="shared" si="447"/>
        <v>0</v>
      </c>
      <c r="AN109" s="298">
        <f t="shared" ref="AN109:AO109" si="518">AN8*AN18</f>
        <v>0</v>
      </c>
      <c r="AO109" s="299">
        <f t="shared" si="518"/>
        <v>0</v>
      </c>
      <c r="AP109" s="262">
        <f t="shared" si="481"/>
        <v>0</v>
      </c>
      <c r="AQ109" s="298">
        <f t="shared" ref="AQ109:AR109" si="519">AQ8*AQ18</f>
        <v>0</v>
      </c>
      <c r="AR109" s="299">
        <f t="shared" si="519"/>
        <v>0</v>
      </c>
      <c r="AS109" s="262">
        <f t="shared" si="483"/>
        <v>0</v>
      </c>
      <c r="AT109" s="298">
        <f t="shared" ref="AT109:AU109" si="520">AT8*AT18</f>
        <v>0</v>
      </c>
      <c r="AU109" s="299">
        <f t="shared" si="520"/>
        <v>0</v>
      </c>
      <c r="AV109" s="262">
        <f t="shared" si="451"/>
        <v>0</v>
      </c>
      <c r="AW109" s="298">
        <f t="shared" ref="AW109:AX109" si="521">AW8*AW18</f>
        <v>0</v>
      </c>
      <c r="AX109" s="299">
        <f t="shared" si="521"/>
        <v>0</v>
      </c>
      <c r="AY109" s="262">
        <f t="shared" si="453"/>
        <v>0</v>
      </c>
      <c r="AZ109" s="298">
        <f t="shared" ref="AZ109:BA109" si="522">AZ8*AZ18</f>
        <v>0</v>
      </c>
      <c r="BA109" s="299">
        <f t="shared" si="522"/>
        <v>0</v>
      </c>
      <c r="BB109" s="262">
        <f t="shared" si="455"/>
        <v>0</v>
      </c>
      <c r="BC109" s="298">
        <f t="shared" ref="BC109:BD109" si="523">BC8*BC18</f>
        <v>0</v>
      </c>
      <c r="BD109" s="299">
        <f t="shared" si="523"/>
        <v>0</v>
      </c>
      <c r="BE109" s="262">
        <f t="shared" si="488"/>
        <v>0</v>
      </c>
      <c r="BF109" s="298">
        <f t="shared" ref="BF109:BG109" si="524">BF8*BF18</f>
        <v>0</v>
      </c>
      <c r="BG109" s="299">
        <f t="shared" si="524"/>
        <v>0</v>
      </c>
      <c r="BH109" s="262">
        <f t="shared" si="490"/>
        <v>0</v>
      </c>
      <c r="BI109" s="298">
        <f t="shared" si="458"/>
        <v>0</v>
      </c>
      <c r="BJ109" s="299">
        <f t="shared" si="458"/>
        <v>0</v>
      </c>
      <c r="BK109" s="262">
        <f t="shared" si="459"/>
        <v>0</v>
      </c>
      <c r="BL109" s="298">
        <f t="shared" si="460"/>
        <v>0</v>
      </c>
      <c r="BM109" s="299">
        <f t="shared" si="460"/>
        <v>0</v>
      </c>
      <c r="BN109" s="262">
        <f t="shared" si="461"/>
        <v>0</v>
      </c>
      <c r="BO109" s="298">
        <f t="shared" si="462"/>
        <v>0</v>
      </c>
      <c r="BP109" s="299">
        <f t="shared" si="462"/>
        <v>0</v>
      </c>
      <c r="BQ109" s="262">
        <f t="shared" si="463"/>
        <v>0</v>
      </c>
    </row>
    <row r="110" spans="1:69">
      <c r="A110" s="801"/>
      <c r="B110" s="803"/>
      <c r="C110" s="290" t="s">
        <v>170</v>
      </c>
      <c r="D110" s="291">
        <f t="shared" si="409"/>
        <v>0</v>
      </c>
      <c r="E110" s="292">
        <f t="shared" si="208"/>
        <v>0</v>
      </c>
      <c r="F110" s="293">
        <f t="shared" si="464"/>
        <v>0</v>
      </c>
      <c r="G110" s="298">
        <f t="shared" si="431"/>
        <v>0</v>
      </c>
      <c r="H110" s="299">
        <f t="shared" si="431"/>
        <v>0</v>
      </c>
      <c r="I110" s="262">
        <f t="shared" si="465"/>
        <v>0</v>
      </c>
      <c r="J110" s="298">
        <f t="shared" ref="J110:K110" si="525">J9*J19</f>
        <v>0</v>
      </c>
      <c r="K110" s="299">
        <f t="shared" si="525"/>
        <v>0</v>
      </c>
      <c r="L110" s="262">
        <f t="shared" si="467"/>
        <v>0</v>
      </c>
      <c r="M110" s="298">
        <f t="shared" ref="M110:N110" si="526">M9*M19</f>
        <v>0</v>
      </c>
      <c r="N110" s="299">
        <f t="shared" si="526"/>
        <v>0</v>
      </c>
      <c r="O110" s="262">
        <f t="shared" si="469"/>
        <v>0</v>
      </c>
      <c r="P110" s="298">
        <f t="shared" ref="P110:Q110" si="527">P9*P19</f>
        <v>0</v>
      </c>
      <c r="Q110" s="299">
        <f t="shared" si="527"/>
        <v>0</v>
      </c>
      <c r="R110" s="262">
        <f t="shared" si="435"/>
        <v>0</v>
      </c>
      <c r="S110" s="298">
        <f t="shared" ref="S110:T110" si="528">S9*S19</f>
        <v>0</v>
      </c>
      <c r="T110" s="299">
        <f t="shared" si="528"/>
        <v>0</v>
      </c>
      <c r="U110" s="262">
        <f t="shared" si="437"/>
        <v>0</v>
      </c>
      <c r="V110" s="298">
        <f t="shared" ref="V110:W110" si="529">V9*V19</f>
        <v>0</v>
      </c>
      <c r="W110" s="299">
        <f t="shared" si="529"/>
        <v>0</v>
      </c>
      <c r="X110" s="262">
        <f t="shared" si="439"/>
        <v>0</v>
      </c>
      <c r="Y110" s="298">
        <f t="shared" ref="Y110:Z110" si="530">Y9*Y19</f>
        <v>0</v>
      </c>
      <c r="Z110" s="299">
        <f t="shared" si="530"/>
        <v>0</v>
      </c>
      <c r="AA110" s="262">
        <f t="shared" si="474"/>
        <v>0</v>
      </c>
      <c r="AB110" s="298">
        <f t="shared" ref="AB110:AC110" si="531">AB9*AB19</f>
        <v>0</v>
      </c>
      <c r="AC110" s="299">
        <f t="shared" si="531"/>
        <v>0</v>
      </c>
      <c r="AD110" s="262">
        <f t="shared" si="476"/>
        <v>0</v>
      </c>
      <c r="AE110" s="298">
        <f t="shared" ref="AE110:AF110" si="532">AE9*AE19</f>
        <v>0</v>
      </c>
      <c r="AF110" s="299">
        <f t="shared" si="532"/>
        <v>0</v>
      </c>
      <c r="AG110" s="262">
        <f t="shared" si="443"/>
        <v>0</v>
      </c>
      <c r="AH110" s="298">
        <f t="shared" ref="AH110:AI110" si="533">AH9*AH19</f>
        <v>0</v>
      </c>
      <c r="AI110" s="299">
        <f t="shared" si="533"/>
        <v>0</v>
      </c>
      <c r="AJ110" s="262">
        <f t="shared" si="445"/>
        <v>0</v>
      </c>
      <c r="AK110" s="298">
        <f t="shared" ref="AK110:AL110" si="534">AK9*AK19</f>
        <v>0</v>
      </c>
      <c r="AL110" s="299">
        <f t="shared" si="534"/>
        <v>0</v>
      </c>
      <c r="AM110" s="262">
        <f t="shared" si="447"/>
        <v>0</v>
      </c>
      <c r="AN110" s="298">
        <f t="shared" ref="AN110:AO110" si="535">AN9*AN19</f>
        <v>0</v>
      </c>
      <c r="AO110" s="299">
        <f t="shared" si="535"/>
        <v>0</v>
      </c>
      <c r="AP110" s="262">
        <f t="shared" si="481"/>
        <v>0</v>
      </c>
      <c r="AQ110" s="298">
        <f t="shared" ref="AQ110:AR110" si="536">AQ9*AQ19</f>
        <v>0</v>
      </c>
      <c r="AR110" s="299">
        <f t="shared" si="536"/>
        <v>0</v>
      </c>
      <c r="AS110" s="262">
        <f t="shared" si="483"/>
        <v>0</v>
      </c>
      <c r="AT110" s="298">
        <f t="shared" ref="AT110:AU110" si="537">AT9*AT19</f>
        <v>0</v>
      </c>
      <c r="AU110" s="299">
        <f t="shared" si="537"/>
        <v>0</v>
      </c>
      <c r="AV110" s="262">
        <f t="shared" si="451"/>
        <v>0</v>
      </c>
      <c r="AW110" s="298">
        <f t="shared" ref="AW110:AX110" si="538">AW9*AW19</f>
        <v>0</v>
      </c>
      <c r="AX110" s="299">
        <f t="shared" si="538"/>
        <v>0</v>
      </c>
      <c r="AY110" s="262">
        <f t="shared" si="453"/>
        <v>0</v>
      </c>
      <c r="AZ110" s="298">
        <f t="shared" ref="AZ110:BA110" si="539">AZ9*AZ19</f>
        <v>0</v>
      </c>
      <c r="BA110" s="299">
        <f t="shared" si="539"/>
        <v>0</v>
      </c>
      <c r="BB110" s="262">
        <f t="shared" si="455"/>
        <v>0</v>
      </c>
      <c r="BC110" s="298">
        <f t="shared" ref="BC110:BD110" si="540">BC9*BC19</f>
        <v>0</v>
      </c>
      <c r="BD110" s="299">
        <f t="shared" si="540"/>
        <v>0</v>
      </c>
      <c r="BE110" s="262">
        <f t="shared" si="488"/>
        <v>0</v>
      </c>
      <c r="BF110" s="298">
        <f t="shared" ref="BF110:BG110" si="541">BF9*BF19</f>
        <v>0</v>
      </c>
      <c r="BG110" s="299">
        <f t="shared" si="541"/>
        <v>0</v>
      </c>
      <c r="BH110" s="262">
        <f t="shared" si="490"/>
        <v>0</v>
      </c>
      <c r="BI110" s="298">
        <f t="shared" si="458"/>
        <v>0</v>
      </c>
      <c r="BJ110" s="299">
        <f t="shared" si="458"/>
        <v>0</v>
      </c>
      <c r="BK110" s="262">
        <f t="shared" si="459"/>
        <v>0</v>
      </c>
      <c r="BL110" s="298">
        <f t="shared" si="460"/>
        <v>0</v>
      </c>
      <c r="BM110" s="299">
        <f t="shared" si="460"/>
        <v>0</v>
      </c>
      <c r="BN110" s="262">
        <f t="shared" si="461"/>
        <v>0</v>
      </c>
      <c r="BO110" s="298">
        <f t="shared" si="462"/>
        <v>0</v>
      </c>
      <c r="BP110" s="299">
        <f t="shared" si="462"/>
        <v>0</v>
      </c>
      <c r="BQ110" s="262">
        <f t="shared" si="463"/>
        <v>0</v>
      </c>
    </row>
    <row r="111" spans="1:69">
      <c r="A111" s="801"/>
      <c r="B111" s="803"/>
      <c r="C111" s="290" t="s">
        <v>171</v>
      </c>
      <c r="D111" s="291">
        <f t="shared" si="409"/>
        <v>0</v>
      </c>
      <c r="E111" s="292">
        <f t="shared" si="208"/>
        <v>0</v>
      </c>
      <c r="F111" s="293">
        <f t="shared" si="464"/>
        <v>0</v>
      </c>
      <c r="G111" s="298">
        <f t="shared" si="431"/>
        <v>0</v>
      </c>
      <c r="H111" s="299">
        <f t="shared" si="431"/>
        <v>0</v>
      </c>
      <c r="I111" s="262">
        <f t="shared" si="465"/>
        <v>0</v>
      </c>
      <c r="J111" s="298">
        <f t="shared" ref="J111:K111" si="542">J10*J20</f>
        <v>0</v>
      </c>
      <c r="K111" s="299">
        <f t="shared" si="542"/>
        <v>0</v>
      </c>
      <c r="L111" s="262">
        <f t="shared" si="467"/>
        <v>0</v>
      </c>
      <c r="M111" s="298">
        <f t="shared" ref="M111:N111" si="543">M10*M20</f>
        <v>0</v>
      </c>
      <c r="N111" s="299">
        <f t="shared" si="543"/>
        <v>0</v>
      </c>
      <c r="O111" s="262">
        <f t="shared" si="469"/>
        <v>0</v>
      </c>
      <c r="P111" s="298">
        <f t="shared" ref="P111:Q111" si="544">P10*P20</f>
        <v>0</v>
      </c>
      <c r="Q111" s="299">
        <f t="shared" si="544"/>
        <v>0</v>
      </c>
      <c r="R111" s="262">
        <f t="shared" si="435"/>
        <v>0</v>
      </c>
      <c r="S111" s="298">
        <f t="shared" ref="S111:T111" si="545">S10*S20</f>
        <v>0</v>
      </c>
      <c r="T111" s="299">
        <f t="shared" si="545"/>
        <v>0</v>
      </c>
      <c r="U111" s="262">
        <f t="shared" si="437"/>
        <v>0</v>
      </c>
      <c r="V111" s="298">
        <f t="shared" ref="V111:W111" si="546">V10*V20</f>
        <v>0</v>
      </c>
      <c r="W111" s="299">
        <f t="shared" si="546"/>
        <v>0</v>
      </c>
      <c r="X111" s="262">
        <f t="shared" si="439"/>
        <v>0</v>
      </c>
      <c r="Y111" s="298">
        <f t="shared" ref="Y111:Z111" si="547">Y10*Y20</f>
        <v>0</v>
      </c>
      <c r="Z111" s="299">
        <f t="shared" si="547"/>
        <v>0</v>
      </c>
      <c r="AA111" s="262">
        <f t="shared" si="474"/>
        <v>0</v>
      </c>
      <c r="AB111" s="298">
        <f t="shared" ref="AB111:AC111" si="548">AB10*AB20</f>
        <v>0</v>
      </c>
      <c r="AC111" s="299">
        <f t="shared" si="548"/>
        <v>0</v>
      </c>
      <c r="AD111" s="262">
        <f t="shared" si="476"/>
        <v>0</v>
      </c>
      <c r="AE111" s="298">
        <f t="shared" ref="AE111:AF111" si="549">AE10*AE20</f>
        <v>0</v>
      </c>
      <c r="AF111" s="299">
        <f t="shared" si="549"/>
        <v>0</v>
      </c>
      <c r="AG111" s="262">
        <f t="shared" si="443"/>
        <v>0</v>
      </c>
      <c r="AH111" s="298">
        <f t="shared" ref="AH111:AI111" si="550">AH10*AH20</f>
        <v>0</v>
      </c>
      <c r="AI111" s="299">
        <f t="shared" si="550"/>
        <v>0</v>
      </c>
      <c r="AJ111" s="262">
        <f t="shared" si="445"/>
        <v>0</v>
      </c>
      <c r="AK111" s="298">
        <f t="shared" ref="AK111:AL111" si="551">AK10*AK20</f>
        <v>0</v>
      </c>
      <c r="AL111" s="299">
        <f t="shared" si="551"/>
        <v>0</v>
      </c>
      <c r="AM111" s="262">
        <f t="shared" si="447"/>
        <v>0</v>
      </c>
      <c r="AN111" s="298">
        <f t="shared" ref="AN111:AO111" si="552">AN10*AN20</f>
        <v>0</v>
      </c>
      <c r="AO111" s="299">
        <f t="shared" si="552"/>
        <v>0</v>
      </c>
      <c r="AP111" s="262">
        <f t="shared" si="481"/>
        <v>0</v>
      </c>
      <c r="AQ111" s="298">
        <f t="shared" ref="AQ111:AR111" si="553">AQ10*AQ20</f>
        <v>0</v>
      </c>
      <c r="AR111" s="299">
        <f t="shared" si="553"/>
        <v>0</v>
      </c>
      <c r="AS111" s="262">
        <f t="shared" si="483"/>
        <v>0</v>
      </c>
      <c r="AT111" s="298">
        <f t="shared" ref="AT111:AU111" si="554">AT10*AT20</f>
        <v>0</v>
      </c>
      <c r="AU111" s="299">
        <f t="shared" si="554"/>
        <v>0</v>
      </c>
      <c r="AV111" s="262">
        <f t="shared" si="451"/>
        <v>0</v>
      </c>
      <c r="AW111" s="298">
        <f t="shared" ref="AW111:AX111" si="555">AW10*AW20</f>
        <v>0</v>
      </c>
      <c r="AX111" s="299">
        <f t="shared" si="555"/>
        <v>0</v>
      </c>
      <c r="AY111" s="262">
        <f t="shared" si="453"/>
        <v>0</v>
      </c>
      <c r="AZ111" s="298">
        <f t="shared" ref="AZ111:BA111" si="556">AZ10*AZ20</f>
        <v>0</v>
      </c>
      <c r="BA111" s="299">
        <f t="shared" si="556"/>
        <v>0</v>
      </c>
      <c r="BB111" s="262">
        <f t="shared" si="455"/>
        <v>0</v>
      </c>
      <c r="BC111" s="298">
        <f t="shared" ref="BC111:BD111" si="557">BC10*BC20</f>
        <v>0</v>
      </c>
      <c r="BD111" s="299">
        <f t="shared" si="557"/>
        <v>0</v>
      </c>
      <c r="BE111" s="262">
        <f t="shared" si="488"/>
        <v>0</v>
      </c>
      <c r="BF111" s="298">
        <f t="shared" ref="BF111:BG111" si="558">BF10*BF20</f>
        <v>0</v>
      </c>
      <c r="BG111" s="299">
        <f t="shared" si="558"/>
        <v>0</v>
      </c>
      <c r="BH111" s="262">
        <f t="shared" si="490"/>
        <v>0</v>
      </c>
      <c r="BI111" s="298">
        <f t="shared" si="458"/>
        <v>0</v>
      </c>
      <c r="BJ111" s="299">
        <f t="shared" si="458"/>
        <v>0</v>
      </c>
      <c r="BK111" s="262">
        <f t="shared" si="459"/>
        <v>0</v>
      </c>
      <c r="BL111" s="298">
        <f t="shared" si="460"/>
        <v>0</v>
      </c>
      <c r="BM111" s="299">
        <f t="shared" si="460"/>
        <v>0</v>
      </c>
      <c r="BN111" s="262">
        <f t="shared" si="461"/>
        <v>0</v>
      </c>
      <c r="BO111" s="298">
        <f t="shared" si="462"/>
        <v>0</v>
      </c>
      <c r="BP111" s="299">
        <f t="shared" si="462"/>
        <v>0</v>
      </c>
      <c r="BQ111" s="262">
        <f t="shared" si="463"/>
        <v>0</v>
      </c>
    </row>
    <row r="112" spans="1:69">
      <c r="A112" s="801"/>
      <c r="B112" s="803"/>
      <c r="C112" s="290" t="s">
        <v>172</v>
      </c>
      <c r="D112" s="291">
        <f t="shared" ref="D112:D115" si="559">SUM(G112,J112,M112,P112,S112,V112,Y112,AB112,AE112,AH112,AK112,AN112,AQ112,AT112,AW112,AZ112,AZ112,BC112,BF112,BI112,BL112,BO112)</f>
        <v>0</v>
      </c>
      <c r="E112" s="292">
        <f t="shared" si="208"/>
        <v>0</v>
      </c>
      <c r="F112" s="293">
        <f t="shared" si="464"/>
        <v>0</v>
      </c>
      <c r="G112" s="298">
        <f t="shared" si="431"/>
        <v>0</v>
      </c>
      <c r="H112" s="299">
        <f t="shared" si="431"/>
        <v>0</v>
      </c>
      <c r="I112" s="262">
        <f t="shared" si="465"/>
        <v>0</v>
      </c>
      <c r="J112" s="298">
        <f t="shared" ref="J112:K112" si="560">J11*J21</f>
        <v>0</v>
      </c>
      <c r="K112" s="299">
        <f t="shared" si="560"/>
        <v>0</v>
      </c>
      <c r="L112" s="262">
        <f t="shared" si="467"/>
        <v>0</v>
      </c>
      <c r="M112" s="298">
        <f t="shared" ref="M112:N112" si="561">M11*M21</f>
        <v>0</v>
      </c>
      <c r="N112" s="299">
        <f t="shared" si="561"/>
        <v>0</v>
      </c>
      <c r="O112" s="262">
        <f t="shared" si="469"/>
        <v>0</v>
      </c>
      <c r="P112" s="298">
        <f t="shared" ref="P112:Q112" si="562">P11*P21</f>
        <v>0</v>
      </c>
      <c r="Q112" s="299">
        <f t="shared" si="562"/>
        <v>0</v>
      </c>
      <c r="R112" s="262">
        <f t="shared" si="435"/>
        <v>0</v>
      </c>
      <c r="S112" s="298">
        <f t="shared" ref="S112:T112" si="563">S11*S21</f>
        <v>0</v>
      </c>
      <c r="T112" s="299">
        <f t="shared" si="563"/>
        <v>0</v>
      </c>
      <c r="U112" s="262">
        <f t="shared" si="437"/>
        <v>0</v>
      </c>
      <c r="V112" s="298">
        <f t="shared" ref="V112:W112" si="564">V11*V21</f>
        <v>0</v>
      </c>
      <c r="W112" s="299">
        <f t="shared" si="564"/>
        <v>0</v>
      </c>
      <c r="X112" s="262">
        <f t="shared" si="439"/>
        <v>0</v>
      </c>
      <c r="Y112" s="298">
        <f t="shared" ref="Y112:Z112" si="565">Y11*Y21</f>
        <v>0</v>
      </c>
      <c r="Z112" s="299">
        <f t="shared" si="565"/>
        <v>0</v>
      </c>
      <c r="AA112" s="262">
        <f t="shared" si="474"/>
        <v>0</v>
      </c>
      <c r="AB112" s="298">
        <f t="shared" ref="AB112:AC112" si="566">AB11*AB21</f>
        <v>0</v>
      </c>
      <c r="AC112" s="299">
        <f t="shared" si="566"/>
        <v>0</v>
      </c>
      <c r="AD112" s="262">
        <f t="shared" si="476"/>
        <v>0</v>
      </c>
      <c r="AE112" s="298">
        <f t="shared" ref="AE112:AF112" si="567">AE11*AE21</f>
        <v>0</v>
      </c>
      <c r="AF112" s="299">
        <f t="shared" si="567"/>
        <v>0</v>
      </c>
      <c r="AG112" s="262">
        <f t="shared" si="443"/>
        <v>0</v>
      </c>
      <c r="AH112" s="298">
        <f t="shared" ref="AH112:AI112" si="568">AH11*AH21</f>
        <v>0</v>
      </c>
      <c r="AI112" s="299">
        <f t="shared" si="568"/>
        <v>0</v>
      </c>
      <c r="AJ112" s="262">
        <f t="shared" si="445"/>
        <v>0</v>
      </c>
      <c r="AK112" s="298">
        <f t="shared" ref="AK112:AL112" si="569">AK11*AK21</f>
        <v>0</v>
      </c>
      <c r="AL112" s="299">
        <f t="shared" si="569"/>
        <v>0</v>
      </c>
      <c r="AM112" s="262">
        <f t="shared" si="447"/>
        <v>0</v>
      </c>
      <c r="AN112" s="298">
        <f t="shared" ref="AN112:AO112" si="570">AN11*AN21</f>
        <v>0</v>
      </c>
      <c r="AO112" s="299">
        <f t="shared" si="570"/>
        <v>0</v>
      </c>
      <c r="AP112" s="262">
        <f t="shared" si="481"/>
        <v>0</v>
      </c>
      <c r="AQ112" s="298">
        <f t="shared" ref="AQ112:AR112" si="571">AQ11*AQ21</f>
        <v>0</v>
      </c>
      <c r="AR112" s="299">
        <f t="shared" si="571"/>
        <v>0</v>
      </c>
      <c r="AS112" s="262">
        <f t="shared" si="483"/>
        <v>0</v>
      </c>
      <c r="AT112" s="298">
        <f t="shared" ref="AT112:AU112" si="572">AT11*AT21</f>
        <v>0</v>
      </c>
      <c r="AU112" s="299">
        <f t="shared" si="572"/>
        <v>0</v>
      </c>
      <c r="AV112" s="262">
        <f t="shared" si="451"/>
        <v>0</v>
      </c>
      <c r="AW112" s="298">
        <f t="shared" ref="AW112:AX112" si="573">AW11*AW21</f>
        <v>0</v>
      </c>
      <c r="AX112" s="299">
        <f t="shared" si="573"/>
        <v>0</v>
      </c>
      <c r="AY112" s="262">
        <f t="shared" si="453"/>
        <v>0</v>
      </c>
      <c r="AZ112" s="298">
        <f t="shared" ref="AZ112:BA112" si="574">AZ11*AZ21</f>
        <v>0</v>
      </c>
      <c r="BA112" s="299">
        <f t="shared" si="574"/>
        <v>0</v>
      </c>
      <c r="BB112" s="262">
        <f t="shared" si="455"/>
        <v>0</v>
      </c>
      <c r="BC112" s="298">
        <f t="shared" ref="BC112:BD112" si="575">BC11*BC21</f>
        <v>0</v>
      </c>
      <c r="BD112" s="299">
        <f t="shared" si="575"/>
        <v>0</v>
      </c>
      <c r="BE112" s="262">
        <f t="shared" si="488"/>
        <v>0</v>
      </c>
      <c r="BF112" s="298">
        <f t="shared" ref="BF112:BG112" si="576">BF11*BF21</f>
        <v>0</v>
      </c>
      <c r="BG112" s="299">
        <f t="shared" si="576"/>
        <v>0</v>
      </c>
      <c r="BH112" s="262">
        <f t="shared" si="490"/>
        <v>0</v>
      </c>
      <c r="BI112" s="298">
        <f t="shared" si="458"/>
        <v>0</v>
      </c>
      <c r="BJ112" s="299">
        <f t="shared" si="458"/>
        <v>0</v>
      </c>
      <c r="BK112" s="262">
        <f t="shared" si="459"/>
        <v>0</v>
      </c>
      <c r="BL112" s="298">
        <f t="shared" si="460"/>
        <v>0</v>
      </c>
      <c r="BM112" s="299">
        <f t="shared" si="460"/>
        <v>0</v>
      </c>
      <c r="BN112" s="262">
        <f t="shared" si="461"/>
        <v>0</v>
      </c>
      <c r="BO112" s="298">
        <f t="shared" si="462"/>
        <v>0</v>
      </c>
      <c r="BP112" s="299">
        <f t="shared" si="462"/>
        <v>0</v>
      </c>
      <c r="BQ112" s="262">
        <f t="shared" si="463"/>
        <v>0</v>
      </c>
    </row>
    <row r="113" spans="1:70">
      <c r="A113" s="801"/>
      <c r="B113" s="803"/>
      <c r="C113" s="290" t="s">
        <v>173</v>
      </c>
      <c r="D113" s="291">
        <f t="shared" si="559"/>
        <v>0</v>
      </c>
      <c r="E113" s="292">
        <f t="shared" si="208"/>
        <v>0</v>
      </c>
      <c r="F113" s="293">
        <f t="shared" si="464"/>
        <v>0</v>
      </c>
      <c r="G113" s="298">
        <f t="shared" si="431"/>
        <v>0</v>
      </c>
      <c r="H113" s="299">
        <f t="shared" si="431"/>
        <v>0</v>
      </c>
      <c r="I113" s="262">
        <f t="shared" si="465"/>
        <v>0</v>
      </c>
      <c r="J113" s="298">
        <f t="shared" ref="J113:K113" si="577">J12*J22</f>
        <v>0</v>
      </c>
      <c r="K113" s="299">
        <f t="shared" si="577"/>
        <v>0</v>
      </c>
      <c r="L113" s="262">
        <f t="shared" si="467"/>
        <v>0</v>
      </c>
      <c r="M113" s="298">
        <f t="shared" ref="M113:N113" si="578">M12*M22</f>
        <v>0</v>
      </c>
      <c r="N113" s="299">
        <f t="shared" si="578"/>
        <v>0</v>
      </c>
      <c r="O113" s="262">
        <f t="shared" si="469"/>
        <v>0</v>
      </c>
      <c r="P113" s="298">
        <f t="shared" ref="P113:Q113" si="579">P12*P22</f>
        <v>0</v>
      </c>
      <c r="Q113" s="299">
        <f t="shared" si="579"/>
        <v>0</v>
      </c>
      <c r="R113" s="262">
        <f t="shared" si="435"/>
        <v>0</v>
      </c>
      <c r="S113" s="298">
        <f t="shared" ref="S113:T113" si="580">S12*S22</f>
        <v>0</v>
      </c>
      <c r="T113" s="299">
        <f t="shared" si="580"/>
        <v>0</v>
      </c>
      <c r="U113" s="262">
        <f t="shared" si="437"/>
        <v>0</v>
      </c>
      <c r="V113" s="298">
        <f t="shared" ref="V113:W113" si="581">V12*V22</f>
        <v>0</v>
      </c>
      <c r="W113" s="299">
        <f t="shared" si="581"/>
        <v>0</v>
      </c>
      <c r="X113" s="262">
        <f t="shared" si="439"/>
        <v>0</v>
      </c>
      <c r="Y113" s="298">
        <f t="shared" ref="Y113:Z113" si="582">Y12*Y22</f>
        <v>0</v>
      </c>
      <c r="Z113" s="299">
        <f t="shared" si="582"/>
        <v>0</v>
      </c>
      <c r="AA113" s="262">
        <f t="shared" si="474"/>
        <v>0</v>
      </c>
      <c r="AB113" s="298">
        <f t="shared" ref="AB113:AC113" si="583">AB12*AB22</f>
        <v>0</v>
      </c>
      <c r="AC113" s="299">
        <f t="shared" si="583"/>
        <v>0</v>
      </c>
      <c r="AD113" s="262">
        <f t="shared" si="476"/>
        <v>0</v>
      </c>
      <c r="AE113" s="298">
        <f t="shared" ref="AE113:AF113" si="584">AE12*AE22</f>
        <v>0</v>
      </c>
      <c r="AF113" s="299">
        <f t="shared" si="584"/>
        <v>0</v>
      </c>
      <c r="AG113" s="262">
        <f t="shared" si="443"/>
        <v>0</v>
      </c>
      <c r="AH113" s="298">
        <f t="shared" ref="AH113:AI113" si="585">AH12*AH22</f>
        <v>0</v>
      </c>
      <c r="AI113" s="299">
        <f t="shared" si="585"/>
        <v>0</v>
      </c>
      <c r="AJ113" s="262">
        <f t="shared" si="445"/>
        <v>0</v>
      </c>
      <c r="AK113" s="298">
        <f t="shared" ref="AK113:AL113" si="586">AK12*AK22</f>
        <v>0</v>
      </c>
      <c r="AL113" s="299">
        <f t="shared" si="586"/>
        <v>0</v>
      </c>
      <c r="AM113" s="262">
        <f t="shared" si="447"/>
        <v>0</v>
      </c>
      <c r="AN113" s="298">
        <f t="shared" ref="AN113:AO113" si="587">AN12*AN22</f>
        <v>0</v>
      </c>
      <c r="AO113" s="299">
        <f t="shared" si="587"/>
        <v>0</v>
      </c>
      <c r="AP113" s="262">
        <f t="shared" si="481"/>
        <v>0</v>
      </c>
      <c r="AQ113" s="298">
        <f t="shared" ref="AQ113:AR113" si="588">AQ12*AQ22</f>
        <v>0</v>
      </c>
      <c r="AR113" s="299">
        <f t="shared" si="588"/>
        <v>0</v>
      </c>
      <c r="AS113" s="262">
        <f t="shared" si="483"/>
        <v>0</v>
      </c>
      <c r="AT113" s="298">
        <f t="shared" ref="AT113:AU113" si="589">AT12*AT22</f>
        <v>0</v>
      </c>
      <c r="AU113" s="299">
        <f t="shared" si="589"/>
        <v>0</v>
      </c>
      <c r="AV113" s="262">
        <f t="shared" si="451"/>
        <v>0</v>
      </c>
      <c r="AW113" s="298">
        <f t="shared" ref="AW113:AX113" si="590">AW12*AW22</f>
        <v>0</v>
      </c>
      <c r="AX113" s="299">
        <f t="shared" si="590"/>
        <v>0</v>
      </c>
      <c r="AY113" s="262">
        <f t="shared" si="453"/>
        <v>0</v>
      </c>
      <c r="AZ113" s="298">
        <f t="shared" ref="AZ113:BA113" si="591">AZ12*AZ22</f>
        <v>0</v>
      </c>
      <c r="BA113" s="299">
        <f t="shared" si="591"/>
        <v>0</v>
      </c>
      <c r="BB113" s="262">
        <f t="shared" si="455"/>
        <v>0</v>
      </c>
      <c r="BC113" s="298">
        <f t="shared" ref="BC113:BD113" si="592">BC12*BC22</f>
        <v>0</v>
      </c>
      <c r="BD113" s="299">
        <f t="shared" si="592"/>
        <v>0</v>
      </c>
      <c r="BE113" s="262">
        <f t="shared" si="488"/>
        <v>0</v>
      </c>
      <c r="BF113" s="298">
        <f t="shared" ref="BF113:BG113" si="593">BF12*BF22</f>
        <v>0</v>
      </c>
      <c r="BG113" s="299">
        <f t="shared" si="593"/>
        <v>0</v>
      </c>
      <c r="BH113" s="262">
        <f t="shared" si="490"/>
        <v>0</v>
      </c>
      <c r="BI113" s="298">
        <f t="shared" si="458"/>
        <v>0</v>
      </c>
      <c r="BJ113" s="299">
        <f t="shared" si="458"/>
        <v>0</v>
      </c>
      <c r="BK113" s="262">
        <f t="shared" si="459"/>
        <v>0</v>
      </c>
      <c r="BL113" s="298">
        <f t="shared" si="460"/>
        <v>0</v>
      </c>
      <c r="BM113" s="299">
        <f t="shared" si="460"/>
        <v>0</v>
      </c>
      <c r="BN113" s="262">
        <f t="shared" si="461"/>
        <v>0</v>
      </c>
      <c r="BO113" s="298">
        <f t="shared" si="462"/>
        <v>0</v>
      </c>
      <c r="BP113" s="299">
        <f t="shared" si="462"/>
        <v>0</v>
      </c>
      <c r="BQ113" s="262">
        <f t="shared" si="463"/>
        <v>0</v>
      </c>
    </row>
    <row r="114" spans="1:70">
      <c r="A114" s="801"/>
      <c r="B114" s="803"/>
      <c r="C114" s="290" t="s">
        <v>174</v>
      </c>
      <c r="D114" s="291">
        <f t="shared" si="559"/>
        <v>0</v>
      </c>
      <c r="E114" s="292">
        <f t="shared" si="208"/>
        <v>0</v>
      </c>
      <c r="F114" s="293">
        <f t="shared" si="464"/>
        <v>0</v>
      </c>
      <c r="G114" s="298">
        <f t="shared" si="431"/>
        <v>0</v>
      </c>
      <c r="H114" s="299">
        <f t="shared" si="431"/>
        <v>0</v>
      </c>
      <c r="I114" s="262">
        <f t="shared" si="465"/>
        <v>0</v>
      </c>
      <c r="J114" s="298">
        <f t="shared" ref="J114:K114" si="594">J13*J23</f>
        <v>0</v>
      </c>
      <c r="K114" s="299">
        <f t="shared" si="594"/>
        <v>0</v>
      </c>
      <c r="L114" s="262">
        <f t="shared" si="467"/>
        <v>0</v>
      </c>
      <c r="M114" s="298">
        <f t="shared" ref="M114:N114" si="595">M13*M23</f>
        <v>0</v>
      </c>
      <c r="N114" s="299">
        <f t="shared" si="595"/>
        <v>0</v>
      </c>
      <c r="O114" s="262">
        <f t="shared" si="469"/>
        <v>0</v>
      </c>
      <c r="P114" s="298">
        <f t="shared" ref="P114:Q114" si="596">P13*P23</f>
        <v>0</v>
      </c>
      <c r="Q114" s="299">
        <f t="shared" si="596"/>
        <v>0</v>
      </c>
      <c r="R114" s="262">
        <f t="shared" si="435"/>
        <v>0</v>
      </c>
      <c r="S114" s="298">
        <f t="shared" ref="S114:T114" si="597">S13*S23</f>
        <v>0</v>
      </c>
      <c r="T114" s="299">
        <f t="shared" si="597"/>
        <v>0</v>
      </c>
      <c r="U114" s="262">
        <f t="shared" si="437"/>
        <v>0</v>
      </c>
      <c r="V114" s="298">
        <f t="shared" ref="V114:W114" si="598">V13*V23</f>
        <v>0</v>
      </c>
      <c r="W114" s="299">
        <f t="shared" si="598"/>
        <v>0</v>
      </c>
      <c r="X114" s="262">
        <f t="shared" si="439"/>
        <v>0</v>
      </c>
      <c r="Y114" s="298">
        <f t="shared" ref="Y114:Z114" si="599">Y13*Y23</f>
        <v>0</v>
      </c>
      <c r="Z114" s="299">
        <f t="shared" si="599"/>
        <v>0</v>
      </c>
      <c r="AA114" s="262">
        <f t="shared" si="474"/>
        <v>0</v>
      </c>
      <c r="AB114" s="298">
        <f t="shared" ref="AB114:AC114" si="600">AB13*AB23</f>
        <v>0</v>
      </c>
      <c r="AC114" s="299">
        <f t="shared" si="600"/>
        <v>0</v>
      </c>
      <c r="AD114" s="262">
        <f t="shared" si="476"/>
        <v>0</v>
      </c>
      <c r="AE114" s="298">
        <f t="shared" ref="AE114:AF114" si="601">AE13*AE23</f>
        <v>0</v>
      </c>
      <c r="AF114" s="299">
        <f t="shared" si="601"/>
        <v>0</v>
      </c>
      <c r="AG114" s="262">
        <f t="shared" si="443"/>
        <v>0</v>
      </c>
      <c r="AH114" s="298">
        <f t="shared" ref="AH114:AI114" si="602">AH13*AH23</f>
        <v>0</v>
      </c>
      <c r="AI114" s="299">
        <f t="shared" si="602"/>
        <v>0</v>
      </c>
      <c r="AJ114" s="262">
        <f t="shared" si="445"/>
        <v>0</v>
      </c>
      <c r="AK114" s="298">
        <f t="shared" ref="AK114:AL114" si="603">AK13*AK23</f>
        <v>0</v>
      </c>
      <c r="AL114" s="299">
        <f t="shared" si="603"/>
        <v>0</v>
      </c>
      <c r="AM114" s="262">
        <f t="shared" si="447"/>
        <v>0</v>
      </c>
      <c r="AN114" s="298">
        <f t="shared" ref="AN114:AO114" si="604">AN13*AN23</f>
        <v>0</v>
      </c>
      <c r="AO114" s="299">
        <f t="shared" si="604"/>
        <v>0</v>
      </c>
      <c r="AP114" s="262">
        <f t="shared" si="481"/>
        <v>0</v>
      </c>
      <c r="AQ114" s="298">
        <f t="shared" ref="AQ114:AR114" si="605">AQ13*AQ23</f>
        <v>0</v>
      </c>
      <c r="AR114" s="299">
        <f t="shared" si="605"/>
        <v>0</v>
      </c>
      <c r="AS114" s="262">
        <f t="shared" si="483"/>
        <v>0</v>
      </c>
      <c r="AT114" s="298">
        <f t="shared" ref="AT114:AU114" si="606">AT13*AT23</f>
        <v>0</v>
      </c>
      <c r="AU114" s="299">
        <f t="shared" si="606"/>
        <v>0</v>
      </c>
      <c r="AV114" s="262">
        <f t="shared" si="451"/>
        <v>0</v>
      </c>
      <c r="AW114" s="298">
        <f t="shared" ref="AW114:AX114" si="607">AW13*AW23</f>
        <v>0</v>
      </c>
      <c r="AX114" s="299">
        <f t="shared" si="607"/>
        <v>0</v>
      </c>
      <c r="AY114" s="262">
        <f t="shared" si="453"/>
        <v>0</v>
      </c>
      <c r="AZ114" s="298">
        <f t="shared" ref="AZ114:BA114" si="608">AZ13*AZ23</f>
        <v>0</v>
      </c>
      <c r="BA114" s="299">
        <f t="shared" si="608"/>
        <v>0</v>
      </c>
      <c r="BB114" s="262">
        <f t="shared" si="455"/>
        <v>0</v>
      </c>
      <c r="BC114" s="298">
        <f t="shared" ref="BC114:BD114" si="609">BC13*BC23</f>
        <v>0</v>
      </c>
      <c r="BD114" s="299">
        <f t="shared" si="609"/>
        <v>0</v>
      </c>
      <c r="BE114" s="262">
        <f t="shared" si="488"/>
        <v>0</v>
      </c>
      <c r="BF114" s="298">
        <f t="shared" ref="BF114:BG114" si="610">BF13*BF23</f>
        <v>0</v>
      </c>
      <c r="BG114" s="299">
        <f t="shared" si="610"/>
        <v>0</v>
      </c>
      <c r="BH114" s="262">
        <f t="shared" si="490"/>
        <v>0</v>
      </c>
      <c r="BI114" s="298">
        <f t="shared" si="458"/>
        <v>0</v>
      </c>
      <c r="BJ114" s="299">
        <f t="shared" si="458"/>
        <v>0</v>
      </c>
      <c r="BK114" s="262">
        <f t="shared" si="459"/>
        <v>0</v>
      </c>
      <c r="BL114" s="298">
        <f t="shared" si="460"/>
        <v>0</v>
      </c>
      <c r="BM114" s="299">
        <f t="shared" si="460"/>
        <v>0</v>
      </c>
      <c r="BN114" s="262">
        <f t="shared" si="461"/>
        <v>0</v>
      </c>
      <c r="BO114" s="298">
        <f t="shared" si="462"/>
        <v>0</v>
      </c>
      <c r="BP114" s="299">
        <f t="shared" si="462"/>
        <v>0</v>
      </c>
      <c r="BQ114" s="262">
        <f t="shared" si="463"/>
        <v>0</v>
      </c>
    </row>
    <row r="115" spans="1:70" ht="15" thickBot="1">
      <c r="A115" s="802"/>
      <c r="B115" s="804"/>
      <c r="C115" s="300" t="s">
        <v>175</v>
      </c>
      <c r="D115" s="301">
        <f t="shared" si="559"/>
        <v>0</v>
      </c>
      <c r="E115" s="302">
        <f t="shared" si="208"/>
        <v>0</v>
      </c>
      <c r="F115" s="303">
        <f t="shared" si="464"/>
        <v>0</v>
      </c>
      <c r="G115" s="304">
        <f t="shared" si="431"/>
        <v>0</v>
      </c>
      <c r="H115" s="305">
        <f t="shared" si="431"/>
        <v>0</v>
      </c>
      <c r="I115" s="267">
        <f t="shared" si="465"/>
        <v>0</v>
      </c>
      <c r="J115" s="304">
        <f t="shared" ref="J115:K115" si="611">J14*J24</f>
        <v>0</v>
      </c>
      <c r="K115" s="305">
        <f t="shared" si="611"/>
        <v>0</v>
      </c>
      <c r="L115" s="267">
        <f t="shared" si="467"/>
        <v>0</v>
      </c>
      <c r="M115" s="304">
        <f t="shared" ref="M115:N115" si="612">M14*M24</f>
        <v>0</v>
      </c>
      <c r="N115" s="305">
        <f t="shared" si="612"/>
        <v>0</v>
      </c>
      <c r="O115" s="267">
        <f t="shared" si="469"/>
        <v>0</v>
      </c>
      <c r="P115" s="304">
        <f t="shared" ref="P115:Q115" si="613">P14*P24</f>
        <v>0</v>
      </c>
      <c r="Q115" s="305">
        <f t="shared" si="613"/>
        <v>0</v>
      </c>
      <c r="R115" s="267">
        <f t="shared" si="435"/>
        <v>0</v>
      </c>
      <c r="S115" s="304">
        <f t="shared" ref="S115:T115" si="614">S14*S24</f>
        <v>0</v>
      </c>
      <c r="T115" s="305">
        <f t="shared" si="614"/>
        <v>0</v>
      </c>
      <c r="U115" s="267">
        <f t="shared" si="437"/>
        <v>0</v>
      </c>
      <c r="V115" s="304">
        <f t="shared" ref="V115:W115" si="615">V14*V24</f>
        <v>0</v>
      </c>
      <c r="W115" s="305">
        <f t="shared" si="615"/>
        <v>0</v>
      </c>
      <c r="X115" s="267">
        <f t="shared" si="439"/>
        <v>0</v>
      </c>
      <c r="Y115" s="304">
        <f t="shared" ref="Y115:Z115" si="616">Y14*Y24</f>
        <v>0</v>
      </c>
      <c r="Z115" s="305">
        <f t="shared" si="616"/>
        <v>0</v>
      </c>
      <c r="AA115" s="267">
        <f t="shared" si="474"/>
        <v>0</v>
      </c>
      <c r="AB115" s="304">
        <f t="shared" ref="AB115:AC115" si="617">AB14*AB24</f>
        <v>0</v>
      </c>
      <c r="AC115" s="305">
        <f t="shared" si="617"/>
        <v>0</v>
      </c>
      <c r="AD115" s="267">
        <f t="shared" si="476"/>
        <v>0</v>
      </c>
      <c r="AE115" s="304">
        <f t="shared" ref="AE115:AF115" si="618">AE14*AE24</f>
        <v>0</v>
      </c>
      <c r="AF115" s="305">
        <f t="shared" si="618"/>
        <v>0</v>
      </c>
      <c r="AG115" s="267">
        <f t="shared" si="443"/>
        <v>0</v>
      </c>
      <c r="AH115" s="304">
        <f t="shared" ref="AH115:AI115" si="619">AH14*AH24</f>
        <v>0</v>
      </c>
      <c r="AI115" s="305">
        <f t="shared" si="619"/>
        <v>0</v>
      </c>
      <c r="AJ115" s="267">
        <f t="shared" si="445"/>
        <v>0</v>
      </c>
      <c r="AK115" s="304">
        <f t="shared" ref="AK115:AL115" si="620">AK14*AK24</f>
        <v>0</v>
      </c>
      <c r="AL115" s="305">
        <f t="shared" si="620"/>
        <v>0</v>
      </c>
      <c r="AM115" s="267">
        <f t="shared" si="447"/>
        <v>0</v>
      </c>
      <c r="AN115" s="304">
        <f t="shared" ref="AN115:AO115" si="621">AN14*AN24</f>
        <v>0</v>
      </c>
      <c r="AO115" s="305">
        <f t="shared" si="621"/>
        <v>0</v>
      </c>
      <c r="AP115" s="267">
        <f t="shared" si="481"/>
        <v>0</v>
      </c>
      <c r="AQ115" s="304">
        <f t="shared" ref="AQ115:AR115" si="622">AQ14*AQ24</f>
        <v>0</v>
      </c>
      <c r="AR115" s="305">
        <f t="shared" si="622"/>
        <v>0</v>
      </c>
      <c r="AS115" s="267">
        <f t="shared" si="483"/>
        <v>0</v>
      </c>
      <c r="AT115" s="304">
        <f t="shared" ref="AT115:AU115" si="623">AT14*AT24</f>
        <v>0</v>
      </c>
      <c r="AU115" s="305">
        <f t="shared" si="623"/>
        <v>0</v>
      </c>
      <c r="AV115" s="267">
        <f t="shared" si="451"/>
        <v>0</v>
      </c>
      <c r="AW115" s="304">
        <f t="shared" ref="AW115:AX115" si="624">AW14*AW24</f>
        <v>0</v>
      </c>
      <c r="AX115" s="305">
        <f t="shared" si="624"/>
        <v>0</v>
      </c>
      <c r="AY115" s="267">
        <f t="shared" si="453"/>
        <v>0</v>
      </c>
      <c r="AZ115" s="304">
        <f t="shared" ref="AZ115:BA115" si="625">AZ14*AZ24</f>
        <v>0</v>
      </c>
      <c r="BA115" s="305">
        <f t="shared" si="625"/>
        <v>0</v>
      </c>
      <c r="BB115" s="267">
        <f t="shared" si="455"/>
        <v>0</v>
      </c>
      <c r="BC115" s="304">
        <f t="shared" ref="BC115:BD115" si="626">BC14*BC24</f>
        <v>0</v>
      </c>
      <c r="BD115" s="305">
        <f t="shared" si="626"/>
        <v>0</v>
      </c>
      <c r="BE115" s="267">
        <f t="shared" si="488"/>
        <v>0</v>
      </c>
      <c r="BF115" s="304">
        <f t="shared" ref="BF115:BG115" si="627">BF14*BF24</f>
        <v>0</v>
      </c>
      <c r="BG115" s="305">
        <f t="shared" si="627"/>
        <v>0</v>
      </c>
      <c r="BH115" s="267">
        <f t="shared" si="490"/>
        <v>0</v>
      </c>
      <c r="BI115" s="304">
        <f t="shared" si="458"/>
        <v>0</v>
      </c>
      <c r="BJ115" s="305">
        <f t="shared" si="458"/>
        <v>0</v>
      </c>
      <c r="BK115" s="267">
        <f t="shared" si="459"/>
        <v>0</v>
      </c>
      <c r="BL115" s="304">
        <f t="shared" si="460"/>
        <v>0</v>
      </c>
      <c r="BM115" s="305">
        <f t="shared" si="460"/>
        <v>0</v>
      </c>
      <c r="BN115" s="267">
        <f t="shared" si="461"/>
        <v>0</v>
      </c>
      <c r="BO115" s="304">
        <f t="shared" si="462"/>
        <v>0</v>
      </c>
      <c r="BP115" s="305">
        <f t="shared" si="462"/>
        <v>0</v>
      </c>
      <c r="BQ115" s="267">
        <f t="shared" si="463"/>
        <v>0</v>
      </c>
    </row>
    <row r="116" spans="1:70">
      <c r="A116" s="801" t="s">
        <v>225</v>
      </c>
      <c r="B116" s="803" t="s">
        <v>214</v>
      </c>
      <c r="C116" s="290" t="s">
        <v>166</v>
      </c>
      <c r="D116" s="291">
        <f t="shared" ref="D116:D131" si="628">SUM(G116,J116,M116,P116,S116,V116,Y116,AB116,AE116,AH116,AK116,AN116,AQ116,AT116,AW116,AZ116,AZ116,BC116,BF116,BI116,BL116,BO116)</f>
        <v>0</v>
      </c>
      <c r="E116" s="292">
        <f t="shared" si="208"/>
        <v>0</v>
      </c>
      <c r="F116" s="293">
        <f t="shared" ref="F116:F135" si="629">SUM(I116,L116,O116,R116,U116,X116,AA116,AD116,AG116,AJ116,AM116,AP116,AS116,AV116,AY116,BB116,BB116,BE116,BH116,BK116,BN116,BQ116)</f>
        <v>0</v>
      </c>
      <c r="G116" s="306">
        <f t="shared" ref="G116:H125" si="630">G5*G25</f>
        <v>0</v>
      </c>
      <c r="H116" s="307">
        <f t="shared" si="630"/>
        <v>0</v>
      </c>
      <c r="I116" s="257">
        <f>H116-G116</f>
        <v>0</v>
      </c>
      <c r="J116" s="306">
        <f t="shared" ref="J116:K116" si="631">J5*J25</f>
        <v>0</v>
      </c>
      <c r="K116" s="307">
        <f t="shared" si="631"/>
        <v>0</v>
      </c>
      <c r="L116" s="257">
        <f>K116-J116</f>
        <v>0</v>
      </c>
      <c r="M116" s="306">
        <f t="shared" ref="M116:N116" si="632">M5*M25</f>
        <v>0</v>
      </c>
      <c r="N116" s="307">
        <f t="shared" si="632"/>
        <v>0</v>
      </c>
      <c r="O116" s="257">
        <f>N116-M116</f>
        <v>0</v>
      </c>
      <c r="P116" s="306">
        <f t="shared" ref="P116:Q116" si="633">P5*P25</f>
        <v>0</v>
      </c>
      <c r="Q116" s="307">
        <f t="shared" si="633"/>
        <v>0</v>
      </c>
      <c r="R116" s="257">
        <f>Q116-P116</f>
        <v>0</v>
      </c>
      <c r="S116" s="306">
        <f t="shared" ref="S116:T116" si="634">S5*S25</f>
        <v>0</v>
      </c>
      <c r="T116" s="307">
        <f t="shared" si="634"/>
        <v>0</v>
      </c>
      <c r="U116" s="257">
        <f>T116-S116</f>
        <v>0</v>
      </c>
      <c r="V116" s="306">
        <f t="shared" ref="V116:W116" si="635">V5*V25</f>
        <v>0</v>
      </c>
      <c r="W116" s="307">
        <f t="shared" si="635"/>
        <v>0</v>
      </c>
      <c r="X116" s="257">
        <f>W116-V116</f>
        <v>0</v>
      </c>
      <c r="Y116" s="306">
        <f t="shared" ref="Y116:Z116" si="636">Y5*Y25</f>
        <v>0</v>
      </c>
      <c r="Z116" s="307">
        <f t="shared" si="636"/>
        <v>0</v>
      </c>
      <c r="AA116" s="257">
        <f>Z116-Y116</f>
        <v>0</v>
      </c>
      <c r="AB116" s="306">
        <f t="shared" ref="AB116:AC116" si="637">AB5*AB25</f>
        <v>0</v>
      </c>
      <c r="AC116" s="307">
        <f t="shared" si="637"/>
        <v>0</v>
      </c>
      <c r="AD116" s="257">
        <f>AC116-AB116</f>
        <v>0</v>
      </c>
      <c r="AE116" s="306">
        <f t="shared" ref="AE116:AF116" si="638">AE5*AE25</f>
        <v>0</v>
      </c>
      <c r="AF116" s="307">
        <f t="shared" si="638"/>
        <v>0</v>
      </c>
      <c r="AG116" s="257">
        <f>AF116-AE116</f>
        <v>0</v>
      </c>
      <c r="AH116" s="306">
        <f t="shared" ref="AH116:AI116" si="639">AH5*AH25</f>
        <v>0</v>
      </c>
      <c r="AI116" s="307">
        <f t="shared" si="639"/>
        <v>0</v>
      </c>
      <c r="AJ116" s="257">
        <f>AI116-AH116</f>
        <v>0</v>
      </c>
      <c r="AK116" s="306">
        <f t="shared" ref="AK116:AL116" si="640">AK5*AK25</f>
        <v>0</v>
      </c>
      <c r="AL116" s="307">
        <f t="shared" si="640"/>
        <v>0</v>
      </c>
      <c r="AM116" s="257">
        <f>AL116-AK116</f>
        <v>0</v>
      </c>
      <c r="AN116" s="306">
        <f t="shared" ref="AN116:AO116" si="641">AN5*AN25</f>
        <v>0</v>
      </c>
      <c r="AO116" s="307">
        <f t="shared" si="641"/>
        <v>0</v>
      </c>
      <c r="AP116" s="257">
        <f>AO116-AN116</f>
        <v>0</v>
      </c>
      <c r="AQ116" s="306">
        <f t="shared" ref="AQ116:AR116" si="642">AQ5*AQ25</f>
        <v>0</v>
      </c>
      <c r="AR116" s="307">
        <f t="shared" si="642"/>
        <v>0</v>
      </c>
      <c r="AS116" s="257">
        <f>AR116-AQ116</f>
        <v>0</v>
      </c>
      <c r="AT116" s="306">
        <f t="shared" ref="AT116:AU116" si="643">AT5*AT25</f>
        <v>0</v>
      </c>
      <c r="AU116" s="307">
        <f t="shared" si="643"/>
        <v>0</v>
      </c>
      <c r="AV116" s="257">
        <f>AU116-AT116</f>
        <v>0</v>
      </c>
      <c r="AW116" s="306">
        <f t="shared" ref="AW116:AX116" si="644">AW5*AW25</f>
        <v>0</v>
      </c>
      <c r="AX116" s="307">
        <f t="shared" si="644"/>
        <v>0</v>
      </c>
      <c r="AY116" s="257">
        <f>AX116-AW116</f>
        <v>0</v>
      </c>
      <c r="AZ116" s="306">
        <f t="shared" ref="AZ116:BA116" si="645">AZ5*AZ25</f>
        <v>0</v>
      </c>
      <c r="BA116" s="307">
        <f t="shared" si="645"/>
        <v>0</v>
      </c>
      <c r="BB116" s="257">
        <f>BA116-AZ116</f>
        <v>0</v>
      </c>
      <c r="BC116" s="306">
        <f t="shared" ref="BC116:BD116" si="646">BC5*BC25</f>
        <v>0</v>
      </c>
      <c r="BD116" s="307">
        <f t="shared" si="646"/>
        <v>0</v>
      </c>
      <c r="BE116" s="257">
        <f>BD116-BC116</f>
        <v>0</v>
      </c>
      <c r="BF116" s="306">
        <f t="shared" ref="BF116:BG116" si="647">BF5*BF25</f>
        <v>0</v>
      </c>
      <c r="BG116" s="307">
        <f t="shared" si="647"/>
        <v>0</v>
      </c>
      <c r="BH116" s="257">
        <f>BG116-BF116</f>
        <v>0</v>
      </c>
      <c r="BI116" s="306">
        <f t="shared" ref="BI116:BJ125" si="648">BI5*BI25</f>
        <v>0</v>
      </c>
      <c r="BJ116" s="307">
        <f t="shared" si="648"/>
        <v>0</v>
      </c>
      <c r="BK116" s="257">
        <f>BJ116-BI116</f>
        <v>0</v>
      </c>
      <c r="BL116" s="306">
        <f t="shared" ref="BL116:BM125" si="649">BL5*BL25</f>
        <v>0</v>
      </c>
      <c r="BM116" s="307">
        <f t="shared" si="649"/>
        <v>0</v>
      </c>
      <c r="BN116" s="257">
        <f>BM116-BL116</f>
        <v>0</v>
      </c>
      <c r="BO116" s="306">
        <f t="shared" ref="BO116:BP125" si="650">BO5*BO25</f>
        <v>0</v>
      </c>
      <c r="BP116" s="307">
        <f t="shared" si="650"/>
        <v>0</v>
      </c>
      <c r="BQ116" s="257">
        <f>BP116-BO116</f>
        <v>0</v>
      </c>
    </row>
    <row r="117" spans="1:70">
      <c r="A117" s="801"/>
      <c r="B117" s="803"/>
      <c r="C117" s="290" t="s">
        <v>167</v>
      </c>
      <c r="D117" s="291">
        <f t="shared" si="628"/>
        <v>0</v>
      </c>
      <c r="E117" s="292">
        <f t="shared" si="208"/>
        <v>0</v>
      </c>
      <c r="F117" s="293">
        <f t="shared" si="629"/>
        <v>0</v>
      </c>
      <c r="G117" s="298">
        <f t="shared" si="630"/>
        <v>0</v>
      </c>
      <c r="H117" s="299">
        <f t="shared" si="630"/>
        <v>0</v>
      </c>
      <c r="I117" s="262">
        <f t="shared" ref="I117:I125" si="651">H117-G117</f>
        <v>0</v>
      </c>
      <c r="J117" s="298">
        <f t="shared" ref="J117:K117" si="652">J6*J26</f>
        <v>0</v>
      </c>
      <c r="K117" s="299">
        <f t="shared" si="652"/>
        <v>0</v>
      </c>
      <c r="L117" s="262">
        <f t="shared" ref="L117:L125" si="653">K117-J117</f>
        <v>0</v>
      </c>
      <c r="M117" s="298">
        <f t="shared" ref="M117:N117" si="654">M6*M26</f>
        <v>0</v>
      </c>
      <c r="N117" s="299">
        <f t="shared" si="654"/>
        <v>0</v>
      </c>
      <c r="O117" s="262">
        <f t="shared" ref="O117:O125" si="655">N117-M117</f>
        <v>0</v>
      </c>
      <c r="P117" s="298">
        <f t="shared" ref="P117:Q117" si="656">P6*P26</f>
        <v>0</v>
      </c>
      <c r="Q117" s="299">
        <f t="shared" si="656"/>
        <v>0</v>
      </c>
      <c r="R117" s="262">
        <f t="shared" ref="R117:R125" si="657">Q117-P117</f>
        <v>0</v>
      </c>
      <c r="S117" s="298">
        <f t="shared" ref="S117:T117" si="658">S6*S26</f>
        <v>0</v>
      </c>
      <c r="T117" s="299">
        <f t="shared" si="658"/>
        <v>0</v>
      </c>
      <c r="U117" s="262">
        <f t="shared" ref="U117:U125" si="659">T117-S117</f>
        <v>0</v>
      </c>
      <c r="V117" s="298">
        <f t="shared" ref="V117:W117" si="660">V6*V26</f>
        <v>0</v>
      </c>
      <c r="W117" s="299">
        <f t="shared" si="660"/>
        <v>0</v>
      </c>
      <c r="X117" s="262">
        <f t="shared" ref="X117:X125" si="661">W117-V117</f>
        <v>0</v>
      </c>
      <c r="Y117" s="298">
        <f t="shared" ref="Y117:Z117" si="662">Y6*Y26</f>
        <v>0</v>
      </c>
      <c r="Z117" s="299">
        <f t="shared" si="662"/>
        <v>0</v>
      </c>
      <c r="AA117" s="262">
        <f t="shared" ref="AA117:AA125" si="663">Z117-Y117</f>
        <v>0</v>
      </c>
      <c r="AB117" s="298">
        <f t="shared" ref="AB117:AC117" si="664">AB6*AB26</f>
        <v>0</v>
      </c>
      <c r="AC117" s="299">
        <f t="shared" si="664"/>
        <v>0</v>
      </c>
      <c r="AD117" s="262">
        <f t="shared" ref="AD117:AD125" si="665">AC117-AB117</f>
        <v>0</v>
      </c>
      <c r="AE117" s="298">
        <f t="shared" ref="AE117:AF117" si="666">AE6*AE26</f>
        <v>0</v>
      </c>
      <c r="AF117" s="299">
        <f t="shared" si="666"/>
        <v>0</v>
      </c>
      <c r="AG117" s="262">
        <f t="shared" ref="AG117:AG125" si="667">AF117-AE117</f>
        <v>0</v>
      </c>
      <c r="AH117" s="298">
        <f t="shared" ref="AH117:AI117" si="668">AH6*AH26</f>
        <v>0</v>
      </c>
      <c r="AI117" s="299">
        <f t="shared" si="668"/>
        <v>0</v>
      </c>
      <c r="AJ117" s="262">
        <f t="shared" ref="AJ117:AJ125" si="669">AI117-AH117</f>
        <v>0</v>
      </c>
      <c r="AK117" s="298">
        <f t="shared" ref="AK117:AL117" si="670">AK6*AK26</f>
        <v>0</v>
      </c>
      <c r="AL117" s="299">
        <f t="shared" si="670"/>
        <v>0</v>
      </c>
      <c r="AM117" s="262">
        <f t="shared" ref="AM117:AM125" si="671">AL117-AK117</f>
        <v>0</v>
      </c>
      <c r="AN117" s="298">
        <f t="shared" ref="AN117:AO117" si="672">AN6*AN26</f>
        <v>0</v>
      </c>
      <c r="AO117" s="299">
        <f t="shared" si="672"/>
        <v>0</v>
      </c>
      <c r="AP117" s="262">
        <f t="shared" ref="AP117:AP125" si="673">AO117-AN117</f>
        <v>0</v>
      </c>
      <c r="AQ117" s="298">
        <f t="shared" ref="AQ117:AR117" si="674">AQ6*AQ26</f>
        <v>0</v>
      </c>
      <c r="AR117" s="299">
        <f t="shared" si="674"/>
        <v>0</v>
      </c>
      <c r="AS117" s="262">
        <f t="shared" ref="AS117:AS125" si="675">AR117-AQ117</f>
        <v>0</v>
      </c>
      <c r="AT117" s="298">
        <f t="shared" ref="AT117:AU117" si="676">AT6*AT26</f>
        <v>0</v>
      </c>
      <c r="AU117" s="299">
        <f t="shared" si="676"/>
        <v>0</v>
      </c>
      <c r="AV117" s="262">
        <f t="shared" ref="AV117:AV125" si="677">AU117-AT117</f>
        <v>0</v>
      </c>
      <c r="AW117" s="298">
        <f t="shared" ref="AW117:AX117" si="678">AW6*AW26</f>
        <v>0</v>
      </c>
      <c r="AX117" s="299">
        <f t="shared" si="678"/>
        <v>0</v>
      </c>
      <c r="AY117" s="262">
        <f t="shared" ref="AY117:AY125" si="679">AX117-AW117</f>
        <v>0</v>
      </c>
      <c r="AZ117" s="298">
        <f t="shared" ref="AZ117:BA117" si="680">AZ6*AZ26</f>
        <v>0</v>
      </c>
      <c r="BA117" s="299">
        <f t="shared" si="680"/>
        <v>0</v>
      </c>
      <c r="BB117" s="262">
        <f t="shared" ref="BB117:BB125" si="681">BA117-AZ117</f>
        <v>0</v>
      </c>
      <c r="BC117" s="298">
        <f t="shared" ref="BC117:BD117" si="682">BC6*BC26</f>
        <v>0</v>
      </c>
      <c r="BD117" s="299">
        <f t="shared" si="682"/>
        <v>0</v>
      </c>
      <c r="BE117" s="262">
        <f t="shared" ref="BE117:BE125" si="683">BD117-BC117</f>
        <v>0</v>
      </c>
      <c r="BF117" s="298">
        <f t="shared" ref="BF117:BG117" si="684">BF6*BF26</f>
        <v>0</v>
      </c>
      <c r="BG117" s="299">
        <f t="shared" si="684"/>
        <v>0</v>
      </c>
      <c r="BH117" s="262">
        <f t="shared" ref="BH117:BH125" si="685">BG117-BF117</f>
        <v>0</v>
      </c>
      <c r="BI117" s="298">
        <f t="shared" si="648"/>
        <v>0</v>
      </c>
      <c r="BJ117" s="299">
        <f t="shared" si="648"/>
        <v>0</v>
      </c>
      <c r="BK117" s="262">
        <f t="shared" ref="BK117:BK125" si="686">BJ117-BI117</f>
        <v>0</v>
      </c>
      <c r="BL117" s="298">
        <f t="shared" si="649"/>
        <v>0</v>
      </c>
      <c r="BM117" s="299">
        <f t="shared" si="649"/>
        <v>0</v>
      </c>
      <c r="BN117" s="262">
        <f t="shared" ref="BN117:BN125" si="687">BM117-BL117</f>
        <v>0</v>
      </c>
      <c r="BO117" s="298">
        <f t="shared" si="650"/>
        <v>0</v>
      </c>
      <c r="BP117" s="299">
        <f t="shared" si="650"/>
        <v>0</v>
      </c>
      <c r="BQ117" s="262">
        <f t="shared" ref="BQ117:BQ125" si="688">BP117-BO117</f>
        <v>0</v>
      </c>
    </row>
    <row r="118" spans="1:70">
      <c r="A118" s="801"/>
      <c r="B118" s="803"/>
      <c r="C118" s="290" t="s">
        <v>168</v>
      </c>
      <c r="D118" s="291">
        <f t="shared" si="628"/>
        <v>0</v>
      </c>
      <c r="E118" s="292">
        <f t="shared" si="208"/>
        <v>0</v>
      </c>
      <c r="F118" s="293">
        <f t="shared" si="629"/>
        <v>0</v>
      </c>
      <c r="G118" s="298">
        <f t="shared" si="630"/>
        <v>0</v>
      </c>
      <c r="H118" s="299">
        <f t="shared" si="630"/>
        <v>0</v>
      </c>
      <c r="I118" s="262">
        <f t="shared" si="651"/>
        <v>0</v>
      </c>
      <c r="J118" s="298">
        <f t="shared" ref="J118:K118" si="689">J7*J27</f>
        <v>0</v>
      </c>
      <c r="K118" s="299">
        <f t="shared" si="689"/>
        <v>0</v>
      </c>
      <c r="L118" s="262">
        <f t="shared" si="653"/>
        <v>0</v>
      </c>
      <c r="M118" s="298">
        <f t="shared" ref="M118:N118" si="690">M7*M27</f>
        <v>0</v>
      </c>
      <c r="N118" s="299">
        <f t="shared" si="690"/>
        <v>0</v>
      </c>
      <c r="O118" s="262">
        <f t="shared" si="655"/>
        <v>0</v>
      </c>
      <c r="P118" s="298">
        <f t="shared" ref="P118:Q118" si="691">P7*P27</f>
        <v>0</v>
      </c>
      <c r="Q118" s="299">
        <f t="shared" si="691"/>
        <v>0</v>
      </c>
      <c r="R118" s="262">
        <f t="shared" si="657"/>
        <v>0</v>
      </c>
      <c r="S118" s="298">
        <f t="shared" ref="S118:T118" si="692">S7*S27</f>
        <v>0</v>
      </c>
      <c r="T118" s="299">
        <f t="shared" si="692"/>
        <v>0</v>
      </c>
      <c r="U118" s="262">
        <f t="shared" si="659"/>
        <v>0</v>
      </c>
      <c r="V118" s="298">
        <f t="shared" ref="V118:W118" si="693">V7*V27</f>
        <v>0</v>
      </c>
      <c r="W118" s="299">
        <f t="shared" si="693"/>
        <v>0</v>
      </c>
      <c r="X118" s="262">
        <f t="shared" si="661"/>
        <v>0</v>
      </c>
      <c r="Y118" s="298">
        <f t="shared" ref="Y118:Z118" si="694">Y7*Y27</f>
        <v>0</v>
      </c>
      <c r="Z118" s="299">
        <f t="shared" si="694"/>
        <v>0</v>
      </c>
      <c r="AA118" s="262">
        <f t="shared" si="663"/>
        <v>0</v>
      </c>
      <c r="AB118" s="298">
        <f t="shared" ref="AB118:AC118" si="695">AB7*AB27</f>
        <v>0</v>
      </c>
      <c r="AC118" s="299">
        <f t="shared" si="695"/>
        <v>0</v>
      </c>
      <c r="AD118" s="262">
        <f t="shared" si="665"/>
        <v>0</v>
      </c>
      <c r="AE118" s="298">
        <f t="shared" ref="AE118:AF118" si="696">AE7*AE27</f>
        <v>0</v>
      </c>
      <c r="AF118" s="299">
        <f t="shared" si="696"/>
        <v>0</v>
      </c>
      <c r="AG118" s="262">
        <f t="shared" si="667"/>
        <v>0</v>
      </c>
      <c r="AH118" s="298">
        <f t="shared" ref="AH118:AI118" si="697">AH7*AH27</f>
        <v>0</v>
      </c>
      <c r="AI118" s="299">
        <f t="shared" si="697"/>
        <v>0</v>
      </c>
      <c r="AJ118" s="262">
        <f t="shared" si="669"/>
        <v>0</v>
      </c>
      <c r="AK118" s="298">
        <f t="shared" ref="AK118:AL118" si="698">AK7*AK27</f>
        <v>0</v>
      </c>
      <c r="AL118" s="299">
        <f t="shared" si="698"/>
        <v>0</v>
      </c>
      <c r="AM118" s="262">
        <f t="shared" si="671"/>
        <v>0</v>
      </c>
      <c r="AN118" s="298">
        <f t="shared" ref="AN118:AO118" si="699">AN7*AN27</f>
        <v>0</v>
      </c>
      <c r="AO118" s="299">
        <f t="shared" si="699"/>
        <v>0</v>
      </c>
      <c r="AP118" s="262">
        <f t="shared" si="673"/>
        <v>0</v>
      </c>
      <c r="AQ118" s="298">
        <f t="shared" ref="AQ118:AR118" si="700">AQ7*AQ27</f>
        <v>0</v>
      </c>
      <c r="AR118" s="299">
        <f t="shared" si="700"/>
        <v>0</v>
      </c>
      <c r="AS118" s="262">
        <f t="shared" si="675"/>
        <v>0</v>
      </c>
      <c r="AT118" s="298">
        <f t="shared" ref="AT118:AU118" si="701">AT7*AT27</f>
        <v>0</v>
      </c>
      <c r="AU118" s="299">
        <f t="shared" si="701"/>
        <v>0</v>
      </c>
      <c r="AV118" s="262">
        <f t="shared" si="677"/>
        <v>0</v>
      </c>
      <c r="AW118" s="298">
        <f t="shared" ref="AW118:AX118" si="702">AW7*AW27</f>
        <v>0</v>
      </c>
      <c r="AX118" s="299">
        <f t="shared" si="702"/>
        <v>0</v>
      </c>
      <c r="AY118" s="262">
        <f t="shared" si="679"/>
        <v>0</v>
      </c>
      <c r="AZ118" s="298">
        <f t="shared" ref="AZ118:BA118" si="703">AZ7*AZ27</f>
        <v>0</v>
      </c>
      <c r="BA118" s="299">
        <f t="shared" si="703"/>
        <v>0</v>
      </c>
      <c r="BB118" s="262">
        <f t="shared" si="681"/>
        <v>0</v>
      </c>
      <c r="BC118" s="298">
        <f t="shared" ref="BC118:BD118" si="704">BC7*BC27</f>
        <v>0</v>
      </c>
      <c r="BD118" s="299">
        <f t="shared" si="704"/>
        <v>0</v>
      </c>
      <c r="BE118" s="262">
        <f t="shared" si="683"/>
        <v>0</v>
      </c>
      <c r="BF118" s="298">
        <f t="shared" ref="BF118:BG118" si="705">BF7*BF27</f>
        <v>0</v>
      </c>
      <c r="BG118" s="299">
        <f t="shared" si="705"/>
        <v>0</v>
      </c>
      <c r="BH118" s="262">
        <f t="shared" si="685"/>
        <v>0</v>
      </c>
      <c r="BI118" s="298">
        <f t="shared" si="648"/>
        <v>0</v>
      </c>
      <c r="BJ118" s="299">
        <f t="shared" si="648"/>
        <v>0</v>
      </c>
      <c r="BK118" s="262">
        <f t="shared" si="686"/>
        <v>0</v>
      </c>
      <c r="BL118" s="298">
        <f t="shared" si="649"/>
        <v>0</v>
      </c>
      <c r="BM118" s="299">
        <f t="shared" si="649"/>
        <v>0</v>
      </c>
      <c r="BN118" s="262">
        <f t="shared" si="687"/>
        <v>0</v>
      </c>
      <c r="BO118" s="298">
        <f t="shared" si="650"/>
        <v>0</v>
      </c>
      <c r="BP118" s="299">
        <f t="shared" si="650"/>
        <v>0</v>
      </c>
      <c r="BQ118" s="262">
        <f t="shared" si="688"/>
        <v>0</v>
      </c>
    </row>
    <row r="119" spans="1:70">
      <c r="A119" s="801"/>
      <c r="B119" s="803"/>
      <c r="C119" s="290" t="s">
        <v>169</v>
      </c>
      <c r="D119" s="291">
        <f t="shared" si="628"/>
        <v>0</v>
      </c>
      <c r="E119" s="292">
        <f t="shared" si="208"/>
        <v>0</v>
      </c>
      <c r="F119" s="293">
        <f t="shared" si="629"/>
        <v>0</v>
      </c>
      <c r="G119" s="298">
        <f t="shared" si="630"/>
        <v>0</v>
      </c>
      <c r="H119" s="299">
        <f t="shared" si="630"/>
        <v>0</v>
      </c>
      <c r="I119" s="262">
        <f t="shared" si="651"/>
        <v>0</v>
      </c>
      <c r="J119" s="298">
        <f t="shared" ref="J119:K119" si="706">J8*J28</f>
        <v>0</v>
      </c>
      <c r="K119" s="299">
        <f t="shared" si="706"/>
        <v>0</v>
      </c>
      <c r="L119" s="262">
        <f t="shared" si="653"/>
        <v>0</v>
      </c>
      <c r="M119" s="298">
        <f t="shared" ref="M119:N119" si="707">M8*M28</f>
        <v>0</v>
      </c>
      <c r="N119" s="299">
        <f t="shared" si="707"/>
        <v>0</v>
      </c>
      <c r="O119" s="262">
        <f t="shared" si="655"/>
        <v>0</v>
      </c>
      <c r="P119" s="298">
        <f t="shared" ref="P119:Q119" si="708">P8*P28</f>
        <v>0</v>
      </c>
      <c r="Q119" s="299">
        <f t="shared" si="708"/>
        <v>0</v>
      </c>
      <c r="R119" s="262">
        <f t="shared" si="657"/>
        <v>0</v>
      </c>
      <c r="S119" s="298">
        <f t="shared" ref="S119:T119" si="709">S8*S28</f>
        <v>0</v>
      </c>
      <c r="T119" s="299">
        <f t="shared" si="709"/>
        <v>0</v>
      </c>
      <c r="U119" s="262">
        <f t="shared" si="659"/>
        <v>0</v>
      </c>
      <c r="V119" s="298">
        <f t="shared" ref="V119:W119" si="710">V8*V28</f>
        <v>0</v>
      </c>
      <c r="W119" s="299">
        <f t="shared" si="710"/>
        <v>0</v>
      </c>
      <c r="X119" s="262">
        <f t="shared" si="661"/>
        <v>0</v>
      </c>
      <c r="Y119" s="298">
        <f t="shared" ref="Y119:Z119" si="711">Y8*Y28</f>
        <v>0</v>
      </c>
      <c r="Z119" s="299">
        <f t="shared" si="711"/>
        <v>0</v>
      </c>
      <c r="AA119" s="262">
        <f t="shared" si="663"/>
        <v>0</v>
      </c>
      <c r="AB119" s="298">
        <f t="shared" ref="AB119:AC119" si="712">AB8*AB28</f>
        <v>0</v>
      </c>
      <c r="AC119" s="299">
        <f t="shared" si="712"/>
        <v>0</v>
      </c>
      <c r="AD119" s="262">
        <f t="shared" si="665"/>
        <v>0</v>
      </c>
      <c r="AE119" s="298">
        <f t="shared" ref="AE119:AF119" si="713">AE8*AE28</f>
        <v>0</v>
      </c>
      <c r="AF119" s="299">
        <f t="shared" si="713"/>
        <v>0</v>
      </c>
      <c r="AG119" s="262">
        <f t="shared" si="667"/>
        <v>0</v>
      </c>
      <c r="AH119" s="298">
        <f t="shared" ref="AH119:AI119" si="714">AH8*AH28</f>
        <v>0</v>
      </c>
      <c r="AI119" s="299">
        <f t="shared" si="714"/>
        <v>0</v>
      </c>
      <c r="AJ119" s="262">
        <f t="shared" si="669"/>
        <v>0</v>
      </c>
      <c r="AK119" s="298">
        <f t="shared" ref="AK119:AL119" si="715">AK8*AK28</f>
        <v>0</v>
      </c>
      <c r="AL119" s="299">
        <f t="shared" si="715"/>
        <v>0</v>
      </c>
      <c r="AM119" s="262">
        <f t="shared" si="671"/>
        <v>0</v>
      </c>
      <c r="AN119" s="298">
        <f t="shared" ref="AN119:AO119" si="716">AN8*AN28</f>
        <v>0</v>
      </c>
      <c r="AO119" s="299">
        <f t="shared" si="716"/>
        <v>0</v>
      </c>
      <c r="AP119" s="262">
        <f t="shared" si="673"/>
        <v>0</v>
      </c>
      <c r="AQ119" s="298">
        <f t="shared" ref="AQ119:AR119" si="717">AQ8*AQ28</f>
        <v>0</v>
      </c>
      <c r="AR119" s="299">
        <f t="shared" si="717"/>
        <v>0</v>
      </c>
      <c r="AS119" s="262">
        <f t="shared" si="675"/>
        <v>0</v>
      </c>
      <c r="AT119" s="298">
        <f t="shared" ref="AT119:AU119" si="718">AT8*AT28</f>
        <v>0</v>
      </c>
      <c r="AU119" s="299">
        <f t="shared" si="718"/>
        <v>0</v>
      </c>
      <c r="AV119" s="262">
        <f t="shared" si="677"/>
        <v>0</v>
      </c>
      <c r="AW119" s="298">
        <f t="shared" ref="AW119:AX119" si="719">AW8*AW28</f>
        <v>0</v>
      </c>
      <c r="AX119" s="299">
        <f t="shared" si="719"/>
        <v>0</v>
      </c>
      <c r="AY119" s="262">
        <f t="shared" si="679"/>
        <v>0</v>
      </c>
      <c r="AZ119" s="298">
        <f t="shared" ref="AZ119:BA119" si="720">AZ8*AZ28</f>
        <v>0</v>
      </c>
      <c r="BA119" s="299">
        <f t="shared" si="720"/>
        <v>0</v>
      </c>
      <c r="BB119" s="262">
        <f t="shared" si="681"/>
        <v>0</v>
      </c>
      <c r="BC119" s="298">
        <f t="shared" ref="BC119:BD119" si="721">BC8*BC28</f>
        <v>0</v>
      </c>
      <c r="BD119" s="299">
        <f t="shared" si="721"/>
        <v>0</v>
      </c>
      <c r="BE119" s="262">
        <f t="shared" si="683"/>
        <v>0</v>
      </c>
      <c r="BF119" s="298">
        <f t="shared" ref="BF119:BG119" si="722">BF8*BF28</f>
        <v>0</v>
      </c>
      <c r="BG119" s="299">
        <f t="shared" si="722"/>
        <v>0</v>
      </c>
      <c r="BH119" s="262">
        <f t="shared" si="685"/>
        <v>0</v>
      </c>
      <c r="BI119" s="298">
        <f t="shared" si="648"/>
        <v>0</v>
      </c>
      <c r="BJ119" s="299">
        <f t="shared" si="648"/>
        <v>0</v>
      </c>
      <c r="BK119" s="262">
        <f t="shared" si="686"/>
        <v>0</v>
      </c>
      <c r="BL119" s="298">
        <f t="shared" si="649"/>
        <v>0</v>
      </c>
      <c r="BM119" s="299">
        <f t="shared" si="649"/>
        <v>0</v>
      </c>
      <c r="BN119" s="262">
        <f t="shared" si="687"/>
        <v>0</v>
      </c>
      <c r="BO119" s="298">
        <f t="shared" si="650"/>
        <v>0</v>
      </c>
      <c r="BP119" s="299">
        <f t="shared" si="650"/>
        <v>0</v>
      </c>
      <c r="BQ119" s="262">
        <f t="shared" si="688"/>
        <v>0</v>
      </c>
    </row>
    <row r="120" spans="1:70">
      <c r="A120" s="801"/>
      <c r="B120" s="803"/>
      <c r="C120" s="290" t="s">
        <v>170</v>
      </c>
      <c r="D120" s="291">
        <f t="shared" si="628"/>
        <v>0</v>
      </c>
      <c r="E120" s="292">
        <f t="shared" si="208"/>
        <v>0</v>
      </c>
      <c r="F120" s="293">
        <f t="shared" si="629"/>
        <v>0</v>
      </c>
      <c r="G120" s="298">
        <f t="shared" si="630"/>
        <v>0</v>
      </c>
      <c r="H120" s="299">
        <f t="shared" si="630"/>
        <v>0</v>
      </c>
      <c r="I120" s="262">
        <f t="shared" si="651"/>
        <v>0</v>
      </c>
      <c r="J120" s="298">
        <f t="shared" ref="J120:K120" si="723">J9*J29</f>
        <v>0</v>
      </c>
      <c r="K120" s="299">
        <f t="shared" si="723"/>
        <v>0</v>
      </c>
      <c r="L120" s="262">
        <f t="shared" si="653"/>
        <v>0</v>
      </c>
      <c r="M120" s="298">
        <f t="shared" ref="M120:N120" si="724">M9*M29</f>
        <v>0</v>
      </c>
      <c r="N120" s="299">
        <f t="shared" si="724"/>
        <v>0</v>
      </c>
      <c r="O120" s="262">
        <f t="shared" si="655"/>
        <v>0</v>
      </c>
      <c r="P120" s="298">
        <f t="shared" ref="P120:Q120" si="725">P9*P29</f>
        <v>0</v>
      </c>
      <c r="Q120" s="299">
        <f t="shared" si="725"/>
        <v>0</v>
      </c>
      <c r="R120" s="262">
        <f t="shared" si="657"/>
        <v>0</v>
      </c>
      <c r="S120" s="298">
        <f t="shared" ref="S120:T120" si="726">S9*S29</f>
        <v>0</v>
      </c>
      <c r="T120" s="299">
        <f t="shared" si="726"/>
        <v>0</v>
      </c>
      <c r="U120" s="262">
        <f t="shared" si="659"/>
        <v>0</v>
      </c>
      <c r="V120" s="298">
        <f t="shared" ref="V120:W120" si="727">V9*V29</f>
        <v>0</v>
      </c>
      <c r="W120" s="299">
        <f t="shared" si="727"/>
        <v>0</v>
      </c>
      <c r="X120" s="262">
        <f t="shared" si="661"/>
        <v>0</v>
      </c>
      <c r="Y120" s="298">
        <f t="shared" ref="Y120:Z120" si="728">Y9*Y29</f>
        <v>0</v>
      </c>
      <c r="Z120" s="299">
        <f t="shared" si="728"/>
        <v>0</v>
      </c>
      <c r="AA120" s="262">
        <f t="shared" si="663"/>
        <v>0</v>
      </c>
      <c r="AB120" s="298">
        <f t="shared" ref="AB120:AC120" si="729">AB9*AB29</f>
        <v>0</v>
      </c>
      <c r="AC120" s="299">
        <f t="shared" si="729"/>
        <v>0</v>
      </c>
      <c r="AD120" s="262">
        <f t="shared" si="665"/>
        <v>0</v>
      </c>
      <c r="AE120" s="298">
        <f t="shared" ref="AE120:AF120" si="730">AE9*AE29</f>
        <v>0</v>
      </c>
      <c r="AF120" s="299">
        <f t="shared" si="730"/>
        <v>0</v>
      </c>
      <c r="AG120" s="262">
        <f t="shared" si="667"/>
        <v>0</v>
      </c>
      <c r="AH120" s="298">
        <f t="shared" ref="AH120:AI120" si="731">AH9*AH29</f>
        <v>0</v>
      </c>
      <c r="AI120" s="299">
        <f t="shared" si="731"/>
        <v>0</v>
      </c>
      <c r="AJ120" s="262">
        <f t="shared" si="669"/>
        <v>0</v>
      </c>
      <c r="AK120" s="298">
        <f t="shared" ref="AK120:AL120" si="732">AK9*AK29</f>
        <v>0</v>
      </c>
      <c r="AL120" s="299">
        <f t="shared" si="732"/>
        <v>0</v>
      </c>
      <c r="AM120" s="262">
        <f t="shared" si="671"/>
        <v>0</v>
      </c>
      <c r="AN120" s="298">
        <f t="shared" ref="AN120:AO120" si="733">AN9*AN29</f>
        <v>0</v>
      </c>
      <c r="AO120" s="299">
        <f t="shared" si="733"/>
        <v>0</v>
      </c>
      <c r="AP120" s="262">
        <f t="shared" si="673"/>
        <v>0</v>
      </c>
      <c r="AQ120" s="298">
        <f t="shared" ref="AQ120:AR120" si="734">AQ9*AQ29</f>
        <v>0</v>
      </c>
      <c r="AR120" s="299">
        <f t="shared" si="734"/>
        <v>0</v>
      </c>
      <c r="AS120" s="262">
        <f t="shared" si="675"/>
        <v>0</v>
      </c>
      <c r="AT120" s="298">
        <f t="shared" ref="AT120:AU120" si="735">AT9*AT29</f>
        <v>0</v>
      </c>
      <c r="AU120" s="299">
        <f t="shared" si="735"/>
        <v>0</v>
      </c>
      <c r="AV120" s="262">
        <f t="shared" si="677"/>
        <v>0</v>
      </c>
      <c r="AW120" s="298">
        <f t="shared" ref="AW120:AX120" si="736">AW9*AW29</f>
        <v>0</v>
      </c>
      <c r="AX120" s="299">
        <f t="shared" si="736"/>
        <v>0</v>
      </c>
      <c r="AY120" s="262">
        <f t="shared" si="679"/>
        <v>0</v>
      </c>
      <c r="AZ120" s="298">
        <f t="shared" ref="AZ120:BA120" si="737">AZ9*AZ29</f>
        <v>0</v>
      </c>
      <c r="BA120" s="299">
        <f t="shared" si="737"/>
        <v>0</v>
      </c>
      <c r="BB120" s="262">
        <f t="shared" si="681"/>
        <v>0</v>
      </c>
      <c r="BC120" s="298">
        <f t="shared" ref="BC120:BD120" si="738">BC9*BC29</f>
        <v>0</v>
      </c>
      <c r="BD120" s="299">
        <f t="shared" si="738"/>
        <v>0</v>
      </c>
      <c r="BE120" s="262">
        <f t="shared" si="683"/>
        <v>0</v>
      </c>
      <c r="BF120" s="298">
        <f t="shared" ref="BF120:BG120" si="739">BF9*BF29</f>
        <v>0</v>
      </c>
      <c r="BG120" s="299">
        <f t="shared" si="739"/>
        <v>0</v>
      </c>
      <c r="BH120" s="262">
        <f t="shared" si="685"/>
        <v>0</v>
      </c>
      <c r="BI120" s="298">
        <f t="shared" si="648"/>
        <v>0</v>
      </c>
      <c r="BJ120" s="299">
        <f t="shared" si="648"/>
        <v>0</v>
      </c>
      <c r="BK120" s="262">
        <f t="shared" si="686"/>
        <v>0</v>
      </c>
      <c r="BL120" s="298">
        <f t="shared" si="649"/>
        <v>0</v>
      </c>
      <c r="BM120" s="299">
        <f t="shared" si="649"/>
        <v>0</v>
      </c>
      <c r="BN120" s="262">
        <f t="shared" si="687"/>
        <v>0</v>
      </c>
      <c r="BO120" s="298">
        <f t="shared" si="650"/>
        <v>0</v>
      </c>
      <c r="BP120" s="299">
        <f t="shared" si="650"/>
        <v>0</v>
      </c>
      <c r="BQ120" s="262">
        <f t="shared" si="688"/>
        <v>0</v>
      </c>
    </row>
    <row r="121" spans="1:70">
      <c r="A121" s="801"/>
      <c r="B121" s="803"/>
      <c r="C121" s="290" t="s">
        <v>171</v>
      </c>
      <c r="D121" s="291">
        <f t="shared" si="628"/>
        <v>0</v>
      </c>
      <c r="E121" s="292">
        <f t="shared" si="208"/>
        <v>0</v>
      </c>
      <c r="F121" s="293">
        <f t="shared" si="629"/>
        <v>0</v>
      </c>
      <c r="G121" s="298">
        <f t="shared" si="630"/>
        <v>0</v>
      </c>
      <c r="H121" s="299">
        <f t="shared" si="630"/>
        <v>0</v>
      </c>
      <c r="I121" s="262">
        <f t="shared" si="651"/>
        <v>0</v>
      </c>
      <c r="J121" s="298">
        <f t="shared" ref="J121:K121" si="740">J10*J30</f>
        <v>0</v>
      </c>
      <c r="K121" s="299">
        <f t="shared" si="740"/>
        <v>0</v>
      </c>
      <c r="L121" s="262">
        <f t="shared" si="653"/>
        <v>0</v>
      </c>
      <c r="M121" s="298">
        <f t="shared" ref="M121:N121" si="741">M10*M30</f>
        <v>0</v>
      </c>
      <c r="N121" s="299">
        <f t="shared" si="741"/>
        <v>0</v>
      </c>
      <c r="O121" s="262">
        <f t="shared" si="655"/>
        <v>0</v>
      </c>
      <c r="P121" s="298">
        <f t="shared" ref="P121:Q121" si="742">P10*P30</f>
        <v>0</v>
      </c>
      <c r="Q121" s="299">
        <f t="shared" si="742"/>
        <v>0</v>
      </c>
      <c r="R121" s="262">
        <f t="shared" si="657"/>
        <v>0</v>
      </c>
      <c r="S121" s="298">
        <f t="shared" ref="S121:T121" si="743">S10*S30</f>
        <v>0</v>
      </c>
      <c r="T121" s="299">
        <f t="shared" si="743"/>
        <v>0</v>
      </c>
      <c r="U121" s="262">
        <f t="shared" si="659"/>
        <v>0</v>
      </c>
      <c r="V121" s="298">
        <f t="shared" ref="V121:W121" si="744">V10*V30</f>
        <v>0</v>
      </c>
      <c r="W121" s="299">
        <f t="shared" si="744"/>
        <v>0</v>
      </c>
      <c r="X121" s="262">
        <f t="shared" si="661"/>
        <v>0</v>
      </c>
      <c r="Y121" s="298">
        <f t="shared" ref="Y121:Z121" si="745">Y10*Y30</f>
        <v>0</v>
      </c>
      <c r="Z121" s="299">
        <f t="shared" si="745"/>
        <v>0</v>
      </c>
      <c r="AA121" s="262">
        <f t="shared" si="663"/>
        <v>0</v>
      </c>
      <c r="AB121" s="298">
        <f t="shared" ref="AB121:AC121" si="746">AB10*AB30</f>
        <v>0</v>
      </c>
      <c r="AC121" s="299">
        <f t="shared" si="746"/>
        <v>0</v>
      </c>
      <c r="AD121" s="262">
        <f t="shared" si="665"/>
        <v>0</v>
      </c>
      <c r="AE121" s="298">
        <f t="shared" ref="AE121:AF121" si="747">AE10*AE30</f>
        <v>0</v>
      </c>
      <c r="AF121" s="299">
        <f t="shared" si="747"/>
        <v>0</v>
      </c>
      <c r="AG121" s="262">
        <f t="shared" si="667"/>
        <v>0</v>
      </c>
      <c r="AH121" s="298">
        <f t="shared" ref="AH121:AI121" si="748">AH10*AH30</f>
        <v>0</v>
      </c>
      <c r="AI121" s="299">
        <f t="shared" si="748"/>
        <v>0</v>
      </c>
      <c r="AJ121" s="262">
        <f t="shared" si="669"/>
        <v>0</v>
      </c>
      <c r="AK121" s="298">
        <f t="shared" ref="AK121:AL121" si="749">AK10*AK30</f>
        <v>0</v>
      </c>
      <c r="AL121" s="299">
        <f t="shared" si="749"/>
        <v>0</v>
      </c>
      <c r="AM121" s="262">
        <f t="shared" si="671"/>
        <v>0</v>
      </c>
      <c r="AN121" s="298">
        <f t="shared" ref="AN121:AO121" si="750">AN10*AN30</f>
        <v>0</v>
      </c>
      <c r="AO121" s="299">
        <f t="shared" si="750"/>
        <v>0</v>
      </c>
      <c r="AP121" s="262">
        <f t="shared" si="673"/>
        <v>0</v>
      </c>
      <c r="AQ121" s="298">
        <f t="shared" ref="AQ121:AR121" si="751">AQ10*AQ30</f>
        <v>0</v>
      </c>
      <c r="AR121" s="299">
        <f t="shared" si="751"/>
        <v>0</v>
      </c>
      <c r="AS121" s="262">
        <f t="shared" si="675"/>
        <v>0</v>
      </c>
      <c r="AT121" s="298">
        <f t="shared" ref="AT121:AU121" si="752">AT10*AT30</f>
        <v>0</v>
      </c>
      <c r="AU121" s="299">
        <f t="shared" si="752"/>
        <v>0</v>
      </c>
      <c r="AV121" s="262">
        <f t="shared" si="677"/>
        <v>0</v>
      </c>
      <c r="AW121" s="298">
        <f t="shared" ref="AW121:AX121" si="753">AW10*AW30</f>
        <v>0</v>
      </c>
      <c r="AX121" s="299">
        <f t="shared" si="753"/>
        <v>0</v>
      </c>
      <c r="AY121" s="262">
        <f t="shared" si="679"/>
        <v>0</v>
      </c>
      <c r="AZ121" s="298">
        <f t="shared" ref="AZ121:BA121" si="754">AZ10*AZ30</f>
        <v>0</v>
      </c>
      <c r="BA121" s="299">
        <f t="shared" si="754"/>
        <v>0</v>
      </c>
      <c r="BB121" s="262">
        <f t="shared" si="681"/>
        <v>0</v>
      </c>
      <c r="BC121" s="298">
        <f t="shared" ref="BC121:BD121" si="755">BC10*BC30</f>
        <v>0</v>
      </c>
      <c r="BD121" s="299">
        <f t="shared" si="755"/>
        <v>0</v>
      </c>
      <c r="BE121" s="262">
        <f t="shared" si="683"/>
        <v>0</v>
      </c>
      <c r="BF121" s="298">
        <f t="shared" ref="BF121:BG121" si="756">BF10*BF30</f>
        <v>0</v>
      </c>
      <c r="BG121" s="299">
        <f t="shared" si="756"/>
        <v>0</v>
      </c>
      <c r="BH121" s="262">
        <f t="shared" si="685"/>
        <v>0</v>
      </c>
      <c r="BI121" s="298">
        <f t="shared" si="648"/>
        <v>0</v>
      </c>
      <c r="BJ121" s="299">
        <f t="shared" si="648"/>
        <v>0</v>
      </c>
      <c r="BK121" s="262">
        <f t="shared" si="686"/>
        <v>0</v>
      </c>
      <c r="BL121" s="298">
        <f t="shared" si="649"/>
        <v>0</v>
      </c>
      <c r="BM121" s="299">
        <f t="shared" si="649"/>
        <v>0</v>
      </c>
      <c r="BN121" s="262">
        <f t="shared" si="687"/>
        <v>0</v>
      </c>
      <c r="BO121" s="298">
        <f t="shared" si="650"/>
        <v>0</v>
      </c>
      <c r="BP121" s="299">
        <f t="shared" si="650"/>
        <v>0</v>
      </c>
      <c r="BQ121" s="262">
        <f t="shared" si="688"/>
        <v>0</v>
      </c>
    </row>
    <row r="122" spans="1:70">
      <c r="A122" s="801"/>
      <c r="B122" s="803"/>
      <c r="C122" s="290" t="s">
        <v>172</v>
      </c>
      <c r="D122" s="291">
        <f t="shared" si="628"/>
        <v>0</v>
      </c>
      <c r="E122" s="292">
        <f t="shared" si="208"/>
        <v>0</v>
      </c>
      <c r="F122" s="293">
        <f t="shared" si="629"/>
        <v>0</v>
      </c>
      <c r="G122" s="298">
        <f t="shared" si="630"/>
        <v>0</v>
      </c>
      <c r="H122" s="299">
        <f t="shared" si="630"/>
        <v>0</v>
      </c>
      <c r="I122" s="262">
        <f t="shared" si="651"/>
        <v>0</v>
      </c>
      <c r="J122" s="298">
        <f t="shared" ref="J122:K122" si="757">J11*J31</f>
        <v>0</v>
      </c>
      <c r="K122" s="299">
        <f t="shared" si="757"/>
        <v>0</v>
      </c>
      <c r="L122" s="262">
        <f t="shared" si="653"/>
        <v>0</v>
      </c>
      <c r="M122" s="298">
        <f t="shared" ref="M122:N122" si="758">M11*M31</f>
        <v>0</v>
      </c>
      <c r="N122" s="299">
        <f t="shared" si="758"/>
        <v>0</v>
      </c>
      <c r="O122" s="262">
        <f t="shared" si="655"/>
        <v>0</v>
      </c>
      <c r="P122" s="298">
        <f t="shared" ref="P122:Q122" si="759">P11*P31</f>
        <v>0</v>
      </c>
      <c r="Q122" s="299">
        <f t="shared" si="759"/>
        <v>0</v>
      </c>
      <c r="R122" s="262">
        <f t="shared" si="657"/>
        <v>0</v>
      </c>
      <c r="S122" s="298">
        <f t="shared" ref="S122:T122" si="760">S11*S31</f>
        <v>0</v>
      </c>
      <c r="T122" s="299">
        <f t="shared" si="760"/>
        <v>0</v>
      </c>
      <c r="U122" s="262">
        <f t="shared" si="659"/>
        <v>0</v>
      </c>
      <c r="V122" s="298">
        <f t="shared" ref="V122:W122" si="761">V11*V31</f>
        <v>0</v>
      </c>
      <c r="W122" s="299">
        <f t="shared" si="761"/>
        <v>0</v>
      </c>
      <c r="X122" s="262">
        <f t="shared" si="661"/>
        <v>0</v>
      </c>
      <c r="Y122" s="298">
        <f t="shared" ref="Y122:Z122" si="762">Y11*Y31</f>
        <v>0</v>
      </c>
      <c r="Z122" s="299">
        <f t="shared" si="762"/>
        <v>0</v>
      </c>
      <c r="AA122" s="262">
        <f t="shared" si="663"/>
        <v>0</v>
      </c>
      <c r="AB122" s="298">
        <f t="shared" ref="AB122:AC122" si="763">AB11*AB31</f>
        <v>0</v>
      </c>
      <c r="AC122" s="299">
        <f t="shared" si="763"/>
        <v>0</v>
      </c>
      <c r="AD122" s="262">
        <f t="shared" si="665"/>
        <v>0</v>
      </c>
      <c r="AE122" s="298">
        <f t="shared" ref="AE122:AF122" si="764">AE11*AE31</f>
        <v>0</v>
      </c>
      <c r="AF122" s="299">
        <f t="shared" si="764"/>
        <v>0</v>
      </c>
      <c r="AG122" s="262">
        <f t="shared" si="667"/>
        <v>0</v>
      </c>
      <c r="AH122" s="298">
        <f t="shared" ref="AH122:AI122" si="765">AH11*AH31</f>
        <v>0</v>
      </c>
      <c r="AI122" s="299">
        <f t="shared" si="765"/>
        <v>0</v>
      </c>
      <c r="AJ122" s="262">
        <f t="shared" si="669"/>
        <v>0</v>
      </c>
      <c r="AK122" s="298">
        <f t="shared" ref="AK122:AL122" si="766">AK11*AK31</f>
        <v>0</v>
      </c>
      <c r="AL122" s="299">
        <f t="shared" si="766"/>
        <v>0</v>
      </c>
      <c r="AM122" s="262">
        <f t="shared" si="671"/>
        <v>0</v>
      </c>
      <c r="AN122" s="298">
        <f t="shared" ref="AN122:AO122" si="767">AN11*AN31</f>
        <v>0</v>
      </c>
      <c r="AO122" s="299">
        <f t="shared" si="767"/>
        <v>0</v>
      </c>
      <c r="AP122" s="262">
        <f t="shared" si="673"/>
        <v>0</v>
      </c>
      <c r="AQ122" s="298">
        <f t="shared" ref="AQ122:AR122" si="768">AQ11*AQ31</f>
        <v>0</v>
      </c>
      <c r="AR122" s="299">
        <f t="shared" si="768"/>
        <v>0</v>
      </c>
      <c r="AS122" s="262">
        <f t="shared" si="675"/>
        <v>0</v>
      </c>
      <c r="AT122" s="298">
        <f t="shared" ref="AT122:AU122" si="769">AT11*AT31</f>
        <v>0</v>
      </c>
      <c r="AU122" s="299">
        <f t="shared" si="769"/>
        <v>0</v>
      </c>
      <c r="AV122" s="262">
        <f t="shared" si="677"/>
        <v>0</v>
      </c>
      <c r="AW122" s="298">
        <f t="shared" ref="AW122:AX122" si="770">AW11*AW31</f>
        <v>0</v>
      </c>
      <c r="AX122" s="299">
        <f t="shared" si="770"/>
        <v>0</v>
      </c>
      <c r="AY122" s="262">
        <f t="shared" si="679"/>
        <v>0</v>
      </c>
      <c r="AZ122" s="298">
        <f t="shared" ref="AZ122:BA122" si="771">AZ11*AZ31</f>
        <v>0</v>
      </c>
      <c r="BA122" s="299">
        <f t="shared" si="771"/>
        <v>0</v>
      </c>
      <c r="BB122" s="262">
        <f t="shared" si="681"/>
        <v>0</v>
      </c>
      <c r="BC122" s="298">
        <f t="shared" ref="BC122:BD122" si="772">BC11*BC31</f>
        <v>0</v>
      </c>
      <c r="BD122" s="299">
        <f t="shared" si="772"/>
        <v>0</v>
      </c>
      <c r="BE122" s="262">
        <f t="shared" si="683"/>
        <v>0</v>
      </c>
      <c r="BF122" s="298">
        <f t="shared" ref="BF122:BG122" si="773">BF11*BF31</f>
        <v>0</v>
      </c>
      <c r="BG122" s="299">
        <f t="shared" si="773"/>
        <v>0</v>
      </c>
      <c r="BH122" s="262">
        <f t="shared" si="685"/>
        <v>0</v>
      </c>
      <c r="BI122" s="298">
        <f t="shared" si="648"/>
        <v>0</v>
      </c>
      <c r="BJ122" s="299">
        <f t="shared" si="648"/>
        <v>0</v>
      </c>
      <c r="BK122" s="262">
        <f t="shared" si="686"/>
        <v>0</v>
      </c>
      <c r="BL122" s="298">
        <f t="shared" si="649"/>
        <v>0</v>
      </c>
      <c r="BM122" s="299">
        <f t="shared" si="649"/>
        <v>0</v>
      </c>
      <c r="BN122" s="262">
        <f t="shared" si="687"/>
        <v>0</v>
      </c>
      <c r="BO122" s="298">
        <f t="shared" si="650"/>
        <v>0</v>
      </c>
      <c r="BP122" s="299">
        <f t="shared" si="650"/>
        <v>0</v>
      </c>
      <c r="BQ122" s="262">
        <f t="shared" si="688"/>
        <v>0</v>
      </c>
    </row>
    <row r="123" spans="1:70">
      <c r="A123" s="801"/>
      <c r="B123" s="803"/>
      <c r="C123" s="290" t="s">
        <v>173</v>
      </c>
      <c r="D123" s="291">
        <f t="shared" si="628"/>
        <v>0</v>
      </c>
      <c r="E123" s="292">
        <f t="shared" si="208"/>
        <v>0</v>
      </c>
      <c r="F123" s="293">
        <f t="shared" si="629"/>
        <v>0</v>
      </c>
      <c r="G123" s="298">
        <f t="shared" si="630"/>
        <v>0</v>
      </c>
      <c r="H123" s="299">
        <f t="shared" si="630"/>
        <v>0</v>
      </c>
      <c r="I123" s="262">
        <f t="shared" si="651"/>
        <v>0</v>
      </c>
      <c r="J123" s="298">
        <f t="shared" ref="J123:K123" si="774">J12*J32</f>
        <v>0</v>
      </c>
      <c r="K123" s="299">
        <f t="shared" si="774"/>
        <v>0</v>
      </c>
      <c r="L123" s="262">
        <f t="shared" si="653"/>
        <v>0</v>
      </c>
      <c r="M123" s="298">
        <f t="shared" ref="M123:N123" si="775">M12*M32</f>
        <v>0</v>
      </c>
      <c r="N123" s="299">
        <f t="shared" si="775"/>
        <v>0</v>
      </c>
      <c r="O123" s="262">
        <f t="shared" si="655"/>
        <v>0</v>
      </c>
      <c r="P123" s="298">
        <f t="shared" ref="P123:Q123" si="776">P12*P32</f>
        <v>0</v>
      </c>
      <c r="Q123" s="299">
        <f t="shared" si="776"/>
        <v>0</v>
      </c>
      <c r="R123" s="262">
        <f t="shared" si="657"/>
        <v>0</v>
      </c>
      <c r="S123" s="298">
        <f t="shared" ref="S123:T123" si="777">S12*S32</f>
        <v>0</v>
      </c>
      <c r="T123" s="299">
        <f t="shared" si="777"/>
        <v>0</v>
      </c>
      <c r="U123" s="262">
        <f t="shared" si="659"/>
        <v>0</v>
      </c>
      <c r="V123" s="298">
        <f t="shared" ref="V123:W123" si="778">V12*V32</f>
        <v>0</v>
      </c>
      <c r="W123" s="299">
        <f t="shared" si="778"/>
        <v>0</v>
      </c>
      <c r="X123" s="262">
        <f t="shared" si="661"/>
        <v>0</v>
      </c>
      <c r="Y123" s="298">
        <f t="shared" ref="Y123:Z123" si="779">Y12*Y32</f>
        <v>0</v>
      </c>
      <c r="Z123" s="299">
        <f t="shared" si="779"/>
        <v>0</v>
      </c>
      <c r="AA123" s="262">
        <f t="shared" si="663"/>
        <v>0</v>
      </c>
      <c r="AB123" s="298">
        <f t="shared" ref="AB123:AC123" si="780">AB12*AB32</f>
        <v>0</v>
      </c>
      <c r="AC123" s="299">
        <f t="shared" si="780"/>
        <v>0</v>
      </c>
      <c r="AD123" s="262">
        <f t="shared" si="665"/>
        <v>0</v>
      </c>
      <c r="AE123" s="298">
        <f t="shared" ref="AE123:AF123" si="781">AE12*AE32</f>
        <v>0</v>
      </c>
      <c r="AF123" s="299">
        <f t="shared" si="781"/>
        <v>0</v>
      </c>
      <c r="AG123" s="262">
        <f t="shared" si="667"/>
        <v>0</v>
      </c>
      <c r="AH123" s="298">
        <f t="shared" ref="AH123:AI123" si="782">AH12*AH32</f>
        <v>0</v>
      </c>
      <c r="AI123" s="299">
        <f t="shared" si="782"/>
        <v>0</v>
      </c>
      <c r="AJ123" s="262">
        <f t="shared" si="669"/>
        <v>0</v>
      </c>
      <c r="AK123" s="298">
        <f t="shared" ref="AK123:AL123" si="783">AK12*AK32</f>
        <v>0</v>
      </c>
      <c r="AL123" s="299">
        <f t="shared" si="783"/>
        <v>0</v>
      </c>
      <c r="AM123" s="262">
        <f t="shared" si="671"/>
        <v>0</v>
      </c>
      <c r="AN123" s="298">
        <f t="shared" ref="AN123:AO123" si="784">AN12*AN32</f>
        <v>0</v>
      </c>
      <c r="AO123" s="299">
        <f t="shared" si="784"/>
        <v>0</v>
      </c>
      <c r="AP123" s="262">
        <f t="shared" si="673"/>
        <v>0</v>
      </c>
      <c r="AQ123" s="298">
        <f t="shared" ref="AQ123:AR123" si="785">AQ12*AQ32</f>
        <v>0</v>
      </c>
      <c r="AR123" s="299">
        <f t="shared" si="785"/>
        <v>0</v>
      </c>
      <c r="AS123" s="262">
        <f t="shared" si="675"/>
        <v>0</v>
      </c>
      <c r="AT123" s="298">
        <f t="shared" ref="AT123:AU123" si="786">AT12*AT32</f>
        <v>0</v>
      </c>
      <c r="AU123" s="299">
        <f t="shared" si="786"/>
        <v>0</v>
      </c>
      <c r="AV123" s="262">
        <f t="shared" si="677"/>
        <v>0</v>
      </c>
      <c r="AW123" s="298">
        <f t="shared" ref="AW123:AX123" si="787">AW12*AW32</f>
        <v>0</v>
      </c>
      <c r="AX123" s="299">
        <f t="shared" si="787"/>
        <v>0</v>
      </c>
      <c r="AY123" s="262">
        <f t="shared" si="679"/>
        <v>0</v>
      </c>
      <c r="AZ123" s="298">
        <f t="shared" ref="AZ123:BA123" si="788">AZ12*AZ32</f>
        <v>0</v>
      </c>
      <c r="BA123" s="299">
        <f t="shared" si="788"/>
        <v>0</v>
      </c>
      <c r="BB123" s="262">
        <f t="shared" si="681"/>
        <v>0</v>
      </c>
      <c r="BC123" s="298">
        <f t="shared" ref="BC123:BD123" si="789">BC12*BC32</f>
        <v>0</v>
      </c>
      <c r="BD123" s="299">
        <f t="shared" si="789"/>
        <v>0</v>
      </c>
      <c r="BE123" s="262">
        <f t="shared" si="683"/>
        <v>0</v>
      </c>
      <c r="BF123" s="298">
        <f t="shared" ref="BF123:BG123" si="790">BF12*BF32</f>
        <v>0</v>
      </c>
      <c r="BG123" s="299">
        <f t="shared" si="790"/>
        <v>0</v>
      </c>
      <c r="BH123" s="262">
        <f t="shared" si="685"/>
        <v>0</v>
      </c>
      <c r="BI123" s="298">
        <f t="shared" si="648"/>
        <v>0</v>
      </c>
      <c r="BJ123" s="299">
        <f t="shared" si="648"/>
        <v>0</v>
      </c>
      <c r="BK123" s="262">
        <f t="shared" si="686"/>
        <v>0</v>
      </c>
      <c r="BL123" s="298">
        <f t="shared" si="649"/>
        <v>0</v>
      </c>
      <c r="BM123" s="299">
        <f t="shared" si="649"/>
        <v>0</v>
      </c>
      <c r="BN123" s="262">
        <f t="shared" si="687"/>
        <v>0</v>
      </c>
      <c r="BO123" s="298">
        <f t="shared" si="650"/>
        <v>0</v>
      </c>
      <c r="BP123" s="299">
        <f t="shared" si="650"/>
        <v>0</v>
      </c>
      <c r="BQ123" s="262">
        <f t="shared" si="688"/>
        <v>0</v>
      </c>
    </row>
    <row r="124" spans="1:70">
      <c r="A124" s="801"/>
      <c r="B124" s="803"/>
      <c r="C124" s="290" t="s">
        <v>174</v>
      </c>
      <c r="D124" s="291">
        <f t="shared" si="628"/>
        <v>0</v>
      </c>
      <c r="E124" s="292">
        <f t="shared" si="208"/>
        <v>0</v>
      </c>
      <c r="F124" s="293">
        <f t="shared" si="629"/>
        <v>0</v>
      </c>
      <c r="G124" s="298">
        <f t="shared" si="630"/>
        <v>0</v>
      </c>
      <c r="H124" s="299">
        <f t="shared" si="630"/>
        <v>0</v>
      </c>
      <c r="I124" s="262">
        <f t="shared" si="651"/>
        <v>0</v>
      </c>
      <c r="J124" s="298">
        <f t="shared" ref="J124:K124" si="791">J13*J33</f>
        <v>0</v>
      </c>
      <c r="K124" s="299">
        <f t="shared" si="791"/>
        <v>0</v>
      </c>
      <c r="L124" s="262">
        <f t="shared" si="653"/>
        <v>0</v>
      </c>
      <c r="M124" s="298">
        <f t="shared" ref="M124:N124" si="792">M13*M33</f>
        <v>0</v>
      </c>
      <c r="N124" s="299">
        <f t="shared" si="792"/>
        <v>0</v>
      </c>
      <c r="O124" s="262">
        <f t="shared" si="655"/>
        <v>0</v>
      </c>
      <c r="P124" s="298">
        <f t="shared" ref="P124:Q124" si="793">P13*P33</f>
        <v>0</v>
      </c>
      <c r="Q124" s="299">
        <f t="shared" si="793"/>
        <v>0</v>
      </c>
      <c r="R124" s="262">
        <f t="shared" si="657"/>
        <v>0</v>
      </c>
      <c r="S124" s="298">
        <f t="shared" ref="S124:T124" si="794">S13*S33</f>
        <v>0</v>
      </c>
      <c r="T124" s="299">
        <f t="shared" si="794"/>
        <v>0</v>
      </c>
      <c r="U124" s="262">
        <f t="shared" si="659"/>
        <v>0</v>
      </c>
      <c r="V124" s="298">
        <f t="shared" ref="V124:W124" si="795">V13*V33</f>
        <v>0</v>
      </c>
      <c r="W124" s="299">
        <f t="shared" si="795"/>
        <v>0</v>
      </c>
      <c r="X124" s="262">
        <f t="shared" si="661"/>
        <v>0</v>
      </c>
      <c r="Y124" s="298">
        <f t="shared" ref="Y124:Z124" si="796">Y13*Y33</f>
        <v>0</v>
      </c>
      <c r="Z124" s="299">
        <f t="shared" si="796"/>
        <v>0</v>
      </c>
      <c r="AA124" s="262">
        <f t="shared" si="663"/>
        <v>0</v>
      </c>
      <c r="AB124" s="298">
        <f t="shared" ref="AB124:AC124" si="797">AB13*AB33</f>
        <v>0</v>
      </c>
      <c r="AC124" s="299">
        <f t="shared" si="797"/>
        <v>0</v>
      </c>
      <c r="AD124" s="262">
        <f t="shared" si="665"/>
        <v>0</v>
      </c>
      <c r="AE124" s="298">
        <f t="shared" ref="AE124:AF124" si="798">AE13*AE33</f>
        <v>0</v>
      </c>
      <c r="AF124" s="299">
        <f t="shared" si="798"/>
        <v>0</v>
      </c>
      <c r="AG124" s="262">
        <f t="shared" si="667"/>
        <v>0</v>
      </c>
      <c r="AH124" s="298">
        <f t="shared" ref="AH124:AI124" si="799">AH13*AH33</f>
        <v>0</v>
      </c>
      <c r="AI124" s="299">
        <f t="shared" si="799"/>
        <v>0</v>
      </c>
      <c r="AJ124" s="262">
        <f t="shared" si="669"/>
        <v>0</v>
      </c>
      <c r="AK124" s="298">
        <f t="shared" ref="AK124:AL124" si="800">AK13*AK33</f>
        <v>0</v>
      </c>
      <c r="AL124" s="299">
        <f t="shared" si="800"/>
        <v>0</v>
      </c>
      <c r="AM124" s="262">
        <f t="shared" si="671"/>
        <v>0</v>
      </c>
      <c r="AN124" s="298">
        <f t="shared" ref="AN124:AO124" si="801">AN13*AN33</f>
        <v>0</v>
      </c>
      <c r="AO124" s="299">
        <f t="shared" si="801"/>
        <v>0</v>
      </c>
      <c r="AP124" s="262">
        <f t="shared" si="673"/>
        <v>0</v>
      </c>
      <c r="AQ124" s="298">
        <f t="shared" ref="AQ124:AR124" si="802">AQ13*AQ33</f>
        <v>0</v>
      </c>
      <c r="AR124" s="299">
        <f t="shared" si="802"/>
        <v>0</v>
      </c>
      <c r="AS124" s="262">
        <f t="shared" si="675"/>
        <v>0</v>
      </c>
      <c r="AT124" s="298">
        <f t="shared" ref="AT124:AU124" si="803">AT13*AT33</f>
        <v>0</v>
      </c>
      <c r="AU124" s="299">
        <f t="shared" si="803"/>
        <v>0</v>
      </c>
      <c r="AV124" s="262">
        <f t="shared" si="677"/>
        <v>0</v>
      </c>
      <c r="AW124" s="298">
        <f t="shared" ref="AW124:AX124" si="804">AW13*AW33</f>
        <v>0</v>
      </c>
      <c r="AX124" s="299">
        <f t="shared" si="804"/>
        <v>0</v>
      </c>
      <c r="AY124" s="262">
        <f t="shared" si="679"/>
        <v>0</v>
      </c>
      <c r="AZ124" s="298">
        <f t="shared" ref="AZ124:BA124" si="805">AZ13*AZ33</f>
        <v>0</v>
      </c>
      <c r="BA124" s="299">
        <f t="shared" si="805"/>
        <v>0</v>
      </c>
      <c r="BB124" s="262">
        <f t="shared" si="681"/>
        <v>0</v>
      </c>
      <c r="BC124" s="298">
        <f t="shared" ref="BC124:BD124" si="806">BC13*BC33</f>
        <v>0</v>
      </c>
      <c r="BD124" s="299">
        <f t="shared" si="806"/>
        <v>0</v>
      </c>
      <c r="BE124" s="262">
        <f t="shared" si="683"/>
        <v>0</v>
      </c>
      <c r="BF124" s="298">
        <f t="shared" ref="BF124:BG124" si="807">BF13*BF33</f>
        <v>0</v>
      </c>
      <c r="BG124" s="299">
        <f t="shared" si="807"/>
        <v>0</v>
      </c>
      <c r="BH124" s="262">
        <f t="shared" si="685"/>
        <v>0</v>
      </c>
      <c r="BI124" s="298">
        <f t="shared" si="648"/>
        <v>0</v>
      </c>
      <c r="BJ124" s="299">
        <f t="shared" si="648"/>
        <v>0</v>
      </c>
      <c r="BK124" s="262">
        <f t="shared" si="686"/>
        <v>0</v>
      </c>
      <c r="BL124" s="298">
        <f t="shared" si="649"/>
        <v>0</v>
      </c>
      <c r="BM124" s="299">
        <f t="shared" si="649"/>
        <v>0</v>
      </c>
      <c r="BN124" s="262">
        <f t="shared" si="687"/>
        <v>0</v>
      </c>
      <c r="BO124" s="298">
        <f t="shared" si="650"/>
        <v>0</v>
      </c>
      <c r="BP124" s="299">
        <f t="shared" si="650"/>
        <v>0</v>
      </c>
      <c r="BQ124" s="262">
        <f t="shared" si="688"/>
        <v>0</v>
      </c>
    </row>
    <row r="125" spans="1:70" ht="15" thickBot="1">
      <c r="A125" s="802"/>
      <c r="B125" s="804"/>
      <c r="C125" s="300" t="s">
        <v>175</v>
      </c>
      <c r="D125" s="301">
        <f t="shared" si="628"/>
        <v>0</v>
      </c>
      <c r="E125" s="302">
        <f t="shared" si="208"/>
        <v>0</v>
      </c>
      <c r="F125" s="303">
        <f t="shared" si="629"/>
        <v>0</v>
      </c>
      <c r="G125" s="304">
        <f t="shared" si="630"/>
        <v>0</v>
      </c>
      <c r="H125" s="305">
        <f t="shared" si="630"/>
        <v>0</v>
      </c>
      <c r="I125" s="267">
        <f t="shared" si="651"/>
        <v>0</v>
      </c>
      <c r="J125" s="304">
        <f t="shared" ref="J125:K125" si="808">J14*J34</f>
        <v>0</v>
      </c>
      <c r="K125" s="305">
        <f t="shared" si="808"/>
        <v>0</v>
      </c>
      <c r="L125" s="267">
        <f t="shared" si="653"/>
        <v>0</v>
      </c>
      <c r="M125" s="304">
        <f t="shared" ref="M125:N125" si="809">M14*M34</f>
        <v>0</v>
      </c>
      <c r="N125" s="305">
        <f t="shared" si="809"/>
        <v>0</v>
      </c>
      <c r="O125" s="267">
        <f t="shared" si="655"/>
        <v>0</v>
      </c>
      <c r="P125" s="304">
        <f t="shared" ref="P125:Q125" si="810">P14*P34</f>
        <v>0</v>
      </c>
      <c r="Q125" s="305">
        <f t="shared" si="810"/>
        <v>0</v>
      </c>
      <c r="R125" s="267">
        <f t="shared" si="657"/>
        <v>0</v>
      </c>
      <c r="S125" s="304">
        <f t="shared" ref="S125:T125" si="811">S14*S34</f>
        <v>0</v>
      </c>
      <c r="T125" s="305">
        <f t="shared" si="811"/>
        <v>0</v>
      </c>
      <c r="U125" s="267">
        <f t="shared" si="659"/>
        <v>0</v>
      </c>
      <c r="V125" s="304">
        <f t="shared" ref="V125:W125" si="812">V14*V34</f>
        <v>0</v>
      </c>
      <c r="W125" s="305">
        <f t="shared" si="812"/>
        <v>0</v>
      </c>
      <c r="X125" s="267">
        <f t="shared" si="661"/>
        <v>0</v>
      </c>
      <c r="Y125" s="304">
        <f t="shared" ref="Y125:Z125" si="813">Y14*Y34</f>
        <v>0</v>
      </c>
      <c r="Z125" s="305">
        <f t="shared" si="813"/>
        <v>0</v>
      </c>
      <c r="AA125" s="267">
        <f t="shared" si="663"/>
        <v>0</v>
      </c>
      <c r="AB125" s="304">
        <f t="shared" ref="AB125:AC125" si="814">AB14*AB34</f>
        <v>0</v>
      </c>
      <c r="AC125" s="305">
        <f t="shared" si="814"/>
        <v>0</v>
      </c>
      <c r="AD125" s="267">
        <f t="shared" si="665"/>
        <v>0</v>
      </c>
      <c r="AE125" s="304">
        <f t="shared" ref="AE125:AF125" si="815">AE14*AE34</f>
        <v>0</v>
      </c>
      <c r="AF125" s="305">
        <f t="shared" si="815"/>
        <v>0</v>
      </c>
      <c r="AG125" s="267">
        <f t="shared" si="667"/>
        <v>0</v>
      </c>
      <c r="AH125" s="304">
        <f t="shared" ref="AH125:AI125" si="816">AH14*AH34</f>
        <v>0</v>
      </c>
      <c r="AI125" s="305">
        <f t="shared" si="816"/>
        <v>0</v>
      </c>
      <c r="AJ125" s="267">
        <f t="shared" si="669"/>
        <v>0</v>
      </c>
      <c r="AK125" s="304">
        <f t="shared" ref="AK125:AL125" si="817">AK14*AK34</f>
        <v>0</v>
      </c>
      <c r="AL125" s="305">
        <f t="shared" si="817"/>
        <v>0</v>
      </c>
      <c r="AM125" s="267">
        <f t="shared" si="671"/>
        <v>0</v>
      </c>
      <c r="AN125" s="304">
        <f t="shared" ref="AN125:AO125" si="818">AN14*AN34</f>
        <v>0</v>
      </c>
      <c r="AO125" s="305">
        <f t="shared" si="818"/>
        <v>0</v>
      </c>
      <c r="AP125" s="267">
        <f t="shared" si="673"/>
        <v>0</v>
      </c>
      <c r="AQ125" s="304">
        <f t="shared" ref="AQ125:AR125" si="819">AQ14*AQ34</f>
        <v>0</v>
      </c>
      <c r="AR125" s="305">
        <f t="shared" si="819"/>
        <v>0</v>
      </c>
      <c r="AS125" s="267">
        <f t="shared" si="675"/>
        <v>0</v>
      </c>
      <c r="AT125" s="304">
        <f t="shared" ref="AT125:AU125" si="820">AT14*AT34</f>
        <v>0</v>
      </c>
      <c r="AU125" s="305">
        <f t="shared" si="820"/>
        <v>0</v>
      </c>
      <c r="AV125" s="267">
        <f t="shared" si="677"/>
        <v>0</v>
      </c>
      <c r="AW125" s="304">
        <f t="shared" ref="AW125:AX125" si="821">AW14*AW34</f>
        <v>0</v>
      </c>
      <c r="AX125" s="305">
        <f t="shared" si="821"/>
        <v>0</v>
      </c>
      <c r="AY125" s="267">
        <f t="shared" si="679"/>
        <v>0</v>
      </c>
      <c r="AZ125" s="304">
        <f t="shared" ref="AZ125:BA125" si="822">AZ14*AZ34</f>
        <v>0</v>
      </c>
      <c r="BA125" s="305">
        <f t="shared" si="822"/>
        <v>0</v>
      </c>
      <c r="BB125" s="267">
        <f t="shared" si="681"/>
        <v>0</v>
      </c>
      <c r="BC125" s="304">
        <f t="shared" ref="BC125:BD125" si="823">BC14*BC34</f>
        <v>0</v>
      </c>
      <c r="BD125" s="305">
        <f t="shared" si="823"/>
        <v>0</v>
      </c>
      <c r="BE125" s="267">
        <f t="shared" si="683"/>
        <v>0</v>
      </c>
      <c r="BF125" s="304">
        <f t="shared" ref="BF125:BG125" si="824">BF14*BF34</f>
        <v>0</v>
      </c>
      <c r="BG125" s="305">
        <f t="shared" si="824"/>
        <v>0</v>
      </c>
      <c r="BH125" s="267">
        <f t="shared" si="685"/>
        <v>0</v>
      </c>
      <c r="BI125" s="304">
        <f t="shared" si="648"/>
        <v>0</v>
      </c>
      <c r="BJ125" s="305">
        <f t="shared" si="648"/>
        <v>0</v>
      </c>
      <c r="BK125" s="267">
        <f t="shared" si="686"/>
        <v>0</v>
      </c>
      <c r="BL125" s="304">
        <f t="shared" si="649"/>
        <v>0</v>
      </c>
      <c r="BM125" s="305">
        <f t="shared" si="649"/>
        <v>0</v>
      </c>
      <c r="BN125" s="267">
        <f t="shared" si="687"/>
        <v>0</v>
      </c>
      <c r="BO125" s="304">
        <f t="shared" si="650"/>
        <v>0</v>
      </c>
      <c r="BP125" s="305">
        <f t="shared" si="650"/>
        <v>0</v>
      </c>
      <c r="BQ125" s="267">
        <f t="shared" si="688"/>
        <v>0</v>
      </c>
    </row>
    <row r="126" spans="1:70">
      <c r="A126" s="801" t="s">
        <v>118</v>
      </c>
      <c r="B126" s="803" t="s">
        <v>214</v>
      </c>
      <c r="C126" s="290" t="s">
        <v>166</v>
      </c>
      <c r="D126" s="291">
        <f t="shared" si="628"/>
        <v>0</v>
      </c>
      <c r="E126" s="292">
        <f t="shared" si="208"/>
        <v>0</v>
      </c>
      <c r="F126" s="293">
        <f t="shared" si="629"/>
        <v>0</v>
      </c>
      <c r="G126" s="306">
        <f>G55</f>
        <v>0</v>
      </c>
      <c r="H126" s="307">
        <f t="shared" ref="H126:H135" si="825">H55*(1+$BR$126)</f>
        <v>0</v>
      </c>
      <c r="I126" s="257">
        <f>H126-G126</f>
        <v>0</v>
      </c>
      <c r="J126" s="306">
        <f>J55</f>
        <v>0</v>
      </c>
      <c r="K126" s="307">
        <f>K55*(1+$BR$126)</f>
        <v>0</v>
      </c>
      <c r="L126" s="257">
        <f>K126-J126</f>
        <v>0</v>
      </c>
      <c r="M126" s="306">
        <f>M55</f>
        <v>0</v>
      </c>
      <c r="N126" s="307">
        <f>N55*(1+$BR$126)</f>
        <v>0</v>
      </c>
      <c r="O126" s="257">
        <f>N126-M126</f>
        <v>0</v>
      </c>
      <c r="P126" s="306">
        <f t="shared" ref="P126:P135" si="826">P55</f>
        <v>0</v>
      </c>
      <c r="Q126" s="307">
        <f t="shared" ref="Q126:Q135" si="827">Q55*(1+$BR$126)</f>
        <v>0</v>
      </c>
      <c r="R126" s="257">
        <f>Q126-P126</f>
        <v>0</v>
      </c>
      <c r="S126" s="306">
        <f t="shared" ref="S126:S135" si="828">S55</f>
        <v>0</v>
      </c>
      <c r="T126" s="307">
        <f t="shared" ref="T126:T135" si="829">T55*(1+$BR$126)</f>
        <v>0</v>
      </c>
      <c r="U126" s="257">
        <f>T126-S126</f>
        <v>0</v>
      </c>
      <c r="V126" s="306">
        <f t="shared" ref="V126:V135" si="830">V55</f>
        <v>0</v>
      </c>
      <c r="W126" s="307">
        <f t="shared" ref="W126:W135" si="831">W55*(1+$BR$126)</f>
        <v>0</v>
      </c>
      <c r="X126" s="257">
        <f>W126-V126</f>
        <v>0</v>
      </c>
      <c r="Y126" s="306">
        <f>Y55</f>
        <v>0</v>
      </c>
      <c r="Z126" s="307">
        <f>Z55*(1+$BR$126)</f>
        <v>0</v>
      </c>
      <c r="AA126" s="257">
        <f>Z126-Y126</f>
        <v>0</v>
      </c>
      <c r="AB126" s="306">
        <f>AB55</f>
        <v>0</v>
      </c>
      <c r="AC126" s="307">
        <f>AC55*(1+$BR$126)</f>
        <v>0</v>
      </c>
      <c r="AD126" s="257">
        <f>AC126-AB126</f>
        <v>0</v>
      </c>
      <c r="AE126" s="306">
        <f t="shared" ref="AE126:AE135" si="832">AE55</f>
        <v>0</v>
      </c>
      <c r="AF126" s="307">
        <f t="shared" ref="AF126:AF135" si="833">AF55*(1+$BR$126)</f>
        <v>0</v>
      </c>
      <c r="AG126" s="257">
        <f>AF126-AE126</f>
        <v>0</v>
      </c>
      <c r="AH126" s="306">
        <f t="shared" ref="AH126:AH135" si="834">AH55</f>
        <v>0</v>
      </c>
      <c r="AI126" s="307">
        <f t="shared" ref="AI126:AI135" si="835">AI55*(1+$BR$126)</f>
        <v>0</v>
      </c>
      <c r="AJ126" s="257">
        <f>AI126-AH126</f>
        <v>0</v>
      </c>
      <c r="AK126" s="306">
        <f t="shared" ref="AK126:AK135" si="836">AK55</f>
        <v>0</v>
      </c>
      <c r="AL126" s="307">
        <f t="shared" ref="AL126:AL135" si="837">AL55*(1+$BR$126)</f>
        <v>0</v>
      </c>
      <c r="AM126" s="257">
        <f>AL126-AK126</f>
        <v>0</v>
      </c>
      <c r="AN126" s="306">
        <f>AN55</f>
        <v>0</v>
      </c>
      <c r="AO126" s="307">
        <f>AO55*(1+$BR$126)</f>
        <v>0</v>
      </c>
      <c r="AP126" s="257">
        <f>AO126-AN126</f>
        <v>0</v>
      </c>
      <c r="AQ126" s="306">
        <f>AQ55</f>
        <v>0</v>
      </c>
      <c r="AR126" s="307">
        <f>AR55*(1+$BR$126)</f>
        <v>0</v>
      </c>
      <c r="AS126" s="257">
        <f>AR126-AQ126</f>
        <v>0</v>
      </c>
      <c r="AT126" s="306">
        <f t="shared" ref="AT126:AT135" si="838">AT55</f>
        <v>0</v>
      </c>
      <c r="AU126" s="307">
        <f t="shared" ref="AU126:AU135" si="839">AU55*(1+$BR$126)</f>
        <v>0</v>
      </c>
      <c r="AV126" s="257">
        <f>AU126-AT126</f>
        <v>0</v>
      </c>
      <c r="AW126" s="306">
        <f t="shared" ref="AW126:AW135" si="840">AW55</f>
        <v>0</v>
      </c>
      <c r="AX126" s="307">
        <f t="shared" ref="AX126:AX135" si="841">AX55*(1+$BR$126)</f>
        <v>0</v>
      </c>
      <c r="AY126" s="257">
        <f>AX126-AW126</f>
        <v>0</v>
      </c>
      <c r="AZ126" s="306">
        <f t="shared" ref="AZ126:AZ135" si="842">AZ55</f>
        <v>0</v>
      </c>
      <c r="BA126" s="307">
        <f t="shared" ref="BA126:BA135" si="843">BA55*(1+$BR$126)</f>
        <v>0</v>
      </c>
      <c r="BB126" s="257">
        <f>BA126-AZ126</f>
        <v>0</v>
      </c>
      <c r="BC126" s="306">
        <f>BC55</f>
        <v>0</v>
      </c>
      <c r="BD126" s="307">
        <f>BD55*(1+$BR$126)</f>
        <v>0</v>
      </c>
      <c r="BE126" s="257">
        <f>BD126-BC126</f>
        <v>0</v>
      </c>
      <c r="BF126" s="306">
        <f>BF55</f>
        <v>0</v>
      </c>
      <c r="BG126" s="307">
        <f>BG55*(1+$BR$126)</f>
        <v>0</v>
      </c>
      <c r="BH126" s="257">
        <f>BG126-BF126</f>
        <v>0</v>
      </c>
      <c r="BI126" s="306">
        <f t="shared" ref="BI126:BI135" si="844">BI55</f>
        <v>0</v>
      </c>
      <c r="BJ126" s="307">
        <f t="shared" ref="BJ126:BJ135" si="845">BJ55*(1+$BR$126)</f>
        <v>0</v>
      </c>
      <c r="BK126" s="257">
        <f>BJ126-BI126</f>
        <v>0</v>
      </c>
      <c r="BL126" s="306">
        <f t="shared" ref="BL126:BL135" si="846">BL55</f>
        <v>0</v>
      </c>
      <c r="BM126" s="307">
        <f t="shared" ref="BM126:BM135" si="847">BM55*(1+$BR$126)</f>
        <v>0</v>
      </c>
      <c r="BN126" s="257">
        <f>BM126-BL126</f>
        <v>0</v>
      </c>
      <c r="BO126" s="306">
        <f t="shared" ref="BO126:BO135" si="848">BO55</f>
        <v>0</v>
      </c>
      <c r="BP126" s="307">
        <f t="shared" ref="BP126:BP135" si="849">BP55*(1+$BR$126)</f>
        <v>0</v>
      </c>
      <c r="BQ126" s="257">
        <f>BP126-BO126</f>
        <v>0</v>
      </c>
      <c r="BR126" s="258">
        <f>'Analyza citlivosti - AgendovéIS'!H7</f>
        <v>0</v>
      </c>
    </row>
    <row r="127" spans="1:70">
      <c r="A127" s="801"/>
      <c r="B127" s="803"/>
      <c r="C127" s="290" t="s">
        <v>167</v>
      </c>
      <c r="D127" s="291">
        <f t="shared" si="628"/>
        <v>0</v>
      </c>
      <c r="E127" s="292">
        <f t="shared" si="208"/>
        <v>0</v>
      </c>
      <c r="F127" s="293">
        <f t="shared" si="629"/>
        <v>0</v>
      </c>
      <c r="G127" s="298">
        <f t="shared" ref="G127:G135" si="850">G56</f>
        <v>0</v>
      </c>
      <c r="H127" s="299">
        <f t="shared" si="825"/>
        <v>0</v>
      </c>
      <c r="I127" s="262">
        <f t="shared" ref="I127:I135" si="851">H127-G127</f>
        <v>0</v>
      </c>
      <c r="J127" s="298">
        <f t="shared" ref="J127:J135" si="852">J56</f>
        <v>0</v>
      </c>
      <c r="K127" s="299">
        <f t="shared" ref="K127:K135" si="853">K56*(1+$BR$126)</f>
        <v>0</v>
      </c>
      <c r="L127" s="262">
        <f t="shared" ref="L127:L135" si="854">K127-J127</f>
        <v>0</v>
      </c>
      <c r="M127" s="298">
        <f t="shared" ref="M127:M135" si="855">M56</f>
        <v>0</v>
      </c>
      <c r="N127" s="299">
        <f t="shared" ref="N127:N135" si="856">N56*(1+$BR$126)</f>
        <v>0</v>
      </c>
      <c r="O127" s="262">
        <f t="shared" ref="O127:O135" si="857">N127-M127</f>
        <v>0</v>
      </c>
      <c r="P127" s="298">
        <f t="shared" si="826"/>
        <v>0</v>
      </c>
      <c r="Q127" s="299">
        <f t="shared" si="827"/>
        <v>0</v>
      </c>
      <c r="R127" s="262">
        <f t="shared" ref="R127:R135" si="858">Q127-P127</f>
        <v>0</v>
      </c>
      <c r="S127" s="298">
        <f t="shared" si="828"/>
        <v>0</v>
      </c>
      <c r="T127" s="299">
        <f t="shared" si="829"/>
        <v>0</v>
      </c>
      <c r="U127" s="262">
        <f t="shared" ref="U127:U135" si="859">T127-S127</f>
        <v>0</v>
      </c>
      <c r="V127" s="298">
        <f t="shared" si="830"/>
        <v>0</v>
      </c>
      <c r="W127" s="299">
        <f t="shared" si="831"/>
        <v>0</v>
      </c>
      <c r="X127" s="262">
        <f t="shared" ref="X127:X135" si="860">W127-V127</f>
        <v>0</v>
      </c>
      <c r="Y127" s="298">
        <f t="shared" ref="Y127:Y135" si="861">Y56</f>
        <v>0</v>
      </c>
      <c r="Z127" s="299">
        <f t="shared" ref="Z127:Z135" si="862">Z56*(1+$BR$126)</f>
        <v>0</v>
      </c>
      <c r="AA127" s="262">
        <f t="shared" ref="AA127:AA135" si="863">Z127-Y127</f>
        <v>0</v>
      </c>
      <c r="AB127" s="298">
        <f t="shared" ref="AB127:AB135" si="864">AB56</f>
        <v>0</v>
      </c>
      <c r="AC127" s="299">
        <f t="shared" ref="AC127:AC135" si="865">AC56*(1+$BR$126)</f>
        <v>0</v>
      </c>
      <c r="AD127" s="262">
        <f t="shared" ref="AD127:AD135" si="866">AC127-AB127</f>
        <v>0</v>
      </c>
      <c r="AE127" s="298">
        <f t="shared" si="832"/>
        <v>0</v>
      </c>
      <c r="AF127" s="299">
        <f t="shared" si="833"/>
        <v>0</v>
      </c>
      <c r="AG127" s="262">
        <f t="shared" ref="AG127:AG135" si="867">AF127-AE127</f>
        <v>0</v>
      </c>
      <c r="AH127" s="298">
        <f t="shared" si="834"/>
        <v>0</v>
      </c>
      <c r="AI127" s="299">
        <f t="shared" si="835"/>
        <v>0</v>
      </c>
      <c r="AJ127" s="262">
        <f t="shared" ref="AJ127:AJ135" si="868">AI127-AH127</f>
        <v>0</v>
      </c>
      <c r="AK127" s="298">
        <f t="shared" si="836"/>
        <v>0</v>
      </c>
      <c r="AL127" s="299">
        <f t="shared" si="837"/>
        <v>0</v>
      </c>
      <c r="AM127" s="262">
        <f t="shared" ref="AM127:AM135" si="869">AL127-AK127</f>
        <v>0</v>
      </c>
      <c r="AN127" s="298">
        <f t="shared" ref="AN127:AN135" si="870">AN56</f>
        <v>0</v>
      </c>
      <c r="AO127" s="299">
        <f t="shared" ref="AO127:AO135" si="871">AO56*(1+$BR$126)</f>
        <v>0</v>
      </c>
      <c r="AP127" s="262">
        <f t="shared" ref="AP127:AP135" si="872">AO127-AN127</f>
        <v>0</v>
      </c>
      <c r="AQ127" s="298">
        <f t="shared" ref="AQ127:AQ135" si="873">AQ56</f>
        <v>0</v>
      </c>
      <c r="AR127" s="299">
        <f t="shared" ref="AR127:AR135" si="874">AR56*(1+$BR$126)</f>
        <v>0</v>
      </c>
      <c r="AS127" s="262">
        <f t="shared" ref="AS127:AS135" si="875">AR127-AQ127</f>
        <v>0</v>
      </c>
      <c r="AT127" s="298">
        <f t="shared" si="838"/>
        <v>0</v>
      </c>
      <c r="AU127" s="299">
        <f t="shared" si="839"/>
        <v>0</v>
      </c>
      <c r="AV127" s="262">
        <f t="shared" ref="AV127:AV135" si="876">AU127-AT127</f>
        <v>0</v>
      </c>
      <c r="AW127" s="298">
        <f t="shared" si="840"/>
        <v>0</v>
      </c>
      <c r="AX127" s="299">
        <f t="shared" si="841"/>
        <v>0</v>
      </c>
      <c r="AY127" s="262">
        <f t="shared" ref="AY127:AY135" si="877">AX127-AW127</f>
        <v>0</v>
      </c>
      <c r="AZ127" s="298">
        <f t="shared" si="842"/>
        <v>0</v>
      </c>
      <c r="BA127" s="299">
        <f t="shared" si="843"/>
        <v>0</v>
      </c>
      <c r="BB127" s="262">
        <f t="shared" ref="BB127:BB135" si="878">BA127-AZ127</f>
        <v>0</v>
      </c>
      <c r="BC127" s="298">
        <f t="shared" ref="BC127:BC135" si="879">BC56</f>
        <v>0</v>
      </c>
      <c r="BD127" s="299">
        <f t="shared" ref="BD127:BD135" si="880">BD56*(1+$BR$126)</f>
        <v>0</v>
      </c>
      <c r="BE127" s="262">
        <f t="shared" ref="BE127:BE135" si="881">BD127-BC127</f>
        <v>0</v>
      </c>
      <c r="BF127" s="298">
        <f t="shared" ref="BF127:BF135" si="882">BF56</f>
        <v>0</v>
      </c>
      <c r="BG127" s="299">
        <f t="shared" ref="BG127:BG135" si="883">BG56*(1+$BR$126)</f>
        <v>0</v>
      </c>
      <c r="BH127" s="262">
        <f t="shared" ref="BH127:BH135" si="884">BG127-BF127</f>
        <v>0</v>
      </c>
      <c r="BI127" s="298">
        <f t="shared" si="844"/>
        <v>0</v>
      </c>
      <c r="BJ127" s="299">
        <f t="shared" si="845"/>
        <v>0</v>
      </c>
      <c r="BK127" s="262">
        <f t="shared" ref="BK127:BK135" si="885">BJ127-BI127</f>
        <v>0</v>
      </c>
      <c r="BL127" s="298">
        <f t="shared" si="846"/>
        <v>0</v>
      </c>
      <c r="BM127" s="299">
        <f t="shared" si="847"/>
        <v>0</v>
      </c>
      <c r="BN127" s="262">
        <f t="shared" ref="BN127:BN135" si="886">BM127-BL127</f>
        <v>0</v>
      </c>
      <c r="BO127" s="298">
        <f t="shared" si="848"/>
        <v>0</v>
      </c>
      <c r="BP127" s="299">
        <f t="shared" si="849"/>
        <v>0</v>
      </c>
      <c r="BQ127" s="262">
        <f t="shared" ref="BQ127:BQ135" si="887">BP127-BO127</f>
        <v>0</v>
      </c>
    </row>
    <row r="128" spans="1:70">
      <c r="A128" s="801"/>
      <c r="B128" s="803"/>
      <c r="C128" s="290" t="s">
        <v>168</v>
      </c>
      <c r="D128" s="291">
        <f t="shared" si="628"/>
        <v>0</v>
      </c>
      <c r="E128" s="292">
        <f t="shared" si="208"/>
        <v>0</v>
      </c>
      <c r="F128" s="293">
        <f t="shared" si="629"/>
        <v>0</v>
      </c>
      <c r="G128" s="298">
        <f t="shared" si="850"/>
        <v>0</v>
      </c>
      <c r="H128" s="299">
        <f t="shared" si="825"/>
        <v>0</v>
      </c>
      <c r="I128" s="262">
        <f t="shared" si="851"/>
        <v>0</v>
      </c>
      <c r="J128" s="298">
        <f t="shared" si="852"/>
        <v>0</v>
      </c>
      <c r="K128" s="299">
        <f t="shared" si="853"/>
        <v>0</v>
      </c>
      <c r="L128" s="262">
        <f t="shared" si="854"/>
        <v>0</v>
      </c>
      <c r="M128" s="298">
        <f t="shared" si="855"/>
        <v>0</v>
      </c>
      <c r="N128" s="299">
        <f t="shared" si="856"/>
        <v>0</v>
      </c>
      <c r="O128" s="262">
        <f t="shared" si="857"/>
        <v>0</v>
      </c>
      <c r="P128" s="298">
        <f t="shared" si="826"/>
        <v>0</v>
      </c>
      <c r="Q128" s="299">
        <f t="shared" si="827"/>
        <v>0</v>
      </c>
      <c r="R128" s="262">
        <f t="shared" si="858"/>
        <v>0</v>
      </c>
      <c r="S128" s="298">
        <f t="shared" si="828"/>
        <v>0</v>
      </c>
      <c r="T128" s="299">
        <f t="shared" si="829"/>
        <v>0</v>
      </c>
      <c r="U128" s="262">
        <f t="shared" si="859"/>
        <v>0</v>
      </c>
      <c r="V128" s="298">
        <f t="shared" si="830"/>
        <v>0</v>
      </c>
      <c r="W128" s="299">
        <f t="shared" si="831"/>
        <v>0</v>
      </c>
      <c r="X128" s="262">
        <f t="shared" si="860"/>
        <v>0</v>
      </c>
      <c r="Y128" s="298">
        <f t="shared" si="861"/>
        <v>0</v>
      </c>
      <c r="Z128" s="299">
        <f t="shared" si="862"/>
        <v>0</v>
      </c>
      <c r="AA128" s="262">
        <f t="shared" si="863"/>
        <v>0</v>
      </c>
      <c r="AB128" s="298">
        <f t="shared" si="864"/>
        <v>0</v>
      </c>
      <c r="AC128" s="299">
        <f t="shared" si="865"/>
        <v>0</v>
      </c>
      <c r="AD128" s="262">
        <f t="shared" si="866"/>
        <v>0</v>
      </c>
      <c r="AE128" s="298">
        <f t="shared" si="832"/>
        <v>0</v>
      </c>
      <c r="AF128" s="299">
        <f t="shared" si="833"/>
        <v>0</v>
      </c>
      <c r="AG128" s="262">
        <f t="shared" si="867"/>
        <v>0</v>
      </c>
      <c r="AH128" s="298">
        <f t="shared" si="834"/>
        <v>0</v>
      </c>
      <c r="AI128" s="299">
        <f t="shared" si="835"/>
        <v>0</v>
      </c>
      <c r="AJ128" s="262">
        <f t="shared" si="868"/>
        <v>0</v>
      </c>
      <c r="AK128" s="298">
        <f t="shared" si="836"/>
        <v>0</v>
      </c>
      <c r="AL128" s="299">
        <f t="shared" si="837"/>
        <v>0</v>
      </c>
      <c r="AM128" s="262">
        <f t="shared" si="869"/>
        <v>0</v>
      </c>
      <c r="AN128" s="298">
        <f t="shared" si="870"/>
        <v>0</v>
      </c>
      <c r="AO128" s="299">
        <f t="shared" si="871"/>
        <v>0</v>
      </c>
      <c r="AP128" s="262">
        <f t="shared" si="872"/>
        <v>0</v>
      </c>
      <c r="AQ128" s="298">
        <f t="shared" si="873"/>
        <v>0</v>
      </c>
      <c r="AR128" s="299">
        <f t="shared" si="874"/>
        <v>0</v>
      </c>
      <c r="AS128" s="262">
        <f t="shared" si="875"/>
        <v>0</v>
      </c>
      <c r="AT128" s="298">
        <f t="shared" si="838"/>
        <v>0</v>
      </c>
      <c r="AU128" s="299">
        <f t="shared" si="839"/>
        <v>0</v>
      </c>
      <c r="AV128" s="262">
        <f t="shared" si="876"/>
        <v>0</v>
      </c>
      <c r="AW128" s="298">
        <f t="shared" si="840"/>
        <v>0</v>
      </c>
      <c r="AX128" s="299">
        <f t="shared" si="841"/>
        <v>0</v>
      </c>
      <c r="AY128" s="262">
        <f t="shared" si="877"/>
        <v>0</v>
      </c>
      <c r="AZ128" s="298">
        <f t="shared" si="842"/>
        <v>0</v>
      </c>
      <c r="BA128" s="299">
        <f t="shared" si="843"/>
        <v>0</v>
      </c>
      <c r="BB128" s="262">
        <f t="shared" si="878"/>
        <v>0</v>
      </c>
      <c r="BC128" s="298">
        <f t="shared" si="879"/>
        <v>0</v>
      </c>
      <c r="BD128" s="299">
        <f t="shared" si="880"/>
        <v>0</v>
      </c>
      <c r="BE128" s="262">
        <f t="shared" si="881"/>
        <v>0</v>
      </c>
      <c r="BF128" s="298">
        <f t="shared" si="882"/>
        <v>0</v>
      </c>
      <c r="BG128" s="299">
        <f t="shared" si="883"/>
        <v>0</v>
      </c>
      <c r="BH128" s="262">
        <f t="shared" si="884"/>
        <v>0</v>
      </c>
      <c r="BI128" s="298">
        <f t="shared" si="844"/>
        <v>0</v>
      </c>
      <c r="BJ128" s="299">
        <f t="shared" si="845"/>
        <v>0</v>
      </c>
      <c r="BK128" s="262">
        <f t="shared" si="885"/>
        <v>0</v>
      </c>
      <c r="BL128" s="298">
        <f t="shared" si="846"/>
        <v>0</v>
      </c>
      <c r="BM128" s="299">
        <f t="shared" si="847"/>
        <v>0</v>
      </c>
      <c r="BN128" s="262">
        <f t="shared" si="886"/>
        <v>0</v>
      </c>
      <c r="BO128" s="298">
        <f t="shared" si="848"/>
        <v>0</v>
      </c>
      <c r="BP128" s="299">
        <f t="shared" si="849"/>
        <v>0</v>
      </c>
      <c r="BQ128" s="262">
        <f t="shared" si="887"/>
        <v>0</v>
      </c>
    </row>
    <row r="129" spans="1:69">
      <c r="A129" s="801"/>
      <c r="B129" s="803"/>
      <c r="C129" s="290" t="s">
        <v>169</v>
      </c>
      <c r="D129" s="291">
        <f t="shared" si="628"/>
        <v>0</v>
      </c>
      <c r="E129" s="292">
        <f t="shared" si="208"/>
        <v>0</v>
      </c>
      <c r="F129" s="293">
        <f t="shared" si="629"/>
        <v>0</v>
      </c>
      <c r="G129" s="298">
        <f t="shared" si="850"/>
        <v>0</v>
      </c>
      <c r="H129" s="299">
        <f t="shared" si="825"/>
        <v>0</v>
      </c>
      <c r="I129" s="262">
        <f t="shared" si="851"/>
        <v>0</v>
      </c>
      <c r="J129" s="298">
        <f t="shared" si="852"/>
        <v>0</v>
      </c>
      <c r="K129" s="299">
        <f t="shared" si="853"/>
        <v>0</v>
      </c>
      <c r="L129" s="262">
        <f t="shared" si="854"/>
        <v>0</v>
      </c>
      <c r="M129" s="298">
        <f t="shared" si="855"/>
        <v>0</v>
      </c>
      <c r="N129" s="299">
        <f t="shared" si="856"/>
        <v>0</v>
      </c>
      <c r="O129" s="262">
        <f t="shared" si="857"/>
        <v>0</v>
      </c>
      <c r="P129" s="298">
        <f t="shared" si="826"/>
        <v>0</v>
      </c>
      <c r="Q129" s="299">
        <f t="shared" si="827"/>
        <v>0</v>
      </c>
      <c r="R129" s="262">
        <f t="shared" si="858"/>
        <v>0</v>
      </c>
      <c r="S129" s="298">
        <f t="shared" si="828"/>
        <v>0</v>
      </c>
      <c r="T129" s="299">
        <f t="shared" si="829"/>
        <v>0</v>
      </c>
      <c r="U129" s="262">
        <f t="shared" si="859"/>
        <v>0</v>
      </c>
      <c r="V129" s="298">
        <f t="shared" si="830"/>
        <v>0</v>
      </c>
      <c r="W129" s="299">
        <f t="shared" si="831"/>
        <v>0</v>
      </c>
      <c r="X129" s="262">
        <f t="shared" si="860"/>
        <v>0</v>
      </c>
      <c r="Y129" s="298">
        <f t="shared" si="861"/>
        <v>0</v>
      </c>
      <c r="Z129" s="299">
        <f t="shared" si="862"/>
        <v>0</v>
      </c>
      <c r="AA129" s="262">
        <f t="shared" si="863"/>
        <v>0</v>
      </c>
      <c r="AB129" s="298">
        <f t="shared" si="864"/>
        <v>0</v>
      </c>
      <c r="AC129" s="299">
        <f t="shared" si="865"/>
        <v>0</v>
      </c>
      <c r="AD129" s="262">
        <f t="shared" si="866"/>
        <v>0</v>
      </c>
      <c r="AE129" s="298">
        <f t="shared" si="832"/>
        <v>0</v>
      </c>
      <c r="AF129" s="299">
        <f t="shared" si="833"/>
        <v>0</v>
      </c>
      <c r="AG129" s="262">
        <f t="shared" si="867"/>
        <v>0</v>
      </c>
      <c r="AH129" s="298">
        <f t="shared" si="834"/>
        <v>0</v>
      </c>
      <c r="AI129" s="299">
        <f t="shared" si="835"/>
        <v>0</v>
      </c>
      <c r="AJ129" s="262">
        <f t="shared" si="868"/>
        <v>0</v>
      </c>
      <c r="AK129" s="298">
        <f t="shared" si="836"/>
        <v>0</v>
      </c>
      <c r="AL129" s="299">
        <f t="shared" si="837"/>
        <v>0</v>
      </c>
      <c r="AM129" s="262">
        <f t="shared" si="869"/>
        <v>0</v>
      </c>
      <c r="AN129" s="298">
        <f t="shared" si="870"/>
        <v>0</v>
      </c>
      <c r="AO129" s="299">
        <f t="shared" si="871"/>
        <v>0</v>
      </c>
      <c r="AP129" s="262">
        <f t="shared" si="872"/>
        <v>0</v>
      </c>
      <c r="AQ129" s="298">
        <f t="shared" si="873"/>
        <v>0</v>
      </c>
      <c r="AR129" s="299">
        <f t="shared" si="874"/>
        <v>0</v>
      </c>
      <c r="AS129" s="262">
        <f t="shared" si="875"/>
        <v>0</v>
      </c>
      <c r="AT129" s="298">
        <f t="shared" si="838"/>
        <v>0</v>
      </c>
      <c r="AU129" s="299">
        <f t="shared" si="839"/>
        <v>0</v>
      </c>
      <c r="AV129" s="262">
        <f t="shared" si="876"/>
        <v>0</v>
      </c>
      <c r="AW129" s="298">
        <f t="shared" si="840"/>
        <v>0</v>
      </c>
      <c r="AX129" s="299">
        <f t="shared" si="841"/>
        <v>0</v>
      </c>
      <c r="AY129" s="262">
        <f t="shared" si="877"/>
        <v>0</v>
      </c>
      <c r="AZ129" s="298">
        <f t="shared" si="842"/>
        <v>0</v>
      </c>
      <c r="BA129" s="299">
        <f t="shared" si="843"/>
        <v>0</v>
      </c>
      <c r="BB129" s="262">
        <f t="shared" si="878"/>
        <v>0</v>
      </c>
      <c r="BC129" s="298">
        <f t="shared" si="879"/>
        <v>0</v>
      </c>
      <c r="BD129" s="299">
        <f t="shared" si="880"/>
        <v>0</v>
      </c>
      <c r="BE129" s="262">
        <f t="shared" si="881"/>
        <v>0</v>
      </c>
      <c r="BF129" s="298">
        <f t="shared" si="882"/>
        <v>0</v>
      </c>
      <c r="BG129" s="299">
        <f t="shared" si="883"/>
        <v>0</v>
      </c>
      <c r="BH129" s="262">
        <f t="shared" si="884"/>
        <v>0</v>
      </c>
      <c r="BI129" s="298">
        <f t="shared" si="844"/>
        <v>0</v>
      </c>
      <c r="BJ129" s="299">
        <f t="shared" si="845"/>
        <v>0</v>
      </c>
      <c r="BK129" s="262">
        <f t="shared" si="885"/>
        <v>0</v>
      </c>
      <c r="BL129" s="298">
        <f t="shared" si="846"/>
        <v>0</v>
      </c>
      <c r="BM129" s="299">
        <f t="shared" si="847"/>
        <v>0</v>
      </c>
      <c r="BN129" s="262">
        <f t="shared" si="886"/>
        <v>0</v>
      </c>
      <c r="BO129" s="298">
        <f t="shared" si="848"/>
        <v>0</v>
      </c>
      <c r="BP129" s="299">
        <f t="shared" si="849"/>
        <v>0</v>
      </c>
      <c r="BQ129" s="262">
        <f t="shared" si="887"/>
        <v>0</v>
      </c>
    </row>
    <row r="130" spans="1:69">
      <c r="A130" s="801"/>
      <c r="B130" s="803"/>
      <c r="C130" s="290" t="s">
        <v>170</v>
      </c>
      <c r="D130" s="291">
        <f t="shared" si="628"/>
        <v>0</v>
      </c>
      <c r="E130" s="292">
        <f t="shared" si="208"/>
        <v>0</v>
      </c>
      <c r="F130" s="293">
        <f t="shared" si="629"/>
        <v>0</v>
      </c>
      <c r="G130" s="298">
        <f t="shared" si="850"/>
        <v>0</v>
      </c>
      <c r="H130" s="299">
        <f t="shared" si="825"/>
        <v>0</v>
      </c>
      <c r="I130" s="262">
        <f t="shared" si="851"/>
        <v>0</v>
      </c>
      <c r="J130" s="298">
        <f t="shared" si="852"/>
        <v>0</v>
      </c>
      <c r="K130" s="299">
        <f t="shared" si="853"/>
        <v>0</v>
      </c>
      <c r="L130" s="262">
        <f t="shared" si="854"/>
        <v>0</v>
      </c>
      <c r="M130" s="298">
        <f t="shared" si="855"/>
        <v>0</v>
      </c>
      <c r="N130" s="299">
        <f t="shared" si="856"/>
        <v>0</v>
      </c>
      <c r="O130" s="262">
        <f t="shared" si="857"/>
        <v>0</v>
      </c>
      <c r="P130" s="298">
        <f t="shared" si="826"/>
        <v>0</v>
      </c>
      <c r="Q130" s="299">
        <f t="shared" si="827"/>
        <v>0</v>
      </c>
      <c r="R130" s="262">
        <f t="shared" si="858"/>
        <v>0</v>
      </c>
      <c r="S130" s="298">
        <f t="shared" si="828"/>
        <v>0</v>
      </c>
      <c r="T130" s="299">
        <f t="shared" si="829"/>
        <v>0</v>
      </c>
      <c r="U130" s="262">
        <f t="shared" si="859"/>
        <v>0</v>
      </c>
      <c r="V130" s="298">
        <f t="shared" si="830"/>
        <v>0</v>
      </c>
      <c r="W130" s="299">
        <f t="shared" si="831"/>
        <v>0</v>
      </c>
      <c r="X130" s="262">
        <f t="shared" si="860"/>
        <v>0</v>
      </c>
      <c r="Y130" s="298">
        <f t="shared" si="861"/>
        <v>0</v>
      </c>
      <c r="Z130" s="299">
        <f t="shared" si="862"/>
        <v>0</v>
      </c>
      <c r="AA130" s="262">
        <f t="shared" si="863"/>
        <v>0</v>
      </c>
      <c r="AB130" s="298">
        <f t="shared" si="864"/>
        <v>0</v>
      </c>
      <c r="AC130" s="299">
        <f t="shared" si="865"/>
        <v>0</v>
      </c>
      <c r="AD130" s="262">
        <f t="shared" si="866"/>
        <v>0</v>
      </c>
      <c r="AE130" s="298">
        <f t="shared" si="832"/>
        <v>0</v>
      </c>
      <c r="AF130" s="299">
        <f t="shared" si="833"/>
        <v>0</v>
      </c>
      <c r="AG130" s="262">
        <f t="shared" si="867"/>
        <v>0</v>
      </c>
      <c r="AH130" s="298">
        <f t="shared" si="834"/>
        <v>0</v>
      </c>
      <c r="AI130" s="299">
        <f t="shared" si="835"/>
        <v>0</v>
      </c>
      <c r="AJ130" s="262">
        <f t="shared" si="868"/>
        <v>0</v>
      </c>
      <c r="AK130" s="298">
        <f t="shared" si="836"/>
        <v>0</v>
      </c>
      <c r="AL130" s="299">
        <f t="shared" si="837"/>
        <v>0</v>
      </c>
      <c r="AM130" s="262">
        <f t="shared" si="869"/>
        <v>0</v>
      </c>
      <c r="AN130" s="298">
        <f t="shared" si="870"/>
        <v>0</v>
      </c>
      <c r="AO130" s="299">
        <f t="shared" si="871"/>
        <v>0</v>
      </c>
      <c r="AP130" s="262">
        <f t="shared" si="872"/>
        <v>0</v>
      </c>
      <c r="AQ130" s="298">
        <f t="shared" si="873"/>
        <v>0</v>
      </c>
      <c r="AR130" s="299">
        <f t="shared" si="874"/>
        <v>0</v>
      </c>
      <c r="AS130" s="262">
        <f t="shared" si="875"/>
        <v>0</v>
      </c>
      <c r="AT130" s="298">
        <f t="shared" si="838"/>
        <v>0</v>
      </c>
      <c r="AU130" s="299">
        <f t="shared" si="839"/>
        <v>0</v>
      </c>
      <c r="AV130" s="262">
        <f t="shared" si="876"/>
        <v>0</v>
      </c>
      <c r="AW130" s="298">
        <f t="shared" si="840"/>
        <v>0</v>
      </c>
      <c r="AX130" s="299">
        <f t="shared" si="841"/>
        <v>0</v>
      </c>
      <c r="AY130" s="262">
        <f t="shared" si="877"/>
        <v>0</v>
      </c>
      <c r="AZ130" s="298">
        <f t="shared" si="842"/>
        <v>0</v>
      </c>
      <c r="BA130" s="299">
        <f t="shared" si="843"/>
        <v>0</v>
      </c>
      <c r="BB130" s="262">
        <f t="shared" si="878"/>
        <v>0</v>
      </c>
      <c r="BC130" s="298">
        <f t="shared" si="879"/>
        <v>0</v>
      </c>
      <c r="BD130" s="299">
        <f t="shared" si="880"/>
        <v>0</v>
      </c>
      <c r="BE130" s="262">
        <f t="shared" si="881"/>
        <v>0</v>
      </c>
      <c r="BF130" s="298">
        <f t="shared" si="882"/>
        <v>0</v>
      </c>
      <c r="BG130" s="299">
        <f t="shared" si="883"/>
        <v>0</v>
      </c>
      <c r="BH130" s="262">
        <f t="shared" si="884"/>
        <v>0</v>
      </c>
      <c r="BI130" s="298">
        <f t="shared" si="844"/>
        <v>0</v>
      </c>
      <c r="BJ130" s="299">
        <f t="shared" si="845"/>
        <v>0</v>
      </c>
      <c r="BK130" s="262">
        <f t="shared" si="885"/>
        <v>0</v>
      </c>
      <c r="BL130" s="298">
        <f t="shared" si="846"/>
        <v>0</v>
      </c>
      <c r="BM130" s="299">
        <f t="shared" si="847"/>
        <v>0</v>
      </c>
      <c r="BN130" s="262">
        <f t="shared" si="886"/>
        <v>0</v>
      </c>
      <c r="BO130" s="298">
        <f t="shared" si="848"/>
        <v>0</v>
      </c>
      <c r="BP130" s="299">
        <f t="shared" si="849"/>
        <v>0</v>
      </c>
      <c r="BQ130" s="262">
        <f t="shared" si="887"/>
        <v>0</v>
      </c>
    </row>
    <row r="131" spans="1:69">
      <c r="A131" s="801"/>
      <c r="B131" s="803"/>
      <c r="C131" s="290" t="s">
        <v>171</v>
      </c>
      <c r="D131" s="291">
        <f t="shared" si="628"/>
        <v>0</v>
      </c>
      <c r="E131" s="292">
        <f t="shared" si="208"/>
        <v>0</v>
      </c>
      <c r="F131" s="293">
        <f t="shared" si="629"/>
        <v>0</v>
      </c>
      <c r="G131" s="298">
        <f t="shared" si="850"/>
        <v>0</v>
      </c>
      <c r="H131" s="299">
        <f t="shared" si="825"/>
        <v>0</v>
      </c>
      <c r="I131" s="262">
        <f t="shared" si="851"/>
        <v>0</v>
      </c>
      <c r="J131" s="298">
        <f t="shared" si="852"/>
        <v>0</v>
      </c>
      <c r="K131" s="299">
        <f t="shared" si="853"/>
        <v>0</v>
      </c>
      <c r="L131" s="262">
        <f t="shared" si="854"/>
        <v>0</v>
      </c>
      <c r="M131" s="298">
        <f t="shared" si="855"/>
        <v>0</v>
      </c>
      <c r="N131" s="299">
        <f t="shared" si="856"/>
        <v>0</v>
      </c>
      <c r="O131" s="262">
        <f t="shared" si="857"/>
        <v>0</v>
      </c>
      <c r="P131" s="298">
        <f t="shared" si="826"/>
        <v>0</v>
      </c>
      <c r="Q131" s="299">
        <f t="shared" si="827"/>
        <v>0</v>
      </c>
      <c r="R131" s="262">
        <f t="shared" si="858"/>
        <v>0</v>
      </c>
      <c r="S131" s="298">
        <f t="shared" si="828"/>
        <v>0</v>
      </c>
      <c r="T131" s="299">
        <f t="shared" si="829"/>
        <v>0</v>
      </c>
      <c r="U131" s="262">
        <f t="shared" si="859"/>
        <v>0</v>
      </c>
      <c r="V131" s="298">
        <f t="shared" si="830"/>
        <v>0</v>
      </c>
      <c r="W131" s="299">
        <f t="shared" si="831"/>
        <v>0</v>
      </c>
      <c r="X131" s="262">
        <f t="shared" si="860"/>
        <v>0</v>
      </c>
      <c r="Y131" s="298">
        <f t="shared" si="861"/>
        <v>0</v>
      </c>
      <c r="Z131" s="299">
        <f t="shared" si="862"/>
        <v>0</v>
      </c>
      <c r="AA131" s="262">
        <f t="shared" si="863"/>
        <v>0</v>
      </c>
      <c r="AB131" s="298">
        <f t="shared" si="864"/>
        <v>0</v>
      </c>
      <c r="AC131" s="299">
        <f t="shared" si="865"/>
        <v>0</v>
      </c>
      <c r="AD131" s="262">
        <f t="shared" si="866"/>
        <v>0</v>
      </c>
      <c r="AE131" s="298">
        <f t="shared" si="832"/>
        <v>0</v>
      </c>
      <c r="AF131" s="299">
        <f t="shared" si="833"/>
        <v>0</v>
      </c>
      <c r="AG131" s="262">
        <f t="shared" si="867"/>
        <v>0</v>
      </c>
      <c r="AH131" s="298">
        <f t="shared" si="834"/>
        <v>0</v>
      </c>
      <c r="AI131" s="299">
        <f t="shared" si="835"/>
        <v>0</v>
      </c>
      <c r="AJ131" s="262">
        <f t="shared" si="868"/>
        <v>0</v>
      </c>
      <c r="AK131" s="298">
        <f t="shared" si="836"/>
        <v>0</v>
      </c>
      <c r="AL131" s="299">
        <f t="shared" si="837"/>
        <v>0</v>
      </c>
      <c r="AM131" s="262">
        <f t="shared" si="869"/>
        <v>0</v>
      </c>
      <c r="AN131" s="298">
        <f t="shared" si="870"/>
        <v>0</v>
      </c>
      <c r="AO131" s="299">
        <f t="shared" si="871"/>
        <v>0</v>
      </c>
      <c r="AP131" s="262">
        <f t="shared" si="872"/>
        <v>0</v>
      </c>
      <c r="AQ131" s="298">
        <f t="shared" si="873"/>
        <v>0</v>
      </c>
      <c r="AR131" s="299">
        <f t="shared" si="874"/>
        <v>0</v>
      </c>
      <c r="AS131" s="262">
        <f t="shared" si="875"/>
        <v>0</v>
      </c>
      <c r="AT131" s="298">
        <f t="shared" si="838"/>
        <v>0</v>
      </c>
      <c r="AU131" s="299">
        <f t="shared" si="839"/>
        <v>0</v>
      </c>
      <c r="AV131" s="262">
        <f t="shared" si="876"/>
        <v>0</v>
      </c>
      <c r="AW131" s="298">
        <f t="shared" si="840"/>
        <v>0</v>
      </c>
      <c r="AX131" s="299">
        <f t="shared" si="841"/>
        <v>0</v>
      </c>
      <c r="AY131" s="262">
        <f t="shared" si="877"/>
        <v>0</v>
      </c>
      <c r="AZ131" s="298">
        <f t="shared" si="842"/>
        <v>0</v>
      </c>
      <c r="BA131" s="299">
        <f t="shared" si="843"/>
        <v>0</v>
      </c>
      <c r="BB131" s="262">
        <f t="shared" si="878"/>
        <v>0</v>
      </c>
      <c r="BC131" s="298">
        <f t="shared" si="879"/>
        <v>0</v>
      </c>
      <c r="BD131" s="299">
        <f t="shared" si="880"/>
        <v>0</v>
      </c>
      <c r="BE131" s="262">
        <f t="shared" si="881"/>
        <v>0</v>
      </c>
      <c r="BF131" s="298">
        <f t="shared" si="882"/>
        <v>0</v>
      </c>
      <c r="BG131" s="299">
        <f t="shared" si="883"/>
        <v>0</v>
      </c>
      <c r="BH131" s="262">
        <f t="shared" si="884"/>
        <v>0</v>
      </c>
      <c r="BI131" s="298">
        <f t="shared" si="844"/>
        <v>0</v>
      </c>
      <c r="BJ131" s="299">
        <f t="shared" si="845"/>
        <v>0</v>
      </c>
      <c r="BK131" s="262">
        <f t="shared" si="885"/>
        <v>0</v>
      </c>
      <c r="BL131" s="298">
        <f t="shared" si="846"/>
        <v>0</v>
      </c>
      <c r="BM131" s="299">
        <f t="shared" si="847"/>
        <v>0</v>
      </c>
      <c r="BN131" s="262">
        <f t="shared" si="886"/>
        <v>0</v>
      </c>
      <c r="BO131" s="298">
        <f t="shared" si="848"/>
        <v>0</v>
      </c>
      <c r="BP131" s="299">
        <f t="shared" si="849"/>
        <v>0</v>
      </c>
      <c r="BQ131" s="262">
        <f t="shared" si="887"/>
        <v>0</v>
      </c>
    </row>
    <row r="132" spans="1:69">
      <c r="A132" s="801"/>
      <c r="B132" s="803"/>
      <c r="C132" s="290" t="s">
        <v>172</v>
      </c>
      <c r="D132" s="291">
        <f t="shared" ref="D132:D135" si="888">SUM(G132,J132,M132,P132,S132,V132,Y132,AB132,AE132,AH132,AK132,AN132,AQ132,AT132,AW132,AZ132,AZ132,BC132,BF132,BI132,BL132,BO132)</f>
        <v>0</v>
      </c>
      <c r="E132" s="292">
        <f t="shared" si="208"/>
        <v>0</v>
      </c>
      <c r="F132" s="293">
        <f t="shared" si="629"/>
        <v>0</v>
      </c>
      <c r="G132" s="298">
        <f t="shared" si="850"/>
        <v>0</v>
      </c>
      <c r="H132" s="299">
        <f t="shared" si="825"/>
        <v>0</v>
      </c>
      <c r="I132" s="262">
        <f t="shared" si="851"/>
        <v>0</v>
      </c>
      <c r="J132" s="298">
        <f t="shared" si="852"/>
        <v>0</v>
      </c>
      <c r="K132" s="299">
        <f t="shared" si="853"/>
        <v>0</v>
      </c>
      <c r="L132" s="262">
        <f t="shared" si="854"/>
        <v>0</v>
      </c>
      <c r="M132" s="298">
        <f t="shared" si="855"/>
        <v>0</v>
      </c>
      <c r="N132" s="299">
        <f t="shared" si="856"/>
        <v>0</v>
      </c>
      <c r="O132" s="262">
        <f t="shared" si="857"/>
        <v>0</v>
      </c>
      <c r="P132" s="298">
        <f t="shared" si="826"/>
        <v>0</v>
      </c>
      <c r="Q132" s="299">
        <f t="shared" si="827"/>
        <v>0</v>
      </c>
      <c r="R132" s="262">
        <f t="shared" si="858"/>
        <v>0</v>
      </c>
      <c r="S132" s="298">
        <f t="shared" si="828"/>
        <v>0</v>
      </c>
      <c r="T132" s="299">
        <f t="shared" si="829"/>
        <v>0</v>
      </c>
      <c r="U132" s="262">
        <f t="shared" si="859"/>
        <v>0</v>
      </c>
      <c r="V132" s="298">
        <f t="shared" si="830"/>
        <v>0</v>
      </c>
      <c r="W132" s="299">
        <f t="shared" si="831"/>
        <v>0</v>
      </c>
      <c r="X132" s="262">
        <f t="shared" si="860"/>
        <v>0</v>
      </c>
      <c r="Y132" s="298">
        <f t="shared" si="861"/>
        <v>0</v>
      </c>
      <c r="Z132" s="299">
        <f t="shared" si="862"/>
        <v>0</v>
      </c>
      <c r="AA132" s="262">
        <f t="shared" si="863"/>
        <v>0</v>
      </c>
      <c r="AB132" s="298">
        <f t="shared" si="864"/>
        <v>0</v>
      </c>
      <c r="AC132" s="299">
        <f t="shared" si="865"/>
        <v>0</v>
      </c>
      <c r="AD132" s="262">
        <f t="shared" si="866"/>
        <v>0</v>
      </c>
      <c r="AE132" s="298">
        <f t="shared" si="832"/>
        <v>0</v>
      </c>
      <c r="AF132" s="299">
        <f t="shared" si="833"/>
        <v>0</v>
      </c>
      <c r="AG132" s="262">
        <f t="shared" si="867"/>
        <v>0</v>
      </c>
      <c r="AH132" s="298">
        <f t="shared" si="834"/>
        <v>0</v>
      </c>
      <c r="AI132" s="299">
        <f t="shared" si="835"/>
        <v>0</v>
      </c>
      <c r="AJ132" s="262">
        <f t="shared" si="868"/>
        <v>0</v>
      </c>
      <c r="AK132" s="298">
        <f t="shared" si="836"/>
        <v>0</v>
      </c>
      <c r="AL132" s="299">
        <f t="shared" si="837"/>
        <v>0</v>
      </c>
      <c r="AM132" s="262">
        <f t="shared" si="869"/>
        <v>0</v>
      </c>
      <c r="AN132" s="298">
        <f t="shared" si="870"/>
        <v>0</v>
      </c>
      <c r="AO132" s="299">
        <f t="shared" si="871"/>
        <v>0</v>
      </c>
      <c r="AP132" s="262">
        <f t="shared" si="872"/>
        <v>0</v>
      </c>
      <c r="AQ132" s="298">
        <f t="shared" si="873"/>
        <v>0</v>
      </c>
      <c r="AR132" s="299">
        <f t="shared" si="874"/>
        <v>0</v>
      </c>
      <c r="AS132" s="262">
        <f t="shared" si="875"/>
        <v>0</v>
      </c>
      <c r="AT132" s="298">
        <f t="shared" si="838"/>
        <v>0</v>
      </c>
      <c r="AU132" s="299">
        <f t="shared" si="839"/>
        <v>0</v>
      </c>
      <c r="AV132" s="262">
        <f t="shared" si="876"/>
        <v>0</v>
      </c>
      <c r="AW132" s="298">
        <f t="shared" si="840"/>
        <v>0</v>
      </c>
      <c r="AX132" s="299">
        <f t="shared" si="841"/>
        <v>0</v>
      </c>
      <c r="AY132" s="262">
        <f t="shared" si="877"/>
        <v>0</v>
      </c>
      <c r="AZ132" s="298">
        <f t="shared" si="842"/>
        <v>0</v>
      </c>
      <c r="BA132" s="299">
        <f t="shared" si="843"/>
        <v>0</v>
      </c>
      <c r="BB132" s="262">
        <f t="shared" si="878"/>
        <v>0</v>
      </c>
      <c r="BC132" s="298">
        <f t="shared" si="879"/>
        <v>0</v>
      </c>
      <c r="BD132" s="299">
        <f t="shared" si="880"/>
        <v>0</v>
      </c>
      <c r="BE132" s="262">
        <f t="shared" si="881"/>
        <v>0</v>
      </c>
      <c r="BF132" s="298">
        <f t="shared" si="882"/>
        <v>0</v>
      </c>
      <c r="BG132" s="299">
        <f t="shared" si="883"/>
        <v>0</v>
      </c>
      <c r="BH132" s="262">
        <f t="shared" si="884"/>
        <v>0</v>
      </c>
      <c r="BI132" s="298">
        <f t="shared" si="844"/>
        <v>0</v>
      </c>
      <c r="BJ132" s="299">
        <f t="shared" si="845"/>
        <v>0</v>
      </c>
      <c r="BK132" s="262">
        <f t="shared" si="885"/>
        <v>0</v>
      </c>
      <c r="BL132" s="298">
        <f t="shared" si="846"/>
        <v>0</v>
      </c>
      <c r="BM132" s="299">
        <f t="shared" si="847"/>
        <v>0</v>
      </c>
      <c r="BN132" s="262">
        <f t="shared" si="886"/>
        <v>0</v>
      </c>
      <c r="BO132" s="298">
        <f t="shared" si="848"/>
        <v>0</v>
      </c>
      <c r="BP132" s="299">
        <f t="shared" si="849"/>
        <v>0</v>
      </c>
      <c r="BQ132" s="262">
        <f t="shared" si="887"/>
        <v>0</v>
      </c>
    </row>
    <row r="133" spans="1:69">
      <c r="A133" s="801"/>
      <c r="B133" s="803"/>
      <c r="C133" s="290" t="s">
        <v>173</v>
      </c>
      <c r="D133" s="291">
        <f t="shared" si="888"/>
        <v>0</v>
      </c>
      <c r="E133" s="292">
        <f t="shared" si="208"/>
        <v>0</v>
      </c>
      <c r="F133" s="293">
        <f t="shared" si="629"/>
        <v>0</v>
      </c>
      <c r="G133" s="298">
        <f t="shared" si="850"/>
        <v>0</v>
      </c>
      <c r="H133" s="299">
        <f t="shared" si="825"/>
        <v>0</v>
      </c>
      <c r="I133" s="262">
        <f t="shared" si="851"/>
        <v>0</v>
      </c>
      <c r="J133" s="298">
        <f t="shared" si="852"/>
        <v>0</v>
      </c>
      <c r="K133" s="299">
        <f t="shared" si="853"/>
        <v>0</v>
      </c>
      <c r="L133" s="262">
        <f t="shared" si="854"/>
        <v>0</v>
      </c>
      <c r="M133" s="298">
        <f t="shared" si="855"/>
        <v>0</v>
      </c>
      <c r="N133" s="299">
        <f t="shared" si="856"/>
        <v>0</v>
      </c>
      <c r="O133" s="262">
        <f t="shared" si="857"/>
        <v>0</v>
      </c>
      <c r="P133" s="298">
        <f t="shared" si="826"/>
        <v>0</v>
      </c>
      <c r="Q133" s="299">
        <f t="shared" si="827"/>
        <v>0</v>
      </c>
      <c r="R133" s="262">
        <f t="shared" si="858"/>
        <v>0</v>
      </c>
      <c r="S133" s="298">
        <f t="shared" si="828"/>
        <v>0</v>
      </c>
      <c r="T133" s="299">
        <f t="shared" si="829"/>
        <v>0</v>
      </c>
      <c r="U133" s="262">
        <f t="shared" si="859"/>
        <v>0</v>
      </c>
      <c r="V133" s="298">
        <f t="shared" si="830"/>
        <v>0</v>
      </c>
      <c r="W133" s="299">
        <f t="shared" si="831"/>
        <v>0</v>
      </c>
      <c r="X133" s="262">
        <f t="shared" si="860"/>
        <v>0</v>
      </c>
      <c r="Y133" s="298">
        <f t="shared" si="861"/>
        <v>0</v>
      </c>
      <c r="Z133" s="299">
        <f t="shared" si="862"/>
        <v>0</v>
      </c>
      <c r="AA133" s="262">
        <f t="shared" si="863"/>
        <v>0</v>
      </c>
      <c r="AB133" s="298">
        <f t="shared" si="864"/>
        <v>0</v>
      </c>
      <c r="AC133" s="299">
        <f t="shared" si="865"/>
        <v>0</v>
      </c>
      <c r="AD133" s="262">
        <f t="shared" si="866"/>
        <v>0</v>
      </c>
      <c r="AE133" s="298">
        <f t="shared" si="832"/>
        <v>0</v>
      </c>
      <c r="AF133" s="299">
        <f t="shared" si="833"/>
        <v>0</v>
      </c>
      <c r="AG133" s="262">
        <f t="shared" si="867"/>
        <v>0</v>
      </c>
      <c r="AH133" s="298">
        <f t="shared" si="834"/>
        <v>0</v>
      </c>
      <c r="AI133" s="299">
        <f t="shared" si="835"/>
        <v>0</v>
      </c>
      <c r="AJ133" s="262">
        <f t="shared" si="868"/>
        <v>0</v>
      </c>
      <c r="AK133" s="298">
        <f t="shared" si="836"/>
        <v>0</v>
      </c>
      <c r="AL133" s="299">
        <f t="shared" si="837"/>
        <v>0</v>
      </c>
      <c r="AM133" s="262">
        <f t="shared" si="869"/>
        <v>0</v>
      </c>
      <c r="AN133" s="298">
        <f t="shared" si="870"/>
        <v>0</v>
      </c>
      <c r="AO133" s="299">
        <f t="shared" si="871"/>
        <v>0</v>
      </c>
      <c r="AP133" s="262">
        <f t="shared" si="872"/>
        <v>0</v>
      </c>
      <c r="AQ133" s="298">
        <f t="shared" si="873"/>
        <v>0</v>
      </c>
      <c r="AR133" s="299">
        <f t="shared" si="874"/>
        <v>0</v>
      </c>
      <c r="AS133" s="262">
        <f t="shared" si="875"/>
        <v>0</v>
      </c>
      <c r="AT133" s="298">
        <f t="shared" si="838"/>
        <v>0</v>
      </c>
      <c r="AU133" s="299">
        <f t="shared" si="839"/>
        <v>0</v>
      </c>
      <c r="AV133" s="262">
        <f t="shared" si="876"/>
        <v>0</v>
      </c>
      <c r="AW133" s="298">
        <f t="shared" si="840"/>
        <v>0</v>
      </c>
      <c r="AX133" s="299">
        <f t="shared" si="841"/>
        <v>0</v>
      </c>
      <c r="AY133" s="262">
        <f t="shared" si="877"/>
        <v>0</v>
      </c>
      <c r="AZ133" s="298">
        <f t="shared" si="842"/>
        <v>0</v>
      </c>
      <c r="BA133" s="299">
        <f t="shared" si="843"/>
        <v>0</v>
      </c>
      <c r="BB133" s="262">
        <f t="shared" si="878"/>
        <v>0</v>
      </c>
      <c r="BC133" s="298">
        <f t="shared" si="879"/>
        <v>0</v>
      </c>
      <c r="BD133" s="299">
        <f t="shared" si="880"/>
        <v>0</v>
      </c>
      <c r="BE133" s="262">
        <f t="shared" si="881"/>
        <v>0</v>
      </c>
      <c r="BF133" s="298">
        <f t="shared" si="882"/>
        <v>0</v>
      </c>
      <c r="BG133" s="299">
        <f t="shared" si="883"/>
        <v>0</v>
      </c>
      <c r="BH133" s="262">
        <f t="shared" si="884"/>
        <v>0</v>
      </c>
      <c r="BI133" s="298">
        <f t="shared" si="844"/>
        <v>0</v>
      </c>
      <c r="BJ133" s="299">
        <f t="shared" si="845"/>
        <v>0</v>
      </c>
      <c r="BK133" s="262">
        <f t="shared" si="885"/>
        <v>0</v>
      </c>
      <c r="BL133" s="298">
        <f t="shared" si="846"/>
        <v>0</v>
      </c>
      <c r="BM133" s="299">
        <f t="shared" si="847"/>
        <v>0</v>
      </c>
      <c r="BN133" s="262">
        <f t="shared" si="886"/>
        <v>0</v>
      </c>
      <c r="BO133" s="298">
        <f t="shared" si="848"/>
        <v>0</v>
      </c>
      <c r="BP133" s="299">
        <f t="shared" si="849"/>
        <v>0</v>
      </c>
      <c r="BQ133" s="262">
        <f t="shared" si="887"/>
        <v>0</v>
      </c>
    </row>
    <row r="134" spans="1:69">
      <c r="A134" s="801"/>
      <c r="B134" s="803"/>
      <c r="C134" s="290" t="s">
        <v>174</v>
      </c>
      <c r="D134" s="291">
        <f t="shared" si="888"/>
        <v>0</v>
      </c>
      <c r="E134" s="292">
        <f t="shared" si="208"/>
        <v>0</v>
      </c>
      <c r="F134" s="293">
        <f t="shared" si="629"/>
        <v>0</v>
      </c>
      <c r="G134" s="298">
        <f t="shared" si="850"/>
        <v>0</v>
      </c>
      <c r="H134" s="299">
        <f t="shared" si="825"/>
        <v>0</v>
      </c>
      <c r="I134" s="262">
        <f t="shared" si="851"/>
        <v>0</v>
      </c>
      <c r="J134" s="298">
        <f t="shared" si="852"/>
        <v>0</v>
      </c>
      <c r="K134" s="299">
        <f t="shared" si="853"/>
        <v>0</v>
      </c>
      <c r="L134" s="262">
        <f t="shared" si="854"/>
        <v>0</v>
      </c>
      <c r="M134" s="298">
        <f t="shared" si="855"/>
        <v>0</v>
      </c>
      <c r="N134" s="299">
        <f t="shared" si="856"/>
        <v>0</v>
      </c>
      <c r="O134" s="262">
        <f t="shared" si="857"/>
        <v>0</v>
      </c>
      <c r="P134" s="298">
        <f t="shared" si="826"/>
        <v>0</v>
      </c>
      <c r="Q134" s="299">
        <f t="shared" si="827"/>
        <v>0</v>
      </c>
      <c r="R134" s="262">
        <f t="shared" si="858"/>
        <v>0</v>
      </c>
      <c r="S134" s="298">
        <f t="shared" si="828"/>
        <v>0</v>
      </c>
      <c r="T134" s="299">
        <f t="shared" si="829"/>
        <v>0</v>
      </c>
      <c r="U134" s="262">
        <f t="shared" si="859"/>
        <v>0</v>
      </c>
      <c r="V134" s="298">
        <f t="shared" si="830"/>
        <v>0</v>
      </c>
      <c r="W134" s="299">
        <f t="shared" si="831"/>
        <v>0</v>
      </c>
      <c r="X134" s="262">
        <f t="shared" si="860"/>
        <v>0</v>
      </c>
      <c r="Y134" s="298">
        <f t="shared" si="861"/>
        <v>0</v>
      </c>
      <c r="Z134" s="299">
        <f t="shared" si="862"/>
        <v>0</v>
      </c>
      <c r="AA134" s="262">
        <f t="shared" si="863"/>
        <v>0</v>
      </c>
      <c r="AB134" s="298">
        <f t="shared" si="864"/>
        <v>0</v>
      </c>
      <c r="AC134" s="299">
        <f t="shared" si="865"/>
        <v>0</v>
      </c>
      <c r="AD134" s="262">
        <f t="shared" si="866"/>
        <v>0</v>
      </c>
      <c r="AE134" s="298">
        <f t="shared" si="832"/>
        <v>0</v>
      </c>
      <c r="AF134" s="299">
        <f t="shared" si="833"/>
        <v>0</v>
      </c>
      <c r="AG134" s="262">
        <f t="shared" si="867"/>
        <v>0</v>
      </c>
      <c r="AH134" s="298">
        <f t="shared" si="834"/>
        <v>0</v>
      </c>
      <c r="AI134" s="299">
        <f t="shared" si="835"/>
        <v>0</v>
      </c>
      <c r="AJ134" s="262">
        <f t="shared" si="868"/>
        <v>0</v>
      </c>
      <c r="AK134" s="298">
        <f t="shared" si="836"/>
        <v>0</v>
      </c>
      <c r="AL134" s="299">
        <f t="shared" si="837"/>
        <v>0</v>
      </c>
      <c r="AM134" s="262">
        <f t="shared" si="869"/>
        <v>0</v>
      </c>
      <c r="AN134" s="298">
        <f t="shared" si="870"/>
        <v>0</v>
      </c>
      <c r="AO134" s="299">
        <f t="shared" si="871"/>
        <v>0</v>
      </c>
      <c r="AP134" s="262">
        <f t="shared" si="872"/>
        <v>0</v>
      </c>
      <c r="AQ134" s="298">
        <f t="shared" si="873"/>
        <v>0</v>
      </c>
      <c r="AR134" s="299">
        <f t="shared" si="874"/>
        <v>0</v>
      </c>
      <c r="AS134" s="262">
        <f t="shared" si="875"/>
        <v>0</v>
      </c>
      <c r="AT134" s="298">
        <f t="shared" si="838"/>
        <v>0</v>
      </c>
      <c r="AU134" s="299">
        <f t="shared" si="839"/>
        <v>0</v>
      </c>
      <c r="AV134" s="262">
        <f t="shared" si="876"/>
        <v>0</v>
      </c>
      <c r="AW134" s="298">
        <f t="shared" si="840"/>
        <v>0</v>
      </c>
      <c r="AX134" s="299">
        <f t="shared" si="841"/>
        <v>0</v>
      </c>
      <c r="AY134" s="262">
        <f t="shared" si="877"/>
        <v>0</v>
      </c>
      <c r="AZ134" s="298">
        <f t="shared" si="842"/>
        <v>0</v>
      </c>
      <c r="BA134" s="299">
        <f t="shared" si="843"/>
        <v>0</v>
      </c>
      <c r="BB134" s="262">
        <f t="shared" si="878"/>
        <v>0</v>
      </c>
      <c r="BC134" s="298">
        <f t="shared" si="879"/>
        <v>0</v>
      </c>
      <c r="BD134" s="299">
        <f t="shared" si="880"/>
        <v>0</v>
      </c>
      <c r="BE134" s="262">
        <f t="shared" si="881"/>
        <v>0</v>
      </c>
      <c r="BF134" s="298">
        <f t="shared" si="882"/>
        <v>0</v>
      </c>
      <c r="BG134" s="299">
        <f t="shared" si="883"/>
        <v>0</v>
      </c>
      <c r="BH134" s="262">
        <f t="shared" si="884"/>
        <v>0</v>
      </c>
      <c r="BI134" s="298">
        <f t="shared" si="844"/>
        <v>0</v>
      </c>
      <c r="BJ134" s="299">
        <f t="shared" si="845"/>
        <v>0</v>
      </c>
      <c r="BK134" s="262">
        <f t="shared" si="885"/>
        <v>0</v>
      </c>
      <c r="BL134" s="298">
        <f t="shared" si="846"/>
        <v>0</v>
      </c>
      <c r="BM134" s="299">
        <f t="shared" si="847"/>
        <v>0</v>
      </c>
      <c r="BN134" s="262">
        <f t="shared" si="886"/>
        <v>0</v>
      </c>
      <c r="BO134" s="298">
        <f t="shared" si="848"/>
        <v>0</v>
      </c>
      <c r="BP134" s="299">
        <f t="shared" si="849"/>
        <v>0</v>
      </c>
      <c r="BQ134" s="262">
        <f t="shared" si="887"/>
        <v>0</v>
      </c>
    </row>
    <row r="135" spans="1:69" ht="15" thickBot="1">
      <c r="A135" s="802"/>
      <c r="B135" s="804"/>
      <c r="C135" s="300" t="s">
        <v>175</v>
      </c>
      <c r="D135" s="301">
        <f t="shared" si="888"/>
        <v>0</v>
      </c>
      <c r="E135" s="302">
        <f t="shared" si="208"/>
        <v>0</v>
      </c>
      <c r="F135" s="303">
        <f t="shared" si="629"/>
        <v>0</v>
      </c>
      <c r="G135" s="304">
        <f t="shared" si="850"/>
        <v>0</v>
      </c>
      <c r="H135" s="305">
        <f t="shared" si="825"/>
        <v>0</v>
      </c>
      <c r="I135" s="267">
        <f t="shared" si="851"/>
        <v>0</v>
      </c>
      <c r="J135" s="304">
        <f t="shared" si="852"/>
        <v>0</v>
      </c>
      <c r="K135" s="305">
        <f t="shared" si="853"/>
        <v>0</v>
      </c>
      <c r="L135" s="267">
        <f t="shared" si="854"/>
        <v>0</v>
      </c>
      <c r="M135" s="304">
        <f t="shared" si="855"/>
        <v>0</v>
      </c>
      <c r="N135" s="305">
        <f t="shared" si="856"/>
        <v>0</v>
      </c>
      <c r="O135" s="267">
        <f t="shared" si="857"/>
        <v>0</v>
      </c>
      <c r="P135" s="304">
        <f t="shared" si="826"/>
        <v>0</v>
      </c>
      <c r="Q135" s="305">
        <f t="shared" si="827"/>
        <v>0</v>
      </c>
      <c r="R135" s="267">
        <f t="shared" si="858"/>
        <v>0</v>
      </c>
      <c r="S135" s="304">
        <f t="shared" si="828"/>
        <v>0</v>
      </c>
      <c r="T135" s="305">
        <f t="shared" si="829"/>
        <v>0</v>
      </c>
      <c r="U135" s="267">
        <f t="shared" si="859"/>
        <v>0</v>
      </c>
      <c r="V135" s="304">
        <f t="shared" si="830"/>
        <v>0</v>
      </c>
      <c r="W135" s="305">
        <f t="shared" si="831"/>
        <v>0</v>
      </c>
      <c r="X135" s="267">
        <f t="shared" si="860"/>
        <v>0</v>
      </c>
      <c r="Y135" s="304">
        <f t="shared" si="861"/>
        <v>0</v>
      </c>
      <c r="Z135" s="305">
        <f t="shared" si="862"/>
        <v>0</v>
      </c>
      <c r="AA135" s="267">
        <f t="shared" si="863"/>
        <v>0</v>
      </c>
      <c r="AB135" s="304">
        <f t="shared" si="864"/>
        <v>0</v>
      </c>
      <c r="AC135" s="305">
        <f t="shared" si="865"/>
        <v>0</v>
      </c>
      <c r="AD135" s="267">
        <f t="shared" si="866"/>
        <v>0</v>
      </c>
      <c r="AE135" s="304">
        <f t="shared" si="832"/>
        <v>0</v>
      </c>
      <c r="AF135" s="305">
        <f t="shared" si="833"/>
        <v>0</v>
      </c>
      <c r="AG135" s="267">
        <f t="shared" si="867"/>
        <v>0</v>
      </c>
      <c r="AH135" s="304">
        <f t="shared" si="834"/>
        <v>0</v>
      </c>
      <c r="AI135" s="305">
        <f t="shared" si="835"/>
        <v>0</v>
      </c>
      <c r="AJ135" s="267">
        <f t="shared" si="868"/>
        <v>0</v>
      </c>
      <c r="AK135" s="304">
        <f t="shared" si="836"/>
        <v>0</v>
      </c>
      <c r="AL135" s="305">
        <f t="shared" si="837"/>
        <v>0</v>
      </c>
      <c r="AM135" s="267">
        <f t="shared" si="869"/>
        <v>0</v>
      </c>
      <c r="AN135" s="304">
        <f t="shared" si="870"/>
        <v>0</v>
      </c>
      <c r="AO135" s="305">
        <f t="shared" si="871"/>
        <v>0</v>
      </c>
      <c r="AP135" s="267">
        <f t="shared" si="872"/>
        <v>0</v>
      </c>
      <c r="AQ135" s="304">
        <f t="shared" si="873"/>
        <v>0</v>
      </c>
      <c r="AR135" s="305">
        <f t="shared" si="874"/>
        <v>0</v>
      </c>
      <c r="AS135" s="267">
        <f t="shared" si="875"/>
        <v>0</v>
      </c>
      <c r="AT135" s="304">
        <f t="shared" si="838"/>
        <v>0</v>
      </c>
      <c r="AU135" s="305">
        <f t="shared" si="839"/>
        <v>0</v>
      </c>
      <c r="AV135" s="267">
        <f t="shared" si="876"/>
        <v>0</v>
      </c>
      <c r="AW135" s="304">
        <f t="shared" si="840"/>
        <v>0</v>
      </c>
      <c r="AX135" s="305">
        <f t="shared" si="841"/>
        <v>0</v>
      </c>
      <c r="AY135" s="267">
        <f t="shared" si="877"/>
        <v>0</v>
      </c>
      <c r="AZ135" s="304">
        <f t="shared" si="842"/>
        <v>0</v>
      </c>
      <c r="BA135" s="305">
        <f t="shared" si="843"/>
        <v>0</v>
      </c>
      <c r="BB135" s="267">
        <f t="shared" si="878"/>
        <v>0</v>
      </c>
      <c r="BC135" s="304">
        <f t="shared" si="879"/>
        <v>0</v>
      </c>
      <c r="BD135" s="305">
        <f t="shared" si="880"/>
        <v>0</v>
      </c>
      <c r="BE135" s="267">
        <f t="shared" si="881"/>
        <v>0</v>
      </c>
      <c r="BF135" s="304">
        <f t="shared" si="882"/>
        <v>0</v>
      </c>
      <c r="BG135" s="305">
        <f t="shared" si="883"/>
        <v>0</v>
      </c>
      <c r="BH135" s="267">
        <f t="shared" si="884"/>
        <v>0</v>
      </c>
      <c r="BI135" s="304">
        <f t="shared" si="844"/>
        <v>0</v>
      </c>
      <c r="BJ135" s="305">
        <f t="shared" si="845"/>
        <v>0</v>
      </c>
      <c r="BK135" s="267">
        <f t="shared" si="885"/>
        <v>0</v>
      </c>
      <c r="BL135" s="304">
        <f t="shared" si="846"/>
        <v>0</v>
      </c>
      <c r="BM135" s="305">
        <f t="shared" si="847"/>
        <v>0</v>
      </c>
      <c r="BN135" s="267">
        <f t="shared" si="886"/>
        <v>0</v>
      </c>
      <c r="BO135" s="304">
        <f t="shared" si="848"/>
        <v>0</v>
      </c>
      <c r="BP135" s="305">
        <f t="shared" si="849"/>
        <v>0</v>
      </c>
      <c r="BQ135" s="267">
        <f t="shared" si="887"/>
        <v>0</v>
      </c>
    </row>
  </sheetData>
  <sheetProtection insertColumns="0" deleteColumns="0"/>
  <mergeCells count="71">
    <mergeCell ref="A25:A34"/>
    <mergeCell ref="B25:B34"/>
    <mergeCell ref="A35:A44"/>
    <mergeCell ref="B35:B44"/>
    <mergeCell ref="A55:A64"/>
    <mergeCell ref="B55:B64"/>
    <mergeCell ref="A45:A54"/>
    <mergeCell ref="B45:B54"/>
    <mergeCell ref="A15:A24"/>
    <mergeCell ref="B15:B24"/>
    <mergeCell ref="BI2:BK2"/>
    <mergeCell ref="D2:F2"/>
    <mergeCell ref="G2:I2"/>
    <mergeCell ref="G3:I3"/>
    <mergeCell ref="BI3:BK3"/>
    <mergeCell ref="AT3:AV3"/>
    <mergeCell ref="AW3:AY3"/>
    <mergeCell ref="AZ3:BB3"/>
    <mergeCell ref="J2:L2"/>
    <mergeCell ref="M2:O2"/>
    <mergeCell ref="P2:R2"/>
    <mergeCell ref="S2:U2"/>
    <mergeCell ref="AQ3:AS3"/>
    <mergeCell ref="AB2:AD2"/>
    <mergeCell ref="A66:A75"/>
    <mergeCell ref="B66:B75"/>
    <mergeCell ref="A126:A135"/>
    <mergeCell ref="B126:B135"/>
    <mergeCell ref="A106:A115"/>
    <mergeCell ref="B106:B115"/>
    <mergeCell ref="A86:A95"/>
    <mergeCell ref="B86:B95"/>
    <mergeCell ref="A116:A125"/>
    <mergeCell ref="B116:B125"/>
    <mergeCell ref="A96:A105"/>
    <mergeCell ref="B96:B105"/>
    <mergeCell ref="A76:A85"/>
    <mergeCell ref="B76:B85"/>
    <mergeCell ref="BO3:BQ3"/>
    <mergeCell ref="BL2:BN2"/>
    <mergeCell ref="BO2:BQ2"/>
    <mergeCell ref="BC2:BE2"/>
    <mergeCell ref="BC3:BE3"/>
    <mergeCell ref="BF2:BH2"/>
    <mergeCell ref="BF3:BH3"/>
    <mergeCell ref="A5:A14"/>
    <mergeCell ref="AH2:AJ2"/>
    <mergeCell ref="A1:F1"/>
    <mergeCell ref="BL3:BN3"/>
    <mergeCell ref="AN2:AP2"/>
    <mergeCell ref="AQ2:AS2"/>
    <mergeCell ref="AT2:AV2"/>
    <mergeCell ref="AW2:AY2"/>
    <mergeCell ref="AZ2:BB2"/>
    <mergeCell ref="B5:B14"/>
    <mergeCell ref="AE2:AG2"/>
    <mergeCell ref="AN3:AP3"/>
    <mergeCell ref="G1:BQ1"/>
    <mergeCell ref="AK2:AM2"/>
    <mergeCell ref="J3:L3"/>
    <mergeCell ref="M3:O3"/>
    <mergeCell ref="P3:R3"/>
    <mergeCell ref="S3:U3"/>
    <mergeCell ref="V3:X3"/>
    <mergeCell ref="Y3:AA3"/>
    <mergeCell ref="AB3:AD3"/>
    <mergeCell ref="AE3:AG3"/>
    <mergeCell ref="AH3:AJ3"/>
    <mergeCell ref="AK3:AM3"/>
    <mergeCell ref="V2:X2"/>
    <mergeCell ref="Y2:AA2"/>
  </mergeCells>
  <pageMargins left="0.7" right="0.7" top="0.75" bottom="0.75" header="0.3" footer="0.3"/>
  <pageSetup paperSize="9" scale="33"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árok24">
    <tabColor rgb="FFFFC000"/>
  </sheetPr>
  <dimension ref="A1:O23"/>
  <sheetViews>
    <sheetView topLeftCell="B1" zoomScaleNormal="100" workbookViewId="0">
      <selection activeCell="L7" sqref="L7"/>
    </sheetView>
  </sheetViews>
  <sheetFormatPr defaultColWidth="8.81640625" defaultRowHeight="13"/>
  <cols>
    <col min="1" max="1" width="8.81640625" style="412"/>
    <col min="2" max="2" width="55.81640625" style="412" bestFit="1" customWidth="1"/>
    <col min="3" max="6" width="10.1796875" style="412" customWidth="1"/>
    <col min="7" max="7" width="10" style="412" bestFit="1" customWidth="1"/>
    <col min="8" max="13" width="10.1796875" style="412" customWidth="1"/>
    <col min="14" max="14" width="11" style="412" customWidth="1"/>
    <col min="15" max="15" width="15.26953125" style="412" customWidth="1"/>
    <col min="16" max="16384" width="8.81640625" style="412"/>
  </cols>
  <sheetData>
    <row r="1" spans="1:15">
      <c r="J1" s="511">
        <f>SUM(J3:J23)</f>
        <v>46209</v>
      </c>
      <c r="O1" s="511">
        <f>EXTERNE_POZICIE!K1</f>
        <v>44684</v>
      </c>
    </row>
    <row r="2" spans="1:15" s="494" customFormat="1" ht="39">
      <c r="A2" s="496" t="s">
        <v>226</v>
      </c>
      <c r="B2" s="495" t="s">
        <v>227</v>
      </c>
      <c r="C2" s="495" t="s">
        <v>228</v>
      </c>
      <c r="D2" s="495" t="s">
        <v>229</v>
      </c>
      <c r="E2" s="495" t="s">
        <v>230</v>
      </c>
      <c r="F2" s="495" t="s">
        <v>231</v>
      </c>
      <c r="G2" s="495" t="s">
        <v>232</v>
      </c>
      <c r="H2" s="495" t="s">
        <v>233</v>
      </c>
      <c r="I2" s="495" t="s">
        <v>234</v>
      </c>
      <c r="J2" s="495" t="s">
        <v>235</v>
      </c>
      <c r="K2" s="495" t="s">
        <v>236</v>
      </c>
      <c r="L2" s="495" t="s">
        <v>237</v>
      </c>
      <c r="M2" s="495" t="s">
        <v>238</v>
      </c>
      <c r="N2" s="495" t="s">
        <v>239</v>
      </c>
      <c r="O2" s="495" t="s">
        <v>240</v>
      </c>
    </row>
    <row r="3" spans="1:15">
      <c r="A3" s="417" t="s">
        <v>241</v>
      </c>
      <c r="B3" s="666" t="s">
        <v>242</v>
      </c>
      <c r="C3" s="414">
        <f>IF(ISBLANK(B3),"",TCF_v02!$B$2)</f>
        <v>1.1400000000000001</v>
      </c>
      <c r="D3" s="414">
        <f>IF(ISBLANK(B3),"",ECF_v02!$B$2)</f>
        <v>1.085</v>
      </c>
      <c r="E3" s="414">
        <f>IFERROR(VLOOKUP(B3,UAW_v02!A6:B26,2,0),"")</f>
        <v>33</v>
      </c>
      <c r="F3" s="415">
        <v>30</v>
      </c>
      <c r="G3" s="415" t="s">
        <v>243</v>
      </c>
      <c r="H3" s="414">
        <f>IFERROR(YEAR(VLOOKUP(G3,INKREMENTY!$A$2:$F$21,4,0)),"")</f>
        <v>2028</v>
      </c>
      <c r="I3" s="413">
        <f>IFERROR(VLOOKUP(G3,INKREMENTY!$A$2:$F$21,6,0),"")</f>
        <v>3</v>
      </c>
      <c r="J3" s="641">
        <f>IFERROR(ROUND((SUMIF(KATALOG_POZIADAVKY!$G$3:$G$399,MODULY_CBA!B3,KATALOG_POZIADAVKY!$P$3:$P$399)/8),0),"")</f>
        <v>417</v>
      </c>
      <c r="K3" s="432">
        <v>7.0000000000000007E-2</v>
      </c>
      <c r="L3" s="432">
        <v>0.08</v>
      </c>
      <c r="M3" s="432">
        <v>0.1</v>
      </c>
      <c r="N3" s="510">
        <v>3</v>
      </c>
      <c r="O3" s="510">
        <f>IFERROR($O$1*J3/$J$1,"")</f>
        <v>403.23807050574561</v>
      </c>
    </row>
    <row r="4" spans="1:15">
      <c r="A4" s="417" t="s">
        <v>244</v>
      </c>
      <c r="B4" s="666" t="s">
        <v>245</v>
      </c>
      <c r="C4" s="414">
        <f>IF(ISBLANK(B4),"",TCF_v02!$B$2)</f>
        <v>1.1400000000000001</v>
      </c>
      <c r="D4" s="414">
        <f>IF(ISBLANK(B4),"",ECF_v02!$B$2)</f>
        <v>1.085</v>
      </c>
      <c r="E4" s="414">
        <f>IFERROR(VLOOKUP(B4,UAW_v02!A7:B27,2,0),"")</f>
        <v>33</v>
      </c>
      <c r="F4" s="415">
        <v>30</v>
      </c>
      <c r="G4" s="415" t="s">
        <v>246</v>
      </c>
      <c r="H4" s="414">
        <f>IFERROR(YEAR(VLOOKUP(G4,INKREMENTY!$A$2:$F$21,4,0)),"")</f>
        <v>2029</v>
      </c>
      <c r="I4" s="413">
        <f>IFERROR(VLOOKUP(G4,INKREMENTY!$A$2:$F$21,6,0),"")</f>
        <v>4</v>
      </c>
      <c r="J4" s="641">
        <f>IFERROR(ROUND((SUMIF(KATALOG_POZIADAVKY!$G$3:$G$399,MODULY_CBA!B4,KATALOG_POZIADAVKY!$P$3:$P$399)/8),0),"")</f>
        <v>0</v>
      </c>
      <c r="K4" s="432">
        <v>7.0000000000000007E-2</v>
      </c>
      <c r="L4" s="432">
        <v>0.08</v>
      </c>
      <c r="M4" s="432">
        <v>0.1</v>
      </c>
      <c r="N4" s="510">
        <v>4</v>
      </c>
      <c r="O4" s="510">
        <f t="shared" ref="O4:O23" si="0">IFERROR($O$1*J4/$J$1,"")</f>
        <v>0</v>
      </c>
    </row>
    <row r="5" spans="1:15">
      <c r="A5" s="417" t="s">
        <v>247</v>
      </c>
      <c r="B5" s="666" t="s">
        <v>248</v>
      </c>
      <c r="C5" s="414">
        <f>IF(ISBLANK(B5),"",TCF_v02!$B$2)</f>
        <v>1.1400000000000001</v>
      </c>
      <c r="D5" s="414">
        <f>IF(ISBLANK(B5),"",ECF_v02!$B$2)</f>
        <v>1.085</v>
      </c>
      <c r="E5" s="414">
        <f>IFERROR(VLOOKUP(B5,UAW_v02!A8:B28,2,0),"")</f>
        <v>33</v>
      </c>
      <c r="F5" s="415">
        <v>30</v>
      </c>
      <c r="G5" s="415" t="s">
        <v>249</v>
      </c>
      <c r="H5" s="414">
        <f>IFERROR(YEAR(VLOOKUP(G5,INKREMENTY!$A$2:$F$21,4,0)),"")</f>
        <v>2027</v>
      </c>
      <c r="I5" s="413">
        <f>IFERROR(VLOOKUP(G5,INKREMENTY!$A$2:$F$21,6,0),"")</f>
        <v>1</v>
      </c>
      <c r="J5" s="641">
        <f>IFERROR(ROUND((SUMIF(KATALOG_POZIADAVKY!$G$3:$G$399,MODULY_CBA!B5,KATALOG_POZIADAVKY!$P$3:$P$399)/8),0),"")</f>
        <v>856</v>
      </c>
      <c r="K5" s="432">
        <v>7.0000000000000007E-2</v>
      </c>
      <c r="L5" s="432">
        <v>0.08</v>
      </c>
      <c r="M5" s="432">
        <v>0.1</v>
      </c>
      <c r="N5" s="510">
        <v>2</v>
      </c>
      <c r="O5" s="510">
        <f t="shared" si="0"/>
        <v>827.75009197342513</v>
      </c>
    </row>
    <row r="6" spans="1:15">
      <c r="A6" s="417" t="s">
        <v>250</v>
      </c>
      <c r="B6" s="666" t="s">
        <v>251</v>
      </c>
      <c r="C6" s="414">
        <f>IF(ISBLANK(B6),"",TCF_v02!$B$2)</f>
        <v>1.1400000000000001</v>
      </c>
      <c r="D6" s="414">
        <f>IF(ISBLANK(B6),"",ECF_v02!$B$2)</f>
        <v>1.085</v>
      </c>
      <c r="E6" s="414">
        <f>IFERROR(VLOOKUP(B6,UAW_v02!A9:B29,2,0),"")</f>
        <v>33</v>
      </c>
      <c r="F6" s="415">
        <v>30</v>
      </c>
      <c r="G6" s="415" t="s">
        <v>246</v>
      </c>
      <c r="H6" s="414">
        <f>IFERROR(YEAR(VLOOKUP(G6,INKREMENTY!$A$2:$F$21,4,0)),"")</f>
        <v>2029</v>
      </c>
      <c r="I6" s="413">
        <f>IFERROR(VLOOKUP(G6,INKREMENTY!$A$2:$F$21,6,0),"")</f>
        <v>4</v>
      </c>
      <c r="J6" s="641">
        <f>IFERROR(ROUND((SUMIF(KATALOG_POZIADAVKY!$G$3:$G$399,MODULY_CBA!B6,KATALOG_POZIADAVKY!$P$3:$P$399)/8),0),"")</f>
        <v>2240</v>
      </c>
      <c r="K6" s="432">
        <v>7.0000000000000007E-2</v>
      </c>
      <c r="L6" s="432">
        <v>0.08</v>
      </c>
      <c r="M6" s="432">
        <v>0.1</v>
      </c>
      <c r="N6" s="510">
        <v>4</v>
      </c>
      <c r="O6" s="510">
        <f t="shared" si="0"/>
        <v>2166.075007033262</v>
      </c>
    </row>
    <row r="7" spans="1:15">
      <c r="A7" s="417" t="s">
        <v>252</v>
      </c>
      <c r="B7" s="666" t="s">
        <v>253</v>
      </c>
      <c r="C7" s="414">
        <f>IF(ISBLANK(B7),"",TCF_v02!$B$2)</f>
        <v>1.1400000000000001</v>
      </c>
      <c r="D7" s="414">
        <f>IF(ISBLANK(B7),"",ECF_v02!$B$2)</f>
        <v>1.085</v>
      </c>
      <c r="E7" s="414">
        <f>IFERROR(VLOOKUP(B7,UAW_v02!A10:B30,2,0),"")</f>
        <v>33</v>
      </c>
      <c r="F7" s="415">
        <v>30</v>
      </c>
      <c r="G7" s="415" t="s">
        <v>243</v>
      </c>
      <c r="H7" s="414">
        <f>IFERROR(YEAR(VLOOKUP(G7,INKREMENTY!$A$2:$F$21,4,0)),"")</f>
        <v>2028</v>
      </c>
      <c r="I7" s="413">
        <f>IFERROR(VLOOKUP(G7,INKREMENTY!$A$2:$F$21,6,0),"")</f>
        <v>3</v>
      </c>
      <c r="J7" s="641">
        <f>IFERROR(ROUND((SUMIF(KATALOG_POZIADAVKY!$G$3:$G$399,MODULY_CBA!B7,KATALOG_POZIADAVKY!$P$3:$P$399)/8),0),"")</f>
        <v>1197</v>
      </c>
      <c r="K7" s="432">
        <v>7.0000000000000007E-2</v>
      </c>
      <c r="L7" s="432">
        <v>0.08</v>
      </c>
      <c r="M7" s="432">
        <v>0.1</v>
      </c>
      <c r="N7" s="510">
        <v>3</v>
      </c>
      <c r="O7" s="510">
        <f t="shared" si="0"/>
        <v>1157.4963318833993</v>
      </c>
    </row>
    <row r="8" spans="1:15">
      <c r="A8" s="417" t="s">
        <v>254</v>
      </c>
      <c r="B8" s="666" t="s">
        <v>255</v>
      </c>
      <c r="C8" s="414">
        <f>IF(ISBLANK(B8),"",TCF_v02!$B$2)</f>
        <v>1.1400000000000001</v>
      </c>
      <c r="D8" s="414">
        <f>IF(ISBLANK(B8),"",ECF_v02!$B$2)</f>
        <v>1.085</v>
      </c>
      <c r="E8" s="414">
        <f>IFERROR(VLOOKUP(B8,UAW_v02!A11:B31,2,0),"")</f>
        <v>33</v>
      </c>
      <c r="F8" s="415">
        <v>30</v>
      </c>
      <c r="G8" s="415" t="s">
        <v>249</v>
      </c>
      <c r="H8" s="414">
        <f>IFERROR(YEAR(VLOOKUP(G8,INKREMENTY!$A$2:$F$21,4,0)),"")</f>
        <v>2027</v>
      </c>
      <c r="I8" s="413">
        <f>IFERROR(VLOOKUP(G8,INKREMENTY!$A$2:$F$21,6,0),"")</f>
        <v>1</v>
      </c>
      <c r="J8" s="641">
        <f>IFERROR(ROUND((SUMIF(KATALOG_POZIADAVKY!$G$3:$G$399,MODULY_CBA!B8,KATALOG_POZIADAVKY!$P$3:$P$399)/8),0),"")</f>
        <v>724</v>
      </c>
      <c r="K8" s="432">
        <v>7.0000000000000007E-2</v>
      </c>
      <c r="L8" s="432">
        <v>0.08</v>
      </c>
      <c r="M8" s="432">
        <v>0.1</v>
      </c>
      <c r="N8" s="510">
        <v>2</v>
      </c>
      <c r="O8" s="510">
        <f t="shared" si="0"/>
        <v>700.10638620182215</v>
      </c>
    </row>
    <row r="9" spans="1:15">
      <c r="A9" s="417" t="s">
        <v>256</v>
      </c>
      <c r="B9" s="666" t="s">
        <v>257</v>
      </c>
      <c r="C9" s="414">
        <f>IF(ISBLANK(B9),"",TCF_v02!$B$2)</f>
        <v>1.1400000000000001</v>
      </c>
      <c r="D9" s="414">
        <f>IF(ISBLANK(B9),"",ECF_v02!$B$2)</f>
        <v>1.085</v>
      </c>
      <c r="E9" s="414">
        <f>IFERROR(VLOOKUP(B9,UAW_v02!A12:B32,2,0),"")</f>
        <v>33</v>
      </c>
      <c r="F9" s="415">
        <v>30</v>
      </c>
      <c r="G9" s="415" t="s">
        <v>246</v>
      </c>
      <c r="H9" s="414">
        <f>IFERROR(YEAR(VLOOKUP(G9,INKREMENTY!$A$2:$F$21,4,0)),"")</f>
        <v>2029</v>
      </c>
      <c r="I9" s="413">
        <f>IFERROR(VLOOKUP(G9,INKREMENTY!$A$2:$F$21,6,0),"")</f>
        <v>4</v>
      </c>
      <c r="J9" s="641">
        <f>IFERROR(ROUND((SUMIF(KATALOG_POZIADAVKY!$G$3:$G$399,MODULY_CBA!B9,KATALOG_POZIADAVKY!$P$3:$P$399)/8),0),"")</f>
        <v>1065</v>
      </c>
      <c r="K9" s="432">
        <v>7.0000000000000007E-2</v>
      </c>
      <c r="L9" s="432">
        <v>0.08</v>
      </c>
      <c r="M9" s="432">
        <v>0.1</v>
      </c>
      <c r="N9" s="510">
        <v>4</v>
      </c>
      <c r="O9" s="510">
        <f t="shared" si="0"/>
        <v>1029.8526261117963</v>
      </c>
    </row>
    <row r="10" spans="1:15">
      <c r="A10" s="417" t="s">
        <v>258</v>
      </c>
      <c r="B10" s="666" t="s">
        <v>259</v>
      </c>
      <c r="C10" s="414">
        <f>IF(ISBLANK(B10),"",TCF_v02!$B$2)</f>
        <v>1.1400000000000001</v>
      </c>
      <c r="D10" s="414">
        <f>IF(ISBLANK(B10),"",ECF_v02!$B$2)</f>
        <v>1.085</v>
      </c>
      <c r="E10" s="414">
        <f>IFERROR(VLOOKUP(B10,UAW_v02!A13:B33,2,0),"")</f>
        <v>33</v>
      </c>
      <c r="F10" s="415">
        <v>30</v>
      </c>
      <c r="G10" s="415" t="s">
        <v>243</v>
      </c>
      <c r="H10" s="414">
        <f>IFERROR(YEAR(VLOOKUP(G10,INKREMENTY!$A$2:$F$21,4,0)),"")</f>
        <v>2028</v>
      </c>
      <c r="I10" s="413">
        <f>IFERROR(VLOOKUP(G10,INKREMENTY!$A$2:$F$21,6,0),"")</f>
        <v>3</v>
      </c>
      <c r="J10" s="641">
        <f>IFERROR(ROUND((SUMIF(KATALOG_POZIADAVKY!$G$3:$G$399,MODULY_CBA!B10,KATALOG_POZIADAVKY!$P$3:$P$399)/8),0),"")</f>
        <v>17087</v>
      </c>
      <c r="K10" s="432">
        <v>7.0000000000000007E-2</v>
      </c>
      <c r="L10" s="432">
        <v>0.08</v>
      </c>
      <c r="M10" s="432">
        <v>0.1</v>
      </c>
      <c r="N10" s="510">
        <v>3</v>
      </c>
      <c r="O10" s="510">
        <f t="shared" si="0"/>
        <v>16523.0909130256</v>
      </c>
    </row>
    <row r="11" spans="1:15">
      <c r="A11" s="417" t="s">
        <v>260</v>
      </c>
      <c r="B11" s="666" t="s">
        <v>261</v>
      </c>
      <c r="C11" s="414">
        <f>IF(ISBLANK(B11),"",TCF_v02!$B$2)</f>
        <v>1.1400000000000001</v>
      </c>
      <c r="D11" s="414">
        <f>IF(ISBLANK(B11),"",ECF_v02!$B$2)</f>
        <v>1.085</v>
      </c>
      <c r="E11" s="414">
        <f>IFERROR(VLOOKUP(B11,UAW_v02!A14:B34,2,0),"")</f>
        <v>33</v>
      </c>
      <c r="F11" s="415">
        <v>30</v>
      </c>
      <c r="G11" s="415" t="s">
        <v>246</v>
      </c>
      <c r="H11" s="414">
        <f>IFERROR(YEAR(VLOOKUP(G11,INKREMENTY!$A$2:$F$21,4,0)),"")</f>
        <v>2029</v>
      </c>
      <c r="I11" s="413">
        <f>IFERROR(VLOOKUP(G11,INKREMENTY!$A$2:$F$21,6,0),"")</f>
        <v>4</v>
      </c>
      <c r="J11" s="641">
        <f>IFERROR(ROUND((SUMIF(KATALOG_POZIADAVKY!$G$3:$G$399,MODULY_CBA!B11,KATALOG_POZIADAVKY!$P$3:$P$399)/8),0),"")</f>
        <v>2032</v>
      </c>
      <c r="K11" s="432">
        <v>7.0000000000000007E-2</v>
      </c>
      <c r="L11" s="432">
        <v>0.08</v>
      </c>
      <c r="M11" s="432">
        <v>0.1</v>
      </c>
      <c r="N11" s="510">
        <v>3</v>
      </c>
      <c r="O11" s="510">
        <f t="shared" si="0"/>
        <v>1964.9394706658877</v>
      </c>
    </row>
    <row r="12" spans="1:15">
      <c r="A12" s="417" t="s">
        <v>262</v>
      </c>
      <c r="B12" s="666" t="s">
        <v>263</v>
      </c>
      <c r="C12" s="414">
        <f>IF(ISBLANK(B12),"",TCF_v02!$B$2)</f>
        <v>1.1400000000000001</v>
      </c>
      <c r="D12" s="414">
        <f>IF(ISBLANK(B12),"",ECF_v02!$B$2)</f>
        <v>1.085</v>
      </c>
      <c r="E12" s="414">
        <f>IFERROR(VLOOKUP(B12,UAW_v02!A15:B35,2,0),"")</f>
        <v>33</v>
      </c>
      <c r="F12" s="415">
        <v>30</v>
      </c>
      <c r="G12" s="415" t="s">
        <v>249</v>
      </c>
      <c r="H12" s="414">
        <f>IFERROR(YEAR(VLOOKUP(G12,INKREMENTY!$A$2:$F$21,4,0)),"")</f>
        <v>2027</v>
      </c>
      <c r="I12" s="413">
        <f>IFERROR(VLOOKUP(G12,INKREMENTY!$A$2:$F$21,6,0),"")</f>
        <v>1</v>
      </c>
      <c r="J12" s="641">
        <f>IFERROR(ROUND((SUMIF(KATALOG_POZIADAVKY!$G$3:$G$399,MODULY_CBA!B12,KATALOG_POZIADAVKY!$P$3:$P$399)/8),0),"")</f>
        <v>9795</v>
      </c>
      <c r="K12" s="432">
        <v>7.0000000000000007E-2</v>
      </c>
      <c r="L12" s="432">
        <v>0.08</v>
      </c>
      <c r="M12" s="432">
        <v>0.1</v>
      </c>
      <c r="N12" s="510">
        <v>2</v>
      </c>
      <c r="O12" s="510">
        <f t="shared" si="0"/>
        <v>9471.7431669155358</v>
      </c>
    </row>
    <row r="13" spans="1:15">
      <c r="A13" s="417" t="s">
        <v>264</v>
      </c>
      <c r="B13" s="666" t="s">
        <v>265</v>
      </c>
      <c r="C13" s="414">
        <f>IF(ISBLANK(B13),"",TCF_v02!$B$2)</f>
        <v>1.1400000000000001</v>
      </c>
      <c r="D13" s="414">
        <f>IF(ISBLANK(B13),"",ECF_v02!$B$2)</f>
        <v>1.085</v>
      </c>
      <c r="E13" s="414">
        <f>IFERROR(VLOOKUP(B13,UAW_v02!A16:B36,2,0),"")</f>
        <v>33</v>
      </c>
      <c r="F13" s="415">
        <v>30</v>
      </c>
      <c r="G13" s="415" t="s">
        <v>246</v>
      </c>
      <c r="H13" s="414">
        <f>IFERROR(YEAR(VLOOKUP(G13,INKREMENTY!$A$2:$F$21,4,0)),"")</f>
        <v>2029</v>
      </c>
      <c r="I13" s="413">
        <f>IFERROR(VLOOKUP(G13,INKREMENTY!$A$2:$F$21,6,0),"")</f>
        <v>4</v>
      </c>
      <c r="J13" s="641">
        <f>IFERROR(ROUND((SUMIF(KATALOG_POZIADAVKY!$G$3:$G$399,MODULY_CBA!B13,KATALOG_POZIADAVKY!$P$3:$P$399)/8),0),"")</f>
        <v>1258</v>
      </c>
      <c r="K13" s="432">
        <v>7.0000000000000007E-2</v>
      </c>
      <c r="L13" s="432">
        <v>0.08</v>
      </c>
      <c r="M13" s="432">
        <v>0.1</v>
      </c>
      <c r="N13" s="510">
        <v>4</v>
      </c>
      <c r="O13" s="510">
        <f t="shared" si="0"/>
        <v>1216.4831959142159</v>
      </c>
    </row>
    <row r="14" spans="1:15">
      <c r="A14" s="417" t="s">
        <v>266</v>
      </c>
      <c r="B14" s="666" t="s">
        <v>267</v>
      </c>
      <c r="C14" s="414">
        <f>IF(ISBLANK(B14),"",TCF_v02!$B$2)</f>
        <v>1.1400000000000001</v>
      </c>
      <c r="D14" s="414">
        <f>IF(ISBLANK(B14),"",ECF_v02!$B$2)</f>
        <v>1.085</v>
      </c>
      <c r="E14" s="414">
        <f>IFERROR(VLOOKUP(B14,UAW_v02!A17:B37,2,0),"")</f>
        <v>33</v>
      </c>
      <c r="F14" s="415">
        <v>30</v>
      </c>
      <c r="G14" s="415" t="s">
        <v>243</v>
      </c>
      <c r="H14" s="414">
        <f>IFERROR(YEAR(VLOOKUP(G14,INKREMENTY!$A$2:$F$21,4,0)),"")</f>
        <v>2028</v>
      </c>
      <c r="I14" s="413">
        <f>IFERROR(VLOOKUP(G14,INKREMENTY!$A$2:$F$21,6,0),"")</f>
        <v>3</v>
      </c>
      <c r="J14" s="641">
        <f>IFERROR(ROUND((SUMIF(KATALOG_POZIADAVKY!$G$3:$G$399,MODULY_CBA!B14,KATALOG_POZIADAVKY!$P$3:$P$399)/8),0),"")</f>
        <v>7061</v>
      </c>
      <c r="K14" s="432">
        <v>7.0000000000000007E-2</v>
      </c>
      <c r="L14" s="432">
        <v>0.08</v>
      </c>
      <c r="M14" s="432">
        <v>0.1</v>
      </c>
      <c r="N14" s="510">
        <v>3</v>
      </c>
      <c r="O14" s="510">
        <f t="shared" si="0"/>
        <v>6827.9712610097604</v>
      </c>
    </row>
    <row r="15" spans="1:15">
      <c r="A15" s="417" t="s">
        <v>268</v>
      </c>
      <c r="B15" s="666" t="s">
        <v>269</v>
      </c>
      <c r="C15" s="414">
        <f>IF(ISBLANK(B15),"",TCF_v02!$B$2)</f>
        <v>1.1400000000000001</v>
      </c>
      <c r="D15" s="414">
        <f>IF(ISBLANK(B15),"",ECF_v02!$B$2)</f>
        <v>1.085</v>
      </c>
      <c r="E15" s="414">
        <f>IFERROR(VLOOKUP(B15,UAW_v02!A18:B38,2,0),"")</f>
        <v>33</v>
      </c>
      <c r="F15" s="415">
        <v>30</v>
      </c>
      <c r="G15" s="415" t="s">
        <v>249</v>
      </c>
      <c r="H15" s="414">
        <f>IFERROR(YEAR(VLOOKUP(G15,INKREMENTY!$A$2:$F$21,4,0)),"")</f>
        <v>2027</v>
      </c>
      <c r="I15" s="413">
        <f>IFERROR(VLOOKUP(G15,INKREMENTY!$A$2:$F$21,6,0),"")</f>
        <v>1</v>
      </c>
      <c r="J15" s="641">
        <f>IFERROR(ROUND((SUMIF(KATALOG_POZIADAVKY!$G$3:$G$399,MODULY_CBA!B15,KATALOG_POZIADAVKY!$P$3:$P$399)/8),0),"")</f>
        <v>2477</v>
      </c>
      <c r="K15" s="432">
        <v>7.0000000000000007E-2</v>
      </c>
      <c r="L15" s="432">
        <v>0.08</v>
      </c>
      <c r="M15" s="432">
        <v>0.1</v>
      </c>
      <c r="N15" s="510">
        <v>2</v>
      </c>
      <c r="O15" s="510">
        <f t="shared" si="0"/>
        <v>2395.2534787595491</v>
      </c>
    </row>
    <row r="16" spans="1:15">
      <c r="A16" s="417" t="s">
        <v>270</v>
      </c>
      <c r="B16" s="666" t="s">
        <v>271</v>
      </c>
      <c r="C16" s="414">
        <f>IF(ISBLANK(B16),"",TCF_v02!$B$2)</f>
        <v>1.1400000000000001</v>
      </c>
      <c r="D16" s="414">
        <f>IF(ISBLANK(B16),"",ECF_v02!$B$2)</f>
        <v>1.085</v>
      </c>
      <c r="E16" s="414">
        <f>IFERROR(VLOOKUP(B16,UAW_v02!A19:B39,2,0),"")</f>
        <v>0</v>
      </c>
      <c r="F16" s="415">
        <v>30</v>
      </c>
      <c r="G16" s="415" t="s">
        <v>246</v>
      </c>
      <c r="H16" s="414">
        <f>IFERROR(YEAR(VLOOKUP(G16,INKREMENTY!$A$2:$F$21,4,0)),"")</f>
        <v>2029</v>
      </c>
      <c r="I16" s="413">
        <f>IFERROR(VLOOKUP(G16,INKREMENTY!$A$2:$F$21,6,0),"")</f>
        <v>4</v>
      </c>
      <c r="J16" s="641">
        <f>IFERROR(ROUND((SUMIF(KATALOG_POZIADAVKY!$G$3:$G$399,MODULY_CBA!B16,KATALOG_POZIADAVKY!$P$3:$P$399)/8),0),"")</f>
        <v>0</v>
      </c>
      <c r="K16" s="432">
        <v>0</v>
      </c>
      <c r="L16" s="432">
        <v>0</v>
      </c>
      <c r="M16" s="432">
        <v>0</v>
      </c>
      <c r="N16" s="510">
        <v>1</v>
      </c>
      <c r="O16" s="510">
        <f t="shared" si="0"/>
        <v>0</v>
      </c>
    </row>
    <row r="17" spans="1:15">
      <c r="A17" s="417" t="s">
        <v>272</v>
      </c>
      <c r="B17" s="666"/>
      <c r="C17" s="414" t="str">
        <f>IF(ISBLANK(B17),"",TCF_v02!$B$2)</f>
        <v/>
      </c>
      <c r="D17" s="414" t="str">
        <f>IF(ISBLANK(B17),"",ECF_v02!$B$2)</f>
        <v/>
      </c>
      <c r="E17" s="414" t="str">
        <f>IFERROR(VLOOKUP(B17,UAW_v02!A20:B40,2,0),"")</f>
        <v/>
      </c>
      <c r="F17" s="415"/>
      <c r="G17" s="415"/>
      <c r="H17" s="414" t="str">
        <f>IFERROR(YEAR(VLOOKUP(G17,INKREMENTY!$A$2:$F$21,4,0)),"")</f>
        <v/>
      </c>
      <c r="I17" s="413" t="str">
        <f>IFERROR(VLOOKUP(G17,INKREMENTY!$A$2:$F$21,6,0),"")</f>
        <v/>
      </c>
      <c r="J17" s="641">
        <f>IFERROR(ROUND((SUMIF(KATALOG_POZIADAVKY!$G$3:$G$399,MODULY_CBA!B17,KATALOG_POZIADAVKY!$P$3:$P$399)/8),0),"")</f>
        <v>0</v>
      </c>
      <c r="K17" s="415"/>
      <c r="L17" s="415"/>
      <c r="M17" s="415"/>
      <c r="N17" s="510"/>
      <c r="O17" s="510">
        <f t="shared" si="0"/>
        <v>0</v>
      </c>
    </row>
    <row r="18" spans="1:15">
      <c r="A18" s="417" t="s">
        <v>273</v>
      </c>
      <c r="B18" s="666"/>
      <c r="C18" s="414" t="str">
        <f>IF(ISBLANK(B18),"",TCF_v02!$B$2)</f>
        <v/>
      </c>
      <c r="D18" s="414" t="str">
        <f>IF(ISBLANK(B18),"",ECF_v02!$B$2)</f>
        <v/>
      </c>
      <c r="E18" s="414" t="str">
        <f>IFERROR(VLOOKUP(B18,UAW_v02!A21:B41,2,0),"")</f>
        <v/>
      </c>
      <c r="F18" s="415"/>
      <c r="G18" s="415"/>
      <c r="H18" s="414" t="str">
        <f>IFERROR(YEAR(VLOOKUP(G18,INKREMENTY!$A$2:$F$21,4,0)),"")</f>
        <v/>
      </c>
      <c r="I18" s="413" t="str">
        <f>IFERROR(VLOOKUP(G18,INKREMENTY!$A$2:$F$21,6,0),"")</f>
        <v/>
      </c>
      <c r="J18" s="641">
        <f>IFERROR(ROUND((SUMIF(KATALOG_POZIADAVKY!$G$3:$G$399,MODULY_CBA!B18,KATALOG_POZIADAVKY!$P$3:$P$399)/8),0),"")</f>
        <v>0</v>
      </c>
      <c r="K18" s="415"/>
      <c r="L18" s="415"/>
      <c r="M18" s="415"/>
      <c r="N18" s="510"/>
      <c r="O18" s="510">
        <f t="shared" si="0"/>
        <v>0</v>
      </c>
    </row>
    <row r="19" spans="1:15">
      <c r="A19" s="417" t="s">
        <v>274</v>
      </c>
      <c r="B19" s="666" t="s">
        <v>275</v>
      </c>
      <c r="C19" s="414">
        <f>IF(ISBLANK(B19),"",TCF_v02!$B$2)</f>
        <v>1.1400000000000001</v>
      </c>
      <c r="D19" s="414">
        <f>IF(ISBLANK(B19),"",ECF_v02!$B$2)</f>
        <v>1.085</v>
      </c>
      <c r="E19" s="414">
        <f>IFERROR(VLOOKUP(B19,UAW_v02!A22:B42,2,0),"")</f>
        <v>0</v>
      </c>
      <c r="F19" s="415"/>
      <c r="G19" s="415"/>
      <c r="H19" s="414" t="str">
        <f>IFERROR(YEAR(VLOOKUP(G19,INKREMENTY!$A$2:$F$21,4,0)),"")</f>
        <v/>
      </c>
      <c r="I19" s="413" t="str">
        <f>IFERROR(VLOOKUP(G19,INKREMENTY!$A$2:$F$21,6,0),"")</f>
        <v/>
      </c>
      <c r="J19" s="641">
        <f>IFERROR(ROUND((SUMIF(KATALOG_POZIADAVKY!$G$3:$G$399,MODULY_CBA!B19,KATALOG_POZIADAVKY!$P$3:$P$399)/8),0),"")</f>
        <v>0</v>
      </c>
      <c r="K19" s="415"/>
      <c r="L19" s="415"/>
      <c r="M19" s="415"/>
      <c r="N19" s="510"/>
      <c r="O19" s="510">
        <f t="shared" si="0"/>
        <v>0</v>
      </c>
    </row>
    <row r="20" spans="1:15">
      <c r="A20" s="417" t="s">
        <v>276</v>
      </c>
      <c r="B20" s="666" t="s">
        <v>277</v>
      </c>
      <c r="C20" s="414">
        <f>IF(ISBLANK(B20),"",TCF_v02!$B$2)</f>
        <v>1.1400000000000001</v>
      </c>
      <c r="D20" s="414">
        <f>IF(ISBLANK(B20),"",ECF_v02!$B$2)</f>
        <v>1.085</v>
      </c>
      <c r="E20" s="414">
        <f>IFERROR(VLOOKUP(B20,UAW_v02!A23:B43,2,0),"")</f>
        <v>0</v>
      </c>
      <c r="F20" s="415"/>
      <c r="G20" s="415"/>
      <c r="H20" s="414" t="str">
        <f>IFERROR(YEAR(VLOOKUP(G20,INKREMENTY!$A$2:$F$21,4,0)),"")</f>
        <v/>
      </c>
      <c r="I20" s="413" t="str">
        <f>IFERROR(VLOOKUP(G20,INKREMENTY!$A$2:$F$21,6,0),"")</f>
        <v/>
      </c>
      <c r="J20" s="641">
        <f>IFERROR(ROUND((SUMIF(KATALOG_POZIADAVKY!$G$3:$G$399,MODULY_CBA!B20,KATALOG_POZIADAVKY!$P$3:$P$399)/8),0),"")</f>
        <v>0</v>
      </c>
      <c r="K20" s="415"/>
      <c r="L20" s="415"/>
      <c r="M20" s="415"/>
      <c r="N20" s="510"/>
      <c r="O20" s="510">
        <f t="shared" si="0"/>
        <v>0</v>
      </c>
    </row>
    <row r="21" spans="1:15">
      <c r="A21" s="417" t="s">
        <v>278</v>
      </c>
      <c r="B21" s="666" t="s">
        <v>279</v>
      </c>
      <c r="C21" s="414">
        <f>IF(ISBLANK(B21),"",TCF_v02!$B$2)</f>
        <v>1.1400000000000001</v>
      </c>
      <c r="D21" s="414">
        <f>IF(ISBLANK(B21),"",ECF_v02!$B$2)</f>
        <v>1.085</v>
      </c>
      <c r="E21" s="414">
        <f>IFERROR(VLOOKUP(B21,UAW_v02!A24:B44,2,0),"")</f>
        <v>0</v>
      </c>
      <c r="F21" s="415"/>
      <c r="G21" s="415"/>
      <c r="H21" s="414" t="str">
        <f>IFERROR(YEAR(VLOOKUP(G21,INKREMENTY!$A$2:$F$21,4,0)),"")</f>
        <v/>
      </c>
      <c r="I21" s="413" t="str">
        <f>IFERROR(VLOOKUP(G21,INKREMENTY!$A$2:$F$21,6,0),"")</f>
        <v/>
      </c>
      <c r="J21" s="641">
        <f>IFERROR(ROUND((SUMIF(KATALOG_POZIADAVKY!$G$3:$G$399,MODULY_CBA!B21,KATALOG_POZIADAVKY!$P$3:$P$399)/8),0),"")</f>
        <v>0</v>
      </c>
      <c r="K21" s="415"/>
      <c r="L21" s="415"/>
      <c r="M21" s="415"/>
      <c r="N21" s="510"/>
      <c r="O21" s="510">
        <f t="shared" si="0"/>
        <v>0</v>
      </c>
    </row>
    <row r="22" spans="1:15">
      <c r="A22" s="417" t="s">
        <v>280</v>
      </c>
      <c r="B22" s="666" t="s">
        <v>281</v>
      </c>
      <c r="C22" s="414">
        <f>IF(ISBLANK(B22),"",TCF_v02!$B$2)</f>
        <v>1.1400000000000001</v>
      </c>
      <c r="D22" s="414">
        <f>IF(ISBLANK(B22),"",ECF_v02!$B$2)</f>
        <v>1.085</v>
      </c>
      <c r="E22" s="414">
        <f>IFERROR(VLOOKUP(B22,UAW_v02!A25:B45,2,0),"")</f>
        <v>0</v>
      </c>
      <c r="F22" s="415"/>
      <c r="G22" s="415"/>
      <c r="H22" s="414" t="str">
        <f>IFERROR(YEAR(VLOOKUP(G22,INKREMENTY!$A$2:$F$21,4,0)),"")</f>
        <v/>
      </c>
      <c r="I22" s="413" t="str">
        <f>IFERROR(VLOOKUP(G22,INKREMENTY!$A$2:$F$21,6,0),"")</f>
        <v/>
      </c>
      <c r="J22" s="641">
        <f>IFERROR(ROUND((SUMIF(KATALOG_POZIADAVKY!$G$3:$G$399,MODULY_CBA!B22,KATALOG_POZIADAVKY!$P$3:$P$399)/8),0),"")</f>
        <v>0</v>
      </c>
      <c r="K22" s="415"/>
      <c r="L22" s="415"/>
      <c r="M22" s="415"/>
      <c r="N22" s="510"/>
      <c r="O22" s="510">
        <f t="shared" si="0"/>
        <v>0</v>
      </c>
    </row>
    <row r="23" spans="1:15">
      <c r="A23" s="417" t="s">
        <v>282</v>
      </c>
      <c r="B23" s="416"/>
      <c r="C23" s="414" t="str">
        <f>IF(ISBLANK(B23),"",TCF_v02!$B$2)</f>
        <v/>
      </c>
      <c r="D23" s="414" t="str">
        <f>IF(ISBLANK(B23),"",ECF_v02!$B$2)</f>
        <v/>
      </c>
      <c r="E23" s="414" t="str">
        <f>IFERROR(VLOOKUP(B23,UAW_v02!A26:B46,2,0),"")</f>
        <v/>
      </c>
      <c r="F23" s="415"/>
      <c r="G23" s="415"/>
      <c r="H23" s="414" t="str">
        <f>IFERROR(YEAR(VLOOKUP(G23,INKREMENTY!$A$2:$F$21,4,0)),"")</f>
        <v/>
      </c>
      <c r="I23" s="413" t="str">
        <f>IFERROR(VLOOKUP(G23,INKREMENTY!$A$2:$F$21,6,0),"")</f>
        <v/>
      </c>
      <c r="J23" s="641">
        <f>IFERROR(ROUND((SUMIF(KATALOG_POZIADAVKY!$G$3:$G$399,MODULY_CBA!B23,KATALOG_POZIADAVKY!$P$3:$P$399)/8),0),"")</f>
        <v>0</v>
      </c>
      <c r="K23" s="415"/>
      <c r="L23" s="415"/>
      <c r="M23" s="415"/>
      <c r="N23" s="510"/>
      <c r="O23" s="510">
        <f t="shared" si="0"/>
        <v>0</v>
      </c>
    </row>
  </sheetData>
  <conditionalFormatting sqref="K3:K23">
    <cfRule type="cellIs" dxfId="19" priority="2" operator="greaterThan">
      <formula>0.1</formula>
    </cfRule>
  </conditionalFormatting>
  <conditionalFormatting sqref="L16:M16">
    <cfRule type="cellIs" dxfId="18" priority="1" operator="greaterThan">
      <formula>0.1</formula>
    </cfRule>
  </conditionalFormatting>
  <dataValidations count="2">
    <dataValidation type="list" allowBlank="1" showInputMessage="1" showErrorMessage="1" sqref="G3:G23" xr:uid="{00000000-0002-0000-0800-000000000000}">
      <formula1>Inkrement</formula1>
    </dataValidation>
    <dataValidation type="list" allowBlank="1" showInputMessage="1" showErrorMessage="1" sqref="F3:F23" xr:uid="{00000000-0002-0000-0800-000001000000}">
      <formula1>"15,20,25,30"</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A757EA113336F04487B47B858267A60B" ma:contentTypeVersion="4" ma:contentTypeDescription="Create a new document." ma:contentTypeScope="" ma:versionID="1835c0498455be9b6effc89c2c44b6d2">
  <xsd:schema xmlns:xsd="http://www.w3.org/2001/XMLSchema" xmlns:xs="http://www.w3.org/2001/XMLSchema" xmlns:p="http://schemas.microsoft.com/office/2006/metadata/properties" xmlns:ns2="0010fa83-1e5e-4ed3-b51d-f6630765356b" targetNamespace="http://schemas.microsoft.com/office/2006/metadata/properties" ma:root="true" ma:fieldsID="80f388db64fdfffdb84d2fcf61ebbdd3" ns2:_="">
    <xsd:import namespace="0010fa83-1e5e-4ed3-b51d-f6630765356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010fa83-1e5e-4ed3-b51d-f6630765356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FA87400-E5AF-400B-ACE7-86E6F7A4CFD9}">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38A526FE-23DA-4DE1-A04B-80DB992AB24E}"/>
</file>

<file path=customXml/itemProps3.xml><?xml version="1.0" encoding="utf-8"?>
<ds:datastoreItem xmlns:ds="http://schemas.openxmlformats.org/officeDocument/2006/customXml" ds:itemID="{CA624BB7-B43C-4EE4-BBAF-8FAE687EF3D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35</vt:i4>
      </vt:variant>
      <vt:variant>
        <vt:lpstr>Named Ranges</vt:lpstr>
      </vt:variant>
      <vt:variant>
        <vt:i4>23</vt:i4>
      </vt:variant>
    </vt:vector>
  </HeadingPairs>
  <TitlesOfParts>
    <vt:vector size="58" baseType="lpstr">
      <vt:lpstr>Úvod</vt:lpstr>
      <vt:lpstr>Zoznam_Harkov</vt:lpstr>
      <vt:lpstr>Sumarizácia</vt:lpstr>
      <vt:lpstr>Zdroje Financovania</vt:lpstr>
      <vt:lpstr>CBA - Agendové IS</vt:lpstr>
      <vt:lpstr>Výdavky - Agendové IS</vt:lpstr>
      <vt:lpstr>Prínosy - Agendové IS</vt:lpstr>
      <vt:lpstr>Parametre - Agendové IS</vt:lpstr>
      <vt:lpstr>MODULY_CBA</vt:lpstr>
      <vt:lpstr>Parametre_ECF_TCF</vt:lpstr>
      <vt:lpstr>INKREMENTY</vt:lpstr>
      <vt:lpstr>KATALOG_POZIADAVKY</vt:lpstr>
      <vt:lpstr>TCF_v02</vt:lpstr>
      <vt:lpstr>ECF_v02</vt:lpstr>
      <vt:lpstr>UAW_v02</vt:lpstr>
      <vt:lpstr>EXTERNE_POZICIE</vt:lpstr>
      <vt:lpstr>POZICIE_INTERNE</vt:lpstr>
      <vt:lpstr>Rozpocet - Vyvoj aplikacii</vt:lpstr>
      <vt:lpstr>ISCO_Prevodnik</vt:lpstr>
      <vt:lpstr>Rozpočet - HW a licencie</vt:lpstr>
      <vt:lpstr>Harmonogram</vt:lpstr>
      <vt:lpstr>Hárok2</vt:lpstr>
      <vt:lpstr>Hárok1</vt:lpstr>
      <vt:lpstr>TCO</vt:lpstr>
      <vt:lpstr>TCO AS IS - SW</vt:lpstr>
      <vt:lpstr>TCO AS IS - HW</vt:lpstr>
      <vt:lpstr>TCO TO BE- SW</vt:lpstr>
      <vt:lpstr>TCO TO BE - HW</vt:lpstr>
      <vt:lpstr>Faktory</vt:lpstr>
      <vt:lpstr>Ciselnik</vt:lpstr>
      <vt:lpstr>Procesné mapy</vt:lpstr>
      <vt:lpstr>Procesy - AS IS</vt:lpstr>
      <vt:lpstr>Procesy - TO BE</vt:lpstr>
      <vt:lpstr>Analyza citlivosti - AgendovéIS</vt:lpstr>
      <vt:lpstr>Rozdelenie prínosov</vt:lpstr>
      <vt:lpstr>'TCO TO BE - HW'!_ftn1</vt:lpstr>
      <vt:lpstr>'TCO TO BE - HW'!_ftnref1</vt:lpstr>
      <vt:lpstr>Bezpecnost</vt:lpstr>
      <vt:lpstr>Databazy</vt:lpstr>
      <vt:lpstr>POZICIE_INTERNE!Faza</vt:lpstr>
      <vt:lpstr>Faza</vt:lpstr>
      <vt:lpstr>Ine</vt:lpstr>
      <vt:lpstr>Infrastrutkura</vt:lpstr>
      <vt:lpstr>Inkrement</vt:lpstr>
      <vt:lpstr>IT_analytik</vt:lpstr>
      <vt:lpstr>IT_architekt</vt:lpstr>
      <vt:lpstr>IT_konzultant</vt:lpstr>
      <vt:lpstr>IT_programator</vt:lpstr>
      <vt:lpstr>IT_tester</vt:lpstr>
      <vt:lpstr>Kvalita</vt:lpstr>
      <vt:lpstr>MODULY</vt:lpstr>
      <vt:lpstr>Moduly_2</vt:lpstr>
      <vt:lpstr>POZICIE_INTERNE!Pozicia</vt:lpstr>
      <vt:lpstr>Pozicia</vt:lpstr>
      <vt:lpstr>PozicieKomplet</vt:lpstr>
      <vt:lpstr>Projektovy_manazer</vt:lpstr>
      <vt:lpstr>Projektový_manažér</vt:lpstr>
      <vt:lpstr>Subjekt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2025-11-28T12:57:44Z</dcterms:created>
  <dcterms:modified xsi:type="dcterms:W3CDTF">2026-03-04T15:07:29Z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0x010100A757EA113336F04487B47B858267A60B</vt:lpwstr>
  </property>
</Properties>
</file>