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7ec55e5b485898c3/STATISTICS/JISSU_OPII/Realizacia/"/>
    </mc:Choice>
  </mc:AlternateContent>
  <xr:revisionPtr revIDLastSave="0" documentId="8_{511FF8F4-2A48-4B96-9194-8BA686EBC9DF}" xr6:coauthVersionLast="47" xr6:coauthVersionMax="47" xr10:uidLastSave="{00000000-0000-0000-0000-000000000000}"/>
  <bookViews>
    <workbookView xWindow="-108" yWindow="-108" windowWidth="23256" windowHeight="12456" tabRatio="838" firstSheet="5" activeTab="8" xr2:uid="{00000000-000D-0000-FFFF-FFFF00000000}"/>
  </bookViews>
  <sheets>
    <sheet name="Úvod" sheetId="5" r:id="rId1"/>
    <sheet name="Zoznam hárkov" sheetId="25" r:id="rId2"/>
    <sheet name="Sumarizácia" sheetId="20" r:id="rId3"/>
    <sheet name="CBA - Agendové IS" sheetId="2" r:id="rId4"/>
    <sheet name="Analyza citlivosti - AgendovéIS" sheetId="7" r:id="rId5"/>
    <sheet name="Prínosy - Agendové IS" sheetId="4" r:id="rId6"/>
    <sheet name="Výdavky - Agendové IS" sheetId="6" r:id="rId7"/>
    <sheet name="Parametre - Agendové IS" sheetId="3" r:id="rId8"/>
    <sheet name="TCO" sheetId="11" r:id="rId9"/>
    <sheet name="TCO AS IS - SW" sheetId="17" r:id="rId10"/>
    <sheet name="TCO AS IS - HW" sheetId="18" r:id="rId11"/>
    <sheet name="TCO TO BE- SW" sheetId="9" r:id="rId12"/>
    <sheet name="TCO TO BE - HW" sheetId="10" r:id="rId13"/>
    <sheet name="Indikatívny rozpočet_Prirucka" sheetId="28" r:id="rId14"/>
    <sheet name="Rozpočet - vývoj Aplikácií" sheetId="19" r:id="rId15"/>
    <sheet name="Harmonogram dodavky" sheetId="29" r:id="rId16"/>
    <sheet name="Rozpočet - HW a licencie" sheetId="27" r:id="rId17"/>
    <sheet name="Slepý rozpočet" sheetId="26" r:id="rId18"/>
    <sheet name="Faktory" sheetId="1" r:id="rId19"/>
    <sheet name="Procesné mapy" sheetId="22" r:id="rId20"/>
    <sheet name="Procesy - AS IS" sheetId="23" r:id="rId21"/>
    <sheet name="Procesy - TO BE" sheetId="24" r:id="rId22"/>
    <sheet name="Rozdelenie prínosov" sheetId="14" r:id="rId23"/>
  </sheets>
  <definedNames>
    <definedName name="_xlnm._FilterDatabase" localSheetId="15" hidden="1">'Harmonogram dodavky'!$A$1:$AG$35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1" l="1"/>
  <c r="D9" i="11"/>
  <c r="N57" i="9"/>
  <c r="N56" i="9"/>
  <c r="M57" i="9"/>
  <c r="M56" i="9"/>
  <c r="L57" i="9"/>
  <c r="L56" i="9"/>
  <c r="K57" i="9"/>
  <c r="K56" i="9"/>
  <c r="J57" i="9"/>
  <c r="J56" i="9"/>
  <c r="I57" i="9"/>
  <c r="I56" i="9"/>
  <c r="H57" i="9"/>
  <c r="H56" i="9"/>
  <c r="G57" i="9"/>
  <c r="G56" i="9"/>
  <c r="F57" i="9"/>
  <c r="F56" i="9"/>
  <c r="E65" i="9"/>
  <c r="E64" i="9"/>
  <c r="E63" i="9"/>
  <c r="E62" i="9"/>
  <c r="E61" i="9"/>
  <c r="E60" i="9"/>
  <c r="E59" i="9"/>
  <c r="E58" i="9"/>
  <c r="E45" i="17"/>
  <c r="E44" i="17"/>
  <c r="E43" i="17"/>
  <c r="E42" i="17"/>
  <c r="E41" i="17"/>
  <c r="E40" i="17"/>
  <c r="E39" i="17"/>
  <c r="E38" i="17"/>
  <c r="E37" i="17"/>
  <c r="E36" i="17"/>
  <c r="E55" i="17"/>
  <c r="E54" i="17"/>
  <c r="E53" i="17"/>
  <c r="E52" i="17"/>
  <c r="E51" i="17"/>
  <c r="E50" i="17"/>
  <c r="E49" i="17"/>
  <c r="E48" i="17"/>
  <c r="E47" i="17"/>
  <c r="E46" i="17"/>
  <c r="V65" i="3"/>
  <c r="T73" i="3" s="1"/>
  <c r="V44" i="3"/>
  <c r="M101" i="9"/>
  <c r="L16" i="20"/>
  <c r="K16" i="20"/>
  <c r="AC23" i="20"/>
  <c r="AB12" i="20"/>
  <c r="AA12" i="20"/>
  <c r="Z12" i="20"/>
  <c r="AB8" i="20"/>
  <c r="AA8" i="20"/>
  <c r="X8" i="20"/>
  <c r="K19" i="20"/>
  <c r="L14" i="20"/>
  <c r="K14" i="20"/>
  <c r="J14" i="20"/>
  <c r="I14" i="20"/>
  <c r="H14" i="20"/>
  <c r="G14" i="20"/>
  <c r="F14" i="20"/>
  <c r="E14" i="20"/>
  <c r="K6" i="20"/>
  <c r="K5" i="20"/>
  <c r="L2" i="20"/>
  <c r="AB2" i="20" s="1"/>
  <c r="K2" i="20"/>
  <c r="AA2" i="20"/>
  <c r="J2" i="20"/>
  <c r="Z2" i="20"/>
  <c r="I2" i="20"/>
  <c r="Y2" i="20"/>
  <c r="H2" i="20"/>
  <c r="X2" i="20" s="1"/>
  <c r="G2" i="20"/>
  <c r="W2" i="20"/>
  <c r="F2" i="20"/>
  <c r="V2" i="20"/>
  <c r="E2" i="20"/>
  <c r="U2" i="20"/>
  <c r="D2" i="20"/>
  <c r="T2" i="20" s="1"/>
  <c r="T46" i="3"/>
  <c r="T47" i="3"/>
  <c r="T48" i="3"/>
  <c r="T49" i="3"/>
  <c r="T50" i="3"/>
  <c r="T51" i="3"/>
  <c r="T52" i="3"/>
  <c r="T53" i="3"/>
  <c r="S45" i="3"/>
  <c r="T45" i="3"/>
  <c r="T44" i="3"/>
  <c r="S46" i="3"/>
  <c r="S47" i="3"/>
  <c r="S48" i="3"/>
  <c r="S49" i="3"/>
  <c r="S50" i="3"/>
  <c r="S51" i="3"/>
  <c r="S52" i="3"/>
  <c r="S53" i="3"/>
  <c r="K15" i="20"/>
  <c r="Q37" i="3"/>
  <c r="Q38" i="3"/>
  <c r="Q39" i="3"/>
  <c r="Q40" i="3"/>
  <c r="Q41" i="3"/>
  <c r="Q42" i="3"/>
  <c r="Q43" i="3"/>
  <c r="Q35" i="3"/>
  <c r="Q34" i="3"/>
  <c r="P35" i="3"/>
  <c r="P36" i="3"/>
  <c r="P37" i="3"/>
  <c r="P38" i="3"/>
  <c r="P39" i="3"/>
  <c r="P40" i="3"/>
  <c r="P41" i="3"/>
  <c r="P42" i="3"/>
  <c r="P43" i="3"/>
  <c r="N38" i="3"/>
  <c r="N39" i="3"/>
  <c r="N40" i="3"/>
  <c r="N41" i="3"/>
  <c r="N42" i="3"/>
  <c r="N43" i="3"/>
  <c r="N37" i="3"/>
  <c r="N34" i="3"/>
  <c r="M35" i="3"/>
  <c r="N35" i="3"/>
  <c r="K37" i="3"/>
  <c r="K38" i="3"/>
  <c r="K39" i="3"/>
  <c r="K40" i="3"/>
  <c r="K41" i="3"/>
  <c r="K42" i="3"/>
  <c r="K43" i="3"/>
  <c r="K35" i="3"/>
  <c r="K34" i="3"/>
  <c r="J35" i="3"/>
  <c r="J36" i="3"/>
  <c r="J37" i="3"/>
  <c r="J38" i="3"/>
  <c r="J39" i="3"/>
  <c r="J40" i="3"/>
  <c r="J41" i="3"/>
  <c r="J42" i="3"/>
  <c r="J43" i="3"/>
  <c r="H37" i="3"/>
  <c r="H38" i="3"/>
  <c r="H39" i="3"/>
  <c r="H40" i="3"/>
  <c r="H41" i="3"/>
  <c r="H42" i="3"/>
  <c r="H43" i="3"/>
  <c r="G35" i="3"/>
  <c r="M36" i="3"/>
  <c r="M37" i="3"/>
  <c r="M38" i="3"/>
  <c r="M39" i="3"/>
  <c r="M40" i="3"/>
  <c r="M41" i="3"/>
  <c r="M42" i="3"/>
  <c r="M43" i="3"/>
  <c r="G36" i="3"/>
  <c r="G37" i="3"/>
  <c r="G38" i="3"/>
  <c r="G39" i="3"/>
  <c r="G40" i="3"/>
  <c r="G41" i="3"/>
  <c r="G42" i="3"/>
  <c r="G43" i="3"/>
  <c r="H35" i="3"/>
  <c r="H34" i="3"/>
  <c r="M120" i="9"/>
  <c r="M121" i="9"/>
  <c r="M122" i="9" s="1"/>
  <c r="M123" i="9" s="1"/>
  <c r="M124" i="9" s="1"/>
  <c r="M125" i="9" s="1"/>
  <c r="M126" i="9" s="1"/>
  <c r="M127" i="9" s="1"/>
  <c r="M128" i="9" s="1"/>
  <c r="M119" i="9"/>
  <c r="M100" i="9"/>
  <c r="M99" i="9"/>
  <c r="O90" i="9"/>
  <c r="P90" i="9" s="1"/>
  <c r="E33" i="29"/>
  <c r="E29" i="29"/>
  <c r="E25" i="29"/>
  <c r="E21" i="29"/>
  <c r="E17" i="29"/>
  <c r="E13" i="29"/>
  <c r="E9" i="29"/>
  <c r="E5" i="29"/>
  <c r="E24" i="29"/>
  <c r="E32" i="29"/>
  <c r="E28" i="29"/>
  <c r="E20" i="29"/>
  <c r="E16" i="29"/>
  <c r="E12" i="29"/>
  <c r="E8" i="29"/>
  <c r="E4" i="29"/>
  <c r="E23" i="29"/>
  <c r="E31" i="29"/>
  <c r="E27" i="29"/>
  <c r="E19" i="29"/>
  <c r="E15" i="29"/>
  <c r="E11" i="29"/>
  <c r="E3" i="29"/>
  <c r="E7" i="29"/>
  <c r="E30" i="29"/>
  <c r="E26" i="29"/>
  <c r="E18" i="29"/>
  <c r="E14" i="29"/>
  <c r="E10" i="29"/>
  <c r="E22" i="29"/>
  <c r="E6" i="29"/>
  <c r="E2" i="29"/>
  <c r="H24" i="27"/>
  <c r="H16" i="27"/>
  <c r="H8" i="27"/>
  <c r="G5" i="9"/>
  <c r="F16" i="27"/>
  <c r="H18" i="27"/>
  <c r="F14" i="27"/>
  <c r="G14" i="27"/>
  <c r="F15" i="27"/>
  <c r="G15" i="27"/>
  <c r="H33" i="29"/>
  <c r="AB45" i="19"/>
  <c r="H32" i="29"/>
  <c r="I32" i="29"/>
  <c r="H31" i="29"/>
  <c r="I31" i="29"/>
  <c r="H30" i="29"/>
  <c r="AB42" i="19"/>
  <c r="H29" i="29"/>
  <c r="AB40" i="19"/>
  <c r="H28" i="29"/>
  <c r="I28" i="29"/>
  <c r="H27" i="29"/>
  <c r="AB38" i="19"/>
  <c r="H26" i="29"/>
  <c r="I26" i="29"/>
  <c r="H25" i="29"/>
  <c r="AB35" i="19"/>
  <c r="H24" i="29"/>
  <c r="I24" i="29"/>
  <c r="H23" i="29"/>
  <c r="I23" i="29"/>
  <c r="H22" i="29"/>
  <c r="AB32" i="19"/>
  <c r="H21" i="29"/>
  <c r="AB30" i="19"/>
  <c r="H20" i="29"/>
  <c r="AB29" i="19"/>
  <c r="H19" i="29"/>
  <c r="AB28" i="19"/>
  <c r="H18" i="29"/>
  <c r="AB27" i="19"/>
  <c r="H17" i="29"/>
  <c r="I17" i="29"/>
  <c r="H16" i="29"/>
  <c r="AB24" i="19"/>
  <c r="H15" i="29"/>
  <c r="AB23" i="19"/>
  <c r="H14" i="29"/>
  <c r="AB22" i="19"/>
  <c r="H13" i="29"/>
  <c r="AB20" i="19"/>
  <c r="H12" i="29"/>
  <c r="AB19" i="19"/>
  <c r="H11" i="29"/>
  <c r="AB18" i="19"/>
  <c r="H10" i="29"/>
  <c r="I10" i="29"/>
  <c r="H9" i="29"/>
  <c r="I9" i="29"/>
  <c r="H8" i="29"/>
  <c r="AB14" i="19"/>
  <c r="H7" i="29"/>
  <c r="I7" i="29"/>
  <c r="H6" i="29"/>
  <c r="AB12" i="19"/>
  <c r="H5" i="29"/>
  <c r="AB10" i="19"/>
  <c r="H4" i="29"/>
  <c r="AB9" i="19"/>
  <c r="H3" i="29"/>
  <c r="AB8" i="19"/>
  <c r="H2" i="29"/>
  <c r="I2" i="29"/>
  <c r="AE48" i="19"/>
  <c r="AH48" i="19"/>
  <c r="F7" i="27"/>
  <c r="G7" i="27"/>
  <c r="AI48" i="19"/>
  <c r="AB49" i="19"/>
  <c r="AA49" i="19"/>
  <c r="AI47" i="19"/>
  <c r="AG2" i="19"/>
  <c r="AH47" i="19"/>
  <c r="AH45" i="19"/>
  <c r="AH44" i="19"/>
  <c r="AH43" i="19"/>
  <c r="AH42" i="19"/>
  <c r="E90" i="9"/>
  <c r="E55" i="9"/>
  <c r="E54" i="9"/>
  <c r="E53" i="9"/>
  <c r="K9" i="11" s="1"/>
  <c r="K38" i="11" s="1"/>
  <c r="E52" i="9"/>
  <c r="E51" i="9"/>
  <c r="I9" i="11" s="1"/>
  <c r="I38" i="11" s="1"/>
  <c r="E50" i="9"/>
  <c r="E49" i="9"/>
  <c r="E48" i="9"/>
  <c r="D104" i="3"/>
  <c r="D103" i="3"/>
  <c r="D102" i="3"/>
  <c r="D101" i="3"/>
  <c r="D100" i="3"/>
  <c r="D99" i="3"/>
  <c r="D98" i="3"/>
  <c r="D97" i="3"/>
  <c r="D96" i="3"/>
  <c r="D95" i="3"/>
  <c r="E63" i="3"/>
  <c r="D63" i="3"/>
  <c r="E62" i="3"/>
  <c r="D62" i="3"/>
  <c r="E61" i="3"/>
  <c r="D61" i="3"/>
  <c r="E60" i="3"/>
  <c r="D60" i="3"/>
  <c r="E59" i="3"/>
  <c r="D59" i="3"/>
  <c r="E58" i="3"/>
  <c r="D58" i="3"/>
  <c r="E57" i="3"/>
  <c r="D57" i="3"/>
  <c r="E56" i="3"/>
  <c r="D56" i="3"/>
  <c r="E55" i="3"/>
  <c r="D55" i="3"/>
  <c r="D54" i="3"/>
  <c r="F47" i="3"/>
  <c r="D44" i="3"/>
  <c r="E53" i="3"/>
  <c r="F53" i="3"/>
  <c r="D53" i="3"/>
  <c r="E52" i="3"/>
  <c r="D52" i="3"/>
  <c r="E51" i="3"/>
  <c r="F51" i="3"/>
  <c r="D51" i="3"/>
  <c r="E50" i="3"/>
  <c r="D50" i="3"/>
  <c r="F50" i="3"/>
  <c r="E49" i="3"/>
  <c r="F49" i="3"/>
  <c r="D49" i="3"/>
  <c r="E48" i="3"/>
  <c r="D48" i="3"/>
  <c r="E47" i="3"/>
  <c r="D47" i="3"/>
  <c r="E46" i="3"/>
  <c r="D46" i="3"/>
  <c r="F46" i="3"/>
  <c r="E45" i="3"/>
  <c r="F45" i="3"/>
  <c r="D45" i="3"/>
  <c r="E4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T85" i="3"/>
  <c r="S86" i="3"/>
  <c r="T86" i="3"/>
  <c r="S87" i="3"/>
  <c r="T87" i="3"/>
  <c r="S88" i="3"/>
  <c r="T88" i="3"/>
  <c r="S89" i="3"/>
  <c r="T89" i="3"/>
  <c r="S90" i="3"/>
  <c r="T90" i="3"/>
  <c r="S91" i="3"/>
  <c r="T91" i="3"/>
  <c r="S92" i="3"/>
  <c r="T92" i="3"/>
  <c r="S93" i="3"/>
  <c r="T93" i="3"/>
  <c r="S94" i="3"/>
  <c r="T94" i="3"/>
  <c r="S105" i="3"/>
  <c r="T105" i="3"/>
  <c r="S106" i="3"/>
  <c r="T106" i="3"/>
  <c r="U106" i="3"/>
  <c r="S107" i="3"/>
  <c r="U107" i="3"/>
  <c r="T107" i="3"/>
  <c r="S108" i="3"/>
  <c r="T108" i="3"/>
  <c r="S109" i="3"/>
  <c r="T109" i="3"/>
  <c r="S110" i="3"/>
  <c r="T110" i="3"/>
  <c r="U110" i="3"/>
  <c r="S111" i="3"/>
  <c r="T111" i="3"/>
  <c r="S112" i="3"/>
  <c r="U112" i="3"/>
  <c r="T112" i="3"/>
  <c r="S113" i="3"/>
  <c r="T113" i="3"/>
  <c r="S114" i="3"/>
  <c r="T114" i="3"/>
  <c r="U114" i="3"/>
  <c r="S115" i="3"/>
  <c r="T115" i="3"/>
  <c r="S116" i="3"/>
  <c r="T116" i="3"/>
  <c r="S117" i="3"/>
  <c r="T117" i="3"/>
  <c r="U117" i="3"/>
  <c r="S118" i="3"/>
  <c r="T118" i="3"/>
  <c r="U118" i="3"/>
  <c r="S119" i="3"/>
  <c r="T119" i="3"/>
  <c r="S120" i="3"/>
  <c r="T120" i="3"/>
  <c r="U120" i="3"/>
  <c r="S121" i="3"/>
  <c r="T121" i="3"/>
  <c r="S122" i="3"/>
  <c r="T122" i="3"/>
  <c r="S123" i="3"/>
  <c r="T123" i="3"/>
  <c r="U123" i="3"/>
  <c r="S124" i="3"/>
  <c r="T124" i="3"/>
  <c r="U124" i="3"/>
  <c r="S125" i="3"/>
  <c r="S126" i="3"/>
  <c r="S127" i="3"/>
  <c r="S128" i="3"/>
  <c r="S129" i="3"/>
  <c r="S130" i="3"/>
  <c r="S131" i="3"/>
  <c r="S132" i="3"/>
  <c r="S133" i="3"/>
  <c r="S134" i="3"/>
  <c r="U109" i="3"/>
  <c r="U121" i="3"/>
  <c r="U105" i="3"/>
  <c r="M134" i="3"/>
  <c r="M133" i="3"/>
  <c r="M132" i="3"/>
  <c r="D132" i="3"/>
  <c r="K11" i="4"/>
  <c r="M131" i="3"/>
  <c r="D131" i="3"/>
  <c r="K10" i="4"/>
  <c r="M130" i="3"/>
  <c r="M129" i="3"/>
  <c r="M128" i="3"/>
  <c r="M127" i="3"/>
  <c r="M126" i="3"/>
  <c r="M125" i="3"/>
  <c r="N124" i="3"/>
  <c r="M124" i="3"/>
  <c r="N123" i="3"/>
  <c r="M123" i="3"/>
  <c r="N122" i="3"/>
  <c r="M122" i="3"/>
  <c r="N121" i="3"/>
  <c r="M121" i="3"/>
  <c r="N120" i="3"/>
  <c r="M120" i="3"/>
  <c r="N119" i="3"/>
  <c r="M119" i="3"/>
  <c r="N118" i="3"/>
  <c r="M118" i="3"/>
  <c r="N117" i="3"/>
  <c r="M117" i="3"/>
  <c r="N116" i="3"/>
  <c r="O116" i="3"/>
  <c r="M116" i="3"/>
  <c r="N115" i="3"/>
  <c r="M115" i="3"/>
  <c r="N114" i="3"/>
  <c r="M114" i="3"/>
  <c r="N113" i="3"/>
  <c r="M113" i="3"/>
  <c r="N112" i="3"/>
  <c r="M112" i="3"/>
  <c r="N111" i="3"/>
  <c r="M111" i="3"/>
  <c r="N110" i="3"/>
  <c r="M110" i="3"/>
  <c r="N109" i="3"/>
  <c r="M109" i="3"/>
  <c r="N108" i="3"/>
  <c r="M108" i="3"/>
  <c r="N107" i="3"/>
  <c r="M107" i="3"/>
  <c r="N106" i="3"/>
  <c r="M106" i="3"/>
  <c r="N105" i="3"/>
  <c r="M105" i="3"/>
  <c r="N94" i="3"/>
  <c r="M94" i="3"/>
  <c r="N93" i="3"/>
  <c r="M93" i="3"/>
  <c r="N92" i="3"/>
  <c r="M92" i="3"/>
  <c r="N91" i="3"/>
  <c r="O91" i="3"/>
  <c r="M91" i="3"/>
  <c r="N90" i="3"/>
  <c r="M90" i="3"/>
  <c r="O90" i="3"/>
  <c r="N89" i="3"/>
  <c r="M89" i="3"/>
  <c r="N88" i="3"/>
  <c r="M88" i="3"/>
  <c r="N87" i="3"/>
  <c r="M87" i="3"/>
  <c r="N86" i="3"/>
  <c r="M86" i="3"/>
  <c r="N85" i="3"/>
  <c r="O85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P134" i="3"/>
  <c r="P133" i="3"/>
  <c r="P132" i="3"/>
  <c r="P131" i="3"/>
  <c r="P130" i="3"/>
  <c r="P129" i="3"/>
  <c r="D129" i="3"/>
  <c r="K8" i="4"/>
  <c r="P128" i="3"/>
  <c r="P127" i="3"/>
  <c r="P126" i="3"/>
  <c r="P125" i="3"/>
  <c r="Q124" i="3"/>
  <c r="P124" i="3"/>
  <c r="Q123" i="3"/>
  <c r="P123" i="3"/>
  <c r="Q122" i="3"/>
  <c r="P122" i="3"/>
  <c r="Q121" i="3"/>
  <c r="P121" i="3"/>
  <c r="Q120" i="3"/>
  <c r="R120" i="3"/>
  <c r="P120" i="3"/>
  <c r="Q119" i="3"/>
  <c r="R119" i="3"/>
  <c r="P119" i="3"/>
  <c r="Q118" i="3"/>
  <c r="R118" i="3"/>
  <c r="P118" i="3"/>
  <c r="Q117" i="3"/>
  <c r="P117" i="3"/>
  <c r="R117" i="3"/>
  <c r="Q116" i="3"/>
  <c r="R116" i="3"/>
  <c r="P116" i="3"/>
  <c r="Q115" i="3"/>
  <c r="R115" i="3"/>
  <c r="P115" i="3"/>
  <c r="Q114" i="3"/>
  <c r="P114" i="3"/>
  <c r="Q113" i="3"/>
  <c r="P113" i="3"/>
  <c r="Q112" i="3"/>
  <c r="R112" i="3"/>
  <c r="P112" i="3"/>
  <c r="Q111" i="3"/>
  <c r="R111" i="3"/>
  <c r="P111" i="3"/>
  <c r="Q110" i="3"/>
  <c r="P110" i="3"/>
  <c r="Q109" i="3"/>
  <c r="P109" i="3"/>
  <c r="Q108" i="3"/>
  <c r="R108" i="3"/>
  <c r="P108" i="3"/>
  <c r="Q107" i="3"/>
  <c r="R107" i="3"/>
  <c r="P107" i="3"/>
  <c r="Q106" i="3"/>
  <c r="P106" i="3"/>
  <c r="Q105" i="3"/>
  <c r="P105" i="3"/>
  <c r="Q94" i="3"/>
  <c r="P94" i="3"/>
  <c r="Q93" i="3"/>
  <c r="P93" i="3"/>
  <c r="Q92" i="3"/>
  <c r="P92" i="3"/>
  <c r="Q91" i="3"/>
  <c r="P91" i="3"/>
  <c r="Q90" i="3"/>
  <c r="P90" i="3"/>
  <c r="Q89" i="3"/>
  <c r="P89" i="3"/>
  <c r="Q88" i="3"/>
  <c r="R88" i="3"/>
  <c r="P88" i="3"/>
  <c r="Q87" i="3"/>
  <c r="P87" i="3"/>
  <c r="Q86" i="3"/>
  <c r="P86" i="3"/>
  <c r="Q85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R63" i="3"/>
  <c r="R62" i="3"/>
  <c r="R61" i="3"/>
  <c r="R60" i="3"/>
  <c r="F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R7" i="3"/>
  <c r="R6" i="3"/>
  <c r="R5" i="3"/>
  <c r="R4" i="3"/>
  <c r="O110" i="3"/>
  <c r="R105" i="3"/>
  <c r="O92" i="3"/>
  <c r="O106" i="3"/>
  <c r="O122" i="3"/>
  <c r="O105" i="3"/>
  <c r="O111" i="3"/>
  <c r="O113" i="3"/>
  <c r="O117" i="3"/>
  <c r="O121" i="3"/>
  <c r="R109" i="3"/>
  <c r="R113" i="3"/>
  <c r="R121" i="3"/>
  <c r="O88" i="3"/>
  <c r="O123" i="3"/>
  <c r="O118" i="3"/>
  <c r="O109" i="3"/>
  <c r="R106" i="3"/>
  <c r="R122" i="3"/>
  <c r="R124" i="3"/>
  <c r="O93" i="3"/>
  <c r="O115" i="3"/>
  <c r="R110" i="3"/>
  <c r="R90" i="3"/>
  <c r="R114" i="3"/>
  <c r="O107" i="3"/>
  <c r="O114" i="3"/>
  <c r="O119" i="3"/>
  <c r="E25" i="17"/>
  <c r="E3" i="17"/>
  <c r="E24" i="9"/>
  <c r="E23" i="9"/>
  <c r="E22" i="9"/>
  <c r="E21" i="9"/>
  <c r="E20" i="9"/>
  <c r="E19" i="9"/>
  <c r="E18" i="9"/>
  <c r="E17" i="9"/>
  <c r="M170" i="9"/>
  <c r="AA14" i="20" s="1"/>
  <c r="M35" i="9"/>
  <c r="AA6" i="20" s="1"/>
  <c r="M4" i="9"/>
  <c r="AA7" i="20"/>
  <c r="N170" i="9"/>
  <c r="AB14" i="20" s="1"/>
  <c r="L170" i="9"/>
  <c r="Z14" i="20"/>
  <c r="K170" i="9"/>
  <c r="Y14" i="20"/>
  <c r="J170" i="9"/>
  <c r="X14" i="20"/>
  <c r="I170" i="9"/>
  <c r="W14" i="20" s="1"/>
  <c r="H170" i="9"/>
  <c r="V14" i="20"/>
  <c r="G170" i="9"/>
  <c r="U14" i="20"/>
  <c r="E65" i="17"/>
  <c r="M25" i="11"/>
  <c r="H13" i="6"/>
  <c r="E64" i="17"/>
  <c r="E63" i="17"/>
  <c r="E62" i="17"/>
  <c r="E61" i="17"/>
  <c r="E60" i="17"/>
  <c r="E59" i="17"/>
  <c r="E58" i="17"/>
  <c r="F25" i="11"/>
  <c r="E57" i="17"/>
  <c r="E25" i="11"/>
  <c r="E56" i="17"/>
  <c r="E4" i="17"/>
  <c r="E138" i="14"/>
  <c r="E137" i="14"/>
  <c r="E136" i="14"/>
  <c r="E135" i="14"/>
  <c r="E134" i="14"/>
  <c r="E133" i="14"/>
  <c r="E132" i="14"/>
  <c r="E131" i="14"/>
  <c r="E130" i="14"/>
  <c r="E129" i="14"/>
  <c r="E128" i="14"/>
  <c r="D128" i="14"/>
  <c r="E127" i="14"/>
  <c r="D127" i="14"/>
  <c r="E126" i="14"/>
  <c r="D126" i="14"/>
  <c r="E125" i="14"/>
  <c r="D125" i="14"/>
  <c r="E124" i="14"/>
  <c r="D124" i="14"/>
  <c r="E123" i="14"/>
  <c r="D123" i="14"/>
  <c r="E122" i="14"/>
  <c r="D122" i="14"/>
  <c r="E121" i="14"/>
  <c r="D121" i="14"/>
  <c r="E120" i="14"/>
  <c r="D120" i="14"/>
  <c r="E119" i="14"/>
  <c r="D119" i="14"/>
  <c r="E118" i="14"/>
  <c r="E117" i="14"/>
  <c r="E116" i="14"/>
  <c r="E115" i="14"/>
  <c r="E114" i="14"/>
  <c r="E113" i="14"/>
  <c r="D113" i="14"/>
  <c r="E112" i="14"/>
  <c r="E111" i="14"/>
  <c r="E110" i="14"/>
  <c r="E109" i="14"/>
  <c r="A107" i="14"/>
  <c r="E103" i="14"/>
  <c r="E102" i="14"/>
  <c r="E101" i="14"/>
  <c r="D101" i="14"/>
  <c r="E100" i="14"/>
  <c r="E99" i="14"/>
  <c r="E98" i="14"/>
  <c r="E97" i="14"/>
  <c r="E96" i="14"/>
  <c r="E95" i="14"/>
  <c r="E94" i="14"/>
  <c r="D94" i="14"/>
  <c r="E93" i="14"/>
  <c r="D93" i="14"/>
  <c r="E92" i="14"/>
  <c r="D92" i="14"/>
  <c r="E91" i="14"/>
  <c r="D91" i="14"/>
  <c r="E90" i="14"/>
  <c r="D90" i="14"/>
  <c r="E89" i="14"/>
  <c r="D89" i="14"/>
  <c r="E88" i="14"/>
  <c r="D88" i="14"/>
  <c r="E87" i="14"/>
  <c r="D87" i="14"/>
  <c r="E86" i="14"/>
  <c r="D86" i="14"/>
  <c r="E85" i="14"/>
  <c r="D85" i="14"/>
  <c r="E84" i="14"/>
  <c r="D84" i="14"/>
  <c r="E83" i="14"/>
  <c r="E82" i="14"/>
  <c r="E81" i="14"/>
  <c r="E80" i="14"/>
  <c r="E79" i="14"/>
  <c r="D79" i="14"/>
  <c r="E78" i="14"/>
  <c r="E77" i="14"/>
  <c r="E76" i="14"/>
  <c r="E75" i="14"/>
  <c r="E74" i="14"/>
  <c r="A72" i="14"/>
  <c r="E68" i="14"/>
  <c r="E67" i="14"/>
  <c r="E66" i="14"/>
  <c r="E65" i="14"/>
  <c r="E64" i="14"/>
  <c r="E63" i="14"/>
  <c r="E62" i="14"/>
  <c r="E61" i="14"/>
  <c r="E60" i="14"/>
  <c r="E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E48" i="14"/>
  <c r="E47" i="14"/>
  <c r="E46" i="14"/>
  <c r="D46" i="14"/>
  <c r="E45" i="14"/>
  <c r="E44" i="14"/>
  <c r="E43" i="14"/>
  <c r="E42" i="14"/>
  <c r="E41" i="14"/>
  <c r="E40" i="14"/>
  <c r="E39" i="14"/>
  <c r="A37" i="14"/>
  <c r="E33" i="14"/>
  <c r="E32" i="14"/>
  <c r="E31" i="14"/>
  <c r="E30" i="14"/>
  <c r="E29" i="14"/>
  <c r="E28" i="14"/>
  <c r="E27" i="14"/>
  <c r="E26" i="14"/>
  <c r="E25" i="14"/>
  <c r="E24" i="14"/>
  <c r="E23" i="14"/>
  <c r="D23" i="14"/>
  <c r="E22" i="14"/>
  <c r="D22" i="14"/>
  <c r="E21" i="14"/>
  <c r="D21" i="14"/>
  <c r="E20" i="14"/>
  <c r="D20" i="14"/>
  <c r="E19" i="14"/>
  <c r="D19" i="14"/>
  <c r="E18" i="14"/>
  <c r="D18" i="14"/>
  <c r="E17" i="14"/>
  <c r="D17" i="14"/>
  <c r="E16" i="14"/>
  <c r="D16" i="14"/>
  <c r="E15" i="14"/>
  <c r="D15" i="14"/>
  <c r="E14" i="14"/>
  <c r="D14" i="14"/>
  <c r="E13" i="14"/>
  <c r="E12" i="14"/>
  <c r="D12" i="14"/>
  <c r="E11" i="14"/>
  <c r="D11" i="14"/>
  <c r="E10" i="14"/>
  <c r="E9" i="14"/>
  <c r="E8" i="14"/>
  <c r="E7" i="14"/>
  <c r="E6" i="14"/>
  <c r="E5" i="14"/>
  <c r="E4" i="14"/>
  <c r="A2" i="14"/>
  <c r="AO12" i="26"/>
  <c r="AN12" i="26"/>
  <c r="AM12" i="26"/>
  <c r="AF12" i="26"/>
  <c r="AE12" i="26"/>
  <c r="AD12" i="26"/>
  <c r="AC12" i="26"/>
  <c r="AP11" i="26"/>
  <c r="AH11" i="26"/>
  <c r="AI11" i="26"/>
  <c r="AG11" i="26"/>
  <c r="AP10" i="26"/>
  <c r="AH10" i="26"/>
  <c r="AG10" i="26"/>
  <c r="AI10" i="26"/>
  <c r="AP9" i="26"/>
  <c r="AH9" i="26"/>
  <c r="AI9" i="26"/>
  <c r="AG9" i="26"/>
  <c r="AP8" i="26"/>
  <c r="AH8" i="26"/>
  <c r="AG8" i="26"/>
  <c r="AP7" i="26"/>
  <c r="AP12" i="26"/>
  <c r="AH7" i="26"/>
  <c r="AI7" i="26"/>
  <c r="AG7" i="26"/>
  <c r="AP6" i="26"/>
  <c r="AH6" i="26"/>
  <c r="AG6" i="26"/>
  <c r="F27" i="27"/>
  <c r="G27" i="27"/>
  <c r="F26" i="27"/>
  <c r="G26" i="27"/>
  <c r="F25" i="27"/>
  <c r="H27" i="27"/>
  <c r="F24" i="27"/>
  <c r="G24" i="27"/>
  <c r="F23" i="27"/>
  <c r="G23" i="27"/>
  <c r="F22" i="27"/>
  <c r="G22" i="27"/>
  <c r="F21" i="27"/>
  <c r="H23" i="27"/>
  <c r="F20" i="27"/>
  <c r="G20" i="27"/>
  <c r="F19" i="27"/>
  <c r="G19" i="27"/>
  <c r="F18" i="27"/>
  <c r="G18" i="27"/>
  <c r="F17" i="27"/>
  <c r="H19" i="27"/>
  <c r="F13" i="27"/>
  <c r="H15" i="27"/>
  <c r="L5" i="9"/>
  <c r="G13" i="27"/>
  <c r="F12" i="27"/>
  <c r="H14" i="27"/>
  <c r="K5" i="9"/>
  <c r="G12" i="27"/>
  <c r="F11" i="27"/>
  <c r="H13" i="27"/>
  <c r="I5" i="9"/>
  <c r="F10" i="27"/>
  <c r="H12" i="27"/>
  <c r="G10" i="27"/>
  <c r="F9" i="27"/>
  <c r="H11" i="27"/>
  <c r="F8" i="27"/>
  <c r="H10" i="27"/>
  <c r="G8" i="27"/>
  <c r="F6" i="27"/>
  <c r="F5" i="27"/>
  <c r="H7" i="27"/>
  <c r="G5" i="27"/>
  <c r="F4" i="27"/>
  <c r="H6" i="27"/>
  <c r="G4" i="27"/>
  <c r="F3" i="27"/>
  <c r="H4" i="27"/>
  <c r="AB50" i="19"/>
  <c r="AI50" i="19"/>
  <c r="AA50" i="19"/>
  <c r="AH50" i="19"/>
  <c r="AH40" i="19"/>
  <c r="AH39" i="19"/>
  <c r="AH38" i="19"/>
  <c r="AH37" i="19"/>
  <c r="AH35" i="19"/>
  <c r="AH34" i="19"/>
  <c r="AH33" i="19"/>
  <c r="AH32" i="19"/>
  <c r="AH30" i="19"/>
  <c r="AH29" i="19"/>
  <c r="AH28" i="19"/>
  <c r="AH27" i="19"/>
  <c r="AH25" i="19"/>
  <c r="AH24" i="19"/>
  <c r="AH23" i="19"/>
  <c r="AH22" i="19"/>
  <c r="AH20" i="19"/>
  <c r="AH19" i="19"/>
  <c r="AH18" i="19"/>
  <c r="AH17" i="19"/>
  <c r="AH15" i="19"/>
  <c r="AH14" i="19"/>
  <c r="AH13" i="19"/>
  <c r="AH12" i="19"/>
  <c r="AH51" i="19"/>
  <c r="AH10" i="19"/>
  <c r="AH9" i="19"/>
  <c r="AH8" i="19"/>
  <c r="AH7" i="19"/>
  <c r="E84" i="10"/>
  <c r="E83" i="10"/>
  <c r="E82" i="10"/>
  <c r="E81" i="10"/>
  <c r="E80" i="10"/>
  <c r="E79" i="10"/>
  <c r="E78" i="10"/>
  <c r="E77" i="10"/>
  <c r="E76" i="10"/>
  <c r="E75" i="10"/>
  <c r="E74" i="10"/>
  <c r="E73" i="10"/>
  <c r="L13" i="11"/>
  <c r="L42" i="11" s="1"/>
  <c r="L27" i="11"/>
  <c r="E72" i="10"/>
  <c r="E71" i="10"/>
  <c r="E70" i="10"/>
  <c r="E69" i="10"/>
  <c r="E68" i="10"/>
  <c r="E67" i="10"/>
  <c r="E66" i="10"/>
  <c r="E65" i="10"/>
  <c r="D13" i="11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I13" i="11"/>
  <c r="I42" i="11" s="1"/>
  <c r="I27" i="11"/>
  <c r="E49" i="10"/>
  <c r="E48" i="10"/>
  <c r="E47" i="10"/>
  <c r="E46" i="10"/>
  <c r="E45" i="10"/>
  <c r="E44" i="10"/>
  <c r="M13" i="11"/>
  <c r="M27" i="11"/>
  <c r="M42" i="11"/>
  <c r="E43" i="10"/>
  <c r="E42" i="10"/>
  <c r="K13" i="11"/>
  <c r="K27" i="11"/>
  <c r="K42" i="11"/>
  <c r="E41" i="10"/>
  <c r="J13" i="11"/>
  <c r="J42" i="11" s="1"/>
  <c r="J27" i="11"/>
  <c r="E40" i="10"/>
  <c r="E39" i="10"/>
  <c r="H13" i="11"/>
  <c r="H42" i="11" s="1"/>
  <c r="H27" i="11"/>
  <c r="E38" i="10"/>
  <c r="G13" i="11"/>
  <c r="G27" i="11"/>
  <c r="G42" i="11"/>
  <c r="E37" i="10"/>
  <c r="E34" i="10"/>
  <c r="E36" i="10"/>
  <c r="E35" i="10"/>
  <c r="K34" i="10"/>
  <c r="Y12" i="20"/>
  <c r="J34" i="10"/>
  <c r="X12" i="20"/>
  <c r="I34" i="10"/>
  <c r="W12" i="20"/>
  <c r="H34" i="10"/>
  <c r="V12" i="20"/>
  <c r="G34" i="10"/>
  <c r="U12" i="20"/>
  <c r="F34" i="10"/>
  <c r="T12" i="20"/>
  <c r="AC12" i="20" s="1"/>
  <c r="E33" i="10"/>
  <c r="E32" i="10"/>
  <c r="E31" i="10"/>
  <c r="E30" i="10"/>
  <c r="E29" i="10"/>
  <c r="E28" i="10"/>
  <c r="H12" i="11"/>
  <c r="H41" i="11"/>
  <c r="C41" i="11" s="1"/>
  <c r="E27" i="10"/>
  <c r="G12" i="11"/>
  <c r="G41" i="11" s="1"/>
  <c r="E26" i="10"/>
  <c r="E25" i="10"/>
  <c r="E24" i="10"/>
  <c r="E23" i="10"/>
  <c r="E22" i="10"/>
  <c r="L12" i="11"/>
  <c r="L41" i="11"/>
  <c r="E21" i="10"/>
  <c r="E20" i="10"/>
  <c r="E19" i="10"/>
  <c r="E18" i="10"/>
  <c r="E17" i="10"/>
  <c r="E16" i="10"/>
  <c r="E15" i="10"/>
  <c r="E12" i="11"/>
  <c r="E41" i="11" s="1"/>
  <c r="E14" i="10"/>
  <c r="E13" i="10"/>
  <c r="E12" i="10"/>
  <c r="E11" i="10"/>
  <c r="K12" i="11"/>
  <c r="K41" i="11" s="1"/>
  <c r="E10" i="10"/>
  <c r="J12" i="11"/>
  <c r="J41" i="11" s="1"/>
  <c r="E9" i="10"/>
  <c r="I12" i="11"/>
  <c r="I41" i="11" s="1"/>
  <c r="E8" i="10"/>
  <c r="E7" i="10"/>
  <c r="E6" i="10"/>
  <c r="F12" i="11"/>
  <c r="F41" i="11" s="1"/>
  <c r="E5" i="10"/>
  <c r="E4" i="10"/>
  <c r="D12" i="11"/>
  <c r="K3" i="10"/>
  <c r="J3" i="10"/>
  <c r="I3" i="10"/>
  <c r="H3" i="10"/>
  <c r="G3" i="10"/>
  <c r="F3" i="10"/>
  <c r="E190" i="9"/>
  <c r="E189" i="9"/>
  <c r="E188" i="9"/>
  <c r="E187" i="9"/>
  <c r="E186" i="9"/>
  <c r="E185" i="9"/>
  <c r="E184" i="9"/>
  <c r="G11" i="11"/>
  <c r="G40" i="11" s="1"/>
  <c r="E183" i="9"/>
  <c r="E182" i="9"/>
  <c r="E11" i="11"/>
  <c r="E181" i="9"/>
  <c r="E180" i="9"/>
  <c r="E179" i="9"/>
  <c r="L11" i="11"/>
  <c r="L12" i="6" s="1"/>
  <c r="M12" i="6" s="1"/>
  <c r="E178" i="9"/>
  <c r="K11" i="11"/>
  <c r="K40" i="11" s="1"/>
  <c r="E177" i="9"/>
  <c r="J11" i="11" s="1"/>
  <c r="J40" i="11" s="1"/>
  <c r="E176" i="9"/>
  <c r="I11" i="11"/>
  <c r="E175" i="9"/>
  <c r="H11" i="11"/>
  <c r="H40" i="11" s="1"/>
  <c r="E174" i="9"/>
  <c r="E173" i="9"/>
  <c r="E172" i="9"/>
  <c r="E171" i="9"/>
  <c r="D11" i="11" s="1"/>
  <c r="F170" i="9"/>
  <c r="T14" i="20" s="1"/>
  <c r="E169" i="9"/>
  <c r="E168" i="9"/>
  <c r="E167" i="9"/>
  <c r="E166" i="9"/>
  <c r="J14" i="11" s="1"/>
  <c r="J43" i="11" s="1"/>
  <c r="E165" i="9"/>
  <c r="E164" i="9"/>
  <c r="E163" i="9"/>
  <c r="G14" i="11" s="1"/>
  <c r="E162" i="9"/>
  <c r="E159" i="9"/>
  <c r="E158" i="9"/>
  <c r="L14" i="11"/>
  <c r="L43" i="11" s="1"/>
  <c r="E157" i="9"/>
  <c r="K14" i="11" s="1"/>
  <c r="K43" i="11" s="1"/>
  <c r="E156" i="9"/>
  <c r="E155" i="9"/>
  <c r="I14" i="11" s="1"/>
  <c r="O9" i="6" s="1"/>
  <c r="P9" i="6" s="1"/>
  <c r="E154" i="9"/>
  <c r="H14" i="11" s="1"/>
  <c r="E153" i="9"/>
  <c r="E152" i="9"/>
  <c r="E148" i="9"/>
  <c r="E147" i="9"/>
  <c r="E146" i="9"/>
  <c r="E145" i="9"/>
  <c r="E144" i="9"/>
  <c r="E143" i="9"/>
  <c r="E142" i="9"/>
  <c r="E141" i="9"/>
  <c r="E140" i="9"/>
  <c r="E139" i="9"/>
  <c r="E130" i="9"/>
  <c r="E10" i="11" s="1"/>
  <c r="E39" i="11" s="1"/>
  <c r="E129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D10" i="11" s="1"/>
  <c r="E100" i="9"/>
  <c r="E99" i="9"/>
  <c r="E89" i="9"/>
  <c r="E88" i="9"/>
  <c r="E79" i="9"/>
  <c r="E78" i="9"/>
  <c r="E75" i="9"/>
  <c r="E74" i="9"/>
  <c r="E73" i="9"/>
  <c r="E72" i="9"/>
  <c r="E71" i="9"/>
  <c r="E70" i="9"/>
  <c r="H9" i="11" s="1"/>
  <c r="H38" i="11" s="1"/>
  <c r="E69" i="9"/>
  <c r="E68" i="9"/>
  <c r="E67" i="9"/>
  <c r="E66" i="9"/>
  <c r="E45" i="9"/>
  <c r="M9" i="11" s="1"/>
  <c r="M38" i="11" s="1"/>
  <c r="E44" i="9"/>
  <c r="E43" i="9"/>
  <c r="E42" i="9"/>
  <c r="J9" i="11" s="1"/>
  <c r="E41" i="9"/>
  <c r="E40" i="9"/>
  <c r="E39" i="9"/>
  <c r="E38" i="9"/>
  <c r="E37" i="9"/>
  <c r="E36" i="9"/>
  <c r="E34" i="9"/>
  <c r="E33" i="9"/>
  <c r="L7" i="11" s="1"/>
  <c r="E32" i="9"/>
  <c r="E31" i="9"/>
  <c r="E30" i="9"/>
  <c r="E29" i="9"/>
  <c r="H7" i="11" s="1"/>
  <c r="E28" i="9"/>
  <c r="E27" i="9"/>
  <c r="F7" i="11" s="1"/>
  <c r="F36" i="11" s="1"/>
  <c r="E26" i="9"/>
  <c r="E14" i="9"/>
  <c r="E13" i="9"/>
  <c r="E12" i="9"/>
  <c r="E11" i="9"/>
  <c r="E10" i="9"/>
  <c r="I7" i="11" s="1"/>
  <c r="E9" i="9"/>
  <c r="E8" i="9"/>
  <c r="G7" i="11" s="1"/>
  <c r="G36" i="11" s="1"/>
  <c r="E7" i="9"/>
  <c r="E6" i="9"/>
  <c r="E3" i="18"/>
  <c r="B13" i="6"/>
  <c r="B12" i="6"/>
  <c r="B11" i="6"/>
  <c r="B10" i="6"/>
  <c r="J25" i="11"/>
  <c r="H10" i="6"/>
  <c r="T10" i="6"/>
  <c r="B9" i="6"/>
  <c r="B8" i="6"/>
  <c r="B7" i="6"/>
  <c r="G25" i="11"/>
  <c r="H7" i="6"/>
  <c r="T7" i="6"/>
  <c r="F27" i="11"/>
  <c r="D27" i="11"/>
  <c r="E27" i="11"/>
  <c r="C27" i="11"/>
  <c r="B6" i="6"/>
  <c r="B5" i="6"/>
  <c r="B4" i="6"/>
  <c r="L25" i="11"/>
  <c r="H12" i="6"/>
  <c r="K25" i="11"/>
  <c r="H11" i="6"/>
  <c r="I25" i="11"/>
  <c r="H9" i="6"/>
  <c r="H25" i="11"/>
  <c r="H8" i="6"/>
  <c r="D25" i="11"/>
  <c r="C25" i="11"/>
  <c r="M23" i="11"/>
  <c r="M28" i="11"/>
  <c r="L23" i="11"/>
  <c r="E12" i="6"/>
  <c r="T12" i="6"/>
  <c r="B12" i="2"/>
  <c r="K23" i="11"/>
  <c r="J23" i="11"/>
  <c r="I23" i="11"/>
  <c r="E9" i="6"/>
  <c r="H23" i="11"/>
  <c r="E8" i="6"/>
  <c r="T8" i="6"/>
  <c r="G23" i="11"/>
  <c r="F23" i="11"/>
  <c r="E23" i="11"/>
  <c r="E5" i="6"/>
  <c r="D23" i="11"/>
  <c r="E4" i="6"/>
  <c r="H4" i="6"/>
  <c r="T4" i="6"/>
  <c r="M12" i="11"/>
  <c r="M41" i="11"/>
  <c r="J134" i="3"/>
  <c r="G134" i="3"/>
  <c r="J133" i="3"/>
  <c r="G133" i="3"/>
  <c r="D133" i="3"/>
  <c r="K12" i="4"/>
  <c r="J132" i="3"/>
  <c r="G132" i="3"/>
  <c r="J131" i="3"/>
  <c r="G131" i="3"/>
  <c r="J130" i="3"/>
  <c r="D130" i="3"/>
  <c r="K9" i="4"/>
  <c r="G130" i="3"/>
  <c r="J129" i="3"/>
  <c r="G129" i="3"/>
  <c r="J128" i="3"/>
  <c r="D128" i="3"/>
  <c r="K7" i="4"/>
  <c r="G128" i="3"/>
  <c r="J127" i="3"/>
  <c r="G127" i="3"/>
  <c r="D127" i="3"/>
  <c r="K6" i="4"/>
  <c r="J126" i="3"/>
  <c r="G126" i="3"/>
  <c r="V125" i="3"/>
  <c r="H131" i="3" s="1"/>
  <c r="J125" i="3"/>
  <c r="G125" i="3"/>
  <c r="D125" i="3"/>
  <c r="K4" i="4"/>
  <c r="K14" i="4"/>
  <c r="K124" i="3"/>
  <c r="L124" i="3"/>
  <c r="J124" i="3"/>
  <c r="H124" i="3"/>
  <c r="G124" i="3"/>
  <c r="K123" i="3"/>
  <c r="J123" i="3"/>
  <c r="H123" i="3"/>
  <c r="I123" i="3"/>
  <c r="G123" i="3"/>
  <c r="K122" i="3"/>
  <c r="L122" i="3"/>
  <c r="J122" i="3"/>
  <c r="H122" i="3"/>
  <c r="G122" i="3"/>
  <c r="K121" i="3"/>
  <c r="J121" i="3"/>
  <c r="H121" i="3"/>
  <c r="I121" i="3"/>
  <c r="G121" i="3"/>
  <c r="K120" i="3"/>
  <c r="L120" i="3"/>
  <c r="J120" i="3"/>
  <c r="H120" i="3"/>
  <c r="G120" i="3"/>
  <c r="K119" i="3"/>
  <c r="J119" i="3"/>
  <c r="H119" i="3"/>
  <c r="I119" i="3"/>
  <c r="G119" i="3"/>
  <c r="K118" i="3"/>
  <c r="L118" i="3"/>
  <c r="J118" i="3"/>
  <c r="H118" i="3"/>
  <c r="G118" i="3"/>
  <c r="K117" i="3"/>
  <c r="J117" i="3"/>
  <c r="H117" i="3"/>
  <c r="I117" i="3"/>
  <c r="G117" i="3"/>
  <c r="K116" i="3"/>
  <c r="L116" i="3"/>
  <c r="J116" i="3"/>
  <c r="H116" i="3"/>
  <c r="G116" i="3"/>
  <c r="K115" i="3"/>
  <c r="J115" i="3"/>
  <c r="H115" i="3"/>
  <c r="G115" i="3"/>
  <c r="K114" i="3"/>
  <c r="L114" i="3"/>
  <c r="H114" i="3"/>
  <c r="I114" i="3"/>
  <c r="K113" i="3"/>
  <c r="H113" i="3"/>
  <c r="K112" i="3"/>
  <c r="H112" i="3"/>
  <c r="K111" i="3"/>
  <c r="L111" i="3"/>
  <c r="H111" i="3"/>
  <c r="K110" i="3"/>
  <c r="L110" i="3"/>
  <c r="H110" i="3"/>
  <c r="K109" i="3"/>
  <c r="H109" i="3"/>
  <c r="K108" i="3"/>
  <c r="H108" i="3"/>
  <c r="K107" i="3"/>
  <c r="H107" i="3"/>
  <c r="D118" i="14"/>
  <c r="D83" i="14"/>
  <c r="K94" i="3"/>
  <c r="J94" i="3"/>
  <c r="H94" i="3"/>
  <c r="G94" i="3"/>
  <c r="K93" i="3"/>
  <c r="D47" i="14"/>
  <c r="J93" i="3"/>
  <c r="H93" i="3"/>
  <c r="G93" i="3"/>
  <c r="D81" i="14"/>
  <c r="K92" i="3"/>
  <c r="J92" i="3"/>
  <c r="H92" i="3"/>
  <c r="G92" i="3"/>
  <c r="K91" i="3"/>
  <c r="J91" i="3"/>
  <c r="L91" i="3"/>
  <c r="H91" i="3"/>
  <c r="G91" i="3"/>
  <c r="K90" i="3"/>
  <c r="D44" i="14"/>
  <c r="J90" i="3"/>
  <c r="H90" i="3"/>
  <c r="G90" i="3"/>
  <c r="K89" i="3"/>
  <c r="J89" i="3"/>
  <c r="H89" i="3"/>
  <c r="G89" i="3"/>
  <c r="K88" i="3"/>
  <c r="D42" i="14"/>
  <c r="J88" i="3"/>
  <c r="H88" i="3"/>
  <c r="G88" i="3"/>
  <c r="K87" i="3"/>
  <c r="J87" i="3"/>
  <c r="H87" i="3"/>
  <c r="D6" i="14"/>
  <c r="G87" i="3"/>
  <c r="D75" i="14"/>
  <c r="K86" i="3"/>
  <c r="D40" i="14"/>
  <c r="J86" i="3"/>
  <c r="H86" i="3"/>
  <c r="D5" i="14"/>
  <c r="G86" i="3"/>
  <c r="K85" i="3"/>
  <c r="D39" i="14"/>
  <c r="J85" i="3"/>
  <c r="L85" i="3"/>
  <c r="H85" i="3"/>
  <c r="G85" i="3"/>
  <c r="J84" i="3"/>
  <c r="G84" i="3"/>
  <c r="J83" i="3"/>
  <c r="G83" i="3"/>
  <c r="J82" i="3"/>
  <c r="G82" i="3"/>
  <c r="J81" i="3"/>
  <c r="G81" i="3"/>
  <c r="J80" i="3"/>
  <c r="G80" i="3"/>
  <c r="J79" i="3"/>
  <c r="G79" i="3"/>
  <c r="J78" i="3"/>
  <c r="G78" i="3"/>
  <c r="J77" i="3"/>
  <c r="G77" i="3"/>
  <c r="J76" i="3"/>
  <c r="G76" i="3"/>
  <c r="J75" i="3"/>
  <c r="G75" i="3"/>
  <c r="J74" i="3"/>
  <c r="G74" i="3"/>
  <c r="J73" i="3"/>
  <c r="G73" i="3"/>
  <c r="D73" i="3"/>
  <c r="J72" i="3"/>
  <c r="G72" i="3"/>
  <c r="J71" i="3"/>
  <c r="G71" i="3"/>
  <c r="J70" i="3"/>
  <c r="G70" i="3"/>
  <c r="D70" i="3"/>
  <c r="J69" i="3"/>
  <c r="G69" i="3"/>
  <c r="J68" i="3"/>
  <c r="G68" i="3"/>
  <c r="J67" i="3"/>
  <c r="G67" i="3"/>
  <c r="J66" i="3"/>
  <c r="G66" i="3"/>
  <c r="J65" i="3"/>
  <c r="G65" i="3"/>
  <c r="L63" i="3"/>
  <c r="I63" i="3"/>
  <c r="L62" i="3"/>
  <c r="I62" i="3"/>
  <c r="F62" i="3"/>
  <c r="L61" i="3"/>
  <c r="F61" i="3"/>
  <c r="I61" i="3"/>
  <c r="L60" i="3"/>
  <c r="I60" i="3"/>
  <c r="L59" i="3"/>
  <c r="I59" i="3"/>
  <c r="L58" i="3"/>
  <c r="I58" i="3"/>
  <c r="L57" i="3"/>
  <c r="I57" i="3"/>
  <c r="L56" i="3"/>
  <c r="I56" i="3"/>
  <c r="L55" i="3"/>
  <c r="I55" i="3"/>
  <c r="F55" i="3"/>
  <c r="L54" i="3"/>
  <c r="L53" i="3"/>
  <c r="I53" i="3"/>
  <c r="L52" i="3"/>
  <c r="I52" i="3"/>
  <c r="L51" i="3"/>
  <c r="I51" i="3"/>
  <c r="L50" i="3"/>
  <c r="I50" i="3"/>
  <c r="L49" i="3"/>
  <c r="I49" i="3"/>
  <c r="L48" i="3"/>
  <c r="I48" i="3"/>
  <c r="L47" i="3"/>
  <c r="I47" i="3"/>
  <c r="L46" i="3"/>
  <c r="I46" i="3"/>
  <c r="L45" i="3"/>
  <c r="I45" i="3"/>
  <c r="L44" i="3"/>
  <c r="I44" i="3"/>
  <c r="L43" i="3"/>
  <c r="I43" i="3"/>
  <c r="L42" i="3"/>
  <c r="I42" i="3"/>
  <c r="L41" i="3"/>
  <c r="I41" i="3"/>
  <c r="L40" i="3"/>
  <c r="I40" i="3"/>
  <c r="L39" i="3"/>
  <c r="I39" i="3"/>
  <c r="L38" i="3"/>
  <c r="I38" i="3"/>
  <c r="L37" i="3"/>
  <c r="I37" i="3"/>
  <c r="L36" i="3"/>
  <c r="I36" i="3"/>
  <c r="L35" i="3"/>
  <c r="I35" i="3"/>
  <c r="V34" i="3"/>
  <c r="L34" i="3"/>
  <c r="I34" i="3"/>
  <c r="L33" i="3"/>
  <c r="I33" i="3"/>
  <c r="L32" i="3"/>
  <c r="I32" i="3"/>
  <c r="L31" i="3"/>
  <c r="I31" i="3"/>
  <c r="L30" i="3"/>
  <c r="I30" i="3"/>
  <c r="L29" i="3"/>
  <c r="I29" i="3"/>
  <c r="L28" i="3"/>
  <c r="I28" i="3"/>
  <c r="L27" i="3"/>
  <c r="I27" i="3"/>
  <c r="L26" i="3"/>
  <c r="I26" i="3"/>
  <c r="L25" i="3"/>
  <c r="I25" i="3"/>
  <c r="L24" i="3"/>
  <c r="I24" i="3"/>
  <c r="J114" i="3"/>
  <c r="J113" i="3"/>
  <c r="I22" i="3"/>
  <c r="G113" i="3"/>
  <c r="L21" i="3"/>
  <c r="J111" i="3"/>
  <c r="I20" i="3"/>
  <c r="G111" i="3"/>
  <c r="I111" i="3"/>
  <c r="J110" i="3"/>
  <c r="L18" i="3"/>
  <c r="I18" i="3"/>
  <c r="G109" i="3"/>
  <c r="L17" i="3"/>
  <c r="I16" i="3"/>
  <c r="G107" i="3"/>
  <c r="H106" i="3"/>
  <c r="G106" i="3"/>
  <c r="G105" i="3"/>
  <c r="L13" i="3"/>
  <c r="I13" i="3"/>
  <c r="F13" i="3"/>
  <c r="L12" i="3"/>
  <c r="I12" i="3"/>
  <c r="L11" i="3"/>
  <c r="I11" i="3"/>
  <c r="L10" i="3"/>
  <c r="I10" i="3"/>
  <c r="L9" i="3"/>
  <c r="I9" i="3"/>
  <c r="L8" i="3"/>
  <c r="I8" i="3"/>
  <c r="F8" i="3"/>
  <c r="L7" i="3"/>
  <c r="I7" i="3"/>
  <c r="L6" i="3"/>
  <c r="I6" i="3"/>
  <c r="L5" i="3"/>
  <c r="I5" i="3"/>
  <c r="F5" i="3"/>
  <c r="L4" i="3"/>
  <c r="I4" i="3"/>
  <c r="N14" i="6"/>
  <c r="K14" i="6"/>
  <c r="W5" i="6"/>
  <c r="W4" i="6"/>
  <c r="H14" i="4"/>
  <c r="F14" i="4"/>
  <c r="E14" i="4"/>
  <c r="G13" i="4"/>
  <c r="G12" i="4"/>
  <c r="G11" i="4"/>
  <c r="G10" i="4"/>
  <c r="G9" i="4"/>
  <c r="G8" i="4"/>
  <c r="G7" i="4"/>
  <c r="G6" i="4"/>
  <c r="G5" i="4"/>
  <c r="G4" i="4"/>
  <c r="G14" i="4"/>
  <c r="AC18" i="20"/>
  <c r="D14" i="20"/>
  <c r="M14" i="20" s="1"/>
  <c r="M12" i="20"/>
  <c r="G9" i="27"/>
  <c r="D126" i="3"/>
  <c r="D134" i="3"/>
  <c r="K13" i="4"/>
  <c r="C8" i="4"/>
  <c r="R8" i="4"/>
  <c r="B8" i="4"/>
  <c r="Q8" i="4"/>
  <c r="S8" i="4"/>
  <c r="B11" i="4"/>
  <c r="Q11" i="4"/>
  <c r="S11" i="4"/>
  <c r="R6" i="6"/>
  <c r="B5" i="4"/>
  <c r="Q5" i="4"/>
  <c r="C5" i="4"/>
  <c r="R5" i="4"/>
  <c r="S5" i="4"/>
  <c r="R10" i="6"/>
  <c r="S10" i="6"/>
  <c r="L121" i="3"/>
  <c r="B10" i="4"/>
  <c r="Q10" i="4"/>
  <c r="B10" i="2"/>
  <c r="E13" i="11"/>
  <c r="E42" i="11" s="1"/>
  <c r="F14" i="11"/>
  <c r="O6" i="6"/>
  <c r="P6" i="6" s="1"/>
  <c r="O10" i="6"/>
  <c r="P10" i="6" s="1"/>
  <c r="M14" i="11"/>
  <c r="J7" i="11"/>
  <c r="G28" i="11"/>
  <c r="K28" i="11"/>
  <c r="E11" i="6"/>
  <c r="E7" i="6"/>
  <c r="G114" i="3"/>
  <c r="Q13" i="6"/>
  <c r="S13" i="6"/>
  <c r="I23" i="3"/>
  <c r="D48" i="14"/>
  <c r="J105" i="3"/>
  <c r="J106" i="3"/>
  <c r="G108" i="3"/>
  <c r="I108" i="3"/>
  <c r="I17" i="3"/>
  <c r="J28" i="11"/>
  <c r="E10" i="6"/>
  <c r="AG12" i="26"/>
  <c r="M8" i="20"/>
  <c r="E6" i="6"/>
  <c r="I85" i="3"/>
  <c r="D112" i="14"/>
  <c r="B7" i="4"/>
  <c r="Q7" i="4"/>
  <c r="G112" i="3"/>
  <c r="I112" i="3"/>
  <c r="I21" i="3"/>
  <c r="C4" i="4"/>
  <c r="R4" i="4"/>
  <c r="S4" i="4"/>
  <c r="G110" i="3"/>
  <c r="I19" i="3"/>
  <c r="I116" i="3"/>
  <c r="B6" i="4"/>
  <c r="Q6" i="4"/>
  <c r="K5" i="4"/>
  <c r="H28" i="11"/>
  <c r="L28" i="11"/>
  <c r="D77" i="14"/>
  <c r="D116" i="14"/>
  <c r="L93" i="3"/>
  <c r="B9" i="4"/>
  <c r="Q9" i="4"/>
  <c r="B12" i="4"/>
  <c r="Q12" i="4"/>
  <c r="I28" i="11"/>
  <c r="AI8" i="26"/>
  <c r="J107" i="3"/>
  <c r="L16" i="3"/>
  <c r="I107" i="3"/>
  <c r="I15" i="3"/>
  <c r="J109" i="3"/>
  <c r="L109" i="3"/>
  <c r="C11" i="4"/>
  <c r="C12" i="4"/>
  <c r="R12" i="4"/>
  <c r="S12" i="4"/>
  <c r="L86" i="3"/>
  <c r="J108" i="3"/>
  <c r="J112" i="3"/>
  <c r="Q12" i="6"/>
  <c r="C7" i="4"/>
  <c r="D43" i="14"/>
  <c r="L19" i="3"/>
  <c r="L20" i="3"/>
  <c r="L22" i="3"/>
  <c r="L23" i="3"/>
  <c r="C9" i="4"/>
  <c r="D9" i="4"/>
  <c r="B13" i="4"/>
  <c r="Q13" i="4"/>
  <c r="S13" i="4"/>
  <c r="D45" i="14"/>
  <c r="C6" i="4"/>
  <c r="C10" i="4"/>
  <c r="AI6" i="26"/>
  <c r="AI12" i="26"/>
  <c r="D80" i="14"/>
  <c r="D109" i="14"/>
  <c r="D117" i="14"/>
  <c r="B4" i="4"/>
  <c r="B14" i="4"/>
  <c r="C13" i="4"/>
  <c r="D78" i="14"/>
  <c r="D115" i="14"/>
  <c r="D76" i="14"/>
  <c r="D9" i="14"/>
  <c r="D74" i="14"/>
  <c r="D82" i="14"/>
  <c r="D111" i="14"/>
  <c r="F43" i="11"/>
  <c r="L10" i="6"/>
  <c r="M10" i="6" s="1"/>
  <c r="Q7" i="6"/>
  <c r="D103" i="14"/>
  <c r="D8" i="4"/>
  <c r="D5" i="4"/>
  <c r="Q4" i="6"/>
  <c r="Q8" i="6"/>
  <c r="Q11" i="6"/>
  <c r="K105" i="3"/>
  <c r="L105" i="3"/>
  <c r="L14" i="3"/>
  <c r="Q5" i="6"/>
  <c r="H105" i="3"/>
  <c r="I14" i="3"/>
  <c r="K106" i="3"/>
  <c r="L106" i="3"/>
  <c r="L15" i="3"/>
  <c r="Q10" i="6"/>
  <c r="R10" i="4"/>
  <c r="S10" i="4"/>
  <c r="D10" i="4"/>
  <c r="R9" i="4"/>
  <c r="S9" i="4"/>
  <c r="D12" i="4"/>
  <c r="R13" i="6"/>
  <c r="Q9" i="6"/>
  <c r="S9" i="6"/>
  <c r="R11" i="6"/>
  <c r="S11" i="6"/>
  <c r="R13" i="4"/>
  <c r="D13" i="4"/>
  <c r="R11" i="4"/>
  <c r="D11" i="4"/>
  <c r="R12" i="6"/>
  <c r="S12" i="6"/>
  <c r="R7" i="4"/>
  <c r="D7" i="4"/>
  <c r="Q4" i="4"/>
  <c r="R6" i="4"/>
  <c r="S6" i="4"/>
  <c r="D6" i="4"/>
  <c r="Y16" i="20"/>
  <c r="F16" i="20"/>
  <c r="R8" i="6"/>
  <c r="S8" i="6"/>
  <c r="R9" i="6"/>
  <c r="R7" i="6"/>
  <c r="S7" i="6"/>
  <c r="D96" i="14"/>
  <c r="D95" i="14"/>
  <c r="D100" i="14"/>
  <c r="D99" i="14"/>
  <c r="D98" i="14"/>
  <c r="D97" i="14"/>
  <c r="D102" i="14"/>
  <c r="Q6" i="6"/>
  <c r="S6" i="6"/>
  <c r="R5" i="6"/>
  <c r="S5" i="6"/>
  <c r="R4" i="6"/>
  <c r="S4" i="6"/>
  <c r="S14" i="6"/>
  <c r="R14" i="6"/>
  <c r="E54" i="3"/>
  <c r="I54" i="3"/>
  <c r="F54" i="3"/>
  <c r="E15" i="9"/>
  <c r="E16" i="9"/>
  <c r="O12" i="6"/>
  <c r="P12" i="6" s="1"/>
  <c r="L25" i="9"/>
  <c r="K25" i="9"/>
  <c r="I25" i="9"/>
  <c r="H25" i="9"/>
  <c r="H4" i="9" s="1"/>
  <c r="G25" i="9"/>
  <c r="F25" i="9"/>
  <c r="G6" i="27"/>
  <c r="G16" i="27"/>
  <c r="G3" i="27"/>
  <c r="H5" i="27"/>
  <c r="F5" i="9"/>
  <c r="E91" i="9"/>
  <c r="G8" i="11" s="1"/>
  <c r="G37" i="11" s="1"/>
  <c r="E92" i="9"/>
  <c r="M7" i="20"/>
  <c r="E93" i="9"/>
  <c r="D9" i="28"/>
  <c r="D10" i="28"/>
  <c r="D8" i="28"/>
  <c r="D14" i="28"/>
  <c r="D16" i="28"/>
  <c r="D15" i="28"/>
  <c r="D12" i="28"/>
  <c r="D11" i="28"/>
  <c r="D13" i="28"/>
  <c r="E94" i="9"/>
  <c r="D2" i="28"/>
  <c r="D4" i="28"/>
  <c r="D3" i="28"/>
  <c r="E95" i="9"/>
  <c r="E97" i="9"/>
  <c r="E96" i="9"/>
  <c r="M77" i="9"/>
  <c r="AA11" i="20" s="1"/>
  <c r="J4" i="9"/>
  <c r="X7" i="20" s="1"/>
  <c r="N4" i="9"/>
  <c r="L11" i="6"/>
  <c r="M11" i="6" s="1"/>
  <c r="Q14" i="6"/>
  <c r="T9" i="6"/>
  <c r="W8" i="20"/>
  <c r="I4" i="9"/>
  <c r="W7" i="20" s="1"/>
  <c r="S15" i="4"/>
  <c r="L8" i="6"/>
  <c r="M8" i="6" s="1"/>
  <c r="B4" i="2"/>
  <c r="B14" i="6"/>
  <c r="D42" i="11"/>
  <c r="F42" i="11"/>
  <c r="Y8" i="20"/>
  <c r="K4" i="9"/>
  <c r="Y7" i="20"/>
  <c r="G4" i="9"/>
  <c r="R14" i="4"/>
  <c r="T11" i="6"/>
  <c r="B11" i="2"/>
  <c r="T8" i="20"/>
  <c r="F4" i="9"/>
  <c r="T7" i="20" s="1"/>
  <c r="Q14" i="4"/>
  <c r="S7" i="4"/>
  <c r="S14" i="4"/>
  <c r="B7" i="2"/>
  <c r="Z8" i="20"/>
  <c r="L4" i="9"/>
  <c r="Z7" i="20" s="1"/>
  <c r="E28" i="11"/>
  <c r="H5" i="6"/>
  <c r="T5" i="6"/>
  <c r="B9" i="2"/>
  <c r="L4" i="6"/>
  <c r="D40" i="11"/>
  <c r="F28" i="11"/>
  <c r="H6" i="6"/>
  <c r="T6" i="6"/>
  <c r="B6" i="2"/>
  <c r="H20" i="27"/>
  <c r="R89" i="3"/>
  <c r="R93" i="3"/>
  <c r="R123" i="3"/>
  <c r="O86" i="3"/>
  <c r="Z22" i="20"/>
  <c r="O94" i="3"/>
  <c r="O108" i="3"/>
  <c r="H4" i="20"/>
  <c r="O112" i="3"/>
  <c r="O120" i="3"/>
  <c r="O124" i="3"/>
  <c r="U122" i="3"/>
  <c r="C14" i="4"/>
  <c r="D28" i="11"/>
  <c r="F6" i="3"/>
  <c r="D71" i="3"/>
  <c r="F13" i="11"/>
  <c r="D41" i="11"/>
  <c r="G11" i="27"/>
  <c r="R86" i="3"/>
  <c r="F4" i="20"/>
  <c r="H9" i="27"/>
  <c r="H5" i="9"/>
  <c r="G17" i="27"/>
  <c r="G21" i="27"/>
  <c r="G25" i="27"/>
  <c r="G4" i="20"/>
  <c r="U113" i="3"/>
  <c r="U91" i="3"/>
  <c r="H17" i="27"/>
  <c r="H21" i="27"/>
  <c r="H25" i="27"/>
  <c r="E13" i="6"/>
  <c r="T13" i="6"/>
  <c r="B13" i="2"/>
  <c r="L107" i="3"/>
  <c r="C23" i="11"/>
  <c r="C28" i="11"/>
  <c r="I110" i="3"/>
  <c r="F7" i="3"/>
  <c r="F11" i="3"/>
  <c r="I106" i="3"/>
  <c r="D68" i="3"/>
  <c r="D72" i="3"/>
  <c r="E5" i="28"/>
  <c r="I4" i="20"/>
  <c r="L4" i="20"/>
  <c r="B8" i="2"/>
  <c r="G15" i="4"/>
  <c r="M18" i="20"/>
  <c r="AH12" i="26"/>
  <c r="L92" i="3"/>
  <c r="L108" i="3"/>
  <c r="L112" i="3"/>
  <c r="L115" i="3"/>
  <c r="L117" i="3"/>
  <c r="L119" i="3"/>
  <c r="L123" i="3"/>
  <c r="F57" i="3"/>
  <c r="J4" i="20"/>
  <c r="U116" i="3"/>
  <c r="U108" i="3"/>
  <c r="U94" i="3"/>
  <c r="D114" i="14"/>
  <c r="D110" i="14"/>
  <c r="F44" i="3"/>
  <c r="F48" i="3"/>
  <c r="F52" i="3"/>
  <c r="H3" i="27"/>
  <c r="H22" i="27"/>
  <c r="H26" i="27"/>
  <c r="S15" i="6"/>
  <c r="D4" i="4"/>
  <c r="E4" i="20"/>
  <c r="F4" i="3"/>
  <c r="F12" i="3"/>
  <c r="D69" i="3"/>
  <c r="K4" i="20"/>
  <c r="U119" i="3"/>
  <c r="E3" i="10"/>
  <c r="AG1" i="19"/>
  <c r="L113" i="3"/>
  <c r="U115" i="3"/>
  <c r="U111" i="3"/>
  <c r="L36" i="11"/>
  <c r="K7" i="11"/>
  <c r="K36" i="11"/>
  <c r="J38" i="11"/>
  <c r="E7" i="11"/>
  <c r="E36" i="11"/>
  <c r="M7" i="11"/>
  <c r="G9" i="11"/>
  <c r="G38" i="11" s="1"/>
  <c r="D8" i="11"/>
  <c r="I5" i="29"/>
  <c r="AD18" i="19"/>
  <c r="AI18" i="19"/>
  <c r="AJ18" i="19"/>
  <c r="AD19" i="19"/>
  <c r="AI19" i="19"/>
  <c r="AJ19" i="19"/>
  <c r="AD12" i="19"/>
  <c r="AI12" i="19"/>
  <c r="AJ12" i="19"/>
  <c r="AD22" i="19"/>
  <c r="AI22" i="19"/>
  <c r="AJ22" i="19"/>
  <c r="AD32" i="19"/>
  <c r="AI32" i="19"/>
  <c r="AJ32" i="19"/>
  <c r="AD23" i="19"/>
  <c r="AI23" i="19"/>
  <c r="AJ23" i="19"/>
  <c r="AD27" i="19"/>
  <c r="AI27" i="19"/>
  <c r="AJ27" i="19"/>
  <c r="AD28" i="19"/>
  <c r="AI28" i="19"/>
  <c r="AJ28" i="19"/>
  <c r="I12" i="29"/>
  <c r="AB7" i="19"/>
  <c r="AD7" i="19"/>
  <c r="I33" i="29"/>
  <c r="I25" i="29"/>
  <c r="AB33" i="19"/>
  <c r="AD33" i="19"/>
  <c r="AI33" i="19"/>
  <c r="AJ33" i="19"/>
  <c r="I22" i="29"/>
  <c r="I18" i="29"/>
  <c r="I4" i="29"/>
  <c r="I3" i="29"/>
  <c r="AB25" i="19"/>
  <c r="AD25" i="19"/>
  <c r="AI25" i="19"/>
  <c r="AJ25" i="19"/>
  <c r="I8" i="29"/>
  <c r="I19" i="29"/>
  <c r="I29" i="29"/>
  <c r="AB34" i="19"/>
  <c r="AD34" i="19"/>
  <c r="AI34" i="19"/>
  <c r="AJ34" i="19"/>
  <c r="I27" i="29"/>
  <c r="AB13" i="19"/>
  <c r="AD13" i="19"/>
  <c r="I15" i="29"/>
  <c r="I20" i="29"/>
  <c r="I30" i="29"/>
  <c r="AB43" i="19"/>
  <c r="AD43" i="19"/>
  <c r="AI43" i="19"/>
  <c r="AJ43" i="19"/>
  <c r="AB15" i="19"/>
  <c r="AD15" i="19"/>
  <c r="AI15" i="19"/>
  <c r="AJ15" i="19"/>
  <c r="I11" i="29"/>
  <c r="I16" i="29"/>
  <c r="I21" i="29"/>
  <c r="I6" i="29"/>
  <c r="AD38" i="19"/>
  <c r="AI38" i="19"/>
  <c r="AJ38" i="19"/>
  <c r="AD8" i="19"/>
  <c r="AI8" i="19"/>
  <c r="AJ8" i="19"/>
  <c r="AD42" i="19"/>
  <c r="AI42" i="19"/>
  <c r="AJ42" i="19"/>
  <c r="AD29" i="19"/>
  <c r="AI29" i="19"/>
  <c r="AJ29" i="19"/>
  <c r="AD35" i="19"/>
  <c r="AI35" i="19"/>
  <c r="AJ35" i="19"/>
  <c r="AB17" i="19"/>
  <c r="AD17" i="19"/>
  <c r="AI17" i="19"/>
  <c r="AJ17" i="19"/>
  <c r="AB37" i="19"/>
  <c r="AD9" i="19"/>
  <c r="AI9" i="19"/>
  <c r="AJ9" i="19"/>
  <c r="AD14" i="19"/>
  <c r="AI14" i="19"/>
  <c r="AJ14" i="19"/>
  <c r="I13" i="29"/>
  <c r="AB39" i="19"/>
  <c r="AD20" i="19"/>
  <c r="AI20" i="19"/>
  <c r="AJ20" i="19"/>
  <c r="AD24" i="19"/>
  <c r="AI24" i="19"/>
  <c r="AJ24" i="19"/>
  <c r="AB44" i="19"/>
  <c r="AD45" i="19"/>
  <c r="AI45" i="19"/>
  <c r="AJ45" i="19"/>
  <c r="I14" i="29"/>
  <c r="AD10" i="19"/>
  <c r="AI10" i="19"/>
  <c r="AJ10" i="19"/>
  <c r="AD30" i="19"/>
  <c r="AI30" i="19"/>
  <c r="AJ30" i="19"/>
  <c r="AD40" i="19"/>
  <c r="AI40" i="19"/>
  <c r="AJ40" i="19"/>
  <c r="F56" i="3"/>
  <c r="U93" i="3"/>
  <c r="U88" i="3"/>
  <c r="U86" i="3"/>
  <c r="U87" i="3"/>
  <c r="U89" i="3"/>
  <c r="U92" i="3"/>
  <c r="U85" i="3"/>
  <c r="F85" i="3"/>
  <c r="J16" i="20"/>
  <c r="AA16" i="20"/>
  <c r="U90" i="3"/>
  <c r="F10" i="3"/>
  <c r="D67" i="3"/>
  <c r="R92" i="3"/>
  <c r="R85" i="3"/>
  <c r="R94" i="3"/>
  <c r="R87" i="3"/>
  <c r="R91" i="3"/>
  <c r="D78" i="3"/>
  <c r="N7" i="4"/>
  <c r="T7" i="4"/>
  <c r="E7" i="2"/>
  <c r="F58" i="3"/>
  <c r="O89" i="3"/>
  <c r="O87" i="3"/>
  <c r="F9" i="3"/>
  <c r="D66" i="3"/>
  <c r="D74" i="3"/>
  <c r="F59" i="3"/>
  <c r="F63" i="3"/>
  <c r="L89" i="3"/>
  <c r="E91" i="3"/>
  <c r="E92" i="3"/>
  <c r="E88" i="3"/>
  <c r="L88" i="3"/>
  <c r="D91" i="3"/>
  <c r="D87" i="3"/>
  <c r="D89" i="3"/>
  <c r="D88" i="3"/>
  <c r="D79" i="3"/>
  <c r="N8" i="4"/>
  <c r="T8" i="4"/>
  <c r="E8" i="2"/>
  <c r="D83" i="3"/>
  <c r="N12" i="4"/>
  <c r="T12" i="4"/>
  <c r="E12" i="2"/>
  <c r="L94" i="3"/>
  <c r="L87" i="3"/>
  <c r="X22" i="20"/>
  <c r="D93" i="3"/>
  <c r="D77" i="3"/>
  <c r="N6" i="4"/>
  <c r="T6" i="4"/>
  <c r="D81" i="3"/>
  <c r="N10" i="4"/>
  <c r="T10" i="4"/>
  <c r="E10" i="2"/>
  <c r="D94" i="3"/>
  <c r="D86" i="3"/>
  <c r="D75" i="3"/>
  <c r="N4" i="4"/>
  <c r="T4" i="4"/>
  <c r="U16" i="20"/>
  <c r="E16" i="20"/>
  <c r="L90" i="3"/>
  <c r="E89" i="3"/>
  <c r="D65" i="3"/>
  <c r="D41" i="14"/>
  <c r="D85" i="3"/>
  <c r="D90" i="3"/>
  <c r="E93" i="3"/>
  <c r="E85" i="3"/>
  <c r="E90" i="3"/>
  <c r="D92" i="3"/>
  <c r="D76" i="3"/>
  <c r="N5" i="4"/>
  <c r="T5" i="4"/>
  <c r="D80" i="3"/>
  <c r="N9" i="4"/>
  <c r="T9" i="4"/>
  <c r="E9" i="2"/>
  <c r="D84" i="3"/>
  <c r="N13" i="4"/>
  <c r="T13" i="4"/>
  <c r="D82" i="3"/>
  <c r="N11" i="4"/>
  <c r="T11" i="4"/>
  <c r="D8" i="14"/>
  <c r="D4" i="14"/>
  <c r="I94" i="3"/>
  <c r="I91" i="3"/>
  <c r="I93" i="3"/>
  <c r="D10" i="14"/>
  <c r="I88" i="3"/>
  <c r="V22" i="20"/>
  <c r="D7" i="14"/>
  <c r="I105" i="3"/>
  <c r="I109" i="3"/>
  <c r="I113" i="3"/>
  <c r="I118" i="3"/>
  <c r="I120" i="3"/>
  <c r="I122" i="3"/>
  <c r="I124" i="3"/>
  <c r="I92" i="3"/>
  <c r="I90" i="3"/>
  <c r="T22" i="20"/>
  <c r="I86" i="3"/>
  <c r="U22" i="20"/>
  <c r="I89" i="3"/>
  <c r="E86" i="3"/>
  <c r="E94" i="3"/>
  <c r="E87" i="3"/>
  <c r="D13" i="14"/>
  <c r="I87" i="3"/>
  <c r="I115" i="3"/>
  <c r="E8" i="11"/>
  <c r="E37" i="11" s="1"/>
  <c r="B5" i="2"/>
  <c r="T14" i="6"/>
  <c r="E11" i="2"/>
  <c r="AB22" i="20"/>
  <c r="D15" i="4"/>
  <c r="D14" i="4"/>
  <c r="D21" i="28"/>
  <c r="D7" i="28"/>
  <c r="D5" i="28"/>
  <c r="F16" i="28"/>
  <c r="G16" i="28"/>
  <c r="D6" i="28"/>
  <c r="B14" i="2"/>
  <c r="Y22" i="20"/>
  <c r="E14" i="6"/>
  <c r="H14" i="6"/>
  <c r="E13" i="2"/>
  <c r="E5" i="2"/>
  <c r="W22" i="20"/>
  <c r="V8" i="20"/>
  <c r="F89" i="3"/>
  <c r="E6" i="2"/>
  <c r="D4" i="20"/>
  <c r="M4" i="20"/>
  <c r="AJ31" i="19"/>
  <c r="AJ16" i="19"/>
  <c r="AJ26" i="19"/>
  <c r="AJ21" i="19"/>
  <c r="AI7" i="19"/>
  <c r="AJ7" i="19"/>
  <c r="AI13" i="19"/>
  <c r="AJ13" i="19"/>
  <c r="AJ11" i="19"/>
  <c r="AD37" i="19"/>
  <c r="AI37" i="19"/>
  <c r="AJ37" i="19"/>
  <c r="AD39" i="19"/>
  <c r="AI39" i="19"/>
  <c r="AJ39" i="19"/>
  <c r="AD44" i="19"/>
  <c r="AI44" i="19"/>
  <c r="AJ44" i="19"/>
  <c r="AJ41" i="19"/>
  <c r="F93" i="3"/>
  <c r="F88" i="3"/>
  <c r="AA22" i="20"/>
  <c r="F92" i="3"/>
  <c r="F91" i="3"/>
  <c r="F94" i="3"/>
  <c r="F90" i="3"/>
  <c r="F87" i="3"/>
  <c r="AC4" i="20"/>
  <c r="N14" i="4"/>
  <c r="M17" i="20"/>
  <c r="F86" i="3"/>
  <c r="AC17" i="20"/>
  <c r="T16" i="20"/>
  <c r="AC16" i="20"/>
  <c r="E4" i="2"/>
  <c r="E14" i="2"/>
  <c r="T14" i="4"/>
  <c r="G77" i="9"/>
  <c r="U11" i="20"/>
  <c r="AE52" i="19"/>
  <c r="N46" i="9"/>
  <c r="N47" i="9" s="1"/>
  <c r="L6" i="20" s="1"/>
  <c r="J46" i="9"/>
  <c r="H46" i="9"/>
  <c r="H47" i="9" s="1"/>
  <c r="AJ36" i="19"/>
  <c r="G46" i="9"/>
  <c r="AJ6" i="19"/>
  <c r="I46" i="9"/>
  <c r="K46" i="9"/>
  <c r="AI51" i="19"/>
  <c r="AG3" i="19"/>
  <c r="AC22" i="20"/>
  <c r="D16" i="20"/>
  <c r="M16" i="20"/>
  <c r="J77" i="9"/>
  <c r="X11" i="20"/>
  <c r="I77" i="9"/>
  <c r="W11" i="20"/>
  <c r="E86" i="9"/>
  <c r="L8" i="11"/>
  <c r="E87" i="9"/>
  <c r="M8" i="11"/>
  <c r="M37" i="11" s="1"/>
  <c r="E83" i="9"/>
  <c r="I8" i="11"/>
  <c r="I37" i="11" s="1"/>
  <c r="H77" i="9"/>
  <c r="V11" i="20"/>
  <c r="G47" i="9"/>
  <c r="E6" i="20"/>
  <c r="E5" i="20" s="1"/>
  <c r="J47" i="9"/>
  <c r="J35" i="9" s="1"/>
  <c r="J3" i="9" s="1"/>
  <c r="H6" i="20"/>
  <c r="H5" i="20" s="1"/>
  <c r="K47" i="9"/>
  <c r="L46" i="9"/>
  <c r="F6" i="20"/>
  <c r="F5" i="20" s="1"/>
  <c r="H35" i="9"/>
  <c r="V6" i="20" s="1"/>
  <c r="AJ51" i="19"/>
  <c r="F46" i="9"/>
  <c r="N35" i="9"/>
  <c r="AB6" i="20" s="1"/>
  <c r="L5" i="20"/>
  <c r="K77" i="9"/>
  <c r="Y11" i="20" s="1"/>
  <c r="L77" i="9"/>
  <c r="Z11" i="20" s="1"/>
  <c r="E85" i="9"/>
  <c r="K8" i="11" s="1"/>
  <c r="K37" i="11" s="1"/>
  <c r="L37" i="11"/>
  <c r="E81" i="9"/>
  <c r="E82" i="9"/>
  <c r="H8" i="11" s="1"/>
  <c r="H37" i="11" s="1"/>
  <c r="E84" i="9"/>
  <c r="J8" i="11" s="1"/>
  <c r="J37" i="11" s="1"/>
  <c r="E80" i="9"/>
  <c r="F8" i="11" s="1"/>
  <c r="F37" i="11" s="1"/>
  <c r="M11" i="20"/>
  <c r="O80" i="9"/>
  <c r="P80" i="9" s="1"/>
  <c r="F77" i="9"/>
  <c r="N77" i="9"/>
  <c r="AB11" i="20"/>
  <c r="M23" i="20"/>
  <c r="AA19" i="20"/>
  <c r="AL38" i="19"/>
  <c r="AL35" i="19"/>
  <c r="AL15" i="19"/>
  <c r="AL12" i="19"/>
  <c r="AL42" i="19"/>
  <c r="AL30" i="19"/>
  <c r="AL10" i="19"/>
  <c r="AL20" i="19"/>
  <c r="AL43" i="19"/>
  <c r="AL8" i="19"/>
  <c r="AL32" i="19"/>
  <c r="AL9" i="19"/>
  <c r="AL34" i="19"/>
  <c r="AL33" i="19"/>
  <c r="AL17" i="19"/>
  <c r="AL24" i="19"/>
  <c r="AL22" i="19"/>
  <c r="AL45" i="19"/>
  <c r="AL23" i="19"/>
  <c r="AL25" i="19"/>
  <c r="AL29" i="19"/>
  <c r="AL28" i="19"/>
  <c r="AL18" i="19"/>
  <c r="AL40" i="19"/>
  <c r="AL27" i="19"/>
  <c r="AL14" i="19"/>
  <c r="AL19" i="19"/>
  <c r="AL16" i="19"/>
  <c r="AL39" i="19"/>
  <c r="AL37" i="19"/>
  <c r="AL21" i="19"/>
  <c r="AL41" i="19"/>
  <c r="AL13" i="19"/>
  <c r="AL44" i="19"/>
  <c r="AL31" i="19"/>
  <c r="AL26" i="19"/>
  <c r="AL11" i="19"/>
  <c r="AL7" i="19"/>
  <c r="L47" i="9"/>
  <c r="J6" i="20"/>
  <c r="J5" i="20" s="1"/>
  <c r="L35" i="9"/>
  <c r="Z6" i="20" s="1"/>
  <c r="AL36" i="19"/>
  <c r="AL6" i="19"/>
  <c r="AA15" i="20"/>
  <c r="M3" i="9" l="1"/>
  <c r="E57" i="9"/>
  <c r="E56" i="9"/>
  <c r="X6" i="20"/>
  <c r="X5" i="20" s="1"/>
  <c r="N66" i="3"/>
  <c r="O66" i="3" s="1"/>
  <c r="N96" i="3" s="1"/>
  <c r="O96" i="3" s="1"/>
  <c r="V7" i="20"/>
  <c r="V5" i="20" s="1"/>
  <c r="H3" i="9"/>
  <c r="I36" i="11"/>
  <c r="O7" i="6"/>
  <c r="P7" i="6" s="1"/>
  <c r="G43" i="11"/>
  <c r="M43" i="11"/>
  <c r="O13" i="6"/>
  <c r="P13" i="6" s="1"/>
  <c r="F11" i="11"/>
  <c r="C11" i="11" s="1"/>
  <c r="E170" i="9"/>
  <c r="I43" i="11"/>
  <c r="L7" i="6"/>
  <c r="M7" i="6" s="1"/>
  <c r="F47" i="9"/>
  <c r="D6" i="20"/>
  <c r="O46" i="9"/>
  <c r="G35" i="9"/>
  <c r="U6" i="20" s="1"/>
  <c r="U5" i="20" s="1"/>
  <c r="F9" i="11"/>
  <c r="F38" i="11" s="1"/>
  <c r="M4" i="6"/>
  <c r="N3" i="9"/>
  <c r="AB7" i="20"/>
  <c r="AB5" i="20" s="1"/>
  <c r="AA5" i="20"/>
  <c r="U8" i="20"/>
  <c r="AC8" i="20" s="1"/>
  <c r="E5" i="9"/>
  <c r="C8" i="11"/>
  <c r="D37" i="11"/>
  <c r="C37" i="11" s="1"/>
  <c r="E46" i="9"/>
  <c r="E25" i="9"/>
  <c r="L3" i="9"/>
  <c r="M36" i="11"/>
  <c r="C13" i="11"/>
  <c r="U7" i="20"/>
  <c r="AC7" i="20" s="1"/>
  <c r="M11" i="11"/>
  <c r="I6" i="20"/>
  <c r="I5" i="20" s="1"/>
  <c r="K35" i="9"/>
  <c r="Z5" i="20"/>
  <c r="E77" i="9"/>
  <c r="T11" i="20"/>
  <c r="AC11" i="20" s="1"/>
  <c r="D39" i="11"/>
  <c r="O11" i="6"/>
  <c r="P11" i="6" s="1"/>
  <c r="I40" i="11"/>
  <c r="L9" i="6"/>
  <c r="M9" i="6" s="1"/>
  <c r="C12" i="11"/>
  <c r="L40" i="11"/>
  <c r="C42" i="11"/>
  <c r="AC14" i="20"/>
  <c r="L5" i="6"/>
  <c r="M5" i="6" s="1"/>
  <c r="E40" i="11"/>
  <c r="H36" i="11"/>
  <c r="I47" i="9"/>
  <c r="I35" i="9" s="1"/>
  <c r="G6" i="20"/>
  <c r="G5" i="20" s="1"/>
  <c r="M102" i="9"/>
  <c r="M103" i="9" s="1"/>
  <c r="M104" i="9" s="1"/>
  <c r="M105" i="9" s="1"/>
  <c r="M106" i="9" s="1"/>
  <c r="M107" i="9" s="1"/>
  <c r="M108" i="9" s="1"/>
  <c r="M98" i="9"/>
  <c r="J36" i="11"/>
  <c r="L9" i="11"/>
  <c r="L38" i="11" s="1"/>
  <c r="H43" i="11"/>
  <c r="O8" i="6"/>
  <c r="P8" i="6" s="1"/>
  <c r="K10" i="20"/>
  <c r="N67" i="3"/>
  <c r="O67" i="3" s="1"/>
  <c r="N97" i="3" s="1"/>
  <c r="O97" i="3" s="1"/>
  <c r="K69" i="3"/>
  <c r="L69" i="3" s="1"/>
  <c r="K99" i="3" s="1"/>
  <c r="L99" i="3" s="1"/>
  <c r="N74" i="3"/>
  <c r="N84" i="3" s="1"/>
  <c r="O84" i="3" s="1"/>
  <c r="Q65" i="3"/>
  <c r="R65" i="3" s="1"/>
  <c r="Q95" i="3" s="1"/>
  <c r="R95" i="3" s="1"/>
  <c r="K71" i="3"/>
  <c r="L71" i="3" s="1"/>
  <c r="K101" i="3" s="1"/>
  <c r="L101" i="3" s="1"/>
  <c r="K74" i="3"/>
  <c r="L74" i="3" s="1"/>
  <c r="K104" i="3" s="1"/>
  <c r="L104" i="3" s="1"/>
  <c r="K67" i="3"/>
  <c r="L67" i="3" s="1"/>
  <c r="K97" i="3" s="1"/>
  <c r="L97" i="3" s="1"/>
  <c r="N73" i="3"/>
  <c r="O73" i="3" s="1"/>
  <c r="N103" i="3" s="1"/>
  <c r="O103" i="3" s="1"/>
  <c r="N70" i="3"/>
  <c r="O70" i="3" s="1"/>
  <c r="N100" i="3" s="1"/>
  <c r="O100" i="3" s="1"/>
  <c r="H73" i="3"/>
  <c r="I73" i="3" s="1"/>
  <c r="H103" i="3" s="1"/>
  <c r="H67" i="3"/>
  <c r="I67" i="3" s="1"/>
  <c r="H97" i="3" s="1"/>
  <c r="I97" i="3" s="1"/>
  <c r="H74" i="3"/>
  <c r="I74" i="3" s="1"/>
  <c r="H104" i="3" s="1"/>
  <c r="H65" i="3"/>
  <c r="I65" i="3" s="1"/>
  <c r="H95" i="3" s="1"/>
  <c r="I95" i="3" s="1"/>
  <c r="Q71" i="3"/>
  <c r="R71" i="3" s="1"/>
  <c r="Q101" i="3" s="1"/>
  <c r="R101" i="3" s="1"/>
  <c r="T65" i="3"/>
  <c r="U65" i="3" s="1"/>
  <c r="T95" i="3" s="1"/>
  <c r="U95" i="3" s="1"/>
  <c r="Q66" i="3"/>
  <c r="R66" i="3" s="1"/>
  <c r="Q96" i="3" s="1"/>
  <c r="R96" i="3" s="1"/>
  <c r="N69" i="3"/>
  <c r="O69" i="3" s="1"/>
  <c r="N99" i="3" s="1"/>
  <c r="O99" i="3" s="1"/>
  <c r="N71" i="3"/>
  <c r="O71" i="3" s="1"/>
  <c r="N101" i="3" s="1"/>
  <c r="O101" i="3" s="1"/>
  <c r="K66" i="3"/>
  <c r="L66" i="3" s="1"/>
  <c r="K96" i="3" s="1"/>
  <c r="L96" i="3" s="1"/>
  <c r="H134" i="3"/>
  <c r="D33" i="14" s="1"/>
  <c r="T131" i="3"/>
  <c r="U131" i="3" s="1"/>
  <c r="T66" i="3"/>
  <c r="U66" i="3" s="1"/>
  <c r="T96" i="3" s="1"/>
  <c r="U96" i="3" s="1"/>
  <c r="Q74" i="3"/>
  <c r="Q84" i="3" s="1"/>
  <c r="R84" i="3" s="1"/>
  <c r="H70" i="3"/>
  <c r="H80" i="3" s="1"/>
  <c r="I80" i="3" s="1"/>
  <c r="Q69" i="3"/>
  <c r="R69" i="3" s="1"/>
  <c r="Q99" i="3" s="1"/>
  <c r="R99" i="3" s="1"/>
  <c r="H69" i="3"/>
  <c r="I69" i="3" s="1"/>
  <c r="H99" i="3" s="1"/>
  <c r="Q68" i="3"/>
  <c r="R68" i="3" s="1"/>
  <c r="Q98" i="3" s="1"/>
  <c r="R98" i="3" s="1"/>
  <c r="K65" i="3"/>
  <c r="L65" i="3" s="1"/>
  <c r="K95" i="3" s="1"/>
  <c r="L95" i="3" s="1"/>
  <c r="N68" i="3"/>
  <c r="O68" i="3" s="1"/>
  <c r="N98" i="3" s="1"/>
  <c r="O98" i="3" s="1"/>
  <c r="H66" i="3"/>
  <c r="I66" i="3" s="1"/>
  <c r="K70" i="3"/>
  <c r="L70" i="3" s="1"/>
  <c r="K100" i="3" s="1"/>
  <c r="Q67" i="3"/>
  <c r="Q77" i="3" s="1"/>
  <c r="R77" i="3" s="1"/>
  <c r="N72" i="3"/>
  <c r="O72" i="3" s="1"/>
  <c r="N102" i="3" s="1"/>
  <c r="O102" i="3" s="1"/>
  <c r="H68" i="3"/>
  <c r="I68" i="3" s="1"/>
  <c r="H98" i="3" s="1"/>
  <c r="I98" i="3" s="1"/>
  <c r="H71" i="3"/>
  <c r="I71" i="3" s="1"/>
  <c r="H101" i="3" s="1"/>
  <c r="N65" i="3"/>
  <c r="O65" i="3" s="1"/>
  <c r="N95" i="3" s="1"/>
  <c r="O95" i="3" s="1"/>
  <c r="H72" i="3"/>
  <c r="I72" i="3" s="1"/>
  <c r="H102" i="3" s="1"/>
  <c r="I102" i="3" s="1"/>
  <c r="Q72" i="3"/>
  <c r="R72" i="3" s="1"/>
  <c r="Q102" i="3" s="1"/>
  <c r="R102" i="3" s="1"/>
  <c r="Q70" i="3"/>
  <c r="R70" i="3" s="1"/>
  <c r="Q100" i="3" s="1"/>
  <c r="R100" i="3" s="1"/>
  <c r="K68" i="3"/>
  <c r="K78" i="3" s="1"/>
  <c r="L78" i="3" s="1"/>
  <c r="K72" i="3"/>
  <c r="L72" i="3" s="1"/>
  <c r="K102" i="3" s="1"/>
  <c r="Q73" i="3"/>
  <c r="R73" i="3" s="1"/>
  <c r="Q103" i="3" s="1"/>
  <c r="R103" i="3" s="1"/>
  <c r="C5" i="6"/>
  <c r="D5" i="6" s="1"/>
  <c r="F12" i="6"/>
  <c r="G12" i="6" s="1"/>
  <c r="F13" i="6"/>
  <c r="G13" i="6" s="1"/>
  <c r="C9" i="6"/>
  <c r="D9" i="6" s="1"/>
  <c r="K73" i="3"/>
  <c r="N76" i="3"/>
  <c r="O76" i="3" s="1"/>
  <c r="F8" i="6"/>
  <c r="G8" i="6" s="1"/>
  <c r="C11" i="6"/>
  <c r="D11" i="6" s="1"/>
  <c r="F6" i="6"/>
  <c r="G6" i="6" s="1"/>
  <c r="C8" i="6"/>
  <c r="D8" i="6" s="1"/>
  <c r="C6" i="6"/>
  <c r="D6" i="6" s="1"/>
  <c r="N128" i="3"/>
  <c r="O128" i="3" s="1"/>
  <c r="N129" i="3"/>
  <c r="O129" i="3" s="1"/>
  <c r="H127" i="3"/>
  <c r="D26" i="14" s="1"/>
  <c r="K126" i="3"/>
  <c r="D60" i="14" s="1"/>
  <c r="Q128" i="3"/>
  <c r="R128" i="3" s="1"/>
  <c r="K134" i="3"/>
  <c r="L134" i="3" s="1"/>
  <c r="N125" i="3"/>
  <c r="O125" i="3" s="1"/>
  <c r="Q127" i="3"/>
  <c r="R127" i="3" s="1"/>
  <c r="T134" i="3"/>
  <c r="C13" i="6"/>
  <c r="D13" i="6" s="1"/>
  <c r="F10" i="6"/>
  <c r="G10" i="6" s="1"/>
  <c r="C7" i="6"/>
  <c r="D7" i="6" s="1"/>
  <c r="F11" i="6"/>
  <c r="F7" i="6"/>
  <c r="G7" i="6" s="1"/>
  <c r="F9" i="6"/>
  <c r="G9" i="6" s="1"/>
  <c r="F5" i="6"/>
  <c r="C10" i="6"/>
  <c r="D10" i="6" s="1"/>
  <c r="C12" i="6"/>
  <c r="C4" i="6"/>
  <c r="D30" i="14"/>
  <c r="I131" i="3"/>
  <c r="Q126" i="3"/>
  <c r="R126" i="3" s="1"/>
  <c r="N133" i="3"/>
  <c r="O133" i="3" s="1"/>
  <c r="Q132" i="3"/>
  <c r="R132" i="3" s="1"/>
  <c r="T127" i="3"/>
  <c r="T129" i="3"/>
  <c r="N126" i="3"/>
  <c r="O126" i="3" s="1"/>
  <c r="K133" i="3"/>
  <c r="H125" i="3"/>
  <c r="K132" i="3"/>
  <c r="H129" i="3"/>
  <c r="N130" i="3"/>
  <c r="O130" i="3" s="1"/>
  <c r="K131" i="3"/>
  <c r="H132" i="3"/>
  <c r="Q133" i="3"/>
  <c r="R133" i="3" s="1"/>
  <c r="T125" i="3"/>
  <c r="K129" i="3"/>
  <c r="K125" i="3"/>
  <c r="K130" i="3"/>
  <c r="N131" i="3"/>
  <c r="O131" i="3" s="1"/>
  <c r="H133" i="3"/>
  <c r="H130" i="3"/>
  <c r="N132" i="3"/>
  <c r="O132" i="3" s="1"/>
  <c r="K128" i="3"/>
  <c r="T128" i="3"/>
  <c r="N127" i="3"/>
  <c r="O127" i="3" s="1"/>
  <c r="T130" i="3"/>
  <c r="T126" i="3"/>
  <c r="T133" i="3"/>
  <c r="Q125" i="3"/>
  <c r="R125" i="3" s="1"/>
  <c r="T132" i="3"/>
  <c r="Q130" i="3"/>
  <c r="R130" i="3" s="1"/>
  <c r="K127" i="3"/>
  <c r="Q131" i="3"/>
  <c r="R131" i="3" s="1"/>
  <c r="Q129" i="3"/>
  <c r="R129" i="3" s="1"/>
  <c r="N134" i="3"/>
  <c r="O134" i="3" s="1"/>
  <c r="Q134" i="3"/>
  <c r="R134" i="3" s="1"/>
  <c r="H128" i="3"/>
  <c r="H126" i="3"/>
  <c r="T71" i="3"/>
  <c r="T72" i="3"/>
  <c r="T68" i="3"/>
  <c r="T83" i="3"/>
  <c r="U73" i="3"/>
  <c r="T103" i="3" s="1"/>
  <c r="U103" i="3" s="1"/>
  <c r="T69" i="3"/>
  <c r="T74" i="3"/>
  <c r="T67" i="3"/>
  <c r="T70" i="3"/>
  <c r="T75" i="3" l="1"/>
  <c r="U75" i="3" s="1"/>
  <c r="W6" i="20"/>
  <c r="W5" i="20" s="1"/>
  <c r="I3" i="9"/>
  <c r="D38" i="11"/>
  <c r="I4" i="6"/>
  <c r="J4" i="6" s="1"/>
  <c r="M40" i="11"/>
  <c r="L13" i="6"/>
  <c r="M13" i="6" s="1"/>
  <c r="E47" i="9"/>
  <c r="F35" i="9"/>
  <c r="AA10" i="20"/>
  <c r="AA9" i="20" s="1"/>
  <c r="M76" i="9"/>
  <c r="E4" i="9"/>
  <c r="D7" i="11"/>
  <c r="G3" i="9"/>
  <c r="L6" i="6"/>
  <c r="F40" i="11"/>
  <c r="C40" i="11" s="1"/>
  <c r="D5" i="20"/>
  <c r="M5" i="20" s="1"/>
  <c r="M6" i="20"/>
  <c r="Y6" i="20"/>
  <c r="Y5" i="20" s="1"/>
  <c r="K3" i="9"/>
  <c r="K84" i="3"/>
  <c r="L84" i="3" s="1"/>
  <c r="K77" i="3"/>
  <c r="L77" i="3" s="1"/>
  <c r="H77" i="3"/>
  <c r="I77" i="3" s="1"/>
  <c r="Q81" i="3"/>
  <c r="R81" i="3" s="1"/>
  <c r="Q75" i="3"/>
  <c r="R75" i="3" s="1"/>
  <c r="H82" i="3"/>
  <c r="I82" i="3" s="1"/>
  <c r="H75" i="3"/>
  <c r="I75" i="3" s="1"/>
  <c r="D135" i="14"/>
  <c r="N77" i="3"/>
  <c r="O77" i="3" s="1"/>
  <c r="F66" i="3"/>
  <c r="O74" i="3"/>
  <c r="N104" i="3" s="1"/>
  <c r="O104" i="3" s="1"/>
  <c r="K79" i="3"/>
  <c r="L79" i="3" s="1"/>
  <c r="K76" i="3"/>
  <c r="L76" i="3" s="1"/>
  <c r="N80" i="3"/>
  <c r="O80" i="3" s="1"/>
  <c r="N83" i="3"/>
  <c r="O83" i="3" s="1"/>
  <c r="K81" i="3"/>
  <c r="L81" i="3" s="1"/>
  <c r="Q76" i="3"/>
  <c r="R76" i="3" s="1"/>
  <c r="N81" i="3"/>
  <c r="O81" i="3" s="1"/>
  <c r="F65" i="3"/>
  <c r="Q79" i="3"/>
  <c r="R79" i="3" s="1"/>
  <c r="N79" i="3"/>
  <c r="O79" i="3" s="1"/>
  <c r="H83" i="3"/>
  <c r="I83" i="3" s="1"/>
  <c r="H84" i="3"/>
  <c r="I84" i="3" s="1"/>
  <c r="I134" i="3"/>
  <c r="E65" i="3"/>
  <c r="Q82" i="3"/>
  <c r="R82" i="3" s="1"/>
  <c r="H96" i="3"/>
  <c r="E96" i="3" s="1"/>
  <c r="I5" i="4" s="1"/>
  <c r="E66" i="3"/>
  <c r="N78" i="3"/>
  <c r="O78" i="3" s="1"/>
  <c r="N75" i="3"/>
  <c r="O75" i="3" s="1"/>
  <c r="K75" i="3"/>
  <c r="L75" i="3" s="1"/>
  <c r="K82" i="3"/>
  <c r="L82" i="3" s="1"/>
  <c r="K80" i="3"/>
  <c r="L80" i="3" s="1"/>
  <c r="N82" i="3"/>
  <c r="O82" i="3" s="1"/>
  <c r="R74" i="3"/>
  <c r="Q104" i="3" s="1"/>
  <c r="R104" i="3" s="1"/>
  <c r="Q80" i="3"/>
  <c r="R80" i="3" s="1"/>
  <c r="E73" i="3"/>
  <c r="H76" i="3"/>
  <c r="I76" i="3" s="1"/>
  <c r="R67" i="3"/>
  <c r="Q97" i="3" s="1"/>
  <c r="R97" i="3" s="1"/>
  <c r="I70" i="3"/>
  <c r="H100" i="3" s="1"/>
  <c r="I100" i="3" s="1"/>
  <c r="T76" i="3"/>
  <c r="U76" i="3" s="1"/>
  <c r="L68" i="3"/>
  <c r="K98" i="3" s="1"/>
  <c r="L98" i="3" s="1"/>
  <c r="H78" i="3"/>
  <c r="I78" i="3" s="1"/>
  <c r="H79" i="3"/>
  <c r="I79" i="3" s="1"/>
  <c r="H81" i="3"/>
  <c r="I81" i="3" s="1"/>
  <c r="Q83" i="3"/>
  <c r="R83" i="3" s="1"/>
  <c r="E71" i="3"/>
  <c r="Q78" i="3"/>
  <c r="R78" i="3" s="1"/>
  <c r="D68" i="14"/>
  <c r="L73" i="3"/>
  <c r="K103" i="3" s="1"/>
  <c r="L103" i="3" s="1"/>
  <c r="K83" i="3"/>
  <c r="L83" i="3" s="1"/>
  <c r="I127" i="3"/>
  <c r="L126" i="3"/>
  <c r="E127" i="3"/>
  <c r="L6" i="4" s="1"/>
  <c r="M6" i="4" s="1"/>
  <c r="D138" i="14"/>
  <c r="U134" i="3"/>
  <c r="E95" i="3"/>
  <c r="I4" i="4" s="1"/>
  <c r="J4" i="4" s="1"/>
  <c r="C14" i="6"/>
  <c r="G11" i="6"/>
  <c r="D4" i="6"/>
  <c r="D12" i="6"/>
  <c r="G5" i="6"/>
  <c r="L131" i="3"/>
  <c r="F131" i="3" s="1"/>
  <c r="D65" i="14"/>
  <c r="L125" i="3"/>
  <c r="D59" i="14"/>
  <c r="L129" i="3"/>
  <c r="D63" i="14"/>
  <c r="D66" i="14"/>
  <c r="L132" i="3"/>
  <c r="D132" i="14"/>
  <c r="U128" i="3"/>
  <c r="I129" i="3"/>
  <c r="E129" i="3"/>
  <c r="L8" i="4" s="1"/>
  <c r="M8" i="4" s="1"/>
  <c r="D28" i="14"/>
  <c r="E126" i="3"/>
  <c r="L5" i="4" s="1"/>
  <c r="M5" i="4" s="1"/>
  <c r="I126" i="3"/>
  <c r="D25" i="14"/>
  <c r="U132" i="3"/>
  <c r="D136" i="14"/>
  <c r="I128" i="3"/>
  <c r="E128" i="3"/>
  <c r="L7" i="4" s="1"/>
  <c r="M7" i="4" s="1"/>
  <c r="D27" i="14"/>
  <c r="D62" i="14"/>
  <c r="L128" i="3"/>
  <c r="D129" i="14"/>
  <c r="U125" i="3"/>
  <c r="D24" i="14"/>
  <c r="I125" i="3"/>
  <c r="E125" i="3"/>
  <c r="L4" i="4" s="1"/>
  <c r="D32" i="14"/>
  <c r="E133" i="3"/>
  <c r="L12" i="4" s="1"/>
  <c r="M12" i="4" s="1"/>
  <c r="I133" i="3"/>
  <c r="D137" i="14"/>
  <c r="U133" i="3"/>
  <c r="D67" i="14"/>
  <c r="L133" i="3"/>
  <c r="D29" i="14"/>
  <c r="I130" i="3"/>
  <c r="E130" i="3"/>
  <c r="L9" i="4" s="1"/>
  <c r="M9" i="4" s="1"/>
  <c r="E132" i="3"/>
  <c r="L11" i="4" s="1"/>
  <c r="M11" i="4" s="1"/>
  <c r="D31" i="14"/>
  <c r="I132" i="3"/>
  <c r="E131" i="3"/>
  <c r="L10" i="4" s="1"/>
  <c r="M10" i="4" s="1"/>
  <c r="D130" i="14"/>
  <c r="U126" i="3"/>
  <c r="D133" i="14"/>
  <c r="U129" i="3"/>
  <c r="U130" i="3"/>
  <c r="D134" i="14"/>
  <c r="D131" i="14"/>
  <c r="U127" i="3"/>
  <c r="D61" i="14"/>
  <c r="L127" i="3"/>
  <c r="D64" i="14"/>
  <c r="L130" i="3"/>
  <c r="E134" i="3"/>
  <c r="L13" i="4" s="1"/>
  <c r="M13" i="4" s="1"/>
  <c r="U68" i="3"/>
  <c r="T78" i="3"/>
  <c r="E68" i="3"/>
  <c r="U72" i="3"/>
  <c r="E72" i="3"/>
  <c r="U71" i="3"/>
  <c r="T81" i="3"/>
  <c r="U81" i="3" s="1"/>
  <c r="T82" i="3"/>
  <c r="U82" i="3" s="1"/>
  <c r="U83" i="3"/>
  <c r="F95" i="3"/>
  <c r="U70" i="3"/>
  <c r="T80" i="3"/>
  <c r="E70" i="3"/>
  <c r="I103" i="3"/>
  <c r="L102" i="3"/>
  <c r="I101" i="3"/>
  <c r="I99" i="3"/>
  <c r="I104" i="3"/>
  <c r="T84" i="3"/>
  <c r="E74" i="3"/>
  <c r="U74" i="3"/>
  <c r="U67" i="3"/>
  <c r="T77" i="3"/>
  <c r="E67" i="3"/>
  <c r="E69" i="3"/>
  <c r="U69" i="3"/>
  <c r="T99" i="3" s="1"/>
  <c r="U99" i="3" s="1"/>
  <c r="T79" i="3"/>
  <c r="U79" i="3" s="1"/>
  <c r="L100" i="3"/>
  <c r="M6" i="6" l="1"/>
  <c r="L14" i="6"/>
  <c r="F3" i="9"/>
  <c r="K133" i="9" s="1"/>
  <c r="T6" i="20"/>
  <c r="D36" i="11"/>
  <c r="D15" i="11"/>
  <c r="C7" i="11"/>
  <c r="F4" i="6"/>
  <c r="E35" i="9"/>
  <c r="E3" i="9" s="1"/>
  <c r="I132" i="9"/>
  <c r="I131" i="9"/>
  <c r="I137" i="9"/>
  <c r="I135" i="9"/>
  <c r="F134" i="3"/>
  <c r="I96" i="3"/>
  <c r="F96" i="3" s="1"/>
  <c r="L21" i="20"/>
  <c r="L19" i="20" s="1"/>
  <c r="L15" i="20" s="1"/>
  <c r="F81" i="3"/>
  <c r="G21" i="20"/>
  <c r="I21" i="20"/>
  <c r="I19" i="20" s="1"/>
  <c r="I15" i="20" s="1"/>
  <c r="E75" i="3"/>
  <c r="O4" i="4" s="1"/>
  <c r="P4" i="4" s="1"/>
  <c r="J21" i="20"/>
  <c r="J19" i="20" s="1"/>
  <c r="J15" i="20" s="1"/>
  <c r="F75" i="3"/>
  <c r="Y21" i="20"/>
  <c r="Y19" i="20" s="1"/>
  <c r="Y15" i="20" s="1"/>
  <c r="H21" i="20"/>
  <c r="Z21" i="20"/>
  <c r="Z19" i="20" s="1"/>
  <c r="F82" i="3"/>
  <c r="AB21" i="20"/>
  <c r="AB19" i="20" s="1"/>
  <c r="E76" i="3"/>
  <c r="O5" i="4" s="1"/>
  <c r="P5" i="4" s="1"/>
  <c r="F76" i="3"/>
  <c r="X21" i="20"/>
  <c r="W21" i="20"/>
  <c r="F83" i="3"/>
  <c r="E83" i="3"/>
  <c r="O12" i="4" s="1"/>
  <c r="P12" i="4" s="1"/>
  <c r="E103" i="3"/>
  <c r="I12" i="4" s="1"/>
  <c r="F73" i="3"/>
  <c r="F103" i="3"/>
  <c r="F132" i="3"/>
  <c r="F127" i="3"/>
  <c r="F99" i="3"/>
  <c r="E81" i="3"/>
  <c r="O10" i="4" s="1"/>
  <c r="P10" i="4" s="1"/>
  <c r="F133" i="3"/>
  <c r="D15" i="6"/>
  <c r="D14" i="6"/>
  <c r="F126" i="3"/>
  <c r="F130" i="3"/>
  <c r="M4" i="4"/>
  <c r="L14" i="4"/>
  <c r="F125" i="3"/>
  <c r="F128" i="3"/>
  <c r="F129" i="3"/>
  <c r="F68" i="3"/>
  <c r="T98" i="3"/>
  <c r="F69" i="3"/>
  <c r="E82" i="3"/>
  <c r="O11" i="4" s="1"/>
  <c r="P11" i="4" s="1"/>
  <c r="F71" i="3"/>
  <c r="T101" i="3"/>
  <c r="T102" i="3"/>
  <c r="F72" i="3"/>
  <c r="E99" i="3"/>
  <c r="I8" i="4" s="1"/>
  <c r="J8" i="4" s="1"/>
  <c r="U78" i="3"/>
  <c r="F78" i="3" s="1"/>
  <c r="E78" i="3"/>
  <c r="O7" i="4" s="1"/>
  <c r="P7" i="4" s="1"/>
  <c r="E79" i="3"/>
  <c r="O8" i="4" s="1"/>
  <c r="P8" i="4" s="1"/>
  <c r="T100" i="3"/>
  <c r="F70" i="3"/>
  <c r="T97" i="3"/>
  <c r="F67" i="3"/>
  <c r="F79" i="3"/>
  <c r="T21" i="20"/>
  <c r="D21" i="20"/>
  <c r="E21" i="20"/>
  <c r="F21" i="20"/>
  <c r="V21" i="20"/>
  <c r="U21" i="20"/>
  <c r="E80" i="3"/>
  <c r="O9" i="4" s="1"/>
  <c r="P9" i="4" s="1"/>
  <c r="U80" i="3"/>
  <c r="F80" i="3" s="1"/>
  <c r="U77" i="3"/>
  <c r="F77" i="3" s="1"/>
  <c r="E77" i="3"/>
  <c r="O6" i="4" s="1"/>
  <c r="E84" i="3"/>
  <c r="O13" i="4" s="1"/>
  <c r="P13" i="4" s="1"/>
  <c r="U84" i="3"/>
  <c r="F84" i="3" s="1"/>
  <c r="U20" i="20"/>
  <c r="T104" i="3"/>
  <c r="F74" i="3"/>
  <c r="J5" i="4"/>
  <c r="E20" i="20"/>
  <c r="K137" i="9" l="1"/>
  <c r="K161" i="9"/>
  <c r="AH3" i="19"/>
  <c r="J121" i="9"/>
  <c r="J128" i="9"/>
  <c r="J123" i="9"/>
  <c r="J122" i="9"/>
  <c r="J101" i="9"/>
  <c r="J127" i="9"/>
  <c r="J106" i="9"/>
  <c r="J126" i="9"/>
  <c r="J103" i="9"/>
  <c r="J107" i="9"/>
  <c r="J105" i="9"/>
  <c r="J125" i="9"/>
  <c r="J124" i="9"/>
  <c r="J104" i="9"/>
  <c r="J108" i="9"/>
  <c r="J102" i="9"/>
  <c r="L105" i="9"/>
  <c r="L101" i="9"/>
  <c r="L102" i="9"/>
  <c r="H126" i="9"/>
  <c r="H103" i="9"/>
  <c r="L103" i="9"/>
  <c r="H128" i="9"/>
  <c r="N107" i="9"/>
  <c r="H121" i="9"/>
  <c r="L128" i="9"/>
  <c r="H125" i="9"/>
  <c r="H108" i="9"/>
  <c r="N105" i="9"/>
  <c r="N106" i="9"/>
  <c r="N108" i="9"/>
  <c r="L124" i="9"/>
  <c r="H102" i="9"/>
  <c r="L122" i="9"/>
  <c r="L106" i="9"/>
  <c r="L127" i="9"/>
  <c r="H124" i="9"/>
  <c r="N122" i="9"/>
  <c r="N126" i="9"/>
  <c r="N123" i="9"/>
  <c r="L126" i="9"/>
  <c r="L104" i="9"/>
  <c r="H107" i="9"/>
  <c r="H123" i="9"/>
  <c r="H104" i="9"/>
  <c r="N127" i="9"/>
  <c r="N128" i="9"/>
  <c r="L121" i="9"/>
  <c r="L123" i="9"/>
  <c r="H106" i="9"/>
  <c r="L108" i="9"/>
  <c r="N121" i="9"/>
  <c r="L107" i="9"/>
  <c r="L125" i="9"/>
  <c r="H122" i="9"/>
  <c r="H105" i="9"/>
  <c r="N103" i="9"/>
  <c r="N101" i="9"/>
  <c r="N124" i="9"/>
  <c r="N125" i="9"/>
  <c r="H101" i="9"/>
  <c r="N104" i="9"/>
  <c r="H127" i="9"/>
  <c r="N102" i="9"/>
  <c r="K104" i="9"/>
  <c r="K108" i="9"/>
  <c r="K127" i="9"/>
  <c r="G127" i="9"/>
  <c r="G104" i="9"/>
  <c r="G107" i="9"/>
  <c r="I107" i="9"/>
  <c r="I123" i="9"/>
  <c r="K103" i="9"/>
  <c r="I108" i="9"/>
  <c r="K107" i="9"/>
  <c r="G121" i="9"/>
  <c r="I103" i="9"/>
  <c r="G106" i="9"/>
  <c r="G126" i="9"/>
  <c r="G105" i="9"/>
  <c r="I102" i="9"/>
  <c r="I128" i="9"/>
  <c r="I124" i="9"/>
  <c r="I105" i="9"/>
  <c r="G101" i="9"/>
  <c r="G103" i="9"/>
  <c r="K105" i="9"/>
  <c r="K125" i="9"/>
  <c r="K124" i="9"/>
  <c r="G125" i="9"/>
  <c r="I121" i="9"/>
  <c r="I104" i="9"/>
  <c r="I125" i="9"/>
  <c r="K122" i="9"/>
  <c r="G102" i="9"/>
  <c r="K123" i="9"/>
  <c r="G108" i="9"/>
  <c r="G124" i="9"/>
  <c r="I122" i="9"/>
  <c r="G122" i="9"/>
  <c r="I127" i="9"/>
  <c r="K126" i="9"/>
  <c r="I126" i="9"/>
  <c r="K102" i="9"/>
  <c r="K106" i="9"/>
  <c r="K128" i="9"/>
  <c r="G123" i="9"/>
  <c r="I101" i="9"/>
  <c r="K121" i="9"/>
  <c r="I106" i="9"/>
  <c r="K101" i="9"/>
  <c r="G128" i="9"/>
  <c r="G151" i="9"/>
  <c r="K160" i="9"/>
  <c r="G150" i="9"/>
  <c r="K151" i="9"/>
  <c r="I161" i="9"/>
  <c r="I150" i="9"/>
  <c r="E38" i="11"/>
  <c r="E15" i="11"/>
  <c r="I5" i="6"/>
  <c r="C9" i="11"/>
  <c r="G136" i="9"/>
  <c r="G132" i="9"/>
  <c r="G138" i="9"/>
  <c r="F150" i="9"/>
  <c r="F105" i="9"/>
  <c r="F133" i="9"/>
  <c r="F137" i="9"/>
  <c r="F107" i="9"/>
  <c r="F132" i="9"/>
  <c r="F108" i="9"/>
  <c r="F101" i="9"/>
  <c r="F128" i="9"/>
  <c r="F127" i="9"/>
  <c r="F126" i="9"/>
  <c r="F125" i="9"/>
  <c r="F124" i="9"/>
  <c r="F123" i="9"/>
  <c r="F122" i="9"/>
  <c r="F138" i="9"/>
  <c r="F135" i="9"/>
  <c r="F103" i="9"/>
  <c r="F131" i="9"/>
  <c r="F160" i="9"/>
  <c r="F151" i="9"/>
  <c r="F106" i="9"/>
  <c r="F102" i="9"/>
  <c r="J132" i="9"/>
  <c r="J161" i="9"/>
  <c r="F134" i="9"/>
  <c r="J133" i="9"/>
  <c r="F136" i="9"/>
  <c r="F104" i="9"/>
  <c r="F161" i="9"/>
  <c r="F121" i="9"/>
  <c r="J151" i="9"/>
  <c r="J135" i="9"/>
  <c r="J134" i="9"/>
  <c r="M161" i="9"/>
  <c r="J137" i="9"/>
  <c r="J131" i="9"/>
  <c r="M160" i="9"/>
  <c r="J138" i="9"/>
  <c r="J136" i="9"/>
  <c r="J150" i="9"/>
  <c r="J160" i="9"/>
  <c r="M151" i="9"/>
  <c r="M150" i="9"/>
  <c r="L150" i="9"/>
  <c r="H150" i="9"/>
  <c r="N137" i="9"/>
  <c r="N133" i="9"/>
  <c r="N135" i="9"/>
  <c r="L133" i="9"/>
  <c r="H133" i="9"/>
  <c r="H131" i="9"/>
  <c r="N134" i="9"/>
  <c r="H161" i="9"/>
  <c r="L160" i="9"/>
  <c r="L161" i="9"/>
  <c r="L131" i="9"/>
  <c r="L135" i="9"/>
  <c r="H151" i="9"/>
  <c r="N131" i="9"/>
  <c r="L137" i="9"/>
  <c r="N151" i="9"/>
  <c r="H137" i="9"/>
  <c r="L134" i="9"/>
  <c r="H132" i="9"/>
  <c r="H134" i="9"/>
  <c r="N136" i="9"/>
  <c r="N150" i="9"/>
  <c r="L132" i="9"/>
  <c r="N132" i="9"/>
  <c r="L138" i="9"/>
  <c r="L136" i="9"/>
  <c r="H160" i="9"/>
  <c r="N160" i="9"/>
  <c r="N138" i="9"/>
  <c r="N161" i="9"/>
  <c r="L151" i="9"/>
  <c r="H138" i="9"/>
  <c r="H135" i="9"/>
  <c r="H136" i="9"/>
  <c r="I160" i="9"/>
  <c r="I133" i="9"/>
  <c r="G4" i="6"/>
  <c r="F14" i="6"/>
  <c r="G137" i="9"/>
  <c r="G133" i="9"/>
  <c r="K131" i="9"/>
  <c r="K150" i="9"/>
  <c r="T5" i="20"/>
  <c r="AC5" i="20" s="1"/>
  <c r="AC6" i="20"/>
  <c r="G135" i="9"/>
  <c r="G161" i="9"/>
  <c r="G134" i="9"/>
  <c r="G160" i="9"/>
  <c r="K136" i="9"/>
  <c r="I134" i="9"/>
  <c r="G131" i="9"/>
  <c r="K138" i="9"/>
  <c r="K134" i="9"/>
  <c r="K135" i="9"/>
  <c r="M15" i="6"/>
  <c r="M14" i="6"/>
  <c r="K132" i="9"/>
  <c r="I151" i="9"/>
  <c r="I136" i="9"/>
  <c r="I138" i="9"/>
  <c r="C36" i="11"/>
  <c r="U4" i="4"/>
  <c r="V4" i="4" s="1"/>
  <c r="U5" i="4"/>
  <c r="V5" i="4" s="1"/>
  <c r="U12" i="4"/>
  <c r="J12" i="4"/>
  <c r="M14" i="4"/>
  <c r="M15" i="4"/>
  <c r="U98" i="3"/>
  <c r="F98" i="3" s="1"/>
  <c r="E98" i="3"/>
  <c r="I7" i="4" s="1"/>
  <c r="U102" i="3"/>
  <c r="F102" i="3" s="1"/>
  <c r="E102" i="3"/>
  <c r="I11" i="4" s="1"/>
  <c r="U101" i="3"/>
  <c r="F101" i="3" s="1"/>
  <c r="E101" i="3"/>
  <c r="I10" i="4" s="1"/>
  <c r="U8" i="4"/>
  <c r="U19" i="20"/>
  <c r="U15" i="20" s="1"/>
  <c r="AC21" i="20"/>
  <c r="E19" i="20"/>
  <c r="E15" i="20" s="1"/>
  <c r="P6" i="4"/>
  <c r="O14" i="4"/>
  <c r="M21" i="20"/>
  <c r="U104" i="3"/>
  <c r="F104" i="3" s="1"/>
  <c r="E104" i="3"/>
  <c r="I13" i="4" s="1"/>
  <c r="U100" i="3"/>
  <c r="F100" i="3" s="1"/>
  <c r="E100" i="3"/>
  <c r="I9" i="4" s="1"/>
  <c r="U97" i="3"/>
  <c r="E97" i="3"/>
  <c r="I6" i="4" s="1"/>
  <c r="I13" i="20" l="1"/>
  <c r="I3" i="20" s="1"/>
  <c r="J149" i="9"/>
  <c r="X13" i="20" s="1"/>
  <c r="O104" i="9"/>
  <c r="E138" i="9"/>
  <c r="M149" i="9"/>
  <c r="AA13" i="20" s="1"/>
  <c r="AA3" i="20" s="1"/>
  <c r="O108" i="9"/>
  <c r="E135" i="9"/>
  <c r="I10" i="20"/>
  <c r="K98" i="9"/>
  <c r="I149" i="9"/>
  <c r="W13" i="20" s="1"/>
  <c r="G13" i="20"/>
  <c r="G3" i="20" s="1"/>
  <c r="E122" i="9"/>
  <c r="O122" i="9"/>
  <c r="J98" i="9"/>
  <c r="H10" i="20"/>
  <c r="H149" i="9"/>
  <c r="V13" i="20" s="1"/>
  <c r="F13" i="20"/>
  <c r="K13" i="20"/>
  <c r="K3" i="20" s="1"/>
  <c r="E161" i="9"/>
  <c r="E106" i="9"/>
  <c r="O123" i="9"/>
  <c r="E123" i="9"/>
  <c r="E132" i="9"/>
  <c r="I98" i="9"/>
  <c r="G10" i="20"/>
  <c r="E128" i="9"/>
  <c r="O128" i="9"/>
  <c r="E102" i="9"/>
  <c r="L149" i="9"/>
  <c r="Z13" i="20" s="1"/>
  <c r="E104" i="9"/>
  <c r="E151" i="9"/>
  <c r="O124" i="9"/>
  <c r="E124" i="9"/>
  <c r="E107" i="9"/>
  <c r="E150" i="9"/>
  <c r="E13" i="20"/>
  <c r="G149" i="9"/>
  <c r="U13" i="20" s="1"/>
  <c r="E44" i="11"/>
  <c r="C38" i="11"/>
  <c r="D10" i="20"/>
  <c r="F98" i="9"/>
  <c r="E101" i="9"/>
  <c r="E108" i="9"/>
  <c r="N149" i="9"/>
  <c r="AB13" i="20" s="1"/>
  <c r="E136" i="9"/>
  <c r="E160" i="9"/>
  <c r="O125" i="9"/>
  <c r="E125" i="9"/>
  <c r="E137" i="9"/>
  <c r="L10" i="20"/>
  <c r="L9" i="20" s="1"/>
  <c r="N98" i="9"/>
  <c r="O101" i="9"/>
  <c r="L98" i="9"/>
  <c r="J10" i="20"/>
  <c r="J9" i="20" s="1"/>
  <c r="D13" i="20"/>
  <c r="F149" i="9"/>
  <c r="T13" i="20" s="1"/>
  <c r="K149" i="9"/>
  <c r="Y13" i="20" s="1"/>
  <c r="H98" i="9"/>
  <c r="F10" i="20"/>
  <c r="F9" i="20" s="1"/>
  <c r="G14" i="6"/>
  <c r="G15" i="6"/>
  <c r="E131" i="9"/>
  <c r="E126" i="9"/>
  <c r="O126" i="9"/>
  <c r="E133" i="9"/>
  <c r="J5" i="6"/>
  <c r="O103" i="9"/>
  <c r="O106" i="9"/>
  <c r="J13" i="20"/>
  <c r="E121" i="9"/>
  <c r="O121" i="9"/>
  <c r="G98" i="9"/>
  <c r="E10" i="20"/>
  <c r="E9" i="20" s="1"/>
  <c r="O105" i="9"/>
  <c r="L13" i="20"/>
  <c r="H13" i="20"/>
  <c r="H3" i="20" s="1"/>
  <c r="E134" i="9"/>
  <c r="E103" i="9"/>
  <c r="O127" i="9"/>
  <c r="E127" i="9"/>
  <c r="E105" i="9"/>
  <c r="O102" i="9"/>
  <c r="O107" i="9"/>
  <c r="V12" i="4"/>
  <c r="J7" i="4"/>
  <c r="U7" i="4"/>
  <c r="U10" i="4"/>
  <c r="J10" i="4"/>
  <c r="J11" i="4"/>
  <c r="U11" i="4"/>
  <c r="V8" i="4"/>
  <c r="U6" i="4"/>
  <c r="J6" i="4"/>
  <c r="I14" i="4"/>
  <c r="G20" i="20"/>
  <c r="G19" i="20" s="1"/>
  <c r="G15" i="20" s="1"/>
  <c r="H20" i="20"/>
  <c r="H19" i="20" s="1"/>
  <c r="H15" i="20" s="1"/>
  <c r="D20" i="20"/>
  <c r="T20" i="20"/>
  <c r="V20" i="20"/>
  <c r="V19" i="20" s="1"/>
  <c r="F20" i="20"/>
  <c r="F19" i="20" s="1"/>
  <c r="F15" i="20" s="1"/>
  <c r="W20" i="20"/>
  <c r="W19" i="20" s="1"/>
  <c r="X20" i="20"/>
  <c r="X19" i="20" s="1"/>
  <c r="F97" i="3"/>
  <c r="J9" i="4"/>
  <c r="U9" i="4"/>
  <c r="J13" i="4"/>
  <c r="U13" i="4"/>
  <c r="P14" i="4"/>
  <c r="P15" i="4"/>
  <c r="J10" i="11" l="1"/>
  <c r="J39" i="11" s="1"/>
  <c r="J44" i="11" s="1"/>
  <c r="E14" i="11"/>
  <c r="E43" i="11" s="1"/>
  <c r="L3" i="20"/>
  <c r="M10" i="11"/>
  <c r="M15" i="11" s="1"/>
  <c r="D14" i="11"/>
  <c r="I10" i="11"/>
  <c r="I9" i="6" s="1"/>
  <c r="G10" i="11"/>
  <c r="G39" i="11" s="1"/>
  <c r="G44" i="11" s="1"/>
  <c r="E3" i="20"/>
  <c r="J3" i="20"/>
  <c r="AB10" i="20"/>
  <c r="AB9" i="20" s="1"/>
  <c r="AB3" i="20" s="1"/>
  <c r="N76" i="9"/>
  <c r="M39" i="11"/>
  <c r="M44" i="11" s="1"/>
  <c r="E149" i="9"/>
  <c r="V10" i="20"/>
  <c r="V9" i="20" s="1"/>
  <c r="H76" i="9"/>
  <c r="F10" i="11"/>
  <c r="E98" i="9"/>
  <c r="E76" i="9" s="1"/>
  <c r="L10" i="11"/>
  <c r="T10" i="20"/>
  <c r="F76" i="9"/>
  <c r="F3" i="20"/>
  <c r="K76" i="9"/>
  <c r="Y10" i="20"/>
  <c r="Y9" i="20" s="1"/>
  <c r="Y3" i="20" s="1"/>
  <c r="X10" i="20"/>
  <c r="X9" i="20" s="1"/>
  <c r="J76" i="9"/>
  <c r="Z10" i="20"/>
  <c r="Z9" i="20" s="1"/>
  <c r="L76" i="9"/>
  <c r="H10" i="11"/>
  <c r="AC13" i="20"/>
  <c r="M10" i="20"/>
  <c r="D9" i="20"/>
  <c r="M9" i="20" s="1"/>
  <c r="I76" i="9"/>
  <c r="W10" i="20"/>
  <c r="W9" i="20" s="1"/>
  <c r="O4" i="6"/>
  <c r="K10" i="11"/>
  <c r="U10" i="20"/>
  <c r="U9" i="20" s="1"/>
  <c r="U3" i="20" s="1"/>
  <c r="G76" i="9"/>
  <c r="M13" i="20"/>
  <c r="V11" i="4"/>
  <c r="V10" i="4"/>
  <c r="V7" i="4"/>
  <c r="T19" i="20"/>
  <c r="AC20" i="20"/>
  <c r="D19" i="20"/>
  <c r="M20" i="20"/>
  <c r="V9" i="4"/>
  <c r="V13" i="4"/>
  <c r="V6" i="4"/>
  <c r="U14" i="4"/>
  <c r="J15" i="4"/>
  <c r="J14" i="4"/>
  <c r="I10" i="6" l="1"/>
  <c r="J15" i="11"/>
  <c r="I39" i="11"/>
  <c r="I44" i="11" s="1"/>
  <c r="O5" i="6"/>
  <c r="U5" i="6" s="1"/>
  <c r="C14" i="11"/>
  <c r="D43" i="11"/>
  <c r="C43" i="11" s="1"/>
  <c r="I13" i="6"/>
  <c r="J13" i="6" s="1"/>
  <c r="G15" i="11"/>
  <c r="I7" i="6"/>
  <c r="U7" i="6" s="1"/>
  <c r="I15" i="11"/>
  <c r="D3" i="20"/>
  <c r="M3" i="20" s="1"/>
  <c r="J9" i="6"/>
  <c r="U9" i="6"/>
  <c r="AC10" i="20"/>
  <c r="T9" i="20"/>
  <c r="O14" i="6"/>
  <c r="P4" i="6"/>
  <c r="U4" i="6"/>
  <c r="L39" i="11"/>
  <c r="L44" i="11" s="1"/>
  <c r="I12" i="6"/>
  <c r="L15" i="11"/>
  <c r="J10" i="6"/>
  <c r="U10" i="6"/>
  <c r="P5" i="6"/>
  <c r="H39" i="11"/>
  <c r="H44" i="11" s="1"/>
  <c r="H15" i="11"/>
  <c r="I8" i="6"/>
  <c r="F39" i="11"/>
  <c r="F15" i="11"/>
  <c r="I6" i="6"/>
  <c r="C10" i="11"/>
  <c r="C15" i="11" s="1"/>
  <c r="K15" i="11"/>
  <c r="K39" i="11"/>
  <c r="K44" i="11" s="1"/>
  <c r="I11" i="6"/>
  <c r="AC19" i="20"/>
  <c r="T15" i="20"/>
  <c r="AC15" i="20" s="1"/>
  <c r="D15" i="20"/>
  <c r="M15" i="20" s="1"/>
  <c r="M19" i="20"/>
  <c r="V15" i="4"/>
  <c r="V14" i="4"/>
  <c r="D44" i="11" l="1"/>
  <c r="U13" i="6"/>
  <c r="V13" i="6" s="1"/>
  <c r="J7" i="6"/>
  <c r="J11" i="6"/>
  <c r="U11" i="6"/>
  <c r="J8" i="6"/>
  <c r="U8" i="6"/>
  <c r="C7" i="2"/>
  <c r="D7" i="2" s="1"/>
  <c r="I7" i="2" s="1"/>
  <c r="V7" i="6"/>
  <c r="F7" i="2"/>
  <c r="G7" i="2" s="1"/>
  <c r="J7" i="2" s="1"/>
  <c r="C5" i="2"/>
  <c r="D5" i="2" s="1"/>
  <c r="I5" i="2" s="1"/>
  <c r="V5" i="6"/>
  <c r="F5" i="2"/>
  <c r="G5" i="2" s="1"/>
  <c r="J5" i="2" s="1"/>
  <c r="J12" i="6"/>
  <c r="U12" i="6"/>
  <c r="C4" i="2"/>
  <c r="V4" i="6"/>
  <c r="F4" i="2"/>
  <c r="V9" i="6"/>
  <c r="C9" i="2"/>
  <c r="D9" i="2" s="1"/>
  <c r="I9" i="2" s="1"/>
  <c r="F9" i="2"/>
  <c r="G9" i="2" s="1"/>
  <c r="J9" i="2" s="1"/>
  <c r="AC9" i="20"/>
  <c r="T3" i="20"/>
  <c r="AC3" i="20" s="1"/>
  <c r="J6" i="6"/>
  <c r="U6" i="6"/>
  <c r="I14" i="6"/>
  <c r="C39" i="11"/>
  <c r="F44" i="11"/>
  <c r="C10" i="2"/>
  <c r="D10" i="2" s="1"/>
  <c r="I10" i="2" s="1"/>
  <c r="V10" i="6"/>
  <c r="F10" i="2"/>
  <c r="G10" i="2" s="1"/>
  <c r="J10" i="2" s="1"/>
  <c r="P14" i="6"/>
  <c r="P15" i="6"/>
  <c r="C44" i="11" l="1"/>
  <c r="F13" i="2"/>
  <c r="G13" i="2" s="1"/>
  <c r="J13" i="2" s="1"/>
  <c r="C13" i="2"/>
  <c r="D13" i="2" s="1"/>
  <c r="I13" i="2" s="1"/>
  <c r="V12" i="6"/>
  <c r="C12" i="2"/>
  <c r="D12" i="2" s="1"/>
  <c r="I12" i="2" s="1"/>
  <c r="F12" i="2"/>
  <c r="G12" i="2" s="1"/>
  <c r="J12" i="2" s="1"/>
  <c r="C6" i="2"/>
  <c r="D6" i="2" s="1"/>
  <c r="I6" i="2" s="1"/>
  <c r="V6" i="6"/>
  <c r="F6" i="2"/>
  <c r="G6" i="2" s="1"/>
  <c r="J6" i="2" s="1"/>
  <c r="V8" i="6"/>
  <c r="C8" i="2"/>
  <c r="D8" i="2" s="1"/>
  <c r="I8" i="2" s="1"/>
  <c r="F8" i="2"/>
  <c r="G8" i="2" s="1"/>
  <c r="J8" i="2" s="1"/>
  <c r="G4" i="2"/>
  <c r="J14" i="6"/>
  <c r="J15" i="6"/>
  <c r="D4" i="2"/>
  <c r="C11" i="2"/>
  <c r="D11" i="2" s="1"/>
  <c r="I11" i="2" s="1"/>
  <c r="V11" i="6"/>
  <c r="F11" i="2"/>
  <c r="G11" i="2" s="1"/>
  <c r="J11" i="2" s="1"/>
  <c r="U14" i="6"/>
  <c r="V15" i="6" l="1"/>
  <c r="J17" i="2" s="1"/>
  <c r="B2" i="7" s="1"/>
  <c r="C26" i="7" s="1"/>
  <c r="V14" i="6"/>
  <c r="F14" i="2"/>
  <c r="J4" i="2"/>
  <c r="G14" i="2"/>
  <c r="J19" i="2"/>
  <c r="C14" i="2"/>
  <c r="I4" i="2"/>
  <c r="I14" i="2" s="1"/>
  <c r="J21" i="2" s="1"/>
  <c r="D14" i="2"/>
  <c r="R7" i="7" l="1"/>
  <c r="I7" i="7"/>
  <c r="O7" i="7"/>
  <c r="F7" i="7"/>
  <c r="C42" i="7"/>
  <c r="C7" i="7"/>
  <c r="L7" i="7"/>
  <c r="K4" i="2"/>
  <c r="J14" i="2"/>
  <c r="J22" i="2" s="1"/>
  <c r="L4" i="2" l="1"/>
  <c r="K5" i="2"/>
  <c r="K6" i="2" s="1"/>
  <c r="K7" i="2" s="1"/>
  <c r="K8" i="2" s="1"/>
  <c r="K9" i="2" s="1"/>
  <c r="K10" i="2" s="1"/>
  <c r="K11" i="2" s="1"/>
  <c r="K12" i="2" s="1"/>
  <c r="K13" i="2" s="1"/>
  <c r="L5" i="2" l="1"/>
  <c r="L6" i="2" s="1"/>
  <c r="L7" i="2" s="1"/>
  <c r="L8" i="2" s="1"/>
  <c r="L9" i="2" s="1"/>
  <c r="L10" i="2" s="1"/>
  <c r="L11" i="2" s="1"/>
  <c r="L12" i="2" s="1"/>
  <c r="L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tc={7AB8C062-619B-4441-95FC-08C12CAE35DB}</author>
  </authors>
  <commentList>
    <comment ref="A1" authorId="0" shapeId="0" xr:uid="{00000000-0006-0000-0200-000001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V rámci porovnávania nákladov na fukčné celky (definované po procesoch) a prínosy (ovplyvnené viacerými fukčnými celkami) nie je možné vnímať ako samosatné izolované bloky. Je potrebné vnímať projekt ako komplex, pričom mnohé z benefitov sú súborom procesných krokov, bez ktorých by benefit nenastal, napriek tomu, že je priradený len konkrétnemu procesnému celku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KPMG</author>
  </authors>
  <commentList>
    <comment ref="I14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ocakavame zapornu hodnotu
tato zaporna hodnota ma zodpovedat max. fin. pomoci z SF</t>
        </r>
      </text>
    </comment>
    <comment ref="J14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ocakavame kladnu hodnotu (moze byt aj nizko nad nulou)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tc={E12C84C6-8FD4-4D40-90C6-A681C19940EE}</author>
    <author>tc={93344290-4821-49DE-BEEF-80A1A6C7F160}</author>
    <author>tc={4990CE71-57A1-49C2-9ABE-9E48B6BAE31E}</author>
    <author>tc={BCD8BF5D-8F2D-482B-80C8-03AFA72B3ACE}</author>
    <author>tc={46A32D8B-C108-4D3D-A8D5-394A9D1B779B}</author>
    <author>tc={00BD8BBA-C2B2-48ED-8F53-84CDB3FDCAE5}</author>
    <author>tc={22738235-1B9F-4596-A19E-8AA2D32C5324}</author>
    <author>tc={C713C6E1-6F35-46B5-A373-83FB201EC17E}</author>
    <author>tc={727562B8-1B04-46D7-8333-35BFC35E6D66}</author>
    <author>tc={EB38A937-C14C-48DB-855F-58A81F9A06C6}</author>
  </authors>
  <commentList>
    <comment ref="G4" authorId="0" shapeId="0" xr:uid="{00000000-0006-0000-0700-000001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Jeden rok v ramci statistickeho zistovania</t>
      </text>
    </comment>
    <comment ref="J4" authorId="1" shapeId="0" xr:uid="{00000000-0006-0000-0700-000002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Jeden rok v ramci statistickeho zistovania</t>
      </text>
    </comment>
    <comment ref="M4" authorId="2" shapeId="0" xr:uid="{00000000-0006-0000-0700-000003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Jeden rok v ramci statistickeho zistovania</t>
      </text>
    </comment>
    <comment ref="P4" authorId="3" shapeId="0" xr:uid="{00000000-0006-0000-0700-000004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Jeden rok v ramci statistickeho zistovania</t>
      </text>
    </comment>
    <comment ref="S4" authorId="4" shapeId="0" xr:uid="{00000000-0006-0000-0700-000005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Jeden rok v ramci statistickeho zistovania</t>
      </text>
    </comment>
    <comment ref="G34" authorId="5" shapeId="0" xr:uid="{00000000-0006-0000-0700-000006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Počet hodín strávených štatistickým zisťovaním v daných procesoch</t>
      </text>
    </comment>
    <comment ref="J34" authorId="6" shapeId="0" xr:uid="{00000000-0006-0000-0700-000007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Počet hodín strávených štatistickým zisťovaním v daných procesoch</t>
      </text>
    </comment>
    <comment ref="M34" authorId="7" shapeId="0" xr:uid="{00000000-0006-0000-0700-000008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Počet hodín strávených štatistickým zisťovaním v daných procesoch</t>
      </text>
    </comment>
    <comment ref="P34" authorId="8" shapeId="0" xr:uid="{00000000-0006-0000-0700-000009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Počet hodín strávených štatistickým zisťovaním v daných procesoch</t>
      </text>
    </comment>
    <comment ref="S44" authorId="9" shapeId="0" xr:uid="{00000000-0006-0000-0700-00000A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Čas strávený podnikateľmi v rámci štatistického zisťovania za rok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Krok Martin</author>
  </authors>
  <commentList>
    <comment ref="AI51" authorId="0" shapeId="0" xr:uid="{00000000-0006-0000-0E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Krok Martin</author>
  </authors>
  <commentList>
    <comment ref="AG12" authorId="0" shapeId="0" xr:uid="{00000000-0006-0000-1100-000001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H12" authorId="0" shapeId="0" xr:uid="{00000000-0006-0000-1100-000002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I12" authorId="0" shapeId="0" xr:uid="{00000000-0006-0000-1100-000003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  <comment ref="AP12" authorId="0" shapeId="0" xr:uid="{00000000-0006-0000-1100-000004000000}">
      <text>
        <r>
          <rPr>
            <b/>
            <sz val="9"/>
            <color indexed="81"/>
            <rFont val="Segoe UI"/>
            <family val="2"/>
            <charset val="238"/>
          </rPr>
          <t>Krok Martin:</t>
        </r>
        <r>
          <rPr>
            <sz val="9"/>
            <color indexed="81"/>
            <rFont val="Segoe UI"/>
            <family val="2"/>
            <charset val="238"/>
          </rPr>
          <t xml:space="preserve">
Súčet by mal zodpoveď Investičným nákladom na vývoj aplikácií
 v Alternatíve 2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tc={F530C5B0-8BF8-42BB-810D-3313C4C99831}</author>
  </authors>
  <commentList>
    <comment ref="D8" authorId="0" shapeId="0" xr:uid="{00000000-0006-0000-1200-00000100000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Upravena hodnota - statisticke vykazy SU</t>
      </text>
    </comment>
  </commentList>
</comments>
</file>

<file path=xl/sharedStrings.xml><?xml version="1.0" encoding="utf-8"?>
<sst xmlns="http://schemas.openxmlformats.org/spreadsheetml/2006/main" count="1773" uniqueCount="454">
  <si>
    <t>Názov</t>
  </si>
  <si>
    <t>Popis</t>
  </si>
  <si>
    <t>Hodnota</t>
  </si>
  <si>
    <t>Životnosť projektu (t)</t>
  </si>
  <si>
    <t>Referenčné obdobie je počet rokov, na ktorý sa vo finančnej analýze (analýze nákladov a výnosov) uvádzajú predpovede. Predpovede týkajúce sa budúceho trendu projektu by sa mali formulovať na obdobie, ktoré je primerané jeho ekonomicky užitočnému trvaniu a ktoré je dosť dlhé na to, aby zahŕňalo jeho pravdepodobné dlhodobejšie dosahy. Ide o časové obdobie, kedy je možné overiť úspešnosť investície. Trvanie sa mení podľa povahy investície. Referenčný časový horizont v rokoch podľa sektorov je uvedený podľa prílohy 1 Delegovaného nariadenia Komisie (EÚ) 480/2014 z 3. marca 2014, ktorým sa dopĺňa všeobecné nariadenie.</t>
  </si>
  <si>
    <t>Referenčná diskontná sadzba (i)</t>
  </si>
  <si>
    <t>Sociálna diskontná sadzba (r)</t>
  </si>
  <si>
    <t>Cieľom CBA je preukázať pri štrukturálne významných investíciách, že ekonomická čistá súčasná hodnota za dané obdobie a pri stanovenej sociálnej diskontnej sadzbe je kladná.</t>
  </si>
  <si>
    <t>Diskontovanie odhadovaných nákladov a prínosov: keď sa odhadne tok ekonomických nákladov a prínosov, mala by sa uplatniť štandardná diskontovaná metodika peňažného toku pomocou sociálnej diskontnej sadzby</t>
  </si>
  <si>
    <t>Osobné náklady (Cper)</t>
  </si>
  <si>
    <t>Jednotka</t>
  </si>
  <si>
    <t>rok</t>
  </si>
  <si>
    <t>%</t>
  </si>
  <si>
    <t>EUR</t>
  </si>
  <si>
    <t xml:space="preserve">Diskontná sadzba, ktorá sa má používať vo finančnej analýze má informovať investora o alternatívnych kapitálových nákladoch. Môže sa za ňu považovať ušlý výnos najlepšieho alternatívneho projektu.
V prípade verejných investičných projektov spolufinancovaných z fondov sa stanovuje 4 % finančná diskontná sadzbu pre výpočet čistej súčasnej hodnoty investície v stálych cenách roku predloženia žiadosti o NFP.
</t>
  </si>
  <si>
    <t>EUR/hod</t>
  </si>
  <si>
    <t>Čistá súčasná hodnota z projektu</t>
  </si>
  <si>
    <t>Finančné prínosy</t>
  </si>
  <si>
    <t>Ekonomické prínosy</t>
  </si>
  <si>
    <t>koeficient obdobia</t>
  </si>
  <si>
    <t>Finančná (FNPV)</t>
  </si>
  <si>
    <t>Ekonomická (ENPV)</t>
  </si>
  <si>
    <t>Kumulovaná diskont. návratnosť ENPV</t>
  </si>
  <si>
    <t>Obdobie</t>
  </si>
  <si>
    <t>rozdiel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</si>
  <si>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</si>
  <si>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</si>
  <si>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</si>
  <si>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</si>
  <si>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</si>
  <si>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</si>
  <si>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</si>
  <si>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</si>
  <si>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</si>
  <si>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</si>
  <si>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SPOLU</t>
  </si>
  <si>
    <t>Cashflow projektu</t>
  </si>
  <si>
    <t>počet / rok</t>
  </si>
  <si>
    <t>hod.</t>
  </si>
  <si>
    <t>Kvalitatívne prínosy</t>
  </si>
  <si>
    <t>Parameter</t>
  </si>
  <si>
    <t>Počet podaní</t>
  </si>
  <si>
    <t>Výška administratívneho poplatku</t>
  </si>
  <si>
    <t>Počet zamestnancov vybavujúcich agendu</t>
  </si>
  <si>
    <t>Priame prínosy</t>
  </si>
  <si>
    <t>Nepriame prínosy</t>
  </si>
  <si>
    <t>Prínosy spolu</t>
  </si>
  <si>
    <t>Administratívne poplatky</t>
  </si>
  <si>
    <t>Ostatné daňové a nedaňové príjmy</t>
  </si>
  <si>
    <t>Cena ušetreného času používateľa</t>
  </si>
  <si>
    <t>Kvalitatívne prínosy vo finančnom vyjadrení</t>
  </si>
  <si>
    <t>Organizácia</t>
  </si>
  <si>
    <t>Ulica</t>
  </si>
  <si>
    <t>PSČ</t>
  </si>
  <si>
    <t>Web</t>
  </si>
  <si>
    <t>IČO</t>
  </si>
  <si>
    <t>Spracovateľ</t>
  </si>
  <si>
    <t xml:space="preserve">    Titul, Meno, Priezvisko</t>
  </si>
  <si>
    <t xml:space="preserve">Kontakt na spracovateľa    </t>
  </si>
  <si>
    <t xml:space="preserve">    Email, telefón</t>
  </si>
  <si>
    <t>Hlavička tabuľky</t>
  </si>
  <si>
    <t>Popisná informácia</t>
  </si>
  <si>
    <t>Metodický pokyn k vypracovaniu finančnej analýzy projektu, analýzy nákladov a prínosov projektu a finančnej analýzy žiadateľa o NFP v programovom období 2014 – 2020.</t>
  </si>
  <si>
    <t>Jednotlivé informácie sú farebne odlíšené nasledovne:</t>
  </si>
  <si>
    <t>Automaticky vypočitavané hodnoty</t>
  </si>
  <si>
    <t>Miesto na vpisovanie vlastných hodnôt</t>
  </si>
  <si>
    <t>Preddefinované konštanty</t>
  </si>
  <si>
    <t>Pre projekty zamerané na služby agendových informačných systémov</t>
  </si>
  <si>
    <t>HW</t>
  </si>
  <si>
    <t>SW</t>
  </si>
  <si>
    <t>Všeobecný materiál</t>
  </si>
  <si>
    <t>Variabilné výdavky</t>
  </si>
  <si>
    <t>Výdavky spolu</t>
  </si>
  <si>
    <t>ENPV</t>
  </si>
  <si>
    <t>Aplikačný modul 1</t>
  </si>
  <si>
    <t>Aplikačný modul 2</t>
  </si>
  <si>
    <t>Obstaranie, inštalácia SW produktu vrátane licencie k SW</t>
  </si>
  <si>
    <t>013 Softvér</t>
  </si>
  <si>
    <t>Kód EKO klasifikácie</t>
  </si>
  <si>
    <t>Účet/skupina výdavkov</t>
  </si>
  <si>
    <t>Vytvorenie aplikácie</t>
  </si>
  <si>
    <t>Školenia spojené so SW a aplikáciou</t>
  </si>
  <si>
    <t>518 Ostatné služby</t>
  </si>
  <si>
    <t>Prevádzka vytvoreného riešenia</t>
  </si>
  <si>
    <t>Poplatky vlastníkovi SW produktu - údržba / support k licenciám</t>
  </si>
  <si>
    <t>511 Opravy a udržiavanie</t>
  </si>
  <si>
    <t>Upgrade SW produktu</t>
  </si>
  <si>
    <t>Poplatky za udržanie funkčnosti / dostupnosti aplikácie / update</t>
  </si>
  <si>
    <t>Aplikačná podpora / helpdesk</t>
  </si>
  <si>
    <t>Rozvoj - doplnenie funkcionality aplikácie / upgrade</t>
  </si>
  <si>
    <t>Personálne náklady spojené s prevádzkou SW produktu a aplikácie</t>
  </si>
  <si>
    <t>521 Mzdové výdavky</t>
  </si>
  <si>
    <t>Obstaranie</t>
  </si>
  <si>
    <t>Prevádzka riešenia</t>
  </si>
  <si>
    <t>Nákup, inštalácia a sprevádzkovanie HW 
vrátane systémového SW</t>
  </si>
  <si>
    <t>Nákup, inštalácia a sprevádzkovanie HW
 vrátane systémového SW</t>
  </si>
  <si>
    <t>Školenia spojené s HW</t>
  </si>
  <si>
    <t>022 Samostatné hnuteľné veci
 a súbory hnuteľných vecí</t>
  </si>
  <si>
    <t>Poplatky dodávateľovi podpory HW - údržba/maintenance</t>
  </si>
  <si>
    <t>Upgrade HW</t>
  </si>
  <si>
    <t>Náklady na priestory, energie</t>
  </si>
  <si>
    <t>Personálne náklady spojené s prevádzkou HW</t>
  </si>
  <si>
    <t>Náklady na obstaranie a prevádzku HW</t>
  </si>
  <si>
    <t>Náklady na obstaranie a prevádzku SW</t>
  </si>
  <si>
    <t>Celkové náklady na vlastníctvo (TCO)</t>
  </si>
  <si>
    <t>Rok</t>
  </si>
  <si>
    <t>HW sumár obstaranie</t>
  </si>
  <si>
    <t>HW sumár prevádzka</t>
  </si>
  <si>
    <t xml:space="preserve">Spolu </t>
  </si>
  <si>
    <t>Spolu</t>
  </si>
  <si>
    <t>SW produkty</t>
  </si>
  <si>
    <t>Aplikácie</t>
  </si>
  <si>
    <t>SW produkty - sumár obstaranie</t>
  </si>
  <si>
    <t>SW produkty - sumár prevádzka</t>
  </si>
  <si>
    <t>Aplikácie - sumár obstaranie</t>
  </si>
  <si>
    <t>Aplikácie - sumár prevádzka</t>
  </si>
  <si>
    <t xml:space="preserve">Prvý rok, ktorým výpočet CBA a TCO začína, rok začatia projektu </t>
  </si>
  <si>
    <t>Príloha pre výpočet TCO a čistej súčasnej hodnoty z projektu</t>
  </si>
  <si>
    <t>Názov riešenia</t>
  </si>
  <si>
    <t>112 Zásoby</t>
  </si>
  <si>
    <t>Náklady na existujúce riešenie
(pôvodné riešenie pred realizáciou projektu OP II), ktoré bolo nahradené</t>
  </si>
  <si>
    <t>Kód ISVS z MetaIS</t>
  </si>
  <si>
    <t>Číslo projektu ITMS</t>
  </si>
  <si>
    <t>Vytvorenie riešenia - obstaranie</t>
  </si>
  <si>
    <t>BCR</t>
  </si>
  <si>
    <t>Výstup/funkcionalita projektu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</si>
  <si>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</si>
  <si>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</si>
  <si>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</si>
  <si>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</si>
  <si>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</si>
  <si>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</si>
  <si>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</si>
  <si>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</si>
  <si>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</si>
  <si>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</si>
  <si>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</si>
  <si>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</si>
  <si>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</si>
  <si>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</si>
  <si>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</si>
  <si>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</si>
  <si>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</si>
  <si>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</si>
  <si>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</si>
  <si>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</si>
  <si>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</si>
  <si>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</si>
  <si>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M24</t>
  </si>
  <si>
    <t>Počet dní interné</t>
  </si>
  <si>
    <t>Počet dní externé</t>
  </si>
  <si>
    <t>Pocet FTE interne</t>
  </si>
  <si>
    <t>Pocet FTE externe</t>
  </si>
  <si>
    <t>Rate FTE interné</t>
  </si>
  <si>
    <t>Rate FTE externé</t>
  </si>
  <si>
    <t>Suma interné</t>
  </si>
  <si>
    <t>Suma externé</t>
  </si>
  <si>
    <t>Integrácie a migrácie</t>
  </si>
  <si>
    <t xml:space="preserve">   Podora pri realizácii integrácií a migrácií IS VS </t>
  </si>
  <si>
    <t>Publicita a informovanosť</t>
  </si>
  <si>
    <t xml:space="preserve">Projektové riadenie </t>
  </si>
  <si>
    <t>INDIKATÍVNY ROZPOČET SPOLU</t>
  </si>
  <si>
    <t>Rozdiel</t>
  </si>
  <si>
    <t>NPV</t>
  </si>
  <si>
    <t>HW (aj systémový SW) sumár obstaranie</t>
  </si>
  <si>
    <t>HW (aj systémový SW) sumár prevádzka</t>
  </si>
  <si>
    <t>Modul 2</t>
  </si>
  <si>
    <t>Modul 3</t>
  </si>
  <si>
    <t>Modul 4</t>
  </si>
  <si>
    <t>Modul N</t>
  </si>
  <si>
    <t>organizácia A</t>
  </si>
  <si>
    <t>organizácia B</t>
  </si>
  <si>
    <t>organizácia C</t>
  </si>
  <si>
    <t>TO BE</t>
  </si>
  <si>
    <t>organizácia ...</t>
  </si>
  <si>
    <t>Výsledná hodnota</t>
  </si>
  <si>
    <t>Všetky prínosové položky sú automaticky vypočítané na základe údajov uvedených v záložkách TCO, spotrebované cloudové služby a Parametre - Agendové IS</t>
  </si>
  <si>
    <t>Všetky výdavkové položky sú automaticky vypočítané na základe údajov uvedených v záložkách TCO a Parametre - Agendové IS</t>
  </si>
  <si>
    <t>FIRR</t>
  </si>
  <si>
    <t>EIRR</t>
  </si>
  <si>
    <t>FNPV</t>
  </si>
  <si>
    <t>pomer prínosov a nákladov</t>
  </si>
  <si>
    <t>finančná vnútorná výnosová miera (%)</t>
  </si>
  <si>
    <t>ekonomická vnútorná výnosová miera (%)</t>
  </si>
  <si>
    <t>Minimálna hodnota</t>
  </si>
  <si>
    <t>-</t>
  </si>
  <si>
    <t>Výsledok CBA</t>
  </si>
  <si>
    <t>Priemerná mzda vo verejnej správe (aktuálna, W_ps)</t>
  </si>
  <si>
    <t xml:space="preserve">Priemerná mzda v NH (Cperc) </t>
  </si>
  <si>
    <t>Náklady IT systém</t>
  </si>
  <si>
    <t>FTE úradník</t>
  </si>
  <si>
    <t>FTE</t>
  </si>
  <si>
    <t>Administrtívny poplatok</t>
  </si>
  <si>
    <t>človeko-hod.</t>
  </si>
  <si>
    <t>Cena ušetreného času používateľa
(S pravidlom polovice)</t>
  </si>
  <si>
    <t>Cena ušetreného času úradníka</t>
  </si>
  <si>
    <r>
      <t xml:space="preserve">Materiálové náklady na 1 podanie </t>
    </r>
    <r>
      <rPr>
        <i/>
        <sz val="11"/>
        <color theme="1"/>
        <rFont val="Calibri"/>
        <family val="2"/>
        <charset val="238"/>
        <scheme val="minor"/>
      </rPr>
      <t xml:space="preserve">(napr. Poštovné (0,83 EUR)+Tlač (0,02 EUR)+Papier (0,01 EUR)+Obálka (0,03 EUR). Zhotoviteľ štúdie doplní skutočné náklady)
</t>
    </r>
  </si>
  <si>
    <t>Materiálové náklady</t>
  </si>
  <si>
    <t>Náklady na budúce riešenie</t>
  </si>
  <si>
    <t>Čas potrebný na vypracovanie a doručenie podania (ušetrený čas používateľa)</t>
  </si>
  <si>
    <t>Trvanie spracovania podania (ušetrený čas úradníka)</t>
  </si>
  <si>
    <t>Zníženie kvalitatívnych prínosov</t>
  </si>
  <si>
    <t>Zníženie očakávaného ušetreného času úradníka</t>
  </si>
  <si>
    <t>Zníženie očakávaného ušetreného času používateľa</t>
  </si>
  <si>
    <t>Zníženie počtu podaní v budúcom stave</t>
  </si>
  <si>
    <t>Zvýšenie nákladov - TCO celkovo</t>
  </si>
  <si>
    <t>Zvýšenie CAPEX</t>
  </si>
  <si>
    <t>Aplikačný modul N</t>
  </si>
  <si>
    <t>Minimálny počet MD</t>
  </si>
  <si>
    <t>Maximálny počet MD</t>
  </si>
  <si>
    <t>Priemerný MD rate</t>
  </si>
  <si>
    <t xml:space="preserve">Modul 1 </t>
  </si>
  <si>
    <t>Maximálna suma</t>
  </si>
  <si>
    <t>Minimálna suma</t>
  </si>
  <si>
    <t>Vyplní oslovený dodávateľ</t>
  </si>
  <si>
    <t>Ročná prevádzka celého systému (SLA) vrátane zmenových konaní</t>
  </si>
  <si>
    <t>Vyplní spracovateľ projektu</t>
  </si>
  <si>
    <t>Výstup/funkcionalita projektu
(všetky náklady vrátane analýzy, dizajnu, testovania a nasadenia)</t>
  </si>
  <si>
    <t>Vysvetlenie rozptylu medzi minimálnou a maximálnou sumou 
(nepovinné)</t>
  </si>
  <si>
    <t>Rozdiel v nákladoch medzi existujúcim a navrhovaným riešením</t>
  </si>
  <si>
    <t>Prínosy</t>
  </si>
  <si>
    <t xml:space="preserve">Úradníci (€) </t>
  </si>
  <si>
    <t>Občania (€)</t>
  </si>
  <si>
    <t>Úradníci (FTE)</t>
  </si>
  <si>
    <t>Aplikačný modul 3</t>
  </si>
  <si>
    <t>IT - CAPEX</t>
  </si>
  <si>
    <t>IT - OPEX</t>
  </si>
  <si>
    <t>N/A</t>
  </si>
  <si>
    <t>Nevyčíslené spoločenské prínosy</t>
  </si>
  <si>
    <t>...</t>
  </si>
  <si>
    <t>(prosíme doplniť)...</t>
  </si>
  <si>
    <r>
      <t xml:space="preserve">Sem prosím vložte procesnú mapu stavu </t>
    </r>
    <r>
      <rPr>
        <b/>
        <sz val="11"/>
        <color theme="1"/>
        <rFont val="Calibri"/>
        <family val="2"/>
        <charset val="238"/>
        <scheme val="minor"/>
      </rPr>
      <t>AS IS</t>
    </r>
    <r>
      <rPr>
        <sz val="11"/>
        <color theme="1"/>
        <rFont val="Calibri"/>
        <family val="2"/>
        <charset val="238"/>
        <scheme val="minor"/>
      </rPr>
      <t xml:space="preserve"> a stavu </t>
    </r>
    <r>
      <rPr>
        <b/>
        <sz val="11"/>
        <color theme="1"/>
        <rFont val="Calibri"/>
        <family val="2"/>
        <charset val="238"/>
        <scheme val="minor"/>
      </rPr>
      <t>TO BE</t>
    </r>
  </si>
  <si>
    <t>napr.</t>
  </si>
  <si>
    <t>AS IS</t>
  </si>
  <si>
    <t>Procesy na strane úradníka (časové hodnoty)</t>
  </si>
  <si>
    <t>Proces č. 1</t>
  </si>
  <si>
    <t>Procesný krok č. 1</t>
  </si>
  <si>
    <t>Procesný krok č. 2</t>
  </si>
  <si>
    <t>Procesný krok č. 3</t>
  </si>
  <si>
    <t>Proces č. 2</t>
  </si>
  <si>
    <t>Zdroj</t>
  </si>
  <si>
    <t>prosím uveďte zdroj, v prípade vzorového prieskumu prosím vyplňte hodnoty za jednotlivé merania</t>
  </si>
  <si>
    <t>Meranie č. 1</t>
  </si>
  <si>
    <t>Meranie č. 2</t>
  </si>
  <si>
    <t>Meranie č. 3</t>
  </si>
  <si>
    <t>Meranie č. 4</t>
  </si>
  <si>
    <t>Meranie č. 5</t>
  </si>
  <si>
    <t>Meranie č. 6</t>
  </si>
  <si>
    <t>Meranie č. 7</t>
  </si>
  <si>
    <t>Meranie č. 8</t>
  </si>
  <si>
    <t>Meranie č. 9</t>
  </si>
  <si>
    <t>Meranie č. 10</t>
  </si>
  <si>
    <t>Meranie č. 11</t>
  </si>
  <si>
    <t>Meranie č. 12</t>
  </si>
  <si>
    <t>Meranie č. 13</t>
  </si>
  <si>
    <t>Meranie č. 14</t>
  </si>
  <si>
    <t>Meranie č. 15</t>
  </si>
  <si>
    <t>Meranie č. 16</t>
  </si>
  <si>
    <t>Meranie č. 17</t>
  </si>
  <si>
    <t>Meranie č. 18</t>
  </si>
  <si>
    <t>Meranie č. 19</t>
  </si>
  <si>
    <t>Meranie č. 20</t>
  </si>
  <si>
    <t>Meranie č. 21</t>
  </si>
  <si>
    <t>Meranie č. 22</t>
  </si>
  <si>
    <t>Meranie č. 23</t>
  </si>
  <si>
    <t>Meranie č. 24</t>
  </si>
  <si>
    <t>Meranie č. 25</t>
  </si>
  <si>
    <t>Meranie č. 26</t>
  </si>
  <si>
    <t>Meranie č. 27</t>
  </si>
  <si>
    <t>Meranie č. 28</t>
  </si>
  <si>
    <t>Meranie č. 29</t>
  </si>
  <si>
    <t>Meranie č. 30</t>
  </si>
  <si>
    <t>Procesy na strane občana (časové hodnoty)</t>
  </si>
  <si>
    <t>Zoznam hárkov s vysvetlením a pokynmi</t>
  </si>
  <si>
    <t>Sumarizácia</t>
  </si>
  <si>
    <t>CBA</t>
  </si>
  <si>
    <t>Analyza citlivosti</t>
  </si>
  <si>
    <t>Výdavky</t>
  </si>
  <si>
    <t>Parametre</t>
  </si>
  <si>
    <t>TCO</t>
  </si>
  <si>
    <t>TCO Alt. 1 - SW</t>
  </si>
  <si>
    <t>TCO Alt. 1 - HW</t>
  </si>
  <si>
    <t>TCO Alt. 2 - SW</t>
  </si>
  <si>
    <t>TCO Alt. 2 - HW</t>
  </si>
  <si>
    <t>Rozpočet - vývoj aplikácii</t>
  </si>
  <si>
    <t>Rozdiel
(voči min. riešenia navrhovaneho obstarávateĹom)</t>
  </si>
  <si>
    <t>Popis zmien v alternatívnom riešení
(nepovinné)</t>
  </si>
  <si>
    <t>Alternatívne riešeine
(nepovinné)</t>
  </si>
  <si>
    <t>Riešenie navrhované obstarávateľom</t>
  </si>
  <si>
    <t>Slepý rozpočet</t>
  </si>
  <si>
    <t>Faktory</t>
  </si>
  <si>
    <t>Meranie prínosov</t>
  </si>
  <si>
    <t>Procesné mapy</t>
  </si>
  <si>
    <t>Procesy AS IS</t>
  </si>
  <si>
    <t>Procesy TO BE</t>
  </si>
  <si>
    <t>Hárok</t>
  </si>
  <si>
    <t>Účel hárku</t>
  </si>
  <si>
    <t>Vymenovanie a popísanie nevyčíslených spoločenských prínosov</t>
  </si>
  <si>
    <t>Sumarizácia výsledkov CBA podľa prínosov a modulov</t>
  </si>
  <si>
    <t>Výsledky CBA na agregátnej úrovni, výpočet BCR</t>
  </si>
  <si>
    <t>Žiadne</t>
  </si>
  <si>
    <t>Vstupy od zhotoviteľa (žlté polia)</t>
  </si>
  <si>
    <t>Automatický výpočet citlivosti výsledkov CBA na zmeny parametrov</t>
  </si>
  <si>
    <t>Výpočet prínosov projektu na základe vstupných parametrov</t>
  </si>
  <si>
    <t>Výpočet výdavkov projektu na základe vstupných parametrov</t>
  </si>
  <si>
    <t>Polia "Ostatné daňové a nedaňové príjmy" (ak projekt také generuje)</t>
  </si>
  <si>
    <t>Vstupné parametre pre jednotlivé moduly/životné situácie: počty podaní, trvania času</t>
  </si>
  <si>
    <t>Všetky relevantné žlté polia</t>
  </si>
  <si>
    <t>Zhrnutie celkových nákladov na vlastníctvo oboch alternatív projektu</t>
  </si>
  <si>
    <t xml:space="preserve">Náklady na vlastníctvo softvéru alternatívy 1 (AS IS) </t>
  </si>
  <si>
    <t xml:space="preserve">Náklady na vlastníctvo hardvéru alternatívy 1 (AS IS) </t>
  </si>
  <si>
    <t xml:space="preserve">Náklady na vlastníctvo softvéru alternatívy 2 (TO BE) </t>
  </si>
  <si>
    <t>Náklady na vlastníctvo hardvéru alternatívy 2 (TO BE)</t>
  </si>
  <si>
    <t>Všetky relevantné žlté polia a časové trvanie projektu</t>
  </si>
  <si>
    <t>Vyplnia dodávateľia, oslovení v procese trhovej konzultácie</t>
  </si>
  <si>
    <t>Zoznam modulov s ich opisom a harmonogramom</t>
  </si>
  <si>
    <t>Spoločné vstupné parametre pre ocenenie prínosov a výpočet CBA</t>
  </si>
  <si>
    <t>Aktuálne priemerné mzdy v hospodárstve podľa ŠÚ SR, rok začiatku projektu</t>
  </si>
  <si>
    <t xml:space="preserve">Slúži na rozdelenie prínosov podľa jednotlivých úradov (ak je to možné) 
a na ex-post monitorovanie dosahovania prínosov. </t>
  </si>
  <si>
    <t xml:space="preserve">V procese prípravy štúdie vyplní iba žlté stĺpce označené ako "Alt. 2", ktoré rozdeľujú prínosy podľa úradov </t>
  </si>
  <si>
    <t>Procesné mapy súčasného a budúceho stavu biznis procesov.</t>
  </si>
  <si>
    <t>Procesné mapy ako obrázky.</t>
  </si>
  <si>
    <t xml:space="preserve">Zdroj dát pre odhad časovej náročnosti súčasných procesov. </t>
  </si>
  <si>
    <t xml:space="preserve">Zdroj dát pre odhad časovej náročnosti budúcich procesov. </t>
  </si>
  <si>
    <t>Relevantné merania podľa procesov a procesných krokov.</t>
  </si>
  <si>
    <t>Riadenie projektu</t>
  </si>
  <si>
    <t>Riadenie a publicita</t>
  </si>
  <si>
    <t>Projektové riadenie</t>
  </si>
  <si>
    <t>Počet podaní / volaní</t>
  </si>
  <si>
    <t>Priemerná mesačná hrubá mzda vo verejnej správe za 1. - 4. Q./2017 (obdobie aktualizovať k času predloženia dokumentu), podľa ŠÚ SR</t>
  </si>
  <si>
    <t>Priemerná mesačná hrubá mzda v národnom hospodárstve SR za 1. - 4. Q./2017 (obdobie aktualizovať k času predloženia dokumentu), podľa ŠÚ SR</t>
  </si>
  <si>
    <t>Fond pracovnej doby - VS (FPDvs)</t>
  </si>
  <si>
    <t>hod/rok</t>
  </si>
  <si>
    <t>Fond pracovnej doby - NH (FPDnh)</t>
  </si>
  <si>
    <t xml:space="preserve">Cper = (W_ps * Odvody) / Fond pracovnej doby. Odvody (SP, ZP, DP) sú 35,2%“. Osobné náklady sú faktorom prevádzkových variabilných nákladov.
</t>
  </si>
  <si>
    <t>Rok 2019 má dokopy 250 pracovných dní, t.j. 2000 pracovných hodín. S platenými sviatkami má rok 261 pracovných dní, t.j. 2088 pracovných hodín.. 8 hodinový pracovný čas (obdobie aktualizovať k času predloženia dokumentu), podľa https://calendar.zoznam.sk/worktime-sksk.php?hy=2019</t>
  </si>
  <si>
    <t>Rok 2019 má dokopy 250 pracovných dní, t.j. 1875 pracovných hodín. S platenými sviatkami má rok 261 pracovných dní, t.j. 1957.5 pracovných hodín. 7,5 hodinový pracovný čas (obdobie aktualizovať k času predloženia dokumentu), podľa https://calendar.zoznam.sk/worktime-sksk.php?hy=2019</t>
  </si>
  <si>
    <t>Položka</t>
  </si>
  <si>
    <t>Merná jednotka</t>
  </si>
  <si>
    <t>Počet</t>
  </si>
  <si>
    <t>Jednotková cena (eur)</t>
  </si>
  <si>
    <t>Celková suma (eur)</t>
  </si>
  <si>
    <t>Zdroj ceny</t>
  </si>
  <si>
    <t>Rozpočet - HW a licencie</t>
  </si>
  <si>
    <t>Detailný rozpočet pre vývoj navrhovaného riešenia (TO BE)</t>
  </si>
  <si>
    <t>Položkový rozpočet pre nákup licencií a HW (TO BE)</t>
  </si>
  <si>
    <t>Nákup krabicového SW</t>
  </si>
  <si>
    <t>Dodatočná úprava krabicového SW / Vývoj riešenia</t>
  </si>
  <si>
    <t>Názov SW</t>
  </si>
  <si>
    <t>počet kusov</t>
  </si>
  <si>
    <t>Cena za kus</t>
  </si>
  <si>
    <t>Cena spolu</t>
  </si>
  <si>
    <t>637003/637004</t>
  </si>
  <si>
    <t>Integrácie a migrácie (modulov)</t>
  </si>
  <si>
    <t>Výstupné náklady</t>
  </si>
  <si>
    <t>Zmluvné poplaky</t>
  </si>
  <si>
    <t>Technologické požiadavky</t>
  </si>
  <si>
    <t>SW a Aplikácie - výstupné náklady</t>
  </si>
  <si>
    <t>SW a Aplikácie - Výstupné náklady</t>
  </si>
  <si>
    <t>Popis
(Vrátane zdôvodnenia zvoleného technologického variantu - IaaS, PaaS, vývoj vlastnej aplikácie, COTS riešenie)</t>
  </si>
  <si>
    <t>"Out of scope" - HW nesúvisiaci priamo s projektom</t>
  </si>
  <si>
    <t>Aho</t>
  </si>
  <si>
    <t>Koncová služba</t>
  </si>
  <si>
    <t>TO BE - AS IS (€, NPV)</t>
  </si>
  <si>
    <t>TO BE - AS IS (€, SUM)</t>
  </si>
  <si>
    <t>Kontrola TO BE</t>
  </si>
  <si>
    <t>Finančný cashflow (s DPH)</t>
  </si>
  <si>
    <t>Ekonomický cashflow (bez DPH)</t>
  </si>
  <si>
    <t>Náklady s DPH</t>
  </si>
  <si>
    <t>ekonomická čistá súčasná hodnota (eur bez DPH)</t>
  </si>
  <si>
    <t>finančná čistá súčasná hodnota (eur s DPH)</t>
  </si>
  <si>
    <t>Špecifikácia potrieb</t>
  </si>
  <si>
    <t>Návrh</t>
  </si>
  <si>
    <t>Vytvorenie a testovanie</t>
  </si>
  <si>
    <t>Zber údajov</t>
  </si>
  <si>
    <t>Spracovanie</t>
  </si>
  <si>
    <t>Zverejňovanie a poskytovanie</t>
  </si>
  <si>
    <t>Hodnotenie</t>
  </si>
  <si>
    <t>GSBPM</t>
  </si>
  <si>
    <t>Súčasné riešenie</t>
  </si>
  <si>
    <t>Riadenie dodávky (odborné QA)</t>
  </si>
  <si>
    <t>Koncová služba 9</t>
  </si>
  <si>
    <t>Úspora nádkladov na procesy Prípravné štatistické činnosti</t>
  </si>
  <si>
    <t>Koncová služba 1, Koncová služba 2, Koncová služba 3</t>
  </si>
  <si>
    <t>Úspora nádkladov na procesy Zber a spracovanie štatistických údajov a informácií</t>
  </si>
  <si>
    <t>Úspora nádkladov na procesy Tvorba štatistického produktu a šírenie</t>
  </si>
  <si>
    <t>Úspora nádkladov na procesy Ostatné činnosti</t>
  </si>
  <si>
    <t>Úspora nákladov na strane podnikateľov</t>
  </si>
  <si>
    <t>Koncová služba 1, Koncová služba 3, Koncová služba 4, Koncová služba 5</t>
  </si>
  <si>
    <t>Aktivita</t>
  </si>
  <si>
    <t>Typ aktivity</t>
  </si>
  <si>
    <t>Hlavná</t>
  </si>
  <si>
    <t>Podporná</t>
  </si>
  <si>
    <t>Analýza a dizajn</t>
  </si>
  <si>
    <t>Analýza a dizajn riešenia okrem integrácie</t>
  </si>
  <si>
    <t>Analýza a dizajn riešenia –  integrácia na Modul procesnej integrácie a integrácie údajov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</si>
  <si>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</si>
  <si>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</si>
  <si>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</si>
  <si>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</si>
  <si>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</si>
  <si>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</si>
  <si>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</si>
  <si>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</si>
  <si>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</si>
  <si>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</si>
  <si>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</si>
  <si>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</si>
  <si>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</si>
  <si>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</si>
  <si>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</si>
  <si>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</si>
  <si>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</si>
  <si>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Publicita</t>
  </si>
  <si>
    <t>Podaktivita</t>
  </si>
  <si>
    <t>Indikatívna výška</t>
  </si>
  <si>
    <t>Riadenie projektu - partner</t>
  </si>
  <si>
    <t>Riadenie projektu - ziadateľ</t>
  </si>
  <si>
    <t>Publicita - ziadateľ</t>
  </si>
  <si>
    <t>Publicita - partner</t>
  </si>
  <si>
    <t>Projekt spolu</t>
  </si>
  <si>
    <t>Koncová služba 3, Koncová služba 4, Koncová služba 5</t>
  </si>
  <si>
    <t>Koncová služba 7, Koncová služba 8</t>
  </si>
  <si>
    <t>Detailný popis požiadaviek sa nachádza v štúdii uskutočniteľnosti</t>
  </si>
  <si>
    <t>Zabezečenie riadenia kvality dodávky</t>
  </si>
  <si>
    <t>Biznis služba / modul</t>
  </si>
  <si>
    <t>licencie</t>
  </si>
  <si>
    <t>práce</t>
  </si>
  <si>
    <t>riadenie QA</t>
  </si>
  <si>
    <t>PM dodávateľa a riadenie kvality dodávky</t>
  </si>
  <si>
    <t>PM dodávateľa</t>
  </si>
  <si>
    <t>Počet MDs</t>
  </si>
  <si>
    <t>Aktivita projektu</t>
  </si>
  <si>
    <t>Výstup - Koncová služba</t>
  </si>
  <si>
    <t>Trvanie</t>
  </si>
  <si>
    <t>Start</t>
  </si>
  <si>
    <t>Koniec</t>
  </si>
  <si>
    <t>ID_Aktivita</t>
  </si>
  <si>
    <t xml:space="preserve">Implementácia služieb </t>
  </si>
  <si>
    <t>Výstupy dodávky</t>
  </si>
  <si>
    <t>Realizačný návrh projektu
Detailná funkčný špecifikácia
Akceptačné testy</t>
  </si>
  <si>
    <t>Prototypy riešenia
Akceptácia mitigačných postupov
Akceptácia vo vývojovom prostredí</t>
  </si>
  <si>
    <t>Penetračné testy
Testovacia prevádzka
Pilotná prevádzka</t>
  </si>
  <si>
    <t>Produktívna prevádzka a migrácia údajov
Riadiaca dokumentácia
Dokumentácia k systému</t>
  </si>
  <si>
    <t>M23</t>
  </si>
  <si>
    <t>Sumár</t>
  </si>
  <si>
    <t>Analýza a návrh</t>
  </si>
  <si>
    <t>#Sluzba</t>
  </si>
  <si>
    <t>1,3,4,5</t>
  </si>
  <si>
    <t>Riadenie projektu a publicita a informovanosť</t>
  </si>
  <si>
    <t>Rozvoj</t>
  </si>
  <si>
    <t>SLA</t>
  </si>
  <si>
    <t>Hladne aktivity - 521</t>
  </si>
  <si>
    <t>Podpora pri vývoji aplikácie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</si>
</sst>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#,##0_ ;\-#,##0;\-;@"/>
    <numFmt numFmtId="168" formatCode="0.00;\-0.00;\-;@"/>
    <numFmt numFmtId="169" formatCode="#,##0\ &quot;€&quot;"/>
    <numFmt numFmtId="170" formatCode="#,##0.00\ &quot;€&quot;"/>
  </numFmts>
  <fonts count="7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18"/>
      <name val="Arial"/>
      <family val="2"/>
      <charset val="238"/>
    </font>
    <font>
      <sz val="11"/>
      <color theme="1"/>
      <name val="Calibri"/>
      <family val="2"/>
      <charset val="238"/>
    </font>
    <font>
      <b/>
      <sz val="24"/>
      <color rgb="FF000000"/>
      <name val="Calibri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b/>
      <sz val="8"/>
      <color rgb="FFFA7D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9"/>
      <color theme="2" tint="-0.249977111117893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FA7D00"/>
      <name val="Calibri"/>
      <family val="2"/>
      <charset val="238"/>
      <scheme val="minor"/>
    </font>
    <font>
      <sz val="8"/>
      <color rgb="FFFA7D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006100"/>
      <name val="Arial Narrow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6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5" tint="-0.249977111117893"/>
      <name val="Arial"/>
      <family val="2"/>
      <charset val="238"/>
    </font>
    <font>
      <sz val="11"/>
      <color theme="5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1"/>
      <color theme="5" tint="-0.499984740745262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  <font>
      <sz val="9"/>
      <color theme="5" tint="-0.249977111117893"/>
      <name val="Calibri"/>
      <family val="2"/>
      <charset val="238"/>
      <scheme val="minor"/>
    </font>
    <font>
      <b/>
      <sz val="9"/>
      <color theme="5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81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medium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thin">
        <color rgb="FFB2B2B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auto="1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medium">
        <color auto="1"/>
      </bottom>
      <diagonal/>
    </border>
    <border>
      <left style="thin">
        <color theme="2" tint="-0.249977111117893"/>
      </left>
      <right style="medium">
        <color auto="1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theme="2" tint="-0.249977111117893"/>
      </right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auto="1"/>
      </right>
      <top/>
      <bottom style="thin">
        <color theme="2" tint="-0.249977111117893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auto="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medium">
        <color auto="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medium">
        <color auto="1"/>
      </right>
      <top style="thin">
        <color theme="2" tint="-0.2499465926084170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rgb="FFB2B2B2"/>
      </right>
      <top/>
      <bottom/>
      <diagonal/>
    </border>
  </borders>
  <cellStyleXfs count="8">
    <xf numFmtId="0" fontId="0" fillId="0" borderId="0"/>
    <xf numFmtId="0" fontId="6" fillId="3" borderId="0" applyNumberFormat="0" applyBorder="0" applyAlignment="0" applyProtection="0"/>
    <xf numFmtId="0" fontId="7" fillId="4" borderId="16" applyNumberFormat="0" applyAlignment="0" applyProtection="0"/>
    <xf numFmtId="0" fontId="2" fillId="5" borderId="17" applyNumberFormat="0" applyFont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0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797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justify" vertical="top" wrapText="1"/>
    </xf>
    <xf numFmtId="0" fontId="3" fillId="2" borderId="3" xfId="0" applyFont="1" applyFill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9" fillId="6" borderId="15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0" fillId="6" borderId="32" xfId="0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0" fillId="7" borderId="26" xfId="0" applyFill="1" applyBorder="1" applyAlignment="1">
      <alignment vertical="top" wrapText="1"/>
    </xf>
    <xf numFmtId="0" fontId="11" fillId="7" borderId="5" xfId="0" applyFont="1" applyFill="1" applyBorder="1" applyAlignment="1">
      <alignment vertical="top" wrapText="1"/>
    </xf>
    <xf numFmtId="0" fontId="9" fillId="7" borderId="0" xfId="0" applyFont="1" applyFill="1" applyAlignment="1">
      <alignment horizontal="center" vertical="top" wrapText="1"/>
    </xf>
    <xf numFmtId="0" fontId="0" fillId="6" borderId="18" xfId="0" applyFill="1" applyBorder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0" fillId="7" borderId="0" xfId="0" applyFill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11" fillId="7" borderId="27" xfId="0" applyFont="1" applyFill="1" applyBorder="1" applyAlignment="1">
      <alignment vertical="top" wrapText="1"/>
    </xf>
    <xf numFmtId="0" fontId="0" fillId="7" borderId="24" xfId="0" applyFill="1" applyBorder="1" applyAlignment="1">
      <alignment vertical="top" wrapText="1"/>
    </xf>
    <xf numFmtId="0" fontId="11" fillId="7" borderId="6" xfId="0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4" fontId="7" fillId="4" borderId="16" xfId="2" applyNumberFormat="1" applyAlignment="1">
      <alignment horizontal="right" vertical="top" wrapText="1"/>
    </xf>
    <xf numFmtId="4" fontId="7" fillId="4" borderId="36" xfId="2" applyNumberFormat="1" applyBorder="1" applyAlignment="1">
      <alignment horizontal="right" vertical="top" wrapText="1"/>
    </xf>
    <xf numFmtId="0" fontId="9" fillId="7" borderId="6" xfId="0" applyFont="1" applyFill="1" applyBorder="1" applyAlignment="1">
      <alignment horizontal="left" vertical="top" wrapText="1"/>
    </xf>
    <xf numFmtId="4" fontId="7" fillId="4" borderId="37" xfId="2" applyNumberFormat="1" applyBorder="1" applyAlignment="1">
      <alignment horizontal="right" vertical="top" wrapText="1"/>
    </xf>
    <xf numFmtId="4" fontId="6" fillId="3" borderId="0" xfId="1" applyNumberFormat="1" applyBorder="1" applyAlignment="1">
      <alignment horizontal="right" vertical="top" wrapText="1"/>
    </xf>
    <xf numFmtId="0" fontId="7" fillId="4" borderId="16" xfId="2" applyAlignment="1">
      <alignment horizontal="left" vertical="top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4" fontId="7" fillId="4" borderId="42" xfId="2" applyNumberFormat="1" applyBorder="1" applyAlignment="1">
      <alignment horizontal="right" vertical="top" wrapText="1"/>
    </xf>
    <xf numFmtId="4" fontId="7" fillId="4" borderId="45" xfId="2" applyNumberFormat="1" applyBorder="1" applyAlignment="1">
      <alignment horizontal="right" vertical="top" wrapText="1"/>
    </xf>
    <xf numFmtId="0" fontId="15" fillId="0" borderId="0" xfId="0" applyFont="1"/>
    <xf numFmtId="0" fontId="0" fillId="6" borderId="33" xfId="0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0" borderId="70" xfId="0" applyBorder="1" applyAlignment="1">
      <alignment horizontal="left" vertical="top" wrapText="1"/>
    </xf>
    <xf numFmtId="0" fontId="9" fillId="7" borderId="69" xfId="0" applyFont="1" applyFill="1" applyBorder="1" applyAlignment="1">
      <alignment horizontal="left" vertical="top" wrapText="1"/>
    </xf>
    <xf numFmtId="0" fontId="0" fillId="7" borderId="29" xfId="0" applyFill="1" applyBorder="1" applyAlignment="1">
      <alignment vertical="top" wrapText="1"/>
    </xf>
    <xf numFmtId="0" fontId="11" fillId="7" borderId="30" xfId="0" applyFont="1" applyFill="1" applyBorder="1" applyAlignment="1">
      <alignment vertical="top" wrapText="1"/>
    </xf>
    <xf numFmtId="4" fontId="7" fillId="4" borderId="71" xfId="2" applyNumberFormat="1" applyBorder="1" applyAlignment="1">
      <alignment horizontal="right" vertical="top" wrapText="1"/>
    </xf>
    <xf numFmtId="4" fontId="7" fillId="4" borderId="72" xfId="2" applyNumberFormat="1" applyBorder="1" applyAlignment="1">
      <alignment horizontal="right" vertical="top" wrapText="1"/>
    </xf>
    <xf numFmtId="4" fontId="7" fillId="4" borderId="73" xfId="2" applyNumberFormat="1" applyBorder="1" applyAlignment="1">
      <alignment horizontal="right" vertical="top" wrapText="1"/>
    </xf>
    <xf numFmtId="4" fontId="7" fillId="4" borderId="74" xfId="2" applyNumberFormat="1" applyBorder="1" applyAlignment="1">
      <alignment horizontal="right" vertical="top" wrapText="1"/>
    </xf>
    <xf numFmtId="4" fontId="7" fillId="4" borderId="76" xfId="2" applyNumberFormat="1" applyBorder="1" applyAlignment="1">
      <alignment horizontal="right" vertical="top" wrapText="1"/>
    </xf>
    <xf numFmtId="0" fontId="0" fillId="0" borderId="75" xfId="0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0" fillId="6" borderId="27" xfId="0" applyFill="1" applyBorder="1" applyAlignment="1">
      <alignment horizontal="left" vertical="top" wrapText="1"/>
    </xf>
    <xf numFmtId="4" fontId="7" fillId="4" borderId="77" xfId="2" applyNumberFormat="1" applyBorder="1" applyAlignment="1">
      <alignment horizontal="right" vertical="top" wrapText="1"/>
    </xf>
    <xf numFmtId="4" fontId="7" fillId="4" borderId="78" xfId="2" applyNumberFormat="1" applyBorder="1" applyAlignment="1">
      <alignment horizontal="right" vertical="top" wrapText="1"/>
    </xf>
    <xf numFmtId="4" fontId="7" fillId="4" borderId="79" xfId="2" applyNumberFormat="1" applyBorder="1" applyAlignment="1">
      <alignment horizontal="right" vertical="top" wrapText="1"/>
    </xf>
    <xf numFmtId="0" fontId="0" fillId="6" borderId="8" xfId="0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top" wrapText="1"/>
    </xf>
    <xf numFmtId="0" fontId="6" fillId="3" borderId="80" xfId="1" applyBorder="1" applyAlignment="1">
      <alignment horizontal="right" vertical="top" wrapText="1"/>
    </xf>
    <xf numFmtId="4" fontId="7" fillId="4" borderId="36" xfId="2" applyNumberFormat="1" applyBorder="1" applyAlignment="1">
      <alignment horizontal="left" vertical="top" wrapText="1"/>
    </xf>
    <xf numFmtId="4" fontId="7" fillId="4" borderId="81" xfId="2" applyNumberFormat="1" applyBorder="1" applyAlignment="1">
      <alignment horizontal="right" vertical="top" wrapText="1"/>
    </xf>
    <xf numFmtId="4" fontId="7" fillId="4" borderId="82" xfId="2" applyNumberFormat="1" applyBorder="1" applyAlignment="1">
      <alignment horizontal="right" vertical="top" wrapText="1"/>
    </xf>
    <xf numFmtId="4" fontId="7" fillId="4" borderId="83" xfId="2" applyNumberFormat="1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vertical="top" wrapText="1"/>
    </xf>
    <xf numFmtId="0" fontId="9" fillId="0" borderId="28" xfId="0" applyFont="1" applyBorder="1" applyAlignment="1">
      <alignment horizontal="left" vertical="top" wrapText="1"/>
    </xf>
    <xf numFmtId="3" fontId="7" fillId="4" borderId="14" xfId="2" applyNumberFormat="1" applyBorder="1" applyAlignment="1">
      <alignment horizontal="right" vertical="top" wrapText="1"/>
    </xf>
    <xf numFmtId="3" fontId="7" fillId="4" borderId="24" xfId="2" applyNumberFormat="1" applyBorder="1" applyAlignment="1">
      <alignment horizontal="right" vertical="top" wrapText="1"/>
    </xf>
    <xf numFmtId="3" fontId="7" fillId="4" borderId="15" xfId="2" applyNumberFormat="1" applyBorder="1" applyAlignment="1">
      <alignment horizontal="right" vertical="top" wrapText="1"/>
    </xf>
    <xf numFmtId="0" fontId="0" fillId="0" borderId="8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3" fontId="7" fillId="4" borderId="14" xfId="2" applyNumberFormat="1" applyBorder="1" applyAlignment="1">
      <alignment vertical="top" wrapText="1"/>
    </xf>
    <xf numFmtId="3" fontId="7" fillId="4" borderId="24" xfId="2" applyNumberFormat="1" applyBorder="1" applyAlignment="1">
      <alignment vertical="top" wrapText="1"/>
    </xf>
    <xf numFmtId="3" fontId="7" fillId="4" borderId="15" xfId="2" applyNumberFormat="1" applyBorder="1" applyAlignment="1">
      <alignment vertical="top" wrapText="1"/>
    </xf>
    <xf numFmtId="0" fontId="9" fillId="10" borderId="6" xfId="0" applyFont="1" applyFill="1" applyBorder="1" applyAlignment="1">
      <alignment horizontal="left" vertical="top" wrapText="1"/>
    </xf>
    <xf numFmtId="0" fontId="9" fillId="7" borderId="30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vertical="top" wrapText="1"/>
    </xf>
    <xf numFmtId="3" fontId="7" fillId="4" borderId="72" xfId="2" applyNumberFormat="1" applyBorder="1" applyAlignment="1">
      <alignment horizontal="right" vertical="top" wrapText="1"/>
    </xf>
    <xf numFmtId="3" fontId="7" fillId="4" borderId="73" xfId="2" applyNumberFormat="1" applyBorder="1" applyAlignment="1">
      <alignment horizontal="right" vertical="top" wrapText="1"/>
    </xf>
    <xf numFmtId="3" fontId="7" fillId="4" borderId="74" xfId="2" applyNumberFormat="1" applyBorder="1" applyAlignment="1">
      <alignment horizontal="right" vertical="top" wrapText="1"/>
    </xf>
    <xf numFmtId="0" fontId="9" fillId="10" borderId="30" xfId="0" applyFont="1" applyFill="1" applyBorder="1" applyAlignment="1">
      <alignment horizontal="left" vertical="top" wrapText="1"/>
    </xf>
    <xf numFmtId="0" fontId="9" fillId="11" borderId="30" xfId="0" applyFont="1" applyFill="1" applyBorder="1" applyAlignment="1">
      <alignment horizontal="left" vertical="top" wrapText="1"/>
    </xf>
    <xf numFmtId="0" fontId="30" fillId="0" borderId="0" xfId="0" applyFont="1" applyAlignment="1">
      <alignment horizontal="center"/>
    </xf>
    <xf numFmtId="0" fontId="31" fillId="0" borderId="0" xfId="0" applyFont="1"/>
    <xf numFmtId="49" fontId="31" fillId="0" borderId="0" xfId="0" applyNumberFormat="1" applyFont="1"/>
    <xf numFmtId="3" fontId="7" fillId="4" borderId="73" xfId="2" applyNumberFormat="1" applyBorder="1"/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wrapText="1"/>
    </xf>
    <xf numFmtId="0" fontId="29" fillId="0" borderId="0" xfId="0" applyFont="1"/>
    <xf numFmtId="0" fontId="9" fillId="7" borderId="69" xfId="0" applyFont="1" applyFill="1" applyBorder="1" applyAlignment="1">
      <alignment horizontal="center" vertical="top" wrapText="1"/>
    </xf>
    <xf numFmtId="3" fontId="7" fillId="4" borderId="36" xfId="2" applyNumberFormat="1" applyBorder="1"/>
    <xf numFmtId="3" fontId="7" fillId="4" borderId="88" xfId="2" applyNumberFormat="1" applyBorder="1"/>
    <xf numFmtId="0" fontId="0" fillId="6" borderId="89" xfId="0" applyFill="1" applyBorder="1" applyAlignment="1">
      <alignment horizontal="center" vertical="top" wrapText="1"/>
    </xf>
    <xf numFmtId="3" fontId="7" fillId="4" borderId="82" xfId="2" applyNumberFormat="1" applyBorder="1" applyAlignment="1">
      <alignment horizontal="right"/>
    </xf>
    <xf numFmtId="3" fontId="7" fillId="4" borderId="83" xfId="2" applyNumberFormat="1" applyBorder="1" applyAlignment="1">
      <alignment horizontal="right"/>
    </xf>
    <xf numFmtId="3" fontId="7" fillId="4" borderId="69" xfId="2" applyNumberFormat="1" applyBorder="1"/>
    <xf numFmtId="3" fontId="7" fillId="4" borderId="30" xfId="2" applyNumberFormat="1" applyBorder="1"/>
    <xf numFmtId="3" fontId="7" fillId="4" borderId="90" xfId="2" applyNumberFormat="1" applyBorder="1"/>
    <xf numFmtId="0" fontId="28" fillId="0" borderId="14" xfId="0" applyFont="1" applyBorder="1"/>
    <xf numFmtId="0" fontId="28" fillId="0" borderId="23" xfId="0" applyFont="1" applyBorder="1"/>
    <xf numFmtId="0" fontId="30" fillId="0" borderId="24" xfId="0" applyFont="1" applyBorder="1"/>
    <xf numFmtId="0" fontId="8" fillId="0" borderId="0" xfId="0" applyFont="1"/>
    <xf numFmtId="0" fontId="3" fillId="5" borderId="30" xfId="3" applyFont="1" applyBorder="1" applyAlignment="1">
      <alignment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6" borderId="87" xfId="0" applyFill="1" applyBorder="1" applyAlignment="1">
      <alignment horizontal="center" vertical="top" wrapText="1"/>
    </xf>
    <xf numFmtId="0" fontId="0" fillId="6" borderId="60" xfId="0" applyFill="1" applyBorder="1" applyAlignment="1">
      <alignment horizontal="center" vertical="top" wrapText="1"/>
    </xf>
    <xf numFmtId="0" fontId="0" fillId="6" borderId="61" xfId="0" applyFill="1" applyBorder="1" applyAlignment="1">
      <alignment horizontal="center" vertical="top" wrapText="1"/>
    </xf>
    <xf numFmtId="3" fontId="7" fillId="4" borderId="93" xfId="2" applyNumberFormat="1" applyBorder="1"/>
    <xf numFmtId="3" fontId="7" fillId="4" borderId="78" xfId="2" applyNumberFormat="1" applyBorder="1"/>
    <xf numFmtId="3" fontId="7" fillId="4" borderId="43" xfId="2" applyNumberFormat="1" applyBorder="1"/>
    <xf numFmtId="3" fontId="7" fillId="4" borderId="46" xfId="2" applyNumberFormat="1" applyBorder="1"/>
    <xf numFmtId="3" fontId="7" fillId="4" borderId="94" xfId="2" applyNumberFormat="1" applyBorder="1"/>
    <xf numFmtId="3" fontId="14" fillId="5" borderId="84" xfId="3" applyNumberFormat="1" applyFont="1" applyBorder="1" applyAlignment="1">
      <alignment vertical="top" wrapText="1"/>
    </xf>
    <xf numFmtId="3" fontId="14" fillId="5" borderId="53" xfId="3" applyNumberFormat="1" applyFont="1" applyBorder="1" applyAlignment="1">
      <alignment vertical="top" wrapText="1"/>
    </xf>
    <xf numFmtId="3" fontId="14" fillId="5" borderId="54" xfId="3" applyNumberFormat="1" applyFont="1" applyBorder="1" applyAlignment="1">
      <alignment vertical="top" wrapText="1"/>
    </xf>
    <xf numFmtId="3" fontId="14" fillId="5" borderId="41" xfId="3" applyNumberFormat="1" applyFont="1" applyBorder="1" applyAlignment="1">
      <alignment vertical="top" wrapText="1"/>
    </xf>
    <xf numFmtId="3" fontId="14" fillId="5" borderId="17" xfId="3" applyNumberFormat="1" applyFont="1" applyAlignment="1">
      <alignment vertical="top" wrapText="1"/>
    </xf>
    <xf numFmtId="3" fontId="14" fillId="5" borderId="55" xfId="3" applyNumberFormat="1" applyFont="1" applyBorder="1" applyAlignment="1">
      <alignment vertical="top" wrapText="1"/>
    </xf>
    <xf numFmtId="3" fontId="14" fillId="5" borderId="85" xfId="3" applyNumberFormat="1" applyFont="1" applyBorder="1" applyAlignment="1">
      <alignment vertical="top" wrapText="1"/>
    </xf>
    <xf numFmtId="3" fontId="14" fillId="5" borderId="56" xfId="3" applyNumberFormat="1" applyFont="1" applyBorder="1" applyAlignment="1">
      <alignment vertical="top" wrapText="1"/>
    </xf>
    <xf numFmtId="3" fontId="14" fillId="5" borderId="57" xfId="3" applyNumberFormat="1" applyFont="1" applyBorder="1" applyAlignment="1">
      <alignment vertical="top" wrapText="1"/>
    </xf>
    <xf numFmtId="3" fontId="14" fillId="5" borderId="84" xfId="3" applyNumberFormat="1" applyFont="1" applyBorder="1" applyAlignment="1">
      <alignment horizontal="right" vertical="top" wrapText="1"/>
    </xf>
    <xf numFmtId="3" fontId="14" fillId="5" borderId="41" xfId="3" applyNumberFormat="1" applyFont="1" applyBorder="1" applyAlignment="1">
      <alignment horizontal="right" vertical="top" wrapText="1"/>
    </xf>
    <xf numFmtId="3" fontId="14" fillId="5" borderId="85" xfId="3" applyNumberFormat="1" applyFont="1" applyBorder="1" applyAlignment="1">
      <alignment horizontal="right" vertical="top" wrapText="1"/>
    </xf>
    <xf numFmtId="3" fontId="7" fillId="4" borderId="95" xfId="2" applyNumberFormat="1" applyBorder="1" applyAlignment="1">
      <alignment horizontal="right" vertical="top" wrapText="1"/>
    </xf>
    <xf numFmtId="3" fontId="7" fillId="4" borderId="52" xfId="2" applyNumberFormat="1" applyBorder="1" applyAlignment="1">
      <alignment horizontal="right" vertical="top" wrapText="1"/>
    </xf>
    <xf numFmtId="3" fontId="7" fillId="4" borderId="47" xfId="2" applyNumberFormat="1" applyBorder="1" applyAlignment="1">
      <alignment vertical="top" wrapText="1"/>
    </xf>
    <xf numFmtId="3" fontId="7" fillId="4" borderId="44" xfId="2" applyNumberFormat="1" applyBorder="1" applyAlignment="1">
      <alignment vertical="top" wrapText="1"/>
    </xf>
    <xf numFmtId="3" fontId="7" fillId="4" borderId="96" xfId="2" applyNumberFormat="1" applyBorder="1" applyAlignment="1">
      <alignment vertical="top" wrapText="1"/>
    </xf>
    <xf numFmtId="3" fontId="7" fillId="4" borderId="16" xfId="2" applyNumberFormat="1" applyAlignment="1">
      <alignment vertical="top" wrapText="1"/>
    </xf>
    <xf numFmtId="0" fontId="35" fillId="0" borderId="0" xfId="0" applyFont="1"/>
    <xf numFmtId="0" fontId="35" fillId="0" borderId="0" xfId="0" applyFont="1" applyAlignment="1">
      <alignment horizontal="right"/>
    </xf>
    <xf numFmtId="0" fontId="37" fillId="0" borderId="0" xfId="0" applyFont="1" applyAlignment="1">
      <alignment horizontal="center" vertical="center" wrapText="1"/>
    </xf>
    <xf numFmtId="0" fontId="36" fillId="12" borderId="80" xfId="0" applyFont="1" applyFill="1" applyBorder="1" applyAlignment="1">
      <alignment vertical="top"/>
    </xf>
    <xf numFmtId="0" fontId="36" fillId="12" borderId="0" xfId="0" applyFont="1" applyFill="1" applyAlignment="1">
      <alignment vertical="top"/>
    </xf>
    <xf numFmtId="0" fontId="36" fillId="12" borderId="24" xfId="0" applyFont="1" applyFill="1" applyBorder="1" applyAlignment="1">
      <alignment vertical="top"/>
    </xf>
    <xf numFmtId="0" fontId="36" fillId="12" borderId="6" xfId="0" applyFont="1" applyFill="1" applyBorder="1" applyAlignment="1">
      <alignment vertical="top"/>
    </xf>
    <xf numFmtId="0" fontId="36" fillId="0" borderId="0" xfId="0" applyFont="1" applyAlignment="1">
      <alignment vertical="top" wrapText="1"/>
    </xf>
    <xf numFmtId="0" fontId="35" fillId="0" borderId="0" xfId="0" applyFont="1" applyAlignment="1">
      <alignment horizontal="left"/>
    </xf>
    <xf numFmtId="0" fontId="40" fillId="14" borderId="29" xfId="0" applyFont="1" applyFill="1" applyBorder="1"/>
    <xf numFmtId="1" fontId="40" fillId="0" borderId="0" xfId="0" applyNumberFormat="1" applyFont="1"/>
    <xf numFmtId="0" fontId="41" fillId="0" borderId="0" xfId="0" applyFont="1"/>
    <xf numFmtId="4" fontId="7" fillId="4" borderId="50" xfId="2" applyNumberFormat="1" applyBorder="1" applyAlignment="1">
      <alignment horizontal="right" vertical="top" wrapText="1"/>
    </xf>
    <xf numFmtId="4" fontId="0" fillId="0" borderId="0" xfId="0" applyNumberFormat="1" applyAlignment="1">
      <alignment horizontal="left" vertical="top" wrapText="1"/>
    </xf>
    <xf numFmtId="0" fontId="2" fillId="6" borderId="58" xfId="0" applyFont="1" applyFill="1" applyBorder="1" applyAlignment="1">
      <alignment horizontal="center" vertical="top" wrapText="1"/>
    </xf>
    <xf numFmtId="0" fontId="2" fillId="6" borderId="87" xfId="0" applyFont="1" applyFill="1" applyBorder="1" applyAlignment="1">
      <alignment horizontal="center" vertical="top" wrapText="1"/>
    </xf>
    <xf numFmtId="0" fontId="2" fillId="6" borderId="60" xfId="0" applyFont="1" applyFill="1" applyBorder="1" applyAlignment="1">
      <alignment horizontal="center" vertical="top" wrapText="1"/>
    </xf>
    <xf numFmtId="0" fontId="2" fillId="6" borderId="61" xfId="0" applyFont="1" applyFill="1" applyBorder="1" applyAlignment="1">
      <alignment horizontal="center" vertical="top" wrapText="1"/>
    </xf>
    <xf numFmtId="0" fontId="2" fillId="0" borderId="38" xfId="0" applyFont="1" applyBorder="1" applyAlignment="1">
      <alignment horizontal="left"/>
    </xf>
    <xf numFmtId="3" fontId="7" fillId="4" borderId="102" xfId="2" applyNumberFormat="1" applyBorder="1"/>
    <xf numFmtId="3" fontId="7" fillId="4" borderId="16" xfId="2" applyNumberFormat="1"/>
    <xf numFmtId="4" fontId="7" fillId="4" borderId="103" xfId="2" applyNumberFormat="1" applyBorder="1" applyAlignment="1">
      <alignment horizontal="right" vertical="top" wrapText="1"/>
    </xf>
    <xf numFmtId="4" fontId="7" fillId="0" borderId="0" xfId="2" applyNumberFormat="1" applyFill="1" applyBorder="1" applyAlignment="1">
      <alignment horizontal="right" vertical="top" wrapText="1"/>
    </xf>
    <xf numFmtId="4" fontId="0" fillId="0" borderId="0" xfId="0" applyNumberFormat="1"/>
    <xf numFmtId="4" fontId="7" fillId="4" borderId="105" xfId="2" applyNumberFormat="1" applyBorder="1" applyAlignment="1">
      <alignment horizontal="right" vertical="top" wrapText="1"/>
    </xf>
    <xf numFmtId="0" fontId="8" fillId="0" borderId="8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6" xfId="0" applyBorder="1"/>
    <xf numFmtId="0" fontId="0" fillId="0" borderId="5" xfId="0" applyBorder="1"/>
    <xf numFmtId="0" fontId="0" fillId="0" borderId="65" xfId="0" applyBorder="1" applyAlignment="1">
      <alignment horizontal="center" vertical="center"/>
    </xf>
    <xf numFmtId="0" fontId="0" fillId="0" borderId="13" xfId="0" applyBorder="1"/>
    <xf numFmtId="4" fontId="7" fillId="4" borderId="118" xfId="2" applyNumberFormat="1" applyBorder="1" applyAlignment="1">
      <alignment horizontal="right" vertical="top" wrapText="1"/>
    </xf>
    <xf numFmtId="4" fontId="7" fillId="4" borderId="117" xfId="2" applyNumberFormat="1" applyBorder="1" applyAlignment="1">
      <alignment horizontal="right" vertical="top" wrapText="1"/>
    </xf>
    <xf numFmtId="2" fontId="35" fillId="0" borderId="0" xfId="0" applyNumberFormat="1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4" fontId="45" fillId="4" borderId="118" xfId="2" applyNumberFormat="1" applyFont="1" applyBorder="1" applyAlignment="1">
      <alignment horizontal="left" vertical="center" wrapText="1"/>
    </xf>
    <xf numFmtId="4" fontId="7" fillId="15" borderId="117" xfId="2" applyNumberFormat="1" applyFill="1" applyBorder="1" applyAlignment="1">
      <alignment horizontal="right" vertical="center" wrapText="1"/>
    </xf>
    <xf numFmtId="166" fontId="44" fillId="15" borderId="117" xfId="4" applyNumberFormat="1" applyFont="1" applyFill="1" applyBorder="1" applyAlignment="1">
      <alignment horizontal="right" vertical="center" wrapText="1"/>
    </xf>
    <xf numFmtId="3" fontId="44" fillId="15" borderId="117" xfId="4" applyNumberFormat="1" applyFont="1" applyFill="1" applyBorder="1" applyAlignment="1">
      <alignment horizontal="right" vertical="center" wrapText="1"/>
    </xf>
    <xf numFmtId="0" fontId="46" fillId="0" borderId="0" xfId="0" applyFont="1" applyAlignment="1">
      <alignment horizontal="right" vertical="center"/>
    </xf>
    <xf numFmtId="4" fontId="47" fillId="9" borderId="117" xfId="2" applyNumberFormat="1" applyFont="1" applyFill="1" applyBorder="1" applyAlignment="1">
      <alignment horizontal="right" vertical="center" wrapText="1"/>
    </xf>
    <xf numFmtId="166" fontId="48" fillId="9" borderId="117" xfId="4" applyNumberFormat="1" applyFont="1" applyFill="1" applyBorder="1" applyAlignment="1">
      <alignment horizontal="right" vertical="center" wrapText="1"/>
    </xf>
    <xf numFmtId="0" fontId="49" fillId="0" borderId="0" xfId="0" applyFont="1" applyAlignment="1">
      <alignment vertical="center"/>
    </xf>
    <xf numFmtId="3" fontId="48" fillId="9" borderId="117" xfId="4" applyNumberFormat="1" applyFont="1" applyFill="1" applyBorder="1" applyAlignment="1">
      <alignment horizontal="right" vertical="center" wrapText="1"/>
    </xf>
    <xf numFmtId="2" fontId="3" fillId="17" borderId="80" xfId="1" applyNumberFormat="1" applyFont="1" applyFill="1" applyBorder="1" applyAlignment="1">
      <alignment vertical="top" wrapText="1"/>
    </xf>
    <xf numFmtId="1" fontId="50" fillId="3" borderId="5" xfId="1" applyNumberFormat="1" applyFont="1" applyBorder="1" applyAlignment="1">
      <alignment horizontal="right" vertical="top" wrapText="1"/>
    </xf>
    <xf numFmtId="0" fontId="32" fillId="0" borderId="0" xfId="0" applyFont="1"/>
    <xf numFmtId="0" fontId="9" fillId="0" borderId="0" xfId="0" applyFont="1" applyAlignment="1">
      <alignment horizontal="center" vertical="top" wrapText="1"/>
    </xf>
    <xf numFmtId="3" fontId="7" fillId="0" borderId="0" xfId="2" applyNumberFormat="1" applyFill="1" applyBorder="1"/>
    <xf numFmtId="0" fontId="8" fillId="0" borderId="61" xfId="0" applyFont="1" applyBorder="1"/>
    <xf numFmtId="0" fontId="8" fillId="0" borderId="120" xfId="0" applyFont="1" applyBorder="1"/>
    <xf numFmtId="0" fontId="0" fillId="0" borderId="121" xfId="0" applyBorder="1" applyAlignment="1">
      <alignment horizontal="left"/>
    </xf>
    <xf numFmtId="0" fontId="9" fillId="7" borderId="30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right"/>
    </xf>
    <xf numFmtId="0" fontId="32" fillId="0" borderId="6" xfId="0" applyFont="1" applyBorder="1"/>
    <xf numFmtId="0" fontId="34" fillId="0" borderId="24" xfId="0" applyFont="1" applyBorder="1"/>
    <xf numFmtId="9" fontId="0" fillId="0" borderId="19" xfId="4" applyFont="1" applyBorder="1" applyAlignment="1">
      <alignment wrapText="1"/>
    </xf>
    <xf numFmtId="4" fontId="0" fillId="0" borderId="20" xfId="0" applyNumberFormat="1" applyBorder="1" applyAlignment="1">
      <alignment wrapText="1"/>
    </xf>
    <xf numFmtId="9" fontId="0" fillId="0" borderId="0" xfId="4" applyFont="1"/>
    <xf numFmtId="4" fontId="0" fillId="0" borderId="20" xfId="0" applyNumberFormat="1" applyBorder="1"/>
    <xf numFmtId="9" fontId="0" fillId="0" borderId="0" xfId="4" applyFont="1" applyBorder="1" applyAlignment="1">
      <alignment wrapText="1"/>
    </xf>
    <xf numFmtId="2" fontId="0" fillId="0" borderId="20" xfId="0" applyNumberFormat="1" applyBorder="1" applyAlignment="1">
      <alignment wrapText="1"/>
    </xf>
    <xf numFmtId="2" fontId="0" fillId="0" borderId="124" xfId="0" applyNumberFormat="1" applyBorder="1" applyAlignment="1">
      <alignment wrapText="1"/>
    </xf>
    <xf numFmtId="2" fontId="0" fillId="0" borderId="20" xfId="0" applyNumberFormat="1" applyBorder="1"/>
    <xf numFmtId="2" fontId="0" fillId="0" borderId="124" xfId="0" applyNumberFormat="1" applyBorder="1"/>
    <xf numFmtId="9" fontId="8" fillId="10" borderId="19" xfId="4" applyFont="1" applyFill="1" applyBorder="1" applyAlignment="1">
      <alignment wrapText="1"/>
    </xf>
    <xf numFmtId="9" fontId="8" fillId="10" borderId="123" xfId="4" applyFont="1" applyFill="1" applyBorder="1" applyAlignment="1">
      <alignment wrapText="1"/>
    </xf>
    <xf numFmtId="9" fontId="8" fillId="10" borderId="19" xfId="4" applyFont="1" applyFill="1" applyBorder="1"/>
    <xf numFmtId="9" fontId="8" fillId="10" borderId="123" xfId="4" applyFont="1" applyFill="1" applyBorder="1"/>
    <xf numFmtId="0" fontId="8" fillId="10" borderId="0" xfId="0" applyFont="1" applyFill="1" applyAlignment="1">
      <alignment wrapText="1"/>
    </xf>
    <xf numFmtId="4" fontId="8" fillId="10" borderId="0" xfId="0" applyNumberFormat="1" applyFont="1" applyFill="1" applyAlignment="1">
      <alignment wrapText="1"/>
    </xf>
    <xf numFmtId="0" fontId="8" fillId="10" borderId="20" xfId="0" applyFont="1" applyFill="1" applyBorder="1" applyAlignment="1">
      <alignment horizontal="right" wrapText="1"/>
    </xf>
    <xf numFmtId="0" fontId="8" fillId="10" borderId="19" xfId="0" applyFont="1" applyFill="1" applyBorder="1" applyAlignment="1">
      <alignment horizontal="right" wrapText="1"/>
    </xf>
    <xf numFmtId="0" fontId="8" fillId="10" borderId="122" xfId="0" applyFont="1" applyFill="1" applyBorder="1" applyAlignment="1">
      <alignment horizontal="right"/>
    </xf>
    <xf numFmtId="0" fontId="8" fillId="10" borderId="116" xfId="0" applyFont="1" applyFill="1" applyBorder="1" applyAlignment="1">
      <alignment horizontal="right"/>
    </xf>
    <xf numFmtId="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4" fontId="8" fillId="0" borderId="0" xfId="0" applyNumberFormat="1" applyFont="1" applyAlignment="1">
      <alignment wrapText="1"/>
    </xf>
    <xf numFmtId="9" fontId="8" fillId="19" borderId="20" xfId="4" applyFont="1" applyFill="1" applyBorder="1" applyAlignment="1">
      <alignment wrapText="1"/>
    </xf>
    <xf numFmtId="2" fontId="0" fillId="0" borderId="0" xfId="0" applyNumberFormat="1"/>
    <xf numFmtId="9" fontId="8" fillId="19" borderId="21" xfId="4" applyFont="1" applyFill="1" applyBorder="1" applyAlignment="1">
      <alignment wrapText="1"/>
    </xf>
    <xf numFmtId="2" fontId="0" fillId="0" borderId="21" xfId="0" applyNumberFormat="1" applyBorder="1" applyAlignment="1">
      <alignment wrapText="1"/>
    </xf>
    <xf numFmtId="2" fontId="0" fillId="0" borderId="21" xfId="0" applyNumberFormat="1" applyBorder="1"/>
    <xf numFmtId="9" fontId="8" fillId="19" borderId="123" xfId="4" applyFont="1" applyFill="1" applyBorder="1" applyAlignment="1">
      <alignment wrapText="1"/>
    </xf>
    <xf numFmtId="9" fontId="8" fillId="19" borderId="124" xfId="4" applyFont="1" applyFill="1" applyBorder="1" applyAlignment="1">
      <alignment wrapText="1"/>
    </xf>
    <xf numFmtId="9" fontId="8" fillId="19" borderId="116" xfId="4" applyFont="1" applyFill="1" applyBorder="1" applyAlignment="1">
      <alignment wrapText="1"/>
    </xf>
    <xf numFmtId="0" fontId="40" fillId="14" borderId="15" xfId="0" applyFont="1" applyFill="1" applyBorder="1"/>
    <xf numFmtId="0" fontId="0" fillId="17" borderId="60" xfId="0" applyFill="1" applyBorder="1"/>
    <xf numFmtId="0" fontId="0" fillId="17" borderId="22" xfId="0" applyFill="1" applyBorder="1"/>
    <xf numFmtId="0" fontId="0" fillId="17" borderId="86" xfId="0" applyFill="1" applyBorder="1"/>
    <xf numFmtId="0" fontId="0" fillId="17" borderId="114" xfId="0" applyFill="1" applyBorder="1"/>
    <xf numFmtId="0" fontId="36" fillId="12" borderId="13" xfId="0" applyFont="1" applyFill="1" applyBorder="1" applyAlignment="1">
      <alignment horizontal="center" vertical="center" wrapText="1"/>
    </xf>
    <xf numFmtId="0" fontId="38" fillId="17" borderId="135" xfId="0" applyFont="1" applyFill="1" applyBorder="1" applyAlignment="1">
      <alignment vertical="center"/>
    </xf>
    <xf numFmtId="0" fontId="38" fillId="17" borderId="134" xfId="0" applyFont="1" applyFill="1" applyBorder="1" applyAlignment="1">
      <alignment vertical="center"/>
    </xf>
    <xf numFmtId="0" fontId="36" fillId="12" borderId="23" xfId="0" applyFont="1" applyFill="1" applyBorder="1" applyAlignment="1">
      <alignment vertical="center"/>
    </xf>
    <xf numFmtId="0" fontId="36" fillId="12" borderId="8" xfId="0" applyFont="1" applyFill="1" applyBorder="1" applyAlignment="1">
      <alignment vertical="center" wrapText="1"/>
    </xf>
    <xf numFmtId="0" fontId="36" fillId="12" borderId="14" xfId="0" applyFont="1" applyFill="1" applyBorder="1" applyAlignment="1">
      <alignment vertical="center"/>
    </xf>
    <xf numFmtId="0" fontId="36" fillId="12" borderId="13" xfId="0" applyFont="1" applyFill="1" applyBorder="1" applyAlignment="1">
      <alignment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24" xfId="0" applyFont="1" applyFill="1" applyBorder="1" applyAlignment="1">
      <alignment horizontal="center" vertical="center" wrapText="1"/>
    </xf>
    <xf numFmtId="0" fontId="36" fillId="12" borderId="0" xfId="0" applyFont="1" applyFill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30" xfId="0" applyFont="1" applyBorder="1" applyAlignment="1">
      <alignment horizontal="center" vertical="center"/>
    </xf>
    <xf numFmtId="0" fontId="40" fillId="14" borderId="26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 wrapText="1"/>
    </xf>
    <xf numFmtId="2" fontId="40" fillId="14" borderId="30" xfId="0" applyNumberFormat="1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top" wrapText="1"/>
    </xf>
    <xf numFmtId="0" fontId="36" fillId="12" borderId="14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2" borderId="13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40" fillId="14" borderId="29" xfId="0" applyFont="1" applyFill="1" applyBorder="1" applyAlignment="1">
      <alignment horizontal="center" vertical="center"/>
    </xf>
    <xf numFmtId="0" fontId="35" fillId="17" borderId="130" xfId="0" applyFont="1" applyFill="1" applyBorder="1" applyAlignment="1">
      <alignment horizontal="center" vertical="center"/>
    </xf>
    <xf numFmtId="0" fontId="35" fillId="17" borderId="133" xfId="0" applyFont="1" applyFill="1" applyBorder="1" applyAlignment="1">
      <alignment horizontal="center" vertical="center"/>
    </xf>
    <xf numFmtId="0" fontId="36" fillId="12" borderId="8" xfId="0" applyFont="1" applyFill="1" applyBorder="1" applyAlignment="1">
      <alignment horizontal="left" vertical="center"/>
    </xf>
    <xf numFmtId="0" fontId="36" fillId="12" borderId="23" xfId="0" applyFont="1" applyFill="1" applyBorder="1" applyAlignment="1">
      <alignment horizontal="left" vertical="center"/>
    </xf>
    <xf numFmtId="0" fontId="39" fillId="17" borderId="135" xfId="0" applyFont="1" applyFill="1" applyBorder="1" applyAlignment="1">
      <alignment horizontal="left" vertical="center"/>
    </xf>
    <xf numFmtId="0" fontId="40" fillId="14" borderId="15" xfId="0" applyFont="1" applyFill="1" applyBorder="1" applyAlignment="1">
      <alignment horizontal="left" vertical="center"/>
    </xf>
    <xf numFmtId="3" fontId="7" fillId="4" borderId="143" xfId="2" applyNumberFormat="1" applyBorder="1" applyAlignment="1">
      <alignment horizontal="right" vertical="top" wrapText="1"/>
    </xf>
    <xf numFmtId="3" fontId="14" fillId="5" borderId="100" xfId="3" applyNumberFormat="1" applyFont="1" applyBorder="1" applyAlignment="1">
      <alignment vertical="top" wrapText="1"/>
    </xf>
    <xf numFmtId="3" fontId="14" fillId="5" borderId="144" xfId="3" applyNumberFormat="1" applyFont="1" applyBorder="1" applyAlignment="1">
      <alignment vertical="top" wrapText="1"/>
    </xf>
    <xf numFmtId="3" fontId="14" fillId="5" borderId="145" xfId="3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8" fillId="19" borderId="0" xfId="0" applyFont="1" applyFill="1"/>
    <xf numFmtId="0" fontId="8" fillId="19" borderId="0" xfId="0" applyFont="1" applyFill="1" applyAlignment="1">
      <alignment horizontal="left"/>
    </xf>
    <xf numFmtId="0" fontId="8" fillId="0" borderId="69" xfId="0" applyFont="1" applyBorder="1" applyAlignment="1">
      <alignment horizontal="center" vertical="center" wrapText="1"/>
    </xf>
    <xf numFmtId="0" fontId="33" fillId="0" borderId="149" xfId="0" applyFont="1" applyBorder="1" applyAlignment="1">
      <alignment horizontal="center" wrapText="1"/>
    </xf>
    <xf numFmtId="0" fontId="33" fillId="0" borderId="151" xfId="0" applyFont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15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4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46" xfId="0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0" fillId="17" borderId="113" xfId="0" applyFill="1" applyBorder="1"/>
    <xf numFmtId="0" fontId="37" fillId="0" borderId="24" xfId="0" applyFont="1" applyBorder="1" applyAlignment="1">
      <alignment horizontal="left" vertical="center"/>
    </xf>
    <xf numFmtId="0" fontId="0" fillId="17" borderId="114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7" borderId="113" xfId="0" applyFill="1" applyBorder="1" applyAlignment="1">
      <alignment horizontal="center"/>
    </xf>
    <xf numFmtId="0" fontId="33" fillId="0" borderId="148" xfId="0" applyFont="1" applyBorder="1" applyAlignment="1">
      <alignment horizontal="center" wrapText="1"/>
    </xf>
    <xf numFmtId="0" fontId="0" fillId="17" borderId="124" xfId="0" applyFill="1" applyBorder="1" applyAlignment="1">
      <alignment horizontal="center"/>
    </xf>
    <xf numFmtId="0" fontId="34" fillId="9" borderId="69" xfId="0" applyFont="1" applyFill="1" applyBorder="1" applyAlignment="1">
      <alignment horizontal="left" vertical="top"/>
    </xf>
    <xf numFmtId="0" fontId="0" fillId="17" borderId="152" xfId="0" applyFill="1" applyBorder="1"/>
    <xf numFmtId="0" fontId="0" fillId="17" borderId="146" xfId="0" applyFill="1" applyBorder="1" applyAlignment="1">
      <alignment horizontal="left"/>
    </xf>
    <xf numFmtId="0" fontId="0" fillId="17" borderId="146" xfId="0" applyFill="1" applyBorder="1" applyAlignment="1">
      <alignment horizontal="center"/>
    </xf>
    <xf numFmtId="0" fontId="0" fillId="17" borderId="147" xfId="0" applyFill="1" applyBorder="1"/>
    <xf numFmtId="0" fontId="33" fillId="0" borderId="150" xfId="0" applyFont="1" applyBorder="1" applyAlignment="1">
      <alignment wrapText="1"/>
    </xf>
    <xf numFmtId="0" fontId="0" fillId="17" borderId="123" xfId="0" applyFill="1" applyBorder="1" applyAlignment="1">
      <alignment horizontal="center"/>
    </xf>
    <xf numFmtId="0" fontId="0" fillId="17" borderId="125" xfId="0" applyFill="1" applyBorder="1" applyAlignment="1">
      <alignment horizontal="center"/>
    </xf>
    <xf numFmtId="0" fontId="0" fillId="17" borderId="125" xfId="0" applyFill="1" applyBorder="1"/>
    <xf numFmtId="0" fontId="33" fillId="0" borderId="29" xfId="0" applyFont="1" applyBorder="1" applyAlignment="1">
      <alignment horizontal="center" wrapText="1"/>
    </xf>
    <xf numFmtId="0" fontId="0" fillId="17" borderId="152" xfId="0" applyFill="1" applyBorder="1" applyAlignment="1">
      <alignment horizontal="center"/>
    </xf>
    <xf numFmtId="0" fontId="0" fillId="17" borderId="22" xfId="0" applyFill="1" applyBorder="1" applyAlignment="1">
      <alignment horizontal="center" vertical="top" wrapText="1"/>
    </xf>
    <xf numFmtId="0" fontId="58" fillId="0" borderId="0" xfId="0" applyFont="1"/>
    <xf numFmtId="2" fontId="40" fillId="14" borderId="69" xfId="0" applyNumberFormat="1" applyFont="1" applyFill="1" applyBorder="1" applyAlignment="1">
      <alignment horizontal="center" vertical="center"/>
    </xf>
    <xf numFmtId="2" fontId="40" fillId="14" borderId="29" xfId="0" applyNumberFormat="1" applyFont="1" applyFill="1" applyBorder="1" applyAlignment="1">
      <alignment horizontal="center" vertical="center"/>
    </xf>
    <xf numFmtId="0" fontId="36" fillId="12" borderId="80" xfId="0" applyFont="1" applyFill="1" applyBorder="1" applyAlignment="1">
      <alignment horizontal="center" vertical="top" wrapText="1"/>
    </xf>
    <xf numFmtId="0" fontId="36" fillId="12" borderId="6" xfId="0" applyFont="1" applyFill="1" applyBorder="1" applyAlignment="1">
      <alignment vertical="center"/>
    </xf>
    <xf numFmtId="0" fontId="36" fillId="12" borderId="0" xfId="0" applyFont="1" applyFill="1" applyAlignment="1">
      <alignment vertical="center"/>
    </xf>
    <xf numFmtId="0" fontId="36" fillId="12" borderId="24" xfId="0" applyFont="1" applyFill="1" applyBorder="1" applyAlignment="1">
      <alignment vertical="center"/>
    </xf>
    <xf numFmtId="0" fontId="36" fillId="12" borderId="80" xfId="0" applyFont="1" applyFill="1" applyBorder="1" applyAlignment="1">
      <alignment vertical="center" wrapText="1"/>
    </xf>
    <xf numFmtId="0" fontId="8" fillId="9" borderId="153" xfId="0" applyFont="1" applyFill="1" applyBorder="1"/>
    <xf numFmtId="0" fontId="8" fillId="9" borderId="149" xfId="0" applyFont="1" applyFill="1" applyBorder="1"/>
    <xf numFmtId="0" fontId="8" fillId="9" borderId="151" xfId="0" applyFont="1" applyFill="1" applyBorder="1"/>
    <xf numFmtId="0" fontId="0" fillId="25" borderId="114" xfId="0" applyFill="1" applyBorder="1"/>
    <xf numFmtId="0" fontId="0" fillId="25" borderId="22" xfId="0" applyFill="1" applyBorder="1"/>
    <xf numFmtId="0" fontId="33" fillId="17" borderId="22" xfId="0" applyFont="1" applyFill="1" applyBorder="1"/>
    <xf numFmtId="0" fontId="42" fillId="17" borderId="155" xfId="0" applyFont="1" applyFill="1" applyBorder="1" applyAlignment="1">
      <alignment horizontal="center" vertical="center"/>
    </xf>
    <xf numFmtId="0" fontId="42" fillId="17" borderId="156" xfId="0" applyFont="1" applyFill="1" applyBorder="1" applyAlignment="1">
      <alignment horizontal="center" vertical="center"/>
    </xf>
    <xf numFmtId="0" fontId="42" fillId="17" borderId="157" xfId="0" applyFont="1" applyFill="1" applyBorder="1" applyAlignment="1">
      <alignment horizontal="center" vertical="center"/>
    </xf>
    <xf numFmtId="0" fontId="42" fillId="17" borderId="158" xfId="0" applyFont="1" applyFill="1" applyBorder="1" applyAlignment="1">
      <alignment horizontal="center" vertical="center"/>
    </xf>
    <xf numFmtId="0" fontId="42" fillId="17" borderId="159" xfId="0" applyFont="1" applyFill="1" applyBorder="1" applyAlignment="1">
      <alignment horizontal="center" vertical="center"/>
    </xf>
    <xf numFmtId="0" fontId="42" fillId="17" borderId="160" xfId="0" applyFont="1" applyFill="1" applyBorder="1" applyAlignment="1">
      <alignment horizontal="center" vertical="center"/>
    </xf>
    <xf numFmtId="0" fontId="42" fillId="17" borderId="161" xfId="0" applyFont="1" applyFill="1" applyBorder="1" applyAlignment="1">
      <alignment horizontal="center" vertical="center"/>
    </xf>
    <xf numFmtId="0" fontId="42" fillId="17" borderId="162" xfId="0" applyFont="1" applyFill="1" applyBorder="1" applyAlignment="1">
      <alignment horizontal="center" vertical="center"/>
    </xf>
    <xf numFmtId="0" fontId="42" fillId="17" borderId="163" xfId="0" applyFont="1" applyFill="1" applyBorder="1" applyAlignment="1">
      <alignment horizontal="center" vertical="center"/>
    </xf>
    <xf numFmtId="0" fontId="0" fillId="25" borderId="22" xfId="0" applyFill="1" applyBorder="1" applyAlignment="1">
      <alignment wrapText="1"/>
    </xf>
    <xf numFmtId="0" fontId="61" fillId="21" borderId="114" xfId="6" applyFont="1" applyFill="1" applyBorder="1" applyAlignment="1">
      <alignment vertical="center"/>
    </xf>
    <xf numFmtId="0" fontId="61" fillId="21" borderId="22" xfId="6" applyFont="1" applyFill="1" applyBorder="1" applyAlignment="1">
      <alignment vertical="center"/>
    </xf>
    <xf numFmtId="0" fontId="0" fillId="17" borderId="22" xfId="0" applyFill="1" applyBorder="1" applyAlignment="1">
      <alignment wrapText="1"/>
    </xf>
    <xf numFmtId="0" fontId="8" fillId="0" borderId="60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8" fillId="19" borderId="125" xfId="0" applyFont="1" applyFill="1" applyBorder="1"/>
    <xf numFmtId="0" fontId="8" fillId="19" borderId="34" xfId="0" applyFont="1" applyFill="1" applyBorder="1"/>
    <xf numFmtId="0" fontId="8" fillId="19" borderId="113" xfId="0" applyFont="1" applyFill="1" applyBorder="1"/>
    <xf numFmtId="165" fontId="8" fillId="19" borderId="22" xfId="5" applyNumberFormat="1" applyFont="1" applyFill="1" applyBorder="1" applyProtection="1"/>
    <xf numFmtId="0" fontId="8" fillId="0" borderId="125" xfId="0" applyFont="1" applyBorder="1"/>
    <xf numFmtId="0" fontId="8" fillId="22" borderId="34" xfId="0" applyFont="1" applyFill="1" applyBorder="1"/>
    <xf numFmtId="0" fontId="8" fillId="22" borderId="113" xfId="0" applyFont="1" applyFill="1" applyBorder="1"/>
    <xf numFmtId="0" fontId="8" fillId="21" borderId="125" xfId="0" applyFont="1" applyFill="1" applyBorder="1"/>
    <xf numFmtId="0" fontId="8" fillId="21" borderId="34" xfId="0" applyFont="1" applyFill="1" applyBorder="1"/>
    <xf numFmtId="0" fontId="0" fillId="21" borderId="113" xfId="0" applyFill="1" applyBorder="1"/>
    <xf numFmtId="0" fontId="8" fillId="21" borderId="122" xfId="0" applyFont="1" applyFill="1" applyBorder="1"/>
    <xf numFmtId="0" fontId="8" fillId="21" borderId="18" xfId="0" applyFont="1" applyFill="1" applyBorder="1"/>
    <xf numFmtId="0" fontId="0" fillId="21" borderId="116" xfId="0" applyFill="1" applyBorder="1"/>
    <xf numFmtId="4" fontId="14" fillId="5" borderId="41" xfId="3" applyNumberFormat="1" applyFont="1" applyBorder="1" applyAlignment="1" applyProtection="1">
      <alignment horizontal="right" vertical="top" wrapText="1"/>
      <protection locked="0"/>
    </xf>
    <xf numFmtId="4" fontId="14" fillId="5" borderId="17" xfId="3" applyNumberFormat="1" applyFont="1" applyAlignment="1" applyProtection="1">
      <alignment horizontal="right" vertical="top" wrapText="1"/>
      <protection locked="0"/>
    </xf>
    <xf numFmtId="4" fontId="14" fillId="5" borderId="104" xfId="3" applyNumberFormat="1" applyFont="1" applyBorder="1" applyAlignment="1" applyProtection="1">
      <alignment horizontal="right" vertical="top" wrapText="1"/>
      <protection locked="0"/>
    </xf>
    <xf numFmtId="4" fontId="14" fillId="5" borderId="101" xfId="3" applyNumberFormat="1" applyFont="1" applyBorder="1" applyAlignment="1" applyProtection="1">
      <alignment horizontal="right" vertical="top" wrapText="1"/>
      <protection locked="0"/>
    </xf>
    <xf numFmtId="0" fontId="0" fillId="18" borderId="0" xfId="0" applyFill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9" fillId="18" borderId="0" xfId="0" applyFont="1" applyFill="1" applyAlignment="1">
      <alignment horizontal="left" vertical="top" wrapText="1"/>
    </xf>
    <xf numFmtId="0" fontId="9" fillId="18" borderId="15" xfId="0" applyFont="1" applyFill="1" applyBorder="1" applyAlignment="1">
      <alignment horizontal="left" vertical="top" wrapText="1"/>
    </xf>
    <xf numFmtId="0" fontId="9" fillId="18" borderId="26" xfId="0" applyFont="1" applyFill="1" applyBorder="1" applyAlignment="1">
      <alignment horizontal="left" vertical="top" wrapText="1"/>
    </xf>
    <xf numFmtId="0" fontId="9" fillId="18" borderId="5" xfId="0" applyFont="1" applyFill="1" applyBorder="1" applyAlignment="1">
      <alignment horizontal="left" vertical="top" wrapText="1"/>
    </xf>
    <xf numFmtId="0" fontId="9" fillId="18" borderId="0" xfId="0" applyFont="1" applyFill="1" applyAlignment="1">
      <alignment horizontal="center" vertical="top" wrapText="1"/>
    </xf>
    <xf numFmtId="0" fontId="9" fillId="18" borderId="27" xfId="0" applyFont="1" applyFill="1" applyBorder="1" applyAlignment="1">
      <alignment horizontal="center" vertical="top" wrapText="1"/>
    </xf>
    <xf numFmtId="0" fontId="9" fillId="18" borderId="19" xfId="0" applyFont="1" applyFill="1" applyBorder="1" applyAlignment="1">
      <alignment horizontal="center" vertical="top" wrapText="1"/>
    </xf>
    <xf numFmtId="0" fontId="9" fillId="18" borderId="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67" fontId="0" fillId="0" borderId="14" xfId="5" applyNumberFormat="1" applyFont="1" applyBorder="1" applyAlignment="1" applyProtection="1">
      <alignment horizontal="center" vertical="center" wrapText="1"/>
    </xf>
    <xf numFmtId="167" fontId="0" fillId="0" borderId="23" xfId="5" applyNumberFormat="1" applyFont="1" applyBorder="1" applyAlignment="1" applyProtection="1">
      <alignment horizontal="center" vertical="center" wrapText="1"/>
    </xf>
    <xf numFmtId="167" fontId="0" fillId="0" borderId="13" xfId="5" applyNumberFormat="1" applyFont="1" applyBorder="1" applyAlignment="1" applyProtection="1">
      <alignment horizontal="center" vertical="center" wrapText="1"/>
    </xf>
    <xf numFmtId="167" fontId="14" fillId="5" borderId="84" xfId="5" applyNumberFormat="1" applyFont="1" applyFill="1" applyBorder="1" applyAlignment="1" applyProtection="1">
      <alignment horizontal="center" vertical="center" wrapText="1"/>
    </xf>
    <xf numFmtId="167" fontId="14" fillId="5" borderId="53" xfId="5" applyNumberFormat="1" applyFont="1" applyFill="1" applyBorder="1" applyAlignment="1" applyProtection="1">
      <alignment horizontal="center" vertical="center" wrapText="1"/>
    </xf>
    <xf numFmtId="167" fontId="56" fillId="20" borderId="53" xfId="5" applyNumberFormat="1" applyFont="1" applyFill="1" applyBorder="1" applyAlignment="1" applyProtection="1">
      <alignment horizontal="center" vertical="center" wrapText="1"/>
    </xf>
    <xf numFmtId="167" fontId="14" fillId="5" borderId="100" xfId="5" applyNumberFormat="1" applyFont="1" applyFill="1" applyBorder="1" applyAlignment="1" applyProtection="1">
      <alignment horizontal="center" vertical="center" wrapText="1"/>
    </xf>
    <xf numFmtId="167" fontId="56" fillId="20" borderId="54" xfId="5" applyNumberFormat="1" applyFont="1" applyFill="1" applyBorder="1" applyAlignment="1" applyProtection="1">
      <alignment horizontal="center" vertical="center" wrapText="1"/>
    </xf>
    <xf numFmtId="9" fontId="33" fillId="0" borderId="0" xfId="4" applyFont="1" applyAlignment="1" applyProtection="1">
      <alignment horizontal="left" vertical="top" wrapText="1"/>
    </xf>
    <xf numFmtId="167" fontId="0" fillId="0" borderId="24" xfId="5" applyNumberFormat="1" applyFont="1" applyBorder="1" applyAlignment="1" applyProtection="1">
      <alignment horizontal="center" vertical="center" wrapText="1"/>
    </xf>
    <xf numFmtId="167" fontId="0" fillId="0" borderId="0" xfId="5" applyNumberFormat="1" applyFont="1" applyBorder="1" applyAlignment="1" applyProtection="1">
      <alignment horizontal="center" vertical="center" wrapText="1"/>
    </xf>
    <xf numFmtId="167" fontId="0" fillId="0" borderId="6" xfId="5" applyNumberFormat="1" applyFont="1" applyBorder="1" applyAlignment="1" applyProtection="1">
      <alignment horizontal="center" vertical="center" wrapText="1"/>
    </xf>
    <xf numFmtId="167" fontId="14" fillId="5" borderId="41" xfId="5" applyNumberFormat="1" applyFont="1" applyFill="1" applyBorder="1" applyAlignment="1" applyProtection="1">
      <alignment horizontal="center" vertical="center" wrapText="1"/>
    </xf>
    <xf numFmtId="167" fontId="14" fillId="5" borderId="17" xfId="5" applyNumberFormat="1" applyFont="1" applyFill="1" applyBorder="1" applyAlignment="1" applyProtection="1">
      <alignment horizontal="center" vertical="center" wrapText="1"/>
    </xf>
    <xf numFmtId="167" fontId="56" fillId="20" borderId="17" xfId="5" applyNumberFormat="1" applyFont="1" applyFill="1" applyBorder="1" applyAlignment="1" applyProtection="1">
      <alignment horizontal="center" vertical="center" wrapText="1"/>
    </xf>
    <xf numFmtId="167" fontId="14" fillId="5" borderId="127" xfId="5" applyNumberFormat="1" applyFont="1" applyFill="1" applyBorder="1" applyAlignment="1" applyProtection="1">
      <alignment horizontal="center" vertical="center" wrapText="1"/>
    </xf>
    <xf numFmtId="167" fontId="56" fillId="20" borderId="98" xfId="5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167" fontId="0" fillId="0" borderId="15" xfId="5" applyNumberFormat="1" applyFont="1" applyBorder="1" applyAlignment="1" applyProtection="1">
      <alignment horizontal="center" vertical="center" wrapText="1"/>
    </xf>
    <xf numFmtId="167" fontId="0" fillId="0" borderId="26" xfId="5" applyNumberFormat="1" applyFont="1" applyBorder="1" applyAlignment="1" applyProtection="1">
      <alignment horizontal="center" vertical="center" wrapText="1"/>
    </xf>
    <xf numFmtId="167" fontId="0" fillId="0" borderId="5" xfId="5" applyNumberFormat="1" applyFont="1" applyBorder="1" applyAlignment="1" applyProtection="1">
      <alignment horizontal="center" vertical="center" wrapText="1"/>
    </xf>
    <xf numFmtId="167" fontId="14" fillId="5" borderId="85" xfId="5" applyNumberFormat="1" applyFont="1" applyFill="1" applyBorder="1" applyAlignment="1" applyProtection="1">
      <alignment horizontal="center" vertical="center" wrapText="1"/>
    </xf>
    <xf numFmtId="167" fontId="14" fillId="5" borderId="56" xfId="5" applyNumberFormat="1" applyFont="1" applyFill="1" applyBorder="1" applyAlignment="1" applyProtection="1">
      <alignment horizontal="center" vertical="center" wrapText="1"/>
    </xf>
    <xf numFmtId="167" fontId="56" fillId="20" borderId="56" xfId="5" applyNumberFormat="1" applyFont="1" applyFill="1" applyBorder="1" applyAlignment="1" applyProtection="1">
      <alignment horizontal="center" vertical="center" wrapText="1"/>
    </xf>
    <xf numFmtId="167" fontId="14" fillId="5" borderId="128" xfId="5" applyNumberFormat="1" applyFont="1" applyFill="1" applyBorder="1" applyAlignment="1" applyProtection="1">
      <alignment horizontal="center" vertical="center" wrapText="1"/>
    </xf>
    <xf numFmtId="167" fontId="56" fillId="20" borderId="99" xfId="5" applyNumberFormat="1" applyFont="1" applyFill="1" applyBorder="1" applyAlignment="1" applyProtection="1">
      <alignment horizontal="center" vertical="center" wrapText="1"/>
    </xf>
    <xf numFmtId="168" fontId="0" fillId="0" borderId="14" xfId="0" applyNumberFormat="1" applyBorder="1" applyAlignment="1">
      <alignment horizontal="center" vertical="center" wrapText="1"/>
    </xf>
    <xf numFmtId="168" fontId="0" fillId="0" borderId="23" xfId="0" applyNumberFormat="1" applyBorder="1" applyAlignment="1">
      <alignment horizontal="center" vertical="center" wrapText="1"/>
    </xf>
    <xf numFmtId="168" fontId="0" fillId="0" borderId="13" xfId="0" applyNumberFormat="1" applyBorder="1" applyAlignment="1">
      <alignment horizontal="center" vertical="center" wrapText="1"/>
    </xf>
    <xf numFmtId="168" fontId="14" fillId="5" borderId="84" xfId="3" applyNumberFormat="1" applyFont="1" applyBorder="1" applyAlignment="1" applyProtection="1">
      <alignment horizontal="center" vertical="center" wrapText="1"/>
    </xf>
    <xf numFmtId="168" fontId="14" fillId="5" borderId="53" xfId="3" applyNumberFormat="1" applyFont="1" applyBorder="1" applyAlignment="1" applyProtection="1">
      <alignment horizontal="center" vertical="center" wrapText="1"/>
    </xf>
    <xf numFmtId="168" fontId="56" fillId="20" borderId="53" xfId="3" applyNumberFormat="1" applyFont="1" applyFill="1" applyBorder="1" applyAlignment="1" applyProtection="1">
      <alignment horizontal="center" vertical="center" wrapText="1"/>
    </xf>
    <xf numFmtId="168" fontId="56" fillId="20" borderId="97" xfId="3" applyNumberFormat="1" applyFont="1" applyFill="1" applyBorder="1" applyAlignment="1" applyProtection="1">
      <alignment horizontal="center" vertical="center" wrapText="1"/>
    </xf>
    <xf numFmtId="168" fontId="0" fillId="0" borderId="24" xfId="0" applyNumberFormat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168" fontId="0" fillId="0" borderId="6" xfId="0" applyNumberFormat="1" applyBorder="1" applyAlignment="1">
      <alignment horizontal="center" vertical="center" wrapText="1"/>
    </xf>
    <xf numFmtId="168" fontId="14" fillId="5" borderId="41" xfId="3" applyNumberFormat="1" applyFont="1" applyBorder="1" applyAlignment="1" applyProtection="1">
      <alignment horizontal="center" vertical="center" wrapText="1"/>
    </xf>
    <xf numFmtId="168" fontId="14" fillId="5" borderId="17" xfId="3" applyNumberFormat="1" applyFont="1" applyAlignment="1" applyProtection="1">
      <alignment horizontal="center" vertical="center" wrapText="1"/>
    </xf>
    <xf numFmtId="168" fontId="56" fillId="20" borderId="17" xfId="3" applyNumberFormat="1" applyFont="1" applyFill="1" applyAlignment="1" applyProtection="1">
      <alignment horizontal="center" vertical="center" wrapText="1"/>
    </xf>
    <xf numFmtId="168" fontId="56" fillId="20" borderId="98" xfId="3" applyNumberFormat="1" applyFont="1" applyFill="1" applyBorder="1" applyAlignment="1" applyProtection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168" fontId="0" fillId="0" borderId="26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168" fontId="14" fillId="5" borderId="56" xfId="3" applyNumberFormat="1" applyFont="1" applyBorder="1" applyAlignment="1" applyProtection="1">
      <alignment horizontal="center" vertical="center" wrapText="1"/>
    </xf>
    <xf numFmtId="168" fontId="56" fillId="20" borderId="56" xfId="3" applyNumberFormat="1" applyFont="1" applyFill="1" applyBorder="1" applyAlignment="1" applyProtection="1">
      <alignment horizontal="center" vertical="center" wrapText="1"/>
    </xf>
    <xf numFmtId="168" fontId="56" fillId="20" borderId="99" xfId="3" applyNumberFormat="1" applyFont="1" applyFill="1" applyBorder="1" applyAlignment="1" applyProtection="1">
      <alignment horizontal="center" vertical="center" wrapText="1"/>
    </xf>
    <xf numFmtId="9" fontId="33" fillId="0" borderId="18" xfId="0" applyNumberFormat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3" fillId="0" borderId="21" xfId="0" applyFont="1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8" fillId="16" borderId="28" xfId="0" applyFont="1" applyFill="1" applyBorder="1" applyAlignment="1">
      <alignment horizontal="left" vertical="top" wrapText="1"/>
    </xf>
    <xf numFmtId="0" fontId="0" fillId="16" borderId="29" xfId="0" applyFill="1" applyBorder="1" applyAlignment="1">
      <alignment horizontal="left" vertical="top" wrapText="1"/>
    </xf>
    <xf numFmtId="0" fontId="0" fillId="16" borderId="30" xfId="0" applyFill="1" applyBorder="1" applyAlignment="1">
      <alignment horizontal="left" vertical="top" wrapText="1"/>
    </xf>
    <xf numFmtId="0" fontId="54" fillId="16" borderId="29" xfId="0" applyFont="1" applyFill="1" applyBorder="1" applyAlignment="1">
      <alignment horizontal="left" vertical="top" wrapText="1"/>
    </xf>
    <xf numFmtId="0" fontId="14" fillId="16" borderId="141" xfId="3" applyFont="1" applyFill="1" applyBorder="1" applyAlignment="1" applyProtection="1">
      <alignment horizontal="right" vertical="top" wrapText="1"/>
    </xf>
    <xf numFmtId="0" fontId="56" fillId="16" borderId="141" xfId="3" applyFont="1" applyFill="1" applyBorder="1" applyAlignment="1" applyProtection="1">
      <alignment horizontal="right" vertical="top" wrapText="1"/>
    </xf>
    <xf numFmtId="0" fontId="14" fillId="16" borderId="142" xfId="3" applyFont="1" applyFill="1" applyBorder="1" applyAlignment="1" applyProtection="1">
      <alignment horizontal="right" vertical="top" wrapText="1"/>
    </xf>
    <xf numFmtId="0" fontId="56" fillId="16" borderId="30" xfId="3" applyFont="1" applyFill="1" applyBorder="1" applyAlignment="1" applyProtection="1">
      <alignment horizontal="right" vertical="top" wrapText="1"/>
    </xf>
    <xf numFmtId="0" fontId="0" fillId="7" borderId="6" xfId="0" applyFill="1" applyBorder="1" applyAlignment="1">
      <alignment horizontal="left" vertical="top" wrapText="1"/>
    </xf>
    <xf numFmtId="167" fontId="57" fillId="20" borderId="24" xfId="5" applyNumberFormat="1" applyFont="1" applyFill="1" applyBorder="1" applyAlignment="1" applyProtection="1">
      <alignment horizontal="center" vertical="center" wrapText="1"/>
    </xf>
    <xf numFmtId="167" fontId="57" fillId="20" borderId="0" xfId="5" applyNumberFormat="1" applyFont="1" applyFill="1" applyBorder="1" applyAlignment="1" applyProtection="1">
      <alignment horizontal="center" vertical="center" wrapText="1"/>
    </xf>
    <xf numFmtId="167" fontId="57" fillId="20" borderId="6" xfId="5" applyNumberFormat="1" applyFont="1" applyFill="1" applyBorder="1" applyAlignment="1" applyProtection="1">
      <alignment horizontal="center" vertical="center" wrapText="1"/>
    </xf>
    <xf numFmtId="167" fontId="56" fillId="23" borderId="137" xfId="5" applyNumberFormat="1" applyFont="1" applyFill="1" applyBorder="1" applyAlignment="1" applyProtection="1">
      <alignment horizontal="center" vertical="center" wrapText="1"/>
    </xf>
    <xf numFmtId="167" fontId="56" fillId="23" borderId="138" xfId="5" applyNumberFormat="1" applyFont="1" applyFill="1" applyBorder="1" applyAlignment="1" applyProtection="1">
      <alignment horizontal="center" vertical="center" wrapText="1"/>
    </xf>
    <xf numFmtId="167" fontId="56" fillId="20" borderId="138" xfId="5" applyNumberFormat="1" applyFont="1" applyFill="1" applyBorder="1" applyAlignment="1" applyProtection="1">
      <alignment horizontal="center" vertical="center" wrapText="1"/>
    </xf>
    <xf numFmtId="167" fontId="56" fillId="23" borderId="139" xfId="5" applyNumberFormat="1" applyFont="1" applyFill="1" applyBorder="1" applyAlignment="1" applyProtection="1">
      <alignment horizontal="center" vertical="center" wrapText="1"/>
    </xf>
    <xf numFmtId="167" fontId="56" fillId="20" borderId="140" xfId="5" applyNumberFormat="1" applyFont="1" applyFill="1" applyBorder="1" applyAlignment="1" applyProtection="1">
      <alignment horizontal="center" vertical="center" wrapText="1"/>
    </xf>
    <xf numFmtId="9" fontId="33" fillId="0" borderId="24" xfId="0" applyNumberFormat="1" applyFont="1" applyBorder="1" applyAlignment="1">
      <alignment horizontal="left" vertical="top" wrapText="1"/>
    </xf>
    <xf numFmtId="167" fontId="56" fillId="23" borderId="41" xfId="5" applyNumberFormat="1" applyFont="1" applyFill="1" applyBorder="1" applyAlignment="1" applyProtection="1">
      <alignment horizontal="center" vertical="center" wrapText="1"/>
    </xf>
    <xf numFmtId="167" fontId="56" fillId="23" borderId="17" xfId="5" applyNumberFormat="1" applyFont="1" applyFill="1" applyBorder="1" applyAlignment="1" applyProtection="1">
      <alignment horizontal="center" vertical="center" wrapText="1"/>
    </xf>
    <xf numFmtId="167" fontId="56" fillId="23" borderId="127" xfId="5" applyNumberFormat="1" applyFont="1" applyFill="1" applyBorder="1" applyAlignment="1" applyProtection="1">
      <alignment horizontal="center" vertical="center" wrapText="1"/>
    </xf>
    <xf numFmtId="0" fontId="0" fillId="7" borderId="5" xfId="0" applyFill="1" applyBorder="1" applyAlignment="1">
      <alignment horizontal="left" vertical="top" wrapText="1"/>
    </xf>
    <xf numFmtId="167" fontId="57" fillId="20" borderId="15" xfId="5" applyNumberFormat="1" applyFont="1" applyFill="1" applyBorder="1" applyAlignment="1" applyProtection="1">
      <alignment horizontal="center" vertical="center" wrapText="1"/>
    </xf>
    <xf numFmtId="167" fontId="57" fillId="20" borderId="26" xfId="5" applyNumberFormat="1" applyFont="1" applyFill="1" applyBorder="1" applyAlignment="1" applyProtection="1">
      <alignment horizontal="center" vertical="center" wrapText="1"/>
    </xf>
    <xf numFmtId="167" fontId="57" fillId="20" borderId="5" xfId="5" applyNumberFormat="1" applyFont="1" applyFill="1" applyBorder="1" applyAlignment="1" applyProtection="1">
      <alignment horizontal="center" vertical="center" wrapText="1"/>
    </xf>
    <xf numFmtId="167" fontId="56" fillId="23" borderId="85" xfId="5" applyNumberFormat="1" applyFont="1" applyFill="1" applyBorder="1" applyAlignment="1" applyProtection="1">
      <alignment horizontal="center" vertical="center" wrapText="1"/>
    </xf>
    <xf numFmtId="167" fontId="56" fillId="23" borderId="56" xfId="5" applyNumberFormat="1" applyFont="1" applyFill="1" applyBorder="1" applyAlignment="1" applyProtection="1">
      <alignment horizontal="center" vertical="center" wrapText="1"/>
    </xf>
    <xf numFmtId="167" fontId="56" fillId="23" borderId="128" xfId="5" applyNumberFormat="1" applyFont="1" applyFill="1" applyBorder="1" applyAlignment="1" applyProtection="1">
      <alignment horizontal="center" vertical="center" wrapText="1"/>
    </xf>
    <xf numFmtId="167" fontId="56" fillId="23" borderId="84" xfId="5" applyNumberFormat="1" applyFont="1" applyFill="1" applyBorder="1" applyAlignment="1" applyProtection="1">
      <alignment horizontal="center" vertical="center" wrapText="1"/>
    </xf>
    <xf numFmtId="167" fontId="56" fillId="23" borderId="53" xfId="5" applyNumberFormat="1" applyFont="1" applyFill="1" applyBorder="1" applyAlignment="1" applyProtection="1">
      <alignment horizontal="center" vertical="center" wrapText="1"/>
    </xf>
    <xf numFmtId="167" fontId="56" fillId="23" borderId="129" xfId="5" applyNumberFormat="1" applyFont="1" applyFill="1" applyBorder="1" applyAlignment="1" applyProtection="1">
      <alignment horizontal="center" vertical="center" wrapText="1"/>
    </xf>
    <xf numFmtId="167" fontId="56" fillId="20" borderId="97" xfId="5" applyNumberFormat="1" applyFont="1" applyFill="1" applyBorder="1" applyAlignment="1" applyProtection="1">
      <alignment horizontal="center" vertical="center" wrapText="1"/>
    </xf>
    <xf numFmtId="168" fontId="57" fillId="20" borderId="24" xfId="5" applyNumberFormat="1" applyFont="1" applyFill="1" applyBorder="1" applyAlignment="1" applyProtection="1">
      <alignment horizontal="center" vertical="center" wrapText="1"/>
    </xf>
    <xf numFmtId="168" fontId="57" fillId="20" borderId="0" xfId="5" applyNumberFormat="1" applyFont="1" applyFill="1" applyBorder="1" applyAlignment="1" applyProtection="1">
      <alignment horizontal="center" vertical="center" wrapText="1"/>
    </xf>
    <xf numFmtId="168" fontId="57" fillId="20" borderId="6" xfId="5" applyNumberFormat="1" applyFont="1" applyFill="1" applyBorder="1" applyAlignment="1" applyProtection="1">
      <alignment horizontal="center" vertical="center" wrapText="1"/>
    </xf>
    <xf numFmtId="168" fontId="56" fillId="23" borderId="84" xfId="5" applyNumberFormat="1" applyFont="1" applyFill="1" applyBorder="1" applyAlignment="1" applyProtection="1">
      <alignment horizontal="center" vertical="center" wrapText="1"/>
    </xf>
    <xf numFmtId="168" fontId="56" fillId="23" borderId="53" xfId="5" applyNumberFormat="1" applyFont="1" applyFill="1" applyBorder="1" applyAlignment="1" applyProtection="1">
      <alignment horizontal="center" vertical="center" wrapText="1"/>
    </xf>
    <xf numFmtId="168" fontId="56" fillId="20" borderId="53" xfId="5" applyNumberFormat="1" applyFont="1" applyFill="1" applyBorder="1" applyAlignment="1" applyProtection="1">
      <alignment horizontal="center" vertical="center" wrapText="1"/>
    </xf>
    <xf numFmtId="168" fontId="56" fillId="23" borderId="129" xfId="5" applyNumberFormat="1" applyFont="1" applyFill="1" applyBorder="1" applyAlignment="1" applyProtection="1">
      <alignment horizontal="center" vertical="center" wrapText="1"/>
    </xf>
    <xf numFmtId="168" fontId="56" fillId="20" borderId="97" xfId="5" applyNumberFormat="1" applyFont="1" applyFill="1" applyBorder="1" applyAlignment="1" applyProtection="1">
      <alignment horizontal="center" vertical="center" wrapText="1"/>
    </xf>
    <xf numFmtId="168" fontId="56" fillId="23" borderId="41" xfId="5" applyNumberFormat="1" applyFont="1" applyFill="1" applyBorder="1" applyAlignment="1" applyProtection="1">
      <alignment horizontal="center" vertical="center" wrapText="1"/>
    </xf>
    <xf numFmtId="168" fontId="56" fillId="23" borderId="17" xfId="5" applyNumberFormat="1" applyFont="1" applyFill="1" applyBorder="1" applyAlignment="1" applyProtection="1">
      <alignment horizontal="center" vertical="center" wrapText="1"/>
    </xf>
    <xf numFmtId="168" fontId="56" fillId="20" borderId="17" xfId="5" applyNumberFormat="1" applyFont="1" applyFill="1" applyBorder="1" applyAlignment="1" applyProtection="1">
      <alignment horizontal="center" vertical="center" wrapText="1"/>
    </xf>
    <xf numFmtId="168" fontId="56" fillId="23" borderId="127" xfId="5" applyNumberFormat="1" applyFont="1" applyFill="1" applyBorder="1" applyAlignment="1" applyProtection="1">
      <alignment horizontal="center" vertical="center" wrapText="1"/>
    </xf>
    <xf numFmtId="168" fontId="56" fillId="20" borderId="98" xfId="5" applyNumberFormat="1" applyFont="1" applyFill="1" applyBorder="1" applyAlignment="1" applyProtection="1">
      <alignment horizontal="center" vertical="center" wrapText="1"/>
    </xf>
    <xf numFmtId="168" fontId="57" fillId="20" borderId="15" xfId="5" applyNumberFormat="1" applyFont="1" applyFill="1" applyBorder="1" applyAlignment="1" applyProtection="1">
      <alignment horizontal="center" vertical="center" wrapText="1"/>
    </xf>
    <xf numFmtId="168" fontId="57" fillId="20" borderId="26" xfId="5" applyNumberFormat="1" applyFont="1" applyFill="1" applyBorder="1" applyAlignment="1" applyProtection="1">
      <alignment horizontal="center" vertical="center" wrapText="1"/>
    </xf>
    <xf numFmtId="168" fontId="57" fillId="20" borderId="5" xfId="5" applyNumberFormat="1" applyFont="1" applyFill="1" applyBorder="1" applyAlignment="1" applyProtection="1">
      <alignment horizontal="center" vertical="center" wrapText="1"/>
    </xf>
    <xf numFmtId="168" fontId="56" fillId="23" borderId="85" xfId="5" applyNumberFormat="1" applyFont="1" applyFill="1" applyBorder="1" applyAlignment="1" applyProtection="1">
      <alignment horizontal="center" vertical="center" wrapText="1"/>
    </xf>
    <xf numFmtId="168" fontId="56" fillId="23" borderId="56" xfId="5" applyNumberFormat="1" applyFont="1" applyFill="1" applyBorder="1" applyAlignment="1" applyProtection="1">
      <alignment horizontal="center" vertical="center" wrapText="1"/>
    </xf>
    <xf numFmtId="168" fontId="56" fillId="20" borderId="56" xfId="5" applyNumberFormat="1" applyFont="1" applyFill="1" applyBorder="1" applyAlignment="1" applyProtection="1">
      <alignment horizontal="center" vertical="center" wrapText="1"/>
    </xf>
    <xf numFmtId="168" fontId="56" fillId="23" borderId="128" xfId="5" applyNumberFormat="1" applyFont="1" applyFill="1" applyBorder="1" applyAlignment="1" applyProtection="1">
      <alignment horizontal="center" vertical="center" wrapText="1"/>
    </xf>
    <xf numFmtId="168" fontId="56" fillId="20" borderId="99" xfId="5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35" fillId="17" borderId="164" xfId="0" applyFont="1" applyFill="1" applyBorder="1" applyAlignment="1">
      <alignment horizontal="center" vertical="center"/>
    </xf>
    <xf numFmtId="0" fontId="35" fillId="0" borderId="164" xfId="0" applyFont="1" applyBorder="1" applyAlignment="1">
      <alignment horizontal="center" vertical="center"/>
    </xf>
    <xf numFmtId="0" fontId="35" fillId="0" borderId="131" xfId="0" applyFont="1" applyBorder="1" applyAlignment="1">
      <alignment horizontal="center" vertical="center"/>
    </xf>
    <xf numFmtId="3" fontId="7" fillId="4" borderId="93" xfId="2" applyNumberFormat="1" applyBorder="1" applyProtection="1">
      <protection locked="0"/>
    </xf>
    <xf numFmtId="3" fontId="7" fillId="4" borderId="36" xfId="2" applyNumberFormat="1" applyBorder="1" applyProtection="1">
      <protection locked="0"/>
    </xf>
    <xf numFmtId="3" fontId="7" fillId="4" borderId="78" xfId="2" applyNumberFormat="1" applyBorder="1" applyProtection="1">
      <protection locked="0"/>
    </xf>
    <xf numFmtId="0" fontId="5" fillId="26" borderId="4" xfId="0" applyFont="1" applyFill="1" applyBorder="1" applyAlignment="1">
      <alignment horizontal="left" vertical="top" wrapText="1"/>
    </xf>
    <xf numFmtId="0" fontId="5" fillId="26" borderId="5" xfId="0" applyFont="1" applyFill="1" applyBorder="1" applyAlignment="1">
      <alignment horizontal="justify" vertical="top" wrapText="1"/>
    </xf>
    <xf numFmtId="0" fontId="5" fillId="26" borderId="5" xfId="0" applyFont="1" applyFill="1" applyBorder="1" applyAlignment="1">
      <alignment horizontal="center" vertical="top" wrapText="1"/>
    </xf>
    <xf numFmtId="0" fontId="5" fillId="26" borderId="6" xfId="0" applyFont="1" applyFill="1" applyBorder="1" applyAlignment="1">
      <alignment horizontal="justify" vertical="top" wrapText="1"/>
    </xf>
    <xf numFmtId="0" fontId="5" fillId="26" borderId="24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justify" vertical="top" wrapText="1"/>
    </xf>
    <xf numFmtId="0" fontId="5" fillId="26" borderId="6" xfId="0" applyFont="1" applyFill="1" applyBorder="1" applyAlignment="1">
      <alignment horizontal="center" vertical="top" wrapText="1"/>
    </xf>
    <xf numFmtId="0" fontId="5" fillId="26" borderId="69" xfId="0" applyFont="1" applyFill="1" applyBorder="1" applyAlignment="1">
      <alignment horizontal="left" vertical="top" wrapText="1"/>
    </xf>
    <xf numFmtId="0" fontId="5" fillId="26" borderId="69" xfId="0" applyFont="1" applyFill="1" applyBorder="1" applyAlignment="1">
      <alignment horizontal="center" vertical="top" wrapText="1"/>
    </xf>
    <xf numFmtId="2" fontId="3" fillId="17" borderId="6" xfId="1" applyNumberFormat="1" applyFont="1" applyFill="1" applyBorder="1" applyAlignment="1">
      <alignment vertical="top" wrapText="1"/>
    </xf>
    <xf numFmtId="2" fontId="3" fillId="17" borderId="69" xfId="1" applyNumberFormat="1" applyFont="1" applyFill="1" applyBorder="1" applyAlignment="1">
      <alignment vertical="top" wrapText="1"/>
    </xf>
    <xf numFmtId="0" fontId="26" fillId="0" borderId="0" xfId="0" applyFont="1" applyAlignment="1">
      <alignment vertical="center"/>
    </xf>
    <xf numFmtId="165" fontId="8" fillId="19" borderId="146" xfId="5" applyNumberFormat="1" applyFont="1" applyFill="1" applyBorder="1" applyProtection="1"/>
    <xf numFmtId="0" fontId="55" fillId="0" borderId="0" xfId="0" applyFont="1"/>
    <xf numFmtId="0" fontId="0" fillId="0" borderId="125" xfId="0" applyBorder="1"/>
    <xf numFmtId="0" fontId="0" fillId="0" borderId="34" xfId="0" applyBorder="1"/>
    <xf numFmtId="0" fontId="39" fillId="17" borderId="165" xfId="0" applyFont="1" applyFill="1" applyBorder="1" applyAlignment="1">
      <alignment horizontal="left" vertical="center"/>
    </xf>
    <xf numFmtId="44" fontId="39" fillId="17" borderId="167" xfId="7" applyFont="1" applyFill="1" applyBorder="1" applyAlignment="1">
      <alignment horizontal="left" vertical="center"/>
    </xf>
    <xf numFmtId="0" fontId="36" fillId="12" borderId="69" xfId="0" applyFont="1" applyFill="1" applyBorder="1" applyAlignment="1">
      <alignment horizontal="left" vertical="center"/>
    </xf>
    <xf numFmtId="0" fontId="39" fillId="17" borderId="165" xfId="0" applyFont="1" applyFill="1" applyBorder="1" applyAlignment="1">
      <alignment horizontal="center" vertical="center"/>
    </xf>
    <xf numFmtId="0" fontId="39" fillId="17" borderId="135" xfId="0" applyFont="1" applyFill="1" applyBorder="1" applyAlignment="1">
      <alignment horizontal="center" vertical="center"/>
    </xf>
    <xf numFmtId="44" fontId="56" fillId="20" borderId="166" xfId="7" applyFont="1" applyFill="1" applyBorder="1" applyAlignment="1" applyProtection="1">
      <alignment horizontal="center" vertical="center" wrapText="1"/>
    </xf>
    <xf numFmtId="0" fontId="36" fillId="12" borderId="69" xfId="0" applyFont="1" applyFill="1" applyBorder="1" applyAlignment="1">
      <alignment horizontal="center" vertical="center"/>
    </xf>
    <xf numFmtId="44" fontId="39" fillId="17" borderId="165" xfId="7" applyFont="1" applyFill="1" applyBorder="1" applyAlignment="1">
      <alignment horizontal="center" vertical="center"/>
    </xf>
    <xf numFmtId="44" fontId="39" fillId="17" borderId="135" xfId="7" applyFont="1" applyFill="1" applyBorder="1" applyAlignment="1">
      <alignment horizontal="center" vertical="center"/>
    </xf>
    <xf numFmtId="0" fontId="53" fillId="0" borderId="26" xfId="0" applyFont="1" applyBorder="1" applyAlignment="1">
      <alignment horizontal="center" vertical="center"/>
    </xf>
    <xf numFmtId="165" fontId="62" fillId="19" borderId="22" xfId="5" applyNumberFormat="1" applyFont="1" applyFill="1" applyBorder="1" applyProtection="1"/>
    <xf numFmtId="165" fontId="62" fillId="19" borderId="146" xfId="5" applyNumberFormat="1" applyFont="1" applyFill="1" applyBorder="1" applyProtection="1"/>
    <xf numFmtId="165" fontId="57" fillId="22" borderId="22" xfId="5" applyNumberFormat="1" applyFont="1" applyFill="1" applyBorder="1" applyProtection="1"/>
    <xf numFmtId="165" fontId="57" fillId="22" borderId="125" xfId="5" applyNumberFormat="1" applyFont="1" applyFill="1" applyBorder="1" applyProtection="1"/>
    <xf numFmtId="165" fontId="57" fillId="22" borderId="146" xfId="5" applyNumberFormat="1" applyFont="1" applyFill="1" applyBorder="1" applyProtection="1"/>
    <xf numFmtId="165" fontId="63" fillId="21" borderId="22" xfId="5" applyNumberFormat="1" applyFont="1" applyFill="1" applyBorder="1" applyProtection="1"/>
    <xf numFmtId="165" fontId="63" fillId="21" borderId="125" xfId="5" applyNumberFormat="1" applyFont="1" applyFill="1" applyBorder="1" applyProtection="1"/>
    <xf numFmtId="165" fontId="63" fillId="21" borderId="146" xfId="5" applyNumberFormat="1" applyFont="1" applyFill="1" applyBorder="1" applyProtection="1"/>
    <xf numFmtId="165" fontId="63" fillId="21" borderId="22" xfId="5" applyNumberFormat="1" applyFont="1" applyFill="1" applyBorder="1" applyAlignment="1" applyProtection="1">
      <alignment horizontal="center"/>
    </xf>
    <xf numFmtId="165" fontId="63" fillId="21" borderId="146" xfId="5" applyNumberFormat="1" applyFont="1" applyFill="1" applyBorder="1" applyAlignment="1" applyProtection="1">
      <alignment horizontal="center"/>
    </xf>
    <xf numFmtId="165" fontId="63" fillId="21" borderId="86" xfId="5" applyNumberFormat="1" applyFont="1" applyFill="1" applyBorder="1" applyProtection="1"/>
    <xf numFmtId="165" fontId="63" fillId="21" borderId="154" xfId="5" applyNumberFormat="1" applyFont="1" applyFill="1" applyBorder="1" applyProtection="1"/>
    <xf numFmtId="0" fontId="67" fillId="13" borderId="6" xfId="0" applyFont="1" applyFill="1" applyBorder="1" applyAlignment="1">
      <alignment horizontal="center" vertical="center"/>
    </xf>
    <xf numFmtId="3" fontId="68" fillId="14" borderId="28" xfId="0" applyNumberFormat="1" applyFont="1" applyFill="1" applyBorder="1" applyAlignment="1">
      <alignment horizontal="center" vertical="center"/>
    </xf>
    <xf numFmtId="3" fontId="68" fillId="14" borderId="30" xfId="0" applyNumberFormat="1" applyFont="1" applyFill="1" applyBorder="1" applyAlignment="1">
      <alignment horizontal="center" vertical="center"/>
    </xf>
    <xf numFmtId="0" fontId="67" fillId="22" borderId="24" xfId="0" applyFont="1" applyFill="1" applyBorder="1" applyAlignment="1">
      <alignment horizontal="center" vertical="center"/>
    </xf>
    <xf numFmtId="0" fontId="67" fillId="22" borderId="6" xfId="0" applyFont="1" applyFill="1" applyBorder="1" applyAlignment="1">
      <alignment horizontal="center" vertical="center"/>
    </xf>
    <xf numFmtId="3" fontId="67" fillId="22" borderId="24" xfId="0" applyNumberFormat="1" applyFont="1" applyFill="1" applyBorder="1" applyAlignment="1">
      <alignment horizontal="center" vertical="center"/>
    </xf>
    <xf numFmtId="3" fontId="67" fillId="22" borderId="6" xfId="0" applyNumberFormat="1" applyFont="1" applyFill="1" applyBorder="1" applyAlignment="1">
      <alignment horizontal="center" vertical="center"/>
    </xf>
    <xf numFmtId="0" fontId="67" fillId="22" borderId="131" xfId="0" applyFont="1" applyFill="1" applyBorder="1" applyAlignment="1">
      <alignment horizontal="center" vertical="center"/>
    </xf>
    <xf numFmtId="0" fontId="67" fillId="22" borderId="130" xfId="0" applyFont="1" applyFill="1" applyBorder="1" applyAlignment="1">
      <alignment horizontal="center" vertical="center"/>
    </xf>
    <xf numFmtId="0" fontId="35" fillId="17" borderId="24" xfId="0" applyFont="1" applyFill="1" applyBorder="1" applyAlignment="1">
      <alignment horizontal="center" vertical="center"/>
    </xf>
    <xf numFmtId="0" fontId="35" fillId="17" borderId="131" xfId="0" applyFont="1" applyFill="1" applyBorder="1" applyAlignment="1">
      <alignment horizontal="center" vertical="center"/>
    </xf>
    <xf numFmtId="0" fontId="35" fillId="17" borderId="132" xfId="0" applyFont="1" applyFill="1" applyBorder="1" applyAlignment="1">
      <alignment horizontal="center" vertical="center"/>
    </xf>
    <xf numFmtId="0" fontId="35" fillId="17" borderId="91" xfId="3" applyFont="1" applyFill="1" applyBorder="1" applyAlignment="1">
      <alignment horizontal="center"/>
    </xf>
    <xf numFmtId="0" fontId="35" fillId="17" borderId="136" xfId="3" applyFont="1" applyFill="1" applyBorder="1" applyAlignment="1">
      <alignment horizontal="center"/>
    </xf>
    <xf numFmtId="0" fontId="35" fillId="17" borderId="92" xfId="3" applyFont="1" applyFill="1" applyBorder="1" applyAlignment="1">
      <alignment horizontal="center"/>
    </xf>
    <xf numFmtId="0" fontId="64" fillId="22" borderId="65" xfId="0" applyFont="1" applyFill="1" applyBorder="1" applyAlignment="1">
      <alignment horizontal="center" vertical="center"/>
    </xf>
    <xf numFmtId="0" fontId="64" fillId="22" borderId="64" xfId="0" applyFont="1" applyFill="1" applyBorder="1" applyAlignment="1">
      <alignment horizontal="center" vertical="center"/>
    </xf>
    <xf numFmtId="0" fontId="57" fillId="22" borderId="119" xfId="0" applyFont="1" applyFill="1" applyBorder="1"/>
    <xf numFmtId="0" fontId="57" fillId="22" borderId="60" xfId="0" applyFont="1" applyFill="1" applyBorder="1"/>
    <xf numFmtId="0" fontId="57" fillId="22" borderId="22" xfId="0" applyFont="1" applyFill="1" applyBorder="1"/>
    <xf numFmtId="0" fontId="57" fillId="22" borderId="113" xfId="0" applyFont="1" applyFill="1" applyBorder="1"/>
    <xf numFmtId="0" fontId="57" fillId="22" borderId="86" xfId="0" applyFont="1" applyFill="1" applyBorder="1"/>
    <xf numFmtId="0" fontId="57" fillId="22" borderId="116" xfId="0" applyFont="1" applyFill="1" applyBorder="1"/>
    <xf numFmtId="0" fontId="57" fillId="22" borderId="115" xfId="0" applyFont="1" applyFill="1" applyBorder="1"/>
    <xf numFmtId="4" fontId="66" fillId="24" borderId="51" xfId="2" applyNumberFormat="1" applyFont="1" applyFill="1" applyBorder="1" applyAlignment="1">
      <alignment horizontal="right" vertical="top" wrapText="1"/>
    </xf>
    <xf numFmtId="4" fontId="66" fillId="24" borderId="42" xfId="2" applyNumberFormat="1" applyFont="1" applyFill="1" applyBorder="1" applyAlignment="1">
      <alignment horizontal="right" vertical="top" wrapText="1"/>
    </xf>
    <xf numFmtId="4" fontId="66" fillId="24" borderId="52" xfId="2" applyNumberFormat="1" applyFont="1" applyFill="1" applyBorder="1" applyAlignment="1">
      <alignment horizontal="right" vertical="top" wrapText="1"/>
    </xf>
    <xf numFmtId="4" fontId="66" fillId="24" borderId="106" xfId="2" applyNumberFormat="1" applyFont="1" applyFill="1" applyBorder="1" applyAlignment="1">
      <alignment horizontal="right" vertical="top" wrapText="1"/>
    </xf>
    <xf numFmtId="4" fontId="66" fillId="24" borderId="95" xfId="2" applyNumberFormat="1" applyFont="1" applyFill="1" applyBorder="1" applyAlignment="1">
      <alignment horizontal="right" vertical="top" wrapText="1"/>
    </xf>
    <xf numFmtId="4" fontId="66" fillId="24" borderId="109" xfId="2" applyNumberFormat="1" applyFont="1" applyFill="1" applyBorder="1" applyAlignment="1">
      <alignment horizontal="right" vertical="top" wrapText="1"/>
    </xf>
    <xf numFmtId="4" fontId="66" fillId="24" borderId="107" xfId="2" applyNumberFormat="1" applyFont="1" applyFill="1" applyBorder="1" applyAlignment="1">
      <alignment horizontal="right" vertical="top" wrapText="1"/>
    </xf>
    <xf numFmtId="4" fontId="66" fillId="24" borderId="46" xfId="2" applyNumberFormat="1" applyFont="1" applyFill="1" applyBorder="1" applyAlignment="1">
      <alignment horizontal="right" vertical="top" wrapText="1"/>
    </xf>
    <xf numFmtId="4" fontId="66" fillId="24" borderId="45" xfId="2" applyNumberFormat="1" applyFont="1" applyFill="1" applyBorder="1" applyAlignment="1">
      <alignment horizontal="right" vertical="top" wrapText="1"/>
    </xf>
    <xf numFmtId="4" fontId="65" fillId="24" borderId="26" xfId="1" applyNumberFormat="1" applyFont="1" applyFill="1" applyBorder="1" applyAlignment="1">
      <alignment horizontal="right" vertical="top" wrapText="1"/>
    </xf>
    <xf numFmtId="4" fontId="66" fillId="24" borderId="44" xfId="2" applyNumberFormat="1" applyFont="1" applyFill="1" applyBorder="1" applyAlignment="1">
      <alignment horizontal="right" vertical="top" wrapText="1"/>
    </xf>
    <xf numFmtId="4" fontId="66" fillId="24" borderId="108" xfId="2" applyNumberFormat="1" applyFont="1" applyFill="1" applyBorder="1" applyAlignment="1">
      <alignment horizontal="right" vertical="top" wrapText="1"/>
    </xf>
    <xf numFmtId="4" fontId="66" fillId="24" borderId="43" xfId="2" applyNumberFormat="1" applyFont="1" applyFill="1" applyBorder="1" applyAlignment="1">
      <alignment horizontal="right" vertical="top" wrapText="1"/>
    </xf>
    <xf numFmtId="0" fontId="66" fillId="24" borderId="70" xfId="0" applyFont="1" applyFill="1" applyBorder="1" applyAlignment="1">
      <alignment horizontal="left" vertical="top" wrapText="1"/>
    </xf>
    <xf numFmtId="165" fontId="66" fillId="24" borderId="110" xfId="5" applyNumberFormat="1" applyFont="1" applyFill="1" applyBorder="1" applyAlignment="1">
      <alignment horizontal="right" vertical="top" wrapText="1"/>
    </xf>
    <xf numFmtId="165" fontId="66" fillId="24" borderId="111" xfId="5" applyNumberFormat="1" applyFont="1" applyFill="1" applyBorder="1" applyAlignment="1">
      <alignment horizontal="right" vertical="top" wrapText="1"/>
    </xf>
    <xf numFmtId="165" fontId="66" fillId="24" borderId="112" xfId="5" applyNumberFormat="1" applyFont="1" applyFill="1" applyBorder="1" applyAlignment="1">
      <alignment horizontal="right" vertical="top" wrapText="1"/>
    </xf>
    <xf numFmtId="165" fontId="66" fillId="24" borderId="47" xfId="5" applyNumberFormat="1" applyFont="1" applyFill="1" applyBorder="1" applyAlignment="1">
      <alignment horizontal="right" vertical="top" wrapText="1"/>
    </xf>
    <xf numFmtId="165" fontId="66" fillId="24" borderId="48" xfId="5" applyNumberFormat="1" applyFont="1" applyFill="1" applyBorder="1" applyAlignment="1">
      <alignment horizontal="right" vertical="top" wrapText="1"/>
    </xf>
    <xf numFmtId="165" fontId="66" fillId="24" borderId="49" xfId="5" applyNumberFormat="1" applyFont="1" applyFill="1" applyBorder="1" applyAlignment="1">
      <alignment horizontal="right" vertical="top" wrapText="1"/>
    </xf>
    <xf numFmtId="0" fontId="40" fillId="14" borderId="26" xfId="0" applyFont="1" applyFill="1" applyBorder="1"/>
    <xf numFmtId="0" fontId="36" fillId="12" borderId="8" xfId="0" applyFont="1" applyFill="1" applyBorder="1" applyAlignment="1">
      <alignment horizontal="center" vertical="center" wrapText="1"/>
    </xf>
    <xf numFmtId="0" fontId="67" fillId="13" borderId="5" xfId="0" applyFont="1" applyFill="1" applyBorder="1" applyAlignment="1">
      <alignment horizontal="center" vertical="center"/>
    </xf>
    <xf numFmtId="0" fontId="42" fillId="17" borderId="168" xfId="0" applyFont="1" applyFill="1" applyBorder="1" applyAlignment="1">
      <alignment horizontal="center" vertical="center"/>
    </xf>
    <xf numFmtId="0" fontId="42" fillId="17" borderId="169" xfId="0" applyFont="1" applyFill="1" applyBorder="1" applyAlignment="1">
      <alignment horizontal="center" vertical="center"/>
    </xf>
    <xf numFmtId="0" fontId="42" fillId="17" borderId="170" xfId="0" applyFont="1" applyFill="1" applyBorder="1" applyAlignment="1">
      <alignment horizontal="center" vertical="center"/>
    </xf>
    <xf numFmtId="0" fontId="42" fillId="17" borderId="171" xfId="0" applyFont="1" applyFill="1" applyBorder="1" applyAlignment="1">
      <alignment horizontal="center" vertical="center"/>
    </xf>
    <xf numFmtId="0" fontId="42" fillId="17" borderId="172" xfId="0" applyFont="1" applyFill="1" applyBorder="1" applyAlignment="1">
      <alignment horizontal="center" vertical="center"/>
    </xf>
    <xf numFmtId="0" fontId="42" fillId="17" borderId="173" xfId="0" applyFont="1" applyFill="1" applyBorder="1" applyAlignment="1">
      <alignment horizontal="center" vertical="center"/>
    </xf>
    <xf numFmtId="0" fontId="42" fillId="17" borderId="174" xfId="0" applyFont="1" applyFill="1" applyBorder="1" applyAlignment="1">
      <alignment horizontal="center" vertical="center"/>
    </xf>
    <xf numFmtId="0" fontId="42" fillId="17" borderId="175" xfId="0" applyFont="1" applyFill="1" applyBorder="1" applyAlignment="1">
      <alignment horizontal="center" vertical="center"/>
    </xf>
    <xf numFmtId="0" fontId="42" fillId="17" borderId="176" xfId="0" applyFont="1" applyFill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5" fontId="63" fillId="0" borderId="122" xfId="5" applyNumberFormat="1" applyFont="1" applyFill="1" applyBorder="1" applyProtection="1"/>
    <xf numFmtId="165" fontId="63" fillId="0" borderId="18" xfId="5" applyNumberFormat="1" applyFont="1" applyFill="1" applyBorder="1" applyProtection="1"/>
    <xf numFmtId="165" fontId="63" fillId="22" borderId="22" xfId="5" applyNumberFormat="1" applyFont="1" applyFill="1" applyBorder="1" applyProtection="1"/>
    <xf numFmtId="165" fontId="33" fillId="0" borderId="18" xfId="5" applyNumberFormat="1" applyFont="1" applyFill="1" applyBorder="1" applyProtection="1"/>
    <xf numFmtId="165" fontId="33" fillId="0" borderId="23" xfId="5" applyNumberFormat="1" applyFont="1" applyFill="1" applyBorder="1" applyProtection="1"/>
    <xf numFmtId="0" fontId="36" fillId="12" borderId="0" xfId="0" applyFont="1" applyFill="1" applyAlignment="1">
      <alignment vertical="center" wrapText="1"/>
    </xf>
    <xf numFmtId="0" fontId="0" fillId="18" borderId="0" xfId="0" applyFill="1" applyAlignment="1">
      <alignment horizontal="center" vertical="top" wrapText="1"/>
    </xf>
    <xf numFmtId="0" fontId="0" fillId="18" borderId="6" xfId="0" applyFill="1" applyBorder="1" applyAlignment="1">
      <alignment horizontal="center" vertical="top" wrapText="1"/>
    </xf>
    <xf numFmtId="0" fontId="0" fillId="18" borderId="24" xfId="0" applyFill="1" applyBorder="1" applyAlignment="1">
      <alignment horizontal="center" vertical="top" wrapText="1"/>
    </xf>
    <xf numFmtId="169" fontId="0" fillId="0" borderId="0" xfId="0" applyNumberFormat="1"/>
    <xf numFmtId="4" fontId="35" fillId="0" borderId="0" xfId="0" applyNumberFormat="1" applyFont="1"/>
    <xf numFmtId="0" fontId="10" fillId="0" borderId="22" xfId="0" applyFont="1" applyBorder="1" applyAlignment="1">
      <alignment horizontal="left" vertical="center" wrapText="1"/>
    </xf>
    <xf numFmtId="169" fontId="69" fillId="0" borderId="22" xfId="0" applyNumberFormat="1" applyFont="1" applyBorder="1"/>
    <xf numFmtId="0" fontId="70" fillId="6" borderId="22" xfId="0" applyFont="1" applyFill="1" applyBorder="1"/>
    <xf numFmtId="0" fontId="71" fillId="17" borderId="135" xfId="0" applyFont="1" applyFill="1" applyBorder="1" applyAlignment="1">
      <alignment horizontal="left" vertical="center"/>
    </xf>
    <xf numFmtId="0" fontId="39" fillId="17" borderId="135" xfId="0" applyFont="1" applyFill="1" applyBorder="1" applyAlignment="1">
      <alignment horizontal="left" vertical="center" indent="1"/>
    </xf>
    <xf numFmtId="42" fontId="35" fillId="0" borderId="0" xfId="0" applyNumberFormat="1" applyFont="1"/>
    <xf numFmtId="3" fontId="35" fillId="0" borderId="0" xfId="0" applyNumberFormat="1" applyFont="1"/>
    <xf numFmtId="169" fontId="35" fillId="0" borderId="0" xfId="0" applyNumberFormat="1" applyFont="1" applyAlignment="1">
      <alignment horizontal="right"/>
    </xf>
    <xf numFmtId="169" fontId="35" fillId="24" borderId="0" xfId="0" applyNumberFormat="1" applyFont="1" applyFill="1" applyAlignment="1">
      <alignment horizontal="right"/>
    </xf>
    <xf numFmtId="10" fontId="35" fillId="0" borderId="0" xfId="0" applyNumberFormat="1" applyFont="1"/>
    <xf numFmtId="0" fontId="36" fillId="12" borderId="0" xfId="0" applyFont="1" applyFill="1" applyAlignment="1">
      <alignment horizontal="left" vertical="center"/>
    </xf>
    <xf numFmtId="44" fontId="39" fillId="17" borderId="0" xfId="7" applyFont="1" applyFill="1" applyBorder="1" applyAlignment="1">
      <alignment horizontal="left" vertical="center"/>
    </xf>
    <xf numFmtId="3" fontId="14" fillId="5" borderId="180" xfId="3" applyNumberFormat="1" applyFont="1" applyBorder="1" applyAlignment="1">
      <alignment horizontal="right" vertical="top" wrapText="1"/>
    </xf>
    <xf numFmtId="1" fontId="35" fillId="17" borderId="130" xfId="0" applyNumberFormat="1" applyFont="1" applyFill="1" applyBorder="1" applyAlignment="1">
      <alignment horizontal="center" vertical="center"/>
    </xf>
    <xf numFmtId="169" fontId="72" fillId="0" borderId="179" xfId="0" applyNumberFormat="1" applyFont="1" applyBorder="1"/>
    <xf numFmtId="170" fontId="7" fillId="4" borderId="82" xfId="2" applyNumberFormat="1" applyBorder="1" applyAlignment="1">
      <alignment horizontal="right"/>
    </xf>
    <xf numFmtId="170" fontId="7" fillId="4" borderId="80" xfId="2" applyNumberFormat="1" applyBorder="1" applyAlignment="1">
      <alignment horizontal="right"/>
    </xf>
    <xf numFmtId="0" fontId="26" fillId="0" borderId="0" xfId="0" applyFont="1" applyAlignment="1">
      <alignment horizontal="center" vertical="center"/>
    </xf>
    <xf numFmtId="165" fontId="8" fillId="19" borderId="22" xfId="5" applyNumberFormat="1" applyFont="1" applyFill="1" applyBorder="1" applyAlignment="1" applyProtection="1">
      <alignment wrapText="1"/>
    </xf>
    <xf numFmtId="165" fontId="8" fillId="19" borderId="125" xfId="5" applyNumberFormat="1" applyFont="1" applyFill="1" applyBorder="1" applyAlignment="1" applyProtection="1">
      <alignment wrapText="1"/>
    </xf>
    <xf numFmtId="165" fontId="57" fillId="22" borderId="22" xfId="5" applyNumberFormat="1" applyFont="1" applyFill="1" applyBorder="1" applyAlignment="1" applyProtection="1">
      <alignment wrapText="1"/>
    </xf>
    <xf numFmtId="165" fontId="57" fillId="22" borderId="125" xfId="5" applyNumberFormat="1" applyFont="1" applyFill="1" applyBorder="1" applyAlignment="1" applyProtection="1">
      <alignment wrapText="1"/>
    </xf>
    <xf numFmtId="165" fontId="57" fillId="22" borderId="22" xfId="5" applyNumberFormat="1" applyFont="1" applyFill="1" applyBorder="1" applyAlignment="1" applyProtection="1">
      <alignment horizontal="center" wrapText="1"/>
    </xf>
    <xf numFmtId="165" fontId="63" fillId="21" borderId="22" xfId="5" applyNumberFormat="1" applyFont="1" applyFill="1" applyBorder="1" applyAlignment="1" applyProtection="1">
      <alignment wrapText="1"/>
    </xf>
    <xf numFmtId="165" fontId="63" fillId="21" borderId="22" xfId="5" applyNumberFormat="1" applyFont="1" applyFill="1" applyBorder="1" applyAlignment="1" applyProtection="1">
      <alignment horizontal="center" wrapText="1"/>
    </xf>
    <xf numFmtId="165" fontId="63" fillId="22" borderId="22" xfId="5" applyNumberFormat="1" applyFont="1" applyFill="1" applyBorder="1" applyAlignment="1" applyProtection="1">
      <alignment wrapText="1"/>
    </xf>
    <xf numFmtId="165" fontId="62" fillId="19" borderId="22" xfId="5" applyNumberFormat="1" applyFont="1" applyFill="1" applyBorder="1" applyAlignment="1" applyProtection="1">
      <alignment horizontal="center" wrapText="1"/>
    </xf>
    <xf numFmtId="165" fontId="63" fillId="21" borderId="125" xfId="5" applyNumberFormat="1" applyFont="1" applyFill="1" applyBorder="1" applyAlignment="1" applyProtection="1">
      <alignment wrapText="1"/>
    </xf>
    <xf numFmtId="165" fontId="63" fillId="0" borderId="122" xfId="5" applyNumberFormat="1" applyFont="1" applyFill="1" applyBorder="1" applyAlignment="1" applyProtection="1">
      <alignment wrapText="1"/>
    </xf>
    <xf numFmtId="165" fontId="63" fillId="0" borderId="18" xfId="5" applyNumberFormat="1" applyFont="1" applyFill="1" applyBorder="1" applyAlignment="1" applyProtection="1">
      <alignment wrapText="1"/>
    </xf>
    <xf numFmtId="165" fontId="33" fillId="0" borderId="18" xfId="5" applyNumberFormat="1" applyFont="1" applyFill="1" applyBorder="1" applyAlignment="1" applyProtection="1">
      <alignment wrapText="1"/>
    </xf>
    <xf numFmtId="1" fontId="35" fillId="17" borderId="164" xfId="0" applyNumberFormat="1" applyFont="1" applyFill="1" applyBorder="1" applyAlignment="1">
      <alignment horizontal="center" vertical="center"/>
    </xf>
    <xf numFmtId="1" fontId="35" fillId="0" borderId="164" xfId="0" applyNumberFormat="1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2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169" fontId="73" fillId="0" borderId="0" xfId="0" applyNumberFormat="1" applyFont="1" applyAlignment="1">
      <alignment horizontal="right"/>
    </xf>
    <xf numFmtId="3" fontId="0" fillId="0" borderId="0" xfId="0" applyNumberFormat="1"/>
    <xf numFmtId="3" fontId="14" fillId="5" borderId="97" xfId="3" applyNumberFormat="1" applyFont="1" applyBorder="1" applyAlignment="1">
      <alignment horizontal="right" vertical="top" wrapText="1"/>
    </xf>
    <xf numFmtId="3" fontId="14" fillId="5" borderId="98" xfId="3" applyNumberFormat="1" applyFont="1" applyBorder="1" applyAlignment="1">
      <alignment horizontal="right" vertical="top" wrapText="1"/>
    </xf>
    <xf numFmtId="3" fontId="14" fillId="5" borderId="99" xfId="3" applyNumberFormat="1" applyFont="1" applyBorder="1" applyAlignment="1">
      <alignment horizontal="right" vertical="top" wrapText="1"/>
    </xf>
    <xf numFmtId="3" fontId="14" fillId="5" borderId="97" xfId="3" applyNumberFormat="1" applyFont="1" applyBorder="1" applyAlignment="1">
      <alignment vertical="top" wrapText="1"/>
    </xf>
    <xf numFmtId="3" fontId="14" fillId="5" borderId="98" xfId="3" applyNumberFormat="1" applyFont="1" applyBorder="1" applyAlignment="1">
      <alignment vertical="top" wrapText="1"/>
    </xf>
    <xf numFmtId="3" fontId="14" fillId="5" borderId="99" xfId="3" applyNumberFormat="1" applyFont="1" applyBorder="1" applyAlignment="1">
      <alignment vertical="top" wrapText="1"/>
    </xf>
    <xf numFmtId="3" fontId="7" fillId="4" borderId="48" xfId="2" applyNumberFormat="1" applyBorder="1" applyAlignment="1">
      <alignment vertical="top" wrapText="1"/>
    </xf>
    <xf numFmtId="3" fontId="7" fillId="4" borderId="45" xfId="2" applyNumberFormat="1" applyBorder="1" applyAlignment="1">
      <alignment vertical="top" wrapText="1"/>
    </xf>
    <xf numFmtId="0" fontId="39" fillId="17" borderId="0" xfId="0" applyFont="1" applyFill="1" applyAlignment="1">
      <alignment horizontal="center" vertical="center"/>
    </xf>
    <xf numFmtId="0" fontId="39" fillId="17" borderId="0" xfId="0" applyFont="1" applyFill="1" applyAlignment="1">
      <alignment horizontal="left" vertical="center"/>
    </xf>
    <xf numFmtId="0" fontId="71" fillId="17" borderId="0" xfId="0" applyFont="1" applyFill="1" applyAlignment="1">
      <alignment horizontal="left" vertical="center"/>
    </xf>
    <xf numFmtId="0" fontId="71" fillId="17" borderId="0" xfId="0" applyFont="1" applyFill="1" applyAlignment="1">
      <alignment vertical="center" wrapText="1"/>
    </xf>
    <xf numFmtId="0" fontId="71" fillId="17" borderId="0" xfId="0" applyFont="1" applyFill="1" applyAlignment="1">
      <alignment horizontal="center" vertical="center"/>
    </xf>
    <xf numFmtId="3" fontId="14" fillId="5" borderId="54" xfId="3" applyNumberFormat="1" applyFont="1" applyBorder="1" applyAlignment="1">
      <alignment horizontal="right" vertical="top" wrapText="1"/>
    </xf>
    <xf numFmtId="3" fontId="14" fillId="5" borderId="55" xfId="3" applyNumberFormat="1" applyFont="1" applyBorder="1" applyAlignment="1">
      <alignment horizontal="right" vertical="top" wrapText="1"/>
    </xf>
    <xf numFmtId="3" fontId="14" fillId="5" borderId="57" xfId="3" applyNumberFormat="1" applyFont="1" applyBorder="1" applyAlignment="1">
      <alignment horizontal="right" vertical="top" wrapText="1"/>
    </xf>
    <xf numFmtId="0" fontId="21" fillId="0" borderId="2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5" borderId="53" xfId="3" applyFont="1" applyBorder="1" applyAlignment="1">
      <alignment horizontal="center" vertical="center" wrapText="1"/>
    </xf>
    <xf numFmtId="0" fontId="22" fillId="5" borderId="56" xfId="3" applyFont="1" applyBorder="1" applyAlignment="1">
      <alignment horizontal="center" vertical="center" wrapText="1"/>
    </xf>
    <xf numFmtId="0" fontId="24" fillId="3" borderId="67" xfId="1" applyFont="1" applyBorder="1" applyAlignment="1">
      <alignment horizontal="center" vertical="center" wrapText="1"/>
    </xf>
    <xf numFmtId="0" fontId="24" fillId="3" borderId="68" xfId="1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7" fillId="8" borderId="62" xfId="0" applyFont="1" applyFill="1" applyBorder="1" applyAlignment="1">
      <alignment horizontal="right" vertical="center" wrapText="1"/>
    </xf>
    <xf numFmtId="0" fontId="17" fillId="8" borderId="34" xfId="0" applyFont="1" applyFill="1" applyBorder="1" applyAlignment="1">
      <alignment horizontal="right" vertical="center" wrapText="1"/>
    </xf>
    <xf numFmtId="0" fontId="19" fillId="17" borderId="22" xfId="0" applyFont="1" applyFill="1" applyBorder="1" applyAlignment="1">
      <alignment horizontal="left" vertical="center" wrapText="1"/>
    </xf>
    <xf numFmtId="0" fontId="19" fillId="17" borderId="38" xfId="0" applyFont="1" applyFill="1" applyBorder="1" applyAlignment="1">
      <alignment horizontal="left" vertical="center" wrapText="1"/>
    </xf>
    <xf numFmtId="0" fontId="17" fillId="8" borderId="63" xfId="0" applyFont="1" applyFill="1" applyBorder="1" applyAlignment="1">
      <alignment horizontal="right" vertical="center" wrapText="1"/>
    </xf>
    <xf numFmtId="0" fontId="17" fillId="8" borderId="64" xfId="0" applyFont="1" applyFill="1" applyBorder="1" applyAlignment="1">
      <alignment horizontal="right" vertical="center" wrapText="1"/>
    </xf>
    <xf numFmtId="0" fontId="19" fillId="17" borderId="65" xfId="0" applyFont="1" applyFill="1" applyBorder="1" applyAlignment="1">
      <alignment horizontal="left" vertical="center"/>
    </xf>
    <xf numFmtId="0" fontId="19" fillId="17" borderId="66" xfId="0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21" fillId="8" borderId="14" xfId="0" applyFont="1" applyFill="1" applyBorder="1" applyAlignment="1">
      <alignment horizontal="center" vertical="center" wrapText="1"/>
    </xf>
    <xf numFmtId="0" fontId="21" fillId="8" borderId="13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1" fillId="8" borderId="5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3" fillId="4" borderId="52" xfId="2" applyFont="1" applyBorder="1" applyAlignment="1">
      <alignment horizontal="center" vertical="center" wrapText="1"/>
    </xf>
    <xf numFmtId="0" fontId="23" fillId="4" borderId="44" xfId="2" applyFont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3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8" borderId="58" xfId="0" applyFont="1" applyFill="1" applyBorder="1" applyAlignment="1">
      <alignment horizontal="right" vertical="center" wrapText="1"/>
    </xf>
    <xf numFmtId="0" fontId="17" fillId="8" borderId="59" xfId="0" applyFont="1" applyFill="1" applyBorder="1" applyAlignment="1">
      <alignment horizontal="right" vertical="center" wrapText="1"/>
    </xf>
    <xf numFmtId="0" fontId="18" fillId="17" borderId="60" xfId="0" applyFont="1" applyFill="1" applyBorder="1" applyAlignment="1">
      <alignment horizontal="center" vertical="center" wrapText="1"/>
    </xf>
    <xf numFmtId="0" fontId="18" fillId="17" borderId="61" xfId="0" applyFont="1" applyFill="1" applyBorder="1" applyAlignment="1">
      <alignment horizontal="center" vertical="center" wrapText="1"/>
    </xf>
    <xf numFmtId="0" fontId="34" fillId="19" borderId="21" xfId="0" applyFont="1" applyFill="1" applyBorder="1" applyAlignment="1">
      <alignment horizontal="center" vertical="center"/>
    </xf>
    <xf numFmtId="0" fontId="8" fillId="0" borderId="125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113" xfId="0" applyFont="1" applyBorder="1" applyAlignment="1">
      <alignment horizontal="center"/>
    </xf>
    <xf numFmtId="0" fontId="0" fillId="6" borderId="25" xfId="0" applyFill="1" applyBorder="1" applyAlignment="1">
      <alignment horizontal="center" vertical="top" wrapText="1"/>
    </xf>
    <xf numFmtId="0" fontId="0" fillId="6" borderId="5" xfId="0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center" vertical="top" wrapText="1"/>
    </xf>
    <xf numFmtId="0" fontId="9" fillId="6" borderId="30" xfId="0" applyFont="1" applyFill="1" applyBorder="1" applyAlignment="1">
      <alignment horizontal="center" vertical="top" wrapText="1"/>
    </xf>
    <xf numFmtId="0" fontId="9" fillId="6" borderId="14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0" fontId="0" fillId="6" borderId="13" xfId="0" applyFill="1" applyBorder="1" applyAlignment="1">
      <alignment horizontal="center" vertical="top" wrapText="1"/>
    </xf>
    <xf numFmtId="0" fontId="8" fillId="19" borderId="125" xfId="0" applyFont="1" applyFill="1" applyBorder="1" applyAlignment="1">
      <alignment horizontal="left" wrapText="1"/>
    </xf>
    <xf numFmtId="0" fontId="8" fillId="19" borderId="34" xfId="0" applyFont="1" applyFill="1" applyBorder="1" applyAlignment="1">
      <alignment horizontal="left" wrapText="1"/>
    </xf>
    <xf numFmtId="0" fontId="8" fillId="19" borderId="113" xfId="0" applyFont="1" applyFill="1" applyBorder="1" applyAlignment="1">
      <alignment horizontal="left" wrapText="1"/>
    </xf>
    <xf numFmtId="0" fontId="8" fillId="19" borderId="86" xfId="0" applyFont="1" applyFill="1" applyBorder="1" applyAlignment="1">
      <alignment horizontal="center" vertical="top" wrapText="1"/>
    </xf>
    <xf numFmtId="0" fontId="8" fillId="19" borderId="126" xfId="0" applyFont="1" applyFill="1" applyBorder="1" applyAlignment="1">
      <alignment horizontal="center" vertical="top" wrapText="1"/>
    </xf>
    <xf numFmtId="0" fontId="8" fillId="19" borderId="114" xfId="0" applyFont="1" applyFill="1" applyBorder="1" applyAlignment="1">
      <alignment horizontal="center" vertical="top" wrapText="1"/>
    </xf>
    <xf numFmtId="0" fontId="8" fillId="10" borderId="125" xfId="0" applyFont="1" applyFill="1" applyBorder="1" applyAlignment="1">
      <alignment horizontal="center" wrapText="1"/>
    </xf>
    <xf numFmtId="0" fontId="8" fillId="10" borderId="113" xfId="0" applyFont="1" applyFill="1" applyBorder="1" applyAlignment="1">
      <alignment horizontal="center" wrapText="1"/>
    </xf>
    <xf numFmtId="0" fontId="8" fillId="10" borderId="125" xfId="0" applyFont="1" applyFill="1" applyBorder="1" applyAlignment="1">
      <alignment horizontal="center" vertical="center" wrapText="1"/>
    </xf>
    <xf numFmtId="0" fontId="8" fillId="10" borderId="11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6" xfId="0" applyFont="1" applyFill="1" applyBorder="1" applyAlignment="1">
      <alignment horizontal="center" vertical="top" wrapText="1"/>
    </xf>
    <xf numFmtId="0" fontId="9" fillId="6" borderId="18" xfId="0" applyFont="1" applyFill="1" applyBorder="1" applyAlignment="1">
      <alignment horizontal="center" vertical="top" wrapText="1"/>
    </xf>
    <xf numFmtId="0" fontId="9" fillId="6" borderId="63" xfId="0" applyFont="1" applyFill="1" applyBorder="1" applyAlignment="1">
      <alignment horizontal="center" vertical="top" wrapText="1"/>
    </xf>
    <xf numFmtId="0" fontId="9" fillId="6" borderId="177" xfId="0" applyFont="1" applyFill="1" applyBorder="1" applyAlignment="1">
      <alignment horizontal="center" vertical="top" wrapText="1"/>
    </xf>
    <xf numFmtId="0" fontId="9" fillId="6" borderId="178" xfId="0" applyFont="1" applyFill="1" applyBorder="1" applyAlignment="1">
      <alignment horizontal="center" vertical="top" wrapText="1"/>
    </xf>
    <xf numFmtId="0" fontId="0" fillId="17" borderId="0" xfId="0" applyFill="1" applyAlignment="1">
      <alignment horizontal="center" vertical="top" wrapText="1"/>
    </xf>
    <xf numFmtId="0" fontId="0" fillId="17" borderId="20" xfId="0" applyFill="1" applyBorder="1" applyAlignment="1">
      <alignment horizontal="center" vertical="top" wrapText="1"/>
    </xf>
    <xf numFmtId="0" fontId="0" fillId="17" borderId="19" xfId="0" applyFill="1" applyBorder="1" applyAlignment="1">
      <alignment horizontal="center" vertical="top" wrapText="1"/>
    </xf>
    <xf numFmtId="0" fontId="0" fillId="17" borderId="6" xfId="0" applyFill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18" borderId="14" xfId="0" applyFill="1" applyBorder="1" applyAlignment="1">
      <alignment horizontal="center" vertical="top" wrapText="1"/>
    </xf>
    <xf numFmtId="0" fontId="0" fillId="18" borderId="23" xfId="0" applyFill="1" applyBorder="1" applyAlignment="1">
      <alignment horizontal="center" vertical="top" wrapText="1"/>
    </xf>
    <xf numFmtId="0" fontId="0" fillId="18" borderId="13" xfId="0" applyFill="1" applyBorder="1" applyAlignment="1">
      <alignment horizontal="center" vertical="top" wrapText="1"/>
    </xf>
    <xf numFmtId="0" fontId="0" fillId="17" borderId="24" xfId="0" applyFill="1" applyBorder="1" applyAlignment="1">
      <alignment horizontal="center" vertical="top" wrapText="1"/>
    </xf>
    <xf numFmtId="0" fontId="8" fillId="7" borderId="24" xfId="0" applyFont="1" applyFill="1" applyBorder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7" borderId="26" xfId="0" applyFill="1" applyBorder="1" applyAlignment="1">
      <alignment horizontal="left" vertical="top" wrapText="1"/>
    </xf>
    <xf numFmtId="0" fontId="31" fillId="0" borderId="0" xfId="0" applyFont="1" applyAlignment="1">
      <alignment horizontal="center"/>
    </xf>
    <xf numFmtId="0" fontId="34" fillId="0" borderId="0" xfId="0" applyFont="1" applyAlignment="1">
      <alignment horizontal="left" vertical="top" wrapText="1"/>
    </xf>
    <xf numFmtId="0" fontId="28" fillId="0" borderId="26" xfId="0" applyFont="1" applyBorder="1" applyAlignment="1">
      <alignment horizontal="left"/>
    </xf>
    <xf numFmtId="0" fontId="28" fillId="0" borderId="27" xfId="0" applyFont="1" applyBorder="1" applyAlignment="1">
      <alignment horizontal="left"/>
    </xf>
    <xf numFmtId="0" fontId="27" fillId="11" borderId="28" xfId="0" applyFont="1" applyFill="1" applyBorder="1" applyAlignment="1">
      <alignment horizontal="left"/>
    </xf>
    <xf numFmtId="0" fontId="27" fillId="11" borderId="29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11" borderId="0" xfId="0" applyFont="1" applyFill="1" applyAlignment="1">
      <alignment horizontal="left"/>
    </xf>
    <xf numFmtId="0" fontId="27" fillId="10" borderId="28" xfId="0" applyFont="1" applyFill="1" applyBorder="1" applyAlignment="1">
      <alignment horizontal="left"/>
    </xf>
    <xf numFmtId="0" fontId="27" fillId="10" borderId="29" xfId="0" applyFont="1" applyFill="1" applyBorder="1" applyAlignment="1">
      <alignment horizontal="left"/>
    </xf>
    <xf numFmtId="0" fontId="27" fillId="10" borderId="0" xfId="0" applyFont="1" applyFill="1" applyAlignment="1">
      <alignment horizontal="left"/>
    </xf>
    <xf numFmtId="169" fontId="69" fillId="0" borderId="86" xfId="0" applyNumberFormat="1" applyFont="1" applyBorder="1" applyAlignment="1">
      <alignment horizontal="right" vertical="center"/>
    </xf>
    <xf numFmtId="169" fontId="69" fillId="0" borderId="114" xfId="0" applyNumberFormat="1" applyFont="1" applyBorder="1" applyAlignment="1">
      <alignment horizontal="right" vertical="center"/>
    </xf>
    <xf numFmtId="0" fontId="0" fillId="15" borderId="22" xfId="0" applyFill="1" applyBorder="1" applyAlignment="1">
      <alignment horizontal="center"/>
    </xf>
    <xf numFmtId="169" fontId="0" fillId="15" borderId="125" xfId="0" applyNumberFormat="1" applyFill="1" applyBorder="1" applyAlignment="1">
      <alignment horizontal="center"/>
    </xf>
    <xf numFmtId="169" fontId="0" fillId="15" borderId="113" xfId="0" applyNumberFormat="1" applyFill="1" applyBorder="1" applyAlignment="1">
      <alignment horizontal="center"/>
    </xf>
    <xf numFmtId="0" fontId="69" fillId="0" borderId="86" xfId="0" applyFont="1" applyBorder="1" applyAlignment="1">
      <alignment horizontal="left" vertical="center"/>
    </xf>
    <xf numFmtId="0" fontId="69" fillId="0" borderId="126" xfId="0" applyFont="1" applyBorder="1" applyAlignment="1">
      <alignment horizontal="left" vertical="center"/>
    </xf>
    <xf numFmtId="0" fontId="69" fillId="0" borderId="114" xfId="0" applyFont="1" applyBorder="1" applyAlignment="1">
      <alignment horizontal="left" vertical="center"/>
    </xf>
    <xf numFmtId="0" fontId="69" fillId="0" borderId="86" xfId="0" applyFont="1" applyBorder="1" applyAlignment="1">
      <alignment horizontal="left" vertical="center" wrapText="1"/>
    </xf>
    <xf numFmtId="0" fontId="69" fillId="0" borderId="126" xfId="0" applyFont="1" applyBorder="1" applyAlignment="1">
      <alignment horizontal="left" vertical="center" wrapText="1"/>
    </xf>
    <xf numFmtId="0" fontId="69" fillId="0" borderId="114" xfId="0" applyFont="1" applyBorder="1" applyAlignment="1">
      <alignment horizontal="left" vertical="center" wrapText="1"/>
    </xf>
    <xf numFmtId="0" fontId="10" fillId="0" borderId="86" xfId="0" applyFont="1" applyBorder="1" applyAlignment="1">
      <alignment horizontal="left" vertical="center" wrapText="1"/>
    </xf>
    <xf numFmtId="0" fontId="10" fillId="0" borderId="126" xfId="0" applyFont="1" applyBorder="1" applyAlignment="1">
      <alignment horizontal="left" vertical="center" wrapText="1"/>
    </xf>
    <xf numFmtId="0" fontId="10" fillId="0" borderId="114" xfId="0" applyFont="1" applyBorder="1" applyAlignment="1">
      <alignment horizontal="left" vertical="center" wrapText="1"/>
    </xf>
    <xf numFmtId="169" fontId="69" fillId="0" borderId="126" xfId="0" applyNumberFormat="1" applyFont="1" applyBorder="1" applyAlignment="1">
      <alignment horizontal="right" vertical="center"/>
    </xf>
    <xf numFmtId="0" fontId="35" fillId="0" borderId="80" xfId="0" applyFont="1" applyBorder="1" applyAlignment="1">
      <alignment horizontal="center" vertical="center" textRotation="90"/>
    </xf>
    <xf numFmtId="0" fontId="35" fillId="0" borderId="9" xfId="0" applyFont="1" applyBorder="1" applyAlignment="1">
      <alignment horizontal="center" vertical="center" textRotation="90"/>
    </xf>
    <xf numFmtId="0" fontId="36" fillId="12" borderId="28" xfId="0" applyFont="1" applyFill="1" applyBorder="1" applyAlignment="1">
      <alignment horizontal="center" vertical="center" wrapText="1"/>
    </xf>
    <xf numFmtId="0" fontId="36" fillId="12" borderId="29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 wrapText="1"/>
    </xf>
    <xf numFmtId="0" fontId="36" fillId="12" borderId="8" xfId="0" applyFont="1" applyFill="1" applyBorder="1" applyAlignment="1">
      <alignment horizontal="center" vertical="center" wrapText="1"/>
    </xf>
    <xf numFmtId="0" fontId="36" fillId="12" borderId="80" xfId="0" applyFont="1" applyFill="1" applyBorder="1" applyAlignment="1">
      <alignment horizontal="center" vertical="center" wrapText="1"/>
    </xf>
    <xf numFmtId="0" fontId="36" fillId="12" borderId="9" xfId="0" applyFont="1" applyFill="1" applyBorder="1" applyAlignment="1">
      <alignment horizontal="center" vertical="center" wrapText="1"/>
    </xf>
    <xf numFmtId="0" fontId="59" fillId="12" borderId="8" xfId="0" applyFont="1" applyFill="1" applyBorder="1" applyAlignment="1">
      <alignment horizontal="center" vertical="center" wrapText="1"/>
    </xf>
    <xf numFmtId="0" fontId="59" fillId="12" borderId="9" xfId="0" applyFont="1" applyFill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/>
    </xf>
    <xf numFmtId="0" fontId="36" fillId="12" borderId="14" xfId="0" applyFont="1" applyFill="1" applyBorder="1" applyAlignment="1">
      <alignment horizontal="center" vertical="center" wrapText="1"/>
    </xf>
    <xf numFmtId="0" fontId="36" fillId="12" borderId="23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top"/>
    </xf>
    <xf numFmtId="0" fontId="1" fillId="26" borderId="80" xfId="0" applyFont="1" applyFill="1" applyBorder="1" applyAlignment="1">
      <alignment horizontal="center" vertical="top"/>
    </xf>
    <xf numFmtId="0" fontId="5" fillId="26" borderId="8" xfId="0" applyFont="1" applyFill="1" applyBorder="1" applyAlignment="1">
      <alignment horizontal="left" vertical="top" wrapText="1"/>
    </xf>
    <xf numFmtId="0" fontId="5" fillId="26" borderId="80" xfId="0" applyFont="1" applyFill="1" applyBorder="1" applyAlignment="1">
      <alignment horizontal="left" vertical="top" wrapText="1"/>
    </xf>
    <xf numFmtId="0" fontId="1" fillId="26" borderId="8" xfId="0" applyFont="1" applyFill="1" applyBorder="1" applyAlignment="1">
      <alignment vertical="top" wrapText="1"/>
    </xf>
    <xf numFmtId="0" fontId="1" fillId="26" borderId="80" xfId="0" applyFont="1" applyFill="1" applyBorder="1" applyAlignment="1">
      <alignment vertical="top" wrapText="1"/>
    </xf>
    <xf numFmtId="2" fontId="3" fillId="5" borderId="91" xfId="3" applyNumberFormat="1" applyFont="1" applyBorder="1" applyAlignment="1">
      <alignment horizontal="right" vertical="top" wrapText="1"/>
    </xf>
    <xf numFmtId="2" fontId="3" fillId="5" borderId="92" xfId="3" applyNumberFormat="1" applyFont="1" applyBorder="1" applyAlignment="1">
      <alignment horizontal="right" vertical="top" wrapText="1"/>
    </xf>
    <xf numFmtId="0" fontId="5" fillId="26" borderId="7" xfId="0" applyFont="1" applyFill="1" applyBorder="1" applyAlignment="1">
      <alignment horizontal="left" vertical="top" wrapText="1"/>
    </xf>
    <xf numFmtId="0" fontId="5" fillId="26" borderId="4" xfId="0" applyFont="1" applyFill="1" applyBorder="1" applyAlignment="1">
      <alignment horizontal="left" vertical="top" wrapText="1"/>
    </xf>
    <xf numFmtId="166" fontId="50" fillId="3" borderId="8" xfId="4" applyNumberFormat="1" applyFont="1" applyFill="1" applyBorder="1" applyAlignment="1">
      <alignment horizontal="right" vertical="top" wrapText="1"/>
    </xf>
    <xf numFmtId="166" fontId="50" fillId="3" borderId="9" xfId="4" applyNumberFormat="1" applyFont="1" applyFill="1" applyBorder="1" applyAlignment="1">
      <alignment horizontal="right" vertical="top" wrapText="1"/>
    </xf>
    <xf numFmtId="166" fontId="50" fillId="3" borderId="8" xfId="4" applyNumberFormat="1" applyFont="1" applyFill="1" applyBorder="1" applyAlignment="1">
      <alignment vertical="top" wrapText="1"/>
    </xf>
    <xf numFmtId="166" fontId="50" fillId="3" borderId="9" xfId="4" applyNumberFormat="1" applyFont="1" applyFill="1" applyBorder="1" applyAlignment="1">
      <alignment vertical="top" wrapText="1"/>
    </xf>
    <xf numFmtId="0" fontId="5" fillId="26" borderId="14" xfId="0" applyFont="1" applyFill="1" applyBorder="1" applyAlignment="1">
      <alignment horizontal="left" vertical="top" wrapText="1"/>
    </xf>
    <xf numFmtId="0" fontId="5" fillId="26" borderId="15" xfId="0" applyFont="1" applyFill="1" applyBorder="1" applyAlignment="1">
      <alignment horizontal="left" vertical="top" wrapText="1"/>
    </xf>
    <xf numFmtId="2" fontId="50" fillId="3" borderId="8" xfId="4" applyNumberFormat="1" applyFont="1" applyFill="1" applyBorder="1" applyAlignment="1">
      <alignment vertical="top" wrapText="1"/>
    </xf>
    <xf numFmtId="2" fontId="50" fillId="3" borderId="9" xfId="4" applyNumberFormat="1" applyFont="1" applyFill="1" applyBorder="1" applyAlignment="1">
      <alignment vertical="top" wrapText="1"/>
    </xf>
    <xf numFmtId="0" fontId="1" fillId="26" borderId="9" xfId="0" applyFont="1" applyFill="1" applyBorder="1" applyAlignment="1">
      <alignment vertical="top" wrapText="1"/>
    </xf>
    <xf numFmtId="0" fontId="5" fillId="26" borderId="11" xfId="0" applyFont="1" applyFill="1" applyBorder="1" applyAlignment="1">
      <alignment horizontal="left" vertical="top" wrapText="1"/>
    </xf>
    <xf numFmtId="0" fontId="5" fillId="26" borderId="12" xfId="0" applyFont="1" applyFill="1" applyBorder="1" applyAlignment="1">
      <alignment horizontal="left" vertical="top" wrapText="1"/>
    </xf>
    <xf numFmtId="0" fontId="5" fillId="26" borderId="8" xfId="0" applyFont="1" applyFill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top" wrapText="1"/>
    </xf>
    <xf numFmtId="0" fontId="8" fillId="0" borderId="24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4" fillId="22" borderId="14" xfId="0" applyFont="1" applyFill="1" applyBorder="1" applyAlignment="1">
      <alignment horizontal="center"/>
    </xf>
    <xf numFmtId="0" fontId="64" fillId="22" borderId="23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</cellXfs>
  <cellStyles count="8">
    <cellStyle name="Čiarka" xfId="5" builtinId="3"/>
    <cellStyle name="Dobrá" xfId="1" builtinId="26"/>
    <cellStyle name="Hypertextové prepojenie" xfId="6" builtinId="8"/>
    <cellStyle name="Mena" xfId="7" builtinId="4"/>
    <cellStyle name="Normálna" xfId="0" builtinId="0"/>
    <cellStyle name="Percentá" xfId="4" builtinId="5"/>
    <cellStyle name="Poznámka" xfId="3" builtinId="10"/>
    <cellStyle name="Výpočet" xfId="2" builtinId="22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19050</xdr:rowOff>
    </xdr:from>
    <xdr:to>
      <xdr:col>11</xdr:col>
      <xdr:colOff>552450</xdr:colOff>
      <xdr:row>35</xdr:row>
      <xdr:rowOff>140105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0550"/>
          <a:ext cx="7258050" cy="6217055"/>
        </a:xfrm>
        <a:prstGeom prst="rect">
          <a:avLst/>
        </a:prstGeom>
      </xdr:spPr>
    </xdr:pic>
    <xdr:clientData/>
  </xdr:twoCellAnchor>
  <xdr:twoCellAnchor editAs="oneCell">
    <xdr:from>
      <xdr:col>18</xdr:col>
      <xdr:colOff>600074</xdr:colOff>
      <xdr:row>3</xdr:row>
      <xdr:rowOff>0</xdr:rowOff>
    </xdr:from>
    <xdr:to>
      <xdr:col>44</xdr:col>
      <xdr:colOff>508192</xdr:colOff>
      <xdr:row>35</xdr:row>
      <xdr:rowOff>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874" y="571500"/>
          <a:ext cx="15757718" cy="6096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eter duris" id="{0A553181-7158-49D7-942B-47292FE4A112}" userId="7ec55e5b485898c3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19-12-02T17:30:55.86" personId="{0A553181-7158-49D7-942B-47292FE4A112}" id="{7AB8C062-619B-4441-95FC-08C12CAE35DB}">
    <text>V rámci porovnávania nákladov na fukčné celky (definované po procesoch) a prínosy (ovplyvnené viacerými fukčnými celkami) nie je možné vnímať ako samosatné izolované bloky. Je potrebné vnímať projekt ako komplex, pričom mnohé z benefitov sú súborom procesných krokov, bez ktorých by benefit nenastal, napriek tomu, že je priradený len konkrétnemu procesnému celku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4" dT="2019-12-02T13:13:27.59" personId="{0A553181-7158-49D7-942B-47292FE4A112}" id="{E12C84C6-8FD4-4D40-90C6-A681C19940EE}">
    <text>Jeden rok v ramci statistickeho zistovania</text>
  </threadedComment>
  <threadedComment ref="J4" dT="2019-12-02T13:13:27.59" personId="{0A553181-7158-49D7-942B-47292FE4A112}" id="{93344290-4821-49DE-BEEF-80A1A6C7F160}">
    <text>Jeden rok v ramci statistickeho zistovania</text>
  </threadedComment>
  <threadedComment ref="M4" dT="2019-12-02T13:13:27.59" personId="{0A553181-7158-49D7-942B-47292FE4A112}" id="{4990CE71-57A1-49C2-9ABE-9E48B6BAE31E}">
    <text>Jeden rok v ramci statistickeho zistovania</text>
  </threadedComment>
  <threadedComment ref="P4" dT="2019-12-02T13:13:27.59" personId="{0A553181-7158-49D7-942B-47292FE4A112}" id="{BCD8BF5D-8F2D-482B-80C8-03AFA72B3ACE}">
    <text>Jeden rok v ramci statistickeho zistovania</text>
  </threadedComment>
  <threadedComment ref="S4" dT="2019-12-02T13:13:27.59" personId="{0A553181-7158-49D7-942B-47292FE4A112}" id="{46A32D8B-C108-4D3D-A8D5-394A9D1B779B}">
    <text>Jeden rok v ramci statistickeho zistovania</text>
  </threadedComment>
  <threadedComment ref="G34" dT="2019-12-02T13:13:43.98" personId="{0A553181-7158-49D7-942B-47292FE4A112}" id="{00BD8BBA-C2B2-48ED-8F53-84CDB3FDCAE5}">
    <text>Počet hodín strávených štatistickým zisťovaním v daných procesoch</text>
  </threadedComment>
  <threadedComment ref="J34" dT="2019-12-02T13:20:49.61" personId="{0A553181-7158-49D7-942B-47292FE4A112}" id="{22738235-1B9F-4596-A19E-8AA2D32C5324}">
    <text>Počet hodín strávených štatistickým zisťovaním v daných procesoch</text>
  </threadedComment>
  <threadedComment ref="M34" dT="2019-12-02T13:21:45.18" personId="{0A553181-7158-49D7-942B-47292FE4A112}" id="{C713C6E1-6F35-46B5-A373-83FB201EC17E}">
    <text>Počet hodín strávených štatistickým zisťovaním v daných procesoch</text>
  </threadedComment>
  <threadedComment ref="P34" dT="2019-12-02T13:21:45.18" personId="{0A553181-7158-49D7-942B-47292FE4A112}" id="{727562B8-1B04-46D7-8333-35BFC35E6D66}">
    <text>Počet hodín strávených štatistickým zisťovaním v daných procesoch</text>
  </threadedComment>
  <threadedComment ref="S44" dT="2019-12-02T13:31:19.59" personId="{0A553181-7158-49D7-942B-47292FE4A112}" id="{EB38A937-C14C-48DB-855F-58A81F9A06C6}">
    <text>Čas strávený podnikateľmi v rámci štatistického zisťovania za rok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8" dT="2019-12-02T13:14:52.87" personId="{0A553181-7158-49D7-942B-47292FE4A112}" id="{F530C5B0-8BF8-42BB-810D-3313C4C99831}">
    <text>Upravena hodnota - statisticke vykazy SU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Relationship Id="rId4" Type="http://schemas.microsoft.com/office/2017/10/relationships/threadedComment" Target="../threadedComments/threadedComment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R46"/>
  <sheetViews>
    <sheetView view="pageBreakPreview" topLeftCell="A4" zoomScale="115" zoomScaleNormal="100" zoomScaleSheetLayoutView="115" workbookViewId="0"/>
  </sheetViews>
  <sheetFormatPr defaultColWidth="8.88671875" defaultRowHeight="14.4" x14ac:dyDescent="0.3"/>
  <cols>
    <col min="2" max="2" width="11.6640625" customWidth="1"/>
    <col min="4" max="4" width="6.44140625" customWidth="1"/>
    <col min="6" max="6" width="7.6640625" customWidth="1"/>
    <col min="7" max="7" width="12.33203125" customWidth="1"/>
    <col min="8" max="8" width="6" customWidth="1"/>
    <col min="9" max="9" width="14.33203125" customWidth="1"/>
  </cols>
  <sheetData>
    <row r="1" spans="1:18" x14ac:dyDescent="0.3">
      <c r="A1" s="36"/>
      <c r="B1" s="36"/>
      <c r="C1" s="36"/>
      <c r="D1" s="36"/>
      <c r="E1" s="36"/>
      <c r="F1" s="36"/>
      <c r="G1" s="36"/>
      <c r="H1" s="36"/>
      <c r="I1" s="36"/>
      <c r="J1" s="330"/>
      <c r="K1" s="331"/>
      <c r="L1" s="331"/>
      <c r="M1" s="331"/>
      <c r="N1" s="331"/>
      <c r="O1" s="331"/>
      <c r="P1" s="331"/>
      <c r="Q1" s="331"/>
      <c r="R1" s="331"/>
    </row>
    <row r="2" spans="1:18" x14ac:dyDescent="0.3">
      <c r="A2" s="36"/>
      <c r="B2" s="36"/>
      <c r="C2" s="36"/>
      <c r="D2" s="36"/>
      <c r="E2" s="36"/>
      <c r="F2" s="36"/>
      <c r="G2" s="36"/>
      <c r="H2" s="36"/>
      <c r="I2" s="36"/>
      <c r="J2" s="331"/>
      <c r="K2" s="331"/>
      <c r="L2" s="331"/>
      <c r="M2" s="331"/>
      <c r="N2" s="331"/>
      <c r="O2" s="331"/>
      <c r="P2" s="331"/>
      <c r="Q2" s="331"/>
      <c r="R2" s="331"/>
    </row>
    <row r="3" spans="1:18" ht="1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31"/>
      <c r="K3" s="331"/>
      <c r="L3" s="331"/>
      <c r="M3" s="331"/>
      <c r="N3" s="331"/>
      <c r="O3" s="331"/>
      <c r="P3" s="331"/>
      <c r="Q3" s="331"/>
      <c r="R3" s="331"/>
    </row>
    <row r="4" spans="1:18" ht="15" customHeight="1" x14ac:dyDescent="0.3">
      <c r="A4" s="36"/>
      <c r="B4" s="36"/>
      <c r="C4" s="36"/>
      <c r="D4" s="36"/>
      <c r="E4" s="36"/>
      <c r="F4" s="36"/>
      <c r="G4" s="36"/>
      <c r="H4" s="36"/>
      <c r="I4" s="36"/>
      <c r="J4" s="331"/>
      <c r="K4" s="331"/>
      <c r="L4" s="331"/>
      <c r="M4" s="331"/>
      <c r="N4" s="331"/>
      <c r="O4" s="331"/>
      <c r="P4" s="331"/>
      <c r="Q4" s="331"/>
      <c r="R4" s="331"/>
    </row>
    <row r="5" spans="1:18" x14ac:dyDescent="0.3">
      <c r="A5" s="36"/>
      <c r="B5" s="36"/>
      <c r="C5" s="36"/>
      <c r="D5" s="36"/>
      <c r="E5" s="36"/>
      <c r="F5" s="36"/>
      <c r="G5" s="36"/>
      <c r="H5" s="36"/>
      <c r="I5" s="36"/>
      <c r="J5" s="331"/>
      <c r="K5" s="331"/>
      <c r="L5" s="331"/>
      <c r="M5" s="331"/>
      <c r="N5" s="331"/>
      <c r="O5" s="331"/>
      <c r="P5" s="331"/>
      <c r="Q5" s="331"/>
      <c r="R5" s="331"/>
    </row>
    <row r="6" spans="1:18" ht="62.1" customHeight="1" x14ac:dyDescent="0.6">
      <c r="A6" s="659" t="s">
        <v>117</v>
      </c>
      <c r="B6" s="659"/>
      <c r="C6" s="659"/>
      <c r="D6" s="659"/>
      <c r="E6" s="659"/>
      <c r="F6" s="659"/>
      <c r="G6" s="659"/>
      <c r="H6" s="659"/>
      <c r="I6" s="659"/>
      <c r="J6" s="331"/>
      <c r="K6" s="331"/>
      <c r="L6" s="331"/>
      <c r="M6" s="331"/>
      <c r="N6" s="331"/>
      <c r="O6" s="331"/>
      <c r="P6" s="331"/>
      <c r="Q6" s="331"/>
      <c r="R6" s="331"/>
    </row>
    <row r="7" spans="1:18" ht="18.75" customHeight="1" x14ac:dyDescent="0.35">
      <c r="A7" s="640" t="s">
        <v>67</v>
      </c>
      <c r="B7" s="640"/>
      <c r="C7" s="640"/>
      <c r="D7" s="640"/>
      <c r="E7" s="640"/>
      <c r="F7" s="640"/>
      <c r="G7" s="640"/>
      <c r="H7" s="640"/>
      <c r="I7" s="640"/>
      <c r="J7" s="331"/>
      <c r="K7" s="331"/>
      <c r="L7" s="331"/>
      <c r="M7" s="331"/>
      <c r="N7" s="331"/>
      <c r="O7" s="331"/>
      <c r="P7" s="331"/>
      <c r="Q7" s="331"/>
      <c r="R7" s="331"/>
    </row>
    <row r="8" spans="1:18" x14ac:dyDescent="0.3">
      <c r="A8" s="660" t="s">
        <v>62</v>
      </c>
      <c r="B8" s="660"/>
      <c r="C8" s="660"/>
      <c r="D8" s="660"/>
      <c r="E8" s="660"/>
      <c r="F8" s="660"/>
      <c r="G8" s="660"/>
      <c r="H8" s="660"/>
      <c r="I8" s="660"/>
      <c r="J8" s="331"/>
      <c r="K8" s="331"/>
      <c r="L8" s="331"/>
      <c r="M8" s="331"/>
      <c r="N8" s="331"/>
      <c r="O8" s="331"/>
      <c r="P8" s="331"/>
      <c r="Q8" s="331"/>
      <c r="R8" s="331"/>
    </row>
    <row r="9" spans="1:18" ht="15" customHeight="1" x14ac:dyDescent="0.3">
      <c r="A9" s="660"/>
      <c r="B9" s="660"/>
      <c r="C9" s="660"/>
      <c r="D9" s="660"/>
      <c r="E9" s="660"/>
      <c r="F9" s="660"/>
      <c r="G9" s="660"/>
      <c r="H9" s="660"/>
      <c r="I9" s="660"/>
      <c r="J9" s="331"/>
      <c r="K9" s="331"/>
      <c r="L9" s="331"/>
      <c r="M9" s="331"/>
      <c r="N9" s="331"/>
      <c r="O9" s="331"/>
      <c r="P9" s="331"/>
      <c r="Q9" s="331"/>
      <c r="R9" s="331"/>
    </row>
    <row r="10" spans="1:18" ht="48.6" customHeight="1" x14ac:dyDescent="0.3">
      <c r="A10" s="660"/>
      <c r="B10" s="660"/>
      <c r="C10" s="660"/>
      <c r="D10" s="660"/>
      <c r="E10" s="660"/>
      <c r="F10" s="660"/>
      <c r="G10" s="660"/>
      <c r="H10" s="660"/>
      <c r="I10" s="660"/>
      <c r="J10" s="331"/>
      <c r="K10" s="331"/>
      <c r="L10" s="331"/>
      <c r="M10" s="331"/>
      <c r="N10" s="331"/>
      <c r="O10" s="331"/>
      <c r="P10" s="331"/>
      <c r="Q10" s="331"/>
      <c r="R10" s="331"/>
    </row>
    <row r="11" spans="1:18" ht="15" customHeight="1" x14ac:dyDescent="0.3">
      <c r="A11" s="36"/>
      <c r="B11" s="36"/>
      <c r="C11" s="36"/>
      <c r="D11" s="36"/>
      <c r="E11" s="36"/>
      <c r="F11" s="36"/>
      <c r="G11" s="36"/>
      <c r="H11" s="36"/>
      <c r="I11" s="36"/>
      <c r="J11" s="331"/>
      <c r="K11" s="331"/>
      <c r="L11" s="331"/>
      <c r="M11" s="331"/>
      <c r="N11" s="331"/>
      <c r="O11" s="331"/>
      <c r="P11" s="331"/>
      <c r="Q11" s="331"/>
      <c r="R11" s="331"/>
    </row>
    <row r="12" spans="1:18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31"/>
      <c r="K12" s="331"/>
      <c r="L12" s="331"/>
      <c r="M12" s="331"/>
      <c r="N12" s="331"/>
      <c r="O12" s="331"/>
      <c r="P12" s="331"/>
      <c r="Q12" s="331"/>
      <c r="R12" s="331"/>
    </row>
    <row r="13" spans="1:18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31"/>
      <c r="K13" s="331"/>
      <c r="L13" s="331"/>
      <c r="M13" s="331"/>
      <c r="N13" s="331"/>
      <c r="O13" s="331"/>
      <c r="P13" s="331"/>
      <c r="Q13" s="331"/>
      <c r="R13" s="331"/>
    </row>
    <row r="14" spans="1:18" x14ac:dyDescent="0.3">
      <c r="A14" s="36"/>
      <c r="B14" s="36"/>
      <c r="C14" s="36"/>
      <c r="D14" s="36"/>
      <c r="E14" s="36"/>
      <c r="F14" s="36"/>
      <c r="G14" s="36"/>
      <c r="H14" s="36"/>
      <c r="I14" s="36"/>
      <c r="J14" s="331"/>
      <c r="K14" s="331"/>
      <c r="L14" s="331"/>
      <c r="M14" s="331"/>
      <c r="N14" s="331"/>
      <c r="O14" s="331"/>
      <c r="P14" s="331"/>
      <c r="Q14" s="331"/>
      <c r="R14" s="331"/>
    </row>
    <row r="15" spans="1:18" x14ac:dyDescent="0.3">
      <c r="A15" s="36"/>
      <c r="B15" s="36"/>
      <c r="C15" s="36"/>
      <c r="D15" s="36"/>
      <c r="E15" s="36"/>
      <c r="F15" s="36"/>
      <c r="G15" s="36"/>
      <c r="H15" s="36"/>
      <c r="I15" s="36"/>
      <c r="J15" s="331"/>
      <c r="K15" s="331"/>
      <c r="L15" s="331"/>
      <c r="M15" s="331"/>
      <c r="N15" s="331"/>
      <c r="O15" s="331"/>
      <c r="P15" s="331"/>
      <c r="Q15" s="331"/>
      <c r="R15" s="331"/>
    </row>
    <row r="16" spans="1:18" x14ac:dyDescent="0.3">
      <c r="B16" s="36"/>
      <c r="C16" s="36"/>
      <c r="D16" s="36"/>
      <c r="E16" s="36"/>
      <c r="F16" s="36"/>
      <c r="G16" s="36"/>
      <c r="H16" s="36"/>
      <c r="I16" s="36"/>
      <c r="J16" s="331"/>
      <c r="K16" s="331"/>
      <c r="L16" s="331"/>
      <c r="M16" s="331"/>
      <c r="N16" s="331"/>
      <c r="O16" s="331"/>
      <c r="P16" s="331"/>
      <c r="Q16" s="331"/>
      <c r="R16" s="331"/>
    </row>
    <row r="17" spans="1:18" x14ac:dyDescent="0.3">
      <c r="B17" s="36"/>
      <c r="C17" s="36"/>
      <c r="D17" s="36"/>
      <c r="E17" s="36"/>
      <c r="F17" s="36"/>
      <c r="G17" s="36"/>
      <c r="H17" s="36"/>
      <c r="I17" s="36"/>
      <c r="J17" s="331"/>
      <c r="K17" s="331"/>
      <c r="L17" s="331"/>
      <c r="M17" s="331"/>
      <c r="N17" s="331"/>
      <c r="O17" s="331"/>
      <c r="P17" s="331"/>
      <c r="Q17" s="331"/>
      <c r="R17" s="331"/>
    </row>
    <row r="18" spans="1:18" ht="15" thickBot="1" x14ac:dyDescent="0.35">
      <c r="B18" s="36"/>
      <c r="C18" s="36"/>
      <c r="D18" s="36"/>
      <c r="E18" s="36"/>
      <c r="F18" s="36"/>
      <c r="G18" s="36"/>
      <c r="H18" s="36"/>
      <c r="I18" s="36"/>
      <c r="J18" s="331"/>
      <c r="K18" s="331"/>
      <c r="L18" s="331"/>
      <c r="M18" s="331"/>
      <c r="N18" s="331"/>
      <c r="O18" s="331"/>
      <c r="P18" s="331"/>
      <c r="Q18" s="331"/>
      <c r="R18" s="331"/>
    </row>
    <row r="19" spans="1:18" x14ac:dyDescent="0.3">
      <c r="A19" s="661" t="s">
        <v>118</v>
      </c>
      <c r="B19" s="662"/>
      <c r="C19" s="663"/>
      <c r="D19" s="663"/>
      <c r="E19" s="663"/>
      <c r="F19" s="663"/>
      <c r="G19" s="663"/>
      <c r="H19" s="663"/>
      <c r="I19" s="664"/>
      <c r="J19" s="331"/>
      <c r="K19" s="331"/>
      <c r="L19" s="331"/>
      <c r="M19" s="331"/>
      <c r="N19" s="331"/>
      <c r="O19" s="331"/>
      <c r="P19" s="331"/>
      <c r="Q19" s="331"/>
      <c r="R19" s="331"/>
    </row>
    <row r="20" spans="1:18" x14ac:dyDescent="0.3">
      <c r="A20" s="641" t="s">
        <v>122</v>
      </c>
      <c r="B20" s="642"/>
      <c r="C20" s="657"/>
      <c r="D20" s="657"/>
      <c r="E20" s="657"/>
      <c r="F20" s="657"/>
      <c r="G20" s="657"/>
      <c r="H20" s="657"/>
      <c r="I20" s="658"/>
      <c r="J20" s="331"/>
      <c r="K20" s="331"/>
      <c r="L20" s="331"/>
      <c r="M20" s="331"/>
      <c r="N20" s="331"/>
      <c r="O20" s="331"/>
      <c r="P20" s="331"/>
      <c r="Q20" s="331"/>
      <c r="R20" s="331"/>
    </row>
    <row r="21" spans="1:18" x14ac:dyDescent="0.3">
      <c r="A21" s="641" t="s">
        <v>121</v>
      </c>
      <c r="B21" s="642"/>
      <c r="C21" s="657"/>
      <c r="D21" s="657"/>
      <c r="E21" s="657"/>
      <c r="F21" s="657"/>
      <c r="G21" s="657"/>
      <c r="H21" s="657"/>
      <c r="I21" s="658"/>
      <c r="J21" s="331"/>
      <c r="K21" s="331"/>
      <c r="L21" s="331"/>
      <c r="M21" s="331"/>
      <c r="N21" s="331"/>
      <c r="O21" s="331"/>
      <c r="P21" s="331"/>
      <c r="Q21" s="331"/>
      <c r="R21" s="331"/>
    </row>
    <row r="22" spans="1:18" ht="14.4" customHeight="1" x14ac:dyDescent="0.3">
      <c r="A22" s="641" t="s">
        <v>51</v>
      </c>
      <c r="B22" s="642"/>
      <c r="C22" s="657"/>
      <c r="D22" s="657"/>
      <c r="E22" s="657"/>
      <c r="F22" s="657"/>
      <c r="G22" s="657"/>
      <c r="H22" s="657"/>
      <c r="I22" s="658"/>
      <c r="J22" s="331"/>
      <c r="K22" s="331"/>
      <c r="L22" s="331"/>
      <c r="M22" s="331"/>
      <c r="N22" s="331"/>
      <c r="O22" s="331"/>
      <c r="P22" s="331"/>
      <c r="Q22" s="331"/>
      <c r="R22" s="331"/>
    </row>
    <row r="23" spans="1:18" x14ac:dyDescent="0.3">
      <c r="A23" s="641" t="s">
        <v>52</v>
      </c>
      <c r="B23" s="642"/>
      <c r="C23" s="657"/>
      <c r="D23" s="657"/>
      <c r="E23" s="657"/>
      <c r="F23" s="657"/>
      <c r="G23" s="657"/>
      <c r="H23" s="657"/>
      <c r="I23" s="658"/>
      <c r="J23" s="331"/>
      <c r="K23" s="331"/>
      <c r="L23" s="331"/>
      <c r="M23" s="331"/>
      <c r="N23" s="331"/>
      <c r="O23" s="331"/>
      <c r="P23" s="331"/>
      <c r="Q23" s="331"/>
      <c r="R23" s="331"/>
    </row>
    <row r="24" spans="1:18" x14ac:dyDescent="0.3">
      <c r="A24" s="641" t="s">
        <v>53</v>
      </c>
      <c r="B24" s="642"/>
      <c r="C24" s="657"/>
      <c r="D24" s="657"/>
      <c r="E24" s="657"/>
      <c r="F24" s="657"/>
      <c r="G24" s="657"/>
      <c r="H24" s="657"/>
      <c r="I24" s="658"/>
      <c r="J24" s="331"/>
      <c r="K24" s="331"/>
      <c r="L24" s="331"/>
      <c r="M24" s="331"/>
      <c r="N24" s="331"/>
      <c r="O24" s="331"/>
      <c r="P24" s="331"/>
      <c r="Q24" s="331"/>
      <c r="R24" s="331"/>
    </row>
    <row r="25" spans="1:18" x14ac:dyDescent="0.3">
      <c r="A25" s="641" t="s">
        <v>54</v>
      </c>
      <c r="B25" s="642"/>
      <c r="C25" s="657"/>
      <c r="D25" s="657"/>
      <c r="E25" s="657"/>
      <c r="F25" s="657"/>
      <c r="G25" s="657"/>
      <c r="H25" s="657"/>
      <c r="I25" s="658"/>
      <c r="J25" s="331"/>
      <c r="K25" s="331"/>
      <c r="L25" s="331"/>
      <c r="M25" s="331"/>
      <c r="N25" s="331"/>
      <c r="O25" s="331"/>
      <c r="P25" s="331"/>
      <c r="Q25" s="331"/>
      <c r="R25" s="331"/>
    </row>
    <row r="26" spans="1:18" x14ac:dyDescent="0.3">
      <c r="A26" s="641" t="s">
        <v>55</v>
      </c>
      <c r="B26" s="642"/>
      <c r="C26" s="657"/>
      <c r="D26" s="657"/>
      <c r="E26" s="657"/>
      <c r="F26" s="657"/>
      <c r="G26" s="657"/>
      <c r="H26" s="657"/>
      <c r="I26" s="658"/>
      <c r="J26" s="331"/>
      <c r="K26" s="331"/>
      <c r="L26" s="331"/>
      <c r="M26" s="331"/>
      <c r="N26" s="331"/>
      <c r="O26" s="331"/>
      <c r="P26" s="331"/>
      <c r="Q26" s="331"/>
      <c r="R26" s="331"/>
    </row>
    <row r="27" spans="1:18" ht="19.350000000000001" customHeight="1" x14ac:dyDescent="0.3">
      <c r="A27" s="641" t="s">
        <v>56</v>
      </c>
      <c r="B27" s="642"/>
      <c r="C27" s="643" t="s">
        <v>57</v>
      </c>
      <c r="D27" s="643"/>
      <c r="E27" s="643"/>
      <c r="F27" s="643"/>
      <c r="G27" s="643"/>
      <c r="H27" s="643"/>
      <c r="I27" s="644"/>
      <c r="J27" s="331"/>
      <c r="K27" s="331"/>
      <c r="L27" s="331"/>
      <c r="M27" s="331"/>
      <c r="N27" s="331"/>
      <c r="O27" s="331"/>
      <c r="P27" s="331"/>
      <c r="Q27" s="331"/>
      <c r="R27" s="331"/>
    </row>
    <row r="28" spans="1:18" ht="33" customHeight="1" thickBot="1" x14ac:dyDescent="0.35">
      <c r="A28" s="645" t="s">
        <v>58</v>
      </c>
      <c r="B28" s="646"/>
      <c r="C28" s="647" t="s">
        <v>59</v>
      </c>
      <c r="D28" s="647"/>
      <c r="E28" s="647"/>
      <c r="F28" s="647"/>
      <c r="G28" s="647"/>
      <c r="H28" s="647"/>
      <c r="I28" s="648"/>
      <c r="J28" s="331"/>
      <c r="K28" s="331"/>
      <c r="L28" s="331"/>
      <c r="M28" s="331"/>
      <c r="N28" s="331"/>
      <c r="O28" s="331"/>
      <c r="P28" s="331"/>
      <c r="Q28" s="331"/>
      <c r="R28" s="331"/>
    </row>
    <row r="29" spans="1:18" x14ac:dyDescent="0.3">
      <c r="A29" s="36"/>
      <c r="B29" s="36"/>
      <c r="C29" s="36"/>
      <c r="D29" s="36"/>
      <c r="E29" s="36"/>
      <c r="F29" s="36"/>
      <c r="G29" s="36"/>
      <c r="H29" s="36"/>
      <c r="I29" s="36"/>
      <c r="J29" s="331"/>
      <c r="K29" s="331"/>
      <c r="L29" s="331"/>
      <c r="M29" s="331"/>
      <c r="N29" s="331"/>
      <c r="O29" s="331"/>
      <c r="P29" s="331"/>
      <c r="Q29" s="331"/>
      <c r="R29" s="331"/>
    </row>
    <row r="30" spans="1:18" ht="15" thickBot="1" x14ac:dyDescent="0.35">
      <c r="A30" s="649" t="s">
        <v>63</v>
      </c>
      <c r="B30" s="649"/>
      <c r="C30" s="649"/>
      <c r="D30" s="649"/>
      <c r="E30" s="649"/>
      <c r="F30" s="649"/>
      <c r="G30" s="649"/>
      <c r="H30" s="649"/>
      <c r="I30" s="649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1:18" ht="14.4" customHeight="1" x14ac:dyDescent="0.3">
      <c r="A31" s="650" t="s">
        <v>60</v>
      </c>
      <c r="B31" s="651"/>
      <c r="C31" s="634" t="s">
        <v>61</v>
      </c>
      <c r="D31" s="634"/>
      <c r="E31" s="655" t="s">
        <v>64</v>
      </c>
      <c r="F31" s="655"/>
      <c r="G31" s="636" t="s">
        <v>65</v>
      </c>
      <c r="H31" s="636"/>
      <c r="I31" s="638" t="s">
        <v>66</v>
      </c>
      <c r="J31" s="331"/>
      <c r="K31" s="331"/>
      <c r="L31" s="331"/>
      <c r="M31" s="331"/>
      <c r="N31" s="331"/>
      <c r="O31" s="331"/>
      <c r="P31" s="331"/>
      <c r="Q31" s="331"/>
      <c r="R31" s="331"/>
    </row>
    <row r="32" spans="1:18" ht="15" thickBot="1" x14ac:dyDescent="0.35">
      <c r="A32" s="652"/>
      <c r="B32" s="653"/>
      <c r="C32" s="654"/>
      <c r="D32" s="654"/>
      <c r="E32" s="656"/>
      <c r="F32" s="656"/>
      <c r="G32" s="637"/>
      <c r="H32" s="637"/>
      <c r="I32" s="639"/>
      <c r="J32" s="331"/>
      <c r="K32" s="331"/>
      <c r="L32" s="331"/>
      <c r="M32" s="331"/>
      <c r="N32" s="331"/>
      <c r="O32" s="331"/>
      <c r="P32" s="331"/>
      <c r="Q32" s="331"/>
      <c r="R32" s="331"/>
    </row>
    <row r="33" spans="1:18" x14ac:dyDescent="0.3">
      <c r="A33" s="634"/>
      <c r="B33" s="634"/>
      <c r="C33" s="634"/>
      <c r="D33" s="634"/>
      <c r="E33" s="634"/>
      <c r="F33" s="634"/>
      <c r="G33" s="634"/>
      <c r="H33" s="634"/>
      <c r="I33" s="634"/>
      <c r="J33" s="331"/>
      <c r="K33" s="331"/>
      <c r="L33" s="331"/>
      <c r="M33" s="331"/>
      <c r="N33" s="331"/>
      <c r="O33" s="331"/>
      <c r="P33" s="331"/>
      <c r="Q33" s="331"/>
      <c r="R33" s="331"/>
    </row>
    <row r="34" spans="1:18" x14ac:dyDescent="0.3">
      <c r="A34" s="635"/>
      <c r="B34" s="635"/>
      <c r="C34" s="635"/>
      <c r="D34" s="635"/>
      <c r="E34" s="635"/>
      <c r="F34" s="635"/>
      <c r="G34" s="635"/>
      <c r="H34" s="635"/>
      <c r="I34" s="635"/>
      <c r="J34" s="331"/>
      <c r="K34" s="331"/>
      <c r="L34" s="331"/>
      <c r="M34" s="331"/>
      <c r="N34" s="331"/>
      <c r="O34" s="331"/>
      <c r="P34" s="331"/>
      <c r="Q34" s="331"/>
      <c r="R34" s="331"/>
    </row>
    <row r="35" spans="1:18" x14ac:dyDescent="0.3">
      <c r="A35" s="635"/>
      <c r="B35" s="635"/>
      <c r="C35" s="635"/>
      <c r="D35" s="635"/>
      <c r="E35" s="635"/>
      <c r="F35" s="635"/>
      <c r="G35" s="635"/>
      <c r="H35" s="635"/>
      <c r="I35" s="635"/>
      <c r="J35" s="331"/>
      <c r="K35" s="331"/>
      <c r="L35" s="331"/>
      <c r="M35" s="331"/>
      <c r="N35" s="331"/>
      <c r="O35" s="331"/>
      <c r="P35" s="331"/>
      <c r="Q35" s="331"/>
      <c r="R35" s="331"/>
    </row>
    <row r="36" spans="1:18" x14ac:dyDescent="0.3">
      <c r="A36" s="84"/>
      <c r="B36" s="84"/>
      <c r="C36" s="36"/>
      <c r="D36" s="36"/>
      <c r="E36" s="36"/>
      <c r="F36" s="36"/>
      <c r="G36" s="36"/>
      <c r="H36" s="36"/>
      <c r="I36" s="36"/>
      <c r="J36" s="331"/>
      <c r="K36" s="331"/>
      <c r="L36" s="331"/>
      <c r="M36" s="331"/>
      <c r="N36" s="331"/>
      <c r="O36" s="331"/>
      <c r="P36" s="331"/>
      <c r="Q36" s="331"/>
      <c r="R36" s="331"/>
    </row>
    <row r="37" spans="1:18" x14ac:dyDescent="0.3">
      <c r="A37" s="36"/>
      <c r="B37" s="36"/>
      <c r="C37" s="36"/>
      <c r="D37" s="36"/>
      <c r="E37" s="36"/>
      <c r="F37" s="36"/>
      <c r="G37" s="36"/>
      <c r="H37" s="36"/>
      <c r="I37" s="36"/>
      <c r="J37" s="331"/>
      <c r="K37" s="331"/>
      <c r="L37" s="331"/>
      <c r="M37" s="331"/>
      <c r="N37" s="331"/>
      <c r="O37" s="331"/>
      <c r="P37" s="331"/>
      <c r="Q37" s="331"/>
      <c r="R37" s="331"/>
    </row>
    <row r="38" spans="1:18" x14ac:dyDescent="0.3">
      <c r="A38" s="36"/>
      <c r="B38" s="36"/>
      <c r="C38" s="36"/>
      <c r="D38" s="36"/>
      <c r="E38" s="36"/>
      <c r="F38" s="36"/>
      <c r="G38" s="36"/>
      <c r="H38" s="36"/>
      <c r="I38" s="36"/>
      <c r="J38" s="331"/>
      <c r="K38" s="331"/>
      <c r="L38" s="331"/>
      <c r="M38" s="331"/>
      <c r="N38" s="331"/>
      <c r="O38" s="331"/>
      <c r="P38" s="331"/>
      <c r="Q38" s="331"/>
      <c r="R38" s="331"/>
    </row>
    <row r="39" spans="1:18" x14ac:dyDescent="0.3">
      <c r="A39" s="36"/>
      <c r="B39" s="36"/>
      <c r="C39" s="36"/>
      <c r="D39" s="36"/>
      <c r="E39" s="36"/>
      <c r="F39" s="36"/>
      <c r="G39" s="36"/>
      <c r="H39" s="36"/>
      <c r="I39" s="36"/>
      <c r="J39" s="331"/>
      <c r="K39" s="331"/>
      <c r="L39" s="331"/>
      <c r="M39" s="331"/>
      <c r="N39" s="331"/>
      <c r="O39" s="331"/>
      <c r="P39" s="331"/>
      <c r="Q39" s="331"/>
      <c r="R39" s="331"/>
    </row>
    <row r="40" spans="1:18" x14ac:dyDescent="0.3">
      <c r="A40" s="36"/>
      <c r="B40" s="36"/>
      <c r="C40" s="36"/>
      <c r="D40" s="36"/>
      <c r="E40" s="36"/>
      <c r="F40" s="36"/>
      <c r="G40" s="36"/>
      <c r="H40" s="36"/>
      <c r="I40" s="36"/>
      <c r="J40" s="331"/>
      <c r="K40" s="331"/>
      <c r="L40" s="331"/>
      <c r="M40" s="331"/>
      <c r="N40" s="331"/>
      <c r="O40" s="331"/>
      <c r="P40" s="331"/>
      <c r="Q40" s="331"/>
      <c r="R40" s="331"/>
    </row>
    <row r="41" spans="1:18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31"/>
      <c r="K41" s="331"/>
      <c r="L41" s="331"/>
      <c r="M41" s="331"/>
      <c r="N41" s="331"/>
      <c r="O41" s="331"/>
      <c r="P41" s="331"/>
      <c r="Q41" s="331"/>
      <c r="R41" s="331"/>
    </row>
    <row r="42" spans="1:18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31"/>
      <c r="K42" s="331"/>
      <c r="L42" s="331"/>
      <c r="M42" s="331"/>
      <c r="N42" s="331"/>
      <c r="O42" s="331"/>
      <c r="P42" s="331"/>
      <c r="Q42" s="331"/>
      <c r="R42" s="331"/>
    </row>
    <row r="43" spans="1:18" x14ac:dyDescent="0.3">
      <c r="A43" s="36"/>
      <c r="B43" s="36"/>
      <c r="C43" s="36"/>
      <c r="D43" s="36"/>
      <c r="E43" s="36"/>
      <c r="F43" s="36"/>
      <c r="G43" s="36"/>
      <c r="H43" s="36"/>
      <c r="I43" s="36"/>
    </row>
    <row r="44" spans="1:18" x14ac:dyDescent="0.3">
      <c r="A44" s="36"/>
      <c r="B44" s="36"/>
      <c r="C44" s="36"/>
      <c r="D44" s="36"/>
      <c r="E44" s="36"/>
      <c r="F44" s="36"/>
      <c r="G44" s="36"/>
      <c r="H44" s="36"/>
      <c r="I44" s="36"/>
    </row>
    <row r="45" spans="1:18" x14ac:dyDescent="0.3">
      <c r="A45" s="36"/>
      <c r="B45" s="36"/>
      <c r="C45" s="36"/>
      <c r="D45" s="36"/>
      <c r="E45" s="36"/>
      <c r="F45" s="36"/>
      <c r="G45" s="36"/>
      <c r="H45" s="36"/>
      <c r="I45" s="36"/>
    </row>
    <row r="46" spans="1:18" x14ac:dyDescent="0.3">
      <c r="A46" s="36"/>
      <c r="B46" s="36"/>
      <c r="C46" s="36"/>
      <c r="D46" s="36"/>
      <c r="E46" s="36"/>
      <c r="F46" s="36"/>
      <c r="G46" s="36"/>
      <c r="H46" s="36"/>
      <c r="I46" s="36"/>
    </row>
  </sheetData>
  <mergeCells count="30">
    <mergeCell ref="A26:B26"/>
    <mergeCell ref="C26:I26"/>
    <mergeCell ref="A6:I6"/>
    <mergeCell ref="A8:I10"/>
    <mergeCell ref="A22:B22"/>
    <mergeCell ref="C22:I22"/>
    <mergeCell ref="A23:B23"/>
    <mergeCell ref="C23:I23"/>
    <mergeCell ref="A19:B19"/>
    <mergeCell ref="C19:I19"/>
    <mergeCell ref="A20:B20"/>
    <mergeCell ref="C20:I20"/>
    <mergeCell ref="A21:B21"/>
    <mergeCell ref="C21:I21"/>
    <mergeCell ref="A33:I35"/>
    <mergeCell ref="G31:H32"/>
    <mergeCell ref="I31:I32"/>
    <mergeCell ref="A7:I7"/>
    <mergeCell ref="A27:B27"/>
    <mergeCell ref="C27:I27"/>
    <mergeCell ref="A28:B28"/>
    <mergeCell ref="C28:I28"/>
    <mergeCell ref="A30:I30"/>
    <mergeCell ref="A31:B32"/>
    <mergeCell ref="C31:D32"/>
    <mergeCell ref="E31:F32"/>
    <mergeCell ref="A24:B24"/>
    <mergeCell ref="C24:I24"/>
    <mergeCell ref="A25:B25"/>
    <mergeCell ref="C25:I2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outlinePr summaryBelow="0" summaryRight="0"/>
  </sheetPr>
  <dimension ref="A1:E75"/>
  <sheetViews>
    <sheetView zoomScale="85" zoomScaleNormal="85" workbookViewId="0">
      <selection activeCell="E48" sqref="E48"/>
    </sheetView>
  </sheetViews>
  <sheetFormatPr defaultColWidth="8.88671875" defaultRowHeight="14.4" outlineLevelRow="2" x14ac:dyDescent="0.3"/>
  <cols>
    <col min="1" max="1" width="22.44140625" customWidth="1"/>
    <col min="2" max="2" width="23.33203125" customWidth="1"/>
    <col min="3" max="3" width="22.44140625" customWidth="1"/>
    <col min="5" max="5" width="17.88671875" customWidth="1"/>
    <col min="6" max="6" width="8.88671875" customWidth="1"/>
  </cols>
  <sheetData>
    <row r="1" spans="1:5" ht="25.35" customHeight="1" thickBot="1" x14ac:dyDescent="0.45">
      <c r="A1" s="718" t="s">
        <v>103</v>
      </c>
      <c r="B1" s="718"/>
      <c r="C1" s="718"/>
      <c r="D1" s="719"/>
      <c r="E1" s="70" t="s">
        <v>35</v>
      </c>
    </row>
    <row r="2" spans="1:5" ht="15" collapsed="1" thickBot="1" x14ac:dyDescent="0.35">
      <c r="A2" s="40" t="s">
        <v>0</v>
      </c>
      <c r="B2" s="75" t="s">
        <v>79</v>
      </c>
      <c r="C2" s="75" t="s">
        <v>78</v>
      </c>
      <c r="D2" s="75" t="s">
        <v>23</v>
      </c>
      <c r="E2" s="17"/>
    </row>
    <row r="3" spans="1:5" ht="15" thickBot="1" x14ac:dyDescent="0.35">
      <c r="A3" s="720" t="s">
        <v>83</v>
      </c>
      <c r="B3" s="721"/>
      <c r="C3" s="721"/>
      <c r="D3" s="81"/>
      <c r="E3" s="77">
        <f>E4+E25</f>
        <v>19113600</v>
      </c>
    </row>
    <row r="4" spans="1:5" ht="15" outlineLevel="1" thickBot="1" x14ac:dyDescent="0.35">
      <c r="A4" s="17" t="s">
        <v>110</v>
      </c>
      <c r="B4" s="17"/>
      <c r="C4" s="17"/>
      <c r="D4" s="28"/>
      <c r="E4" s="127">
        <f>SUM(E5:E24)</f>
        <v>0</v>
      </c>
    </row>
    <row r="5" spans="1:5" outlineLevel="2" x14ac:dyDescent="0.3">
      <c r="A5" s="722" t="s">
        <v>84</v>
      </c>
      <c r="B5" s="723" t="s">
        <v>85</v>
      </c>
      <c r="C5" s="723">
        <v>635009</v>
      </c>
      <c r="D5" s="67" t="s">
        <v>25</v>
      </c>
      <c r="E5" s="65">
        <v>0</v>
      </c>
    </row>
    <row r="6" spans="1:5" outlineLevel="2" x14ac:dyDescent="0.3">
      <c r="A6" s="722"/>
      <c r="B6" s="723"/>
      <c r="C6" s="723"/>
      <c r="D6" s="68" t="s">
        <v>26</v>
      </c>
      <c r="E6" s="65">
        <v>0</v>
      </c>
    </row>
    <row r="7" spans="1:5" outlineLevel="2" x14ac:dyDescent="0.3">
      <c r="A7" s="722"/>
      <c r="B7" s="723"/>
      <c r="C7" s="723"/>
      <c r="D7" s="68" t="s">
        <v>27</v>
      </c>
      <c r="E7" s="65">
        <v>0</v>
      </c>
    </row>
    <row r="8" spans="1:5" outlineLevel="2" x14ac:dyDescent="0.3">
      <c r="A8" s="722"/>
      <c r="B8" s="723"/>
      <c r="C8" s="723"/>
      <c r="D8" s="68" t="s">
        <v>28</v>
      </c>
      <c r="E8" s="65">
        <v>0</v>
      </c>
    </row>
    <row r="9" spans="1:5" outlineLevel="2" x14ac:dyDescent="0.3">
      <c r="A9" s="722"/>
      <c r="B9" s="723"/>
      <c r="C9" s="723"/>
      <c r="D9" s="68" t="s">
        <v>29</v>
      </c>
      <c r="E9" s="65">
        <v>0</v>
      </c>
    </row>
    <row r="10" spans="1:5" outlineLevel="2" x14ac:dyDescent="0.3">
      <c r="A10" s="722"/>
      <c r="B10" s="723"/>
      <c r="C10" s="723"/>
      <c r="D10" s="68" t="s">
        <v>30</v>
      </c>
      <c r="E10" s="65">
        <v>0</v>
      </c>
    </row>
    <row r="11" spans="1:5" outlineLevel="2" x14ac:dyDescent="0.3">
      <c r="A11" s="722"/>
      <c r="B11" s="723"/>
      <c r="C11" s="723"/>
      <c r="D11" s="68" t="s">
        <v>31</v>
      </c>
      <c r="E11" s="65">
        <v>0</v>
      </c>
    </row>
    <row r="12" spans="1:5" outlineLevel="2" x14ac:dyDescent="0.3">
      <c r="A12" s="722"/>
      <c r="B12" s="723"/>
      <c r="C12" s="723"/>
      <c r="D12" s="68" t="s">
        <v>32</v>
      </c>
      <c r="E12" s="65">
        <v>0</v>
      </c>
    </row>
    <row r="13" spans="1:5" outlineLevel="2" x14ac:dyDescent="0.3">
      <c r="A13" s="722"/>
      <c r="B13" s="723"/>
      <c r="C13" s="723"/>
      <c r="D13" s="68" t="s">
        <v>33</v>
      </c>
      <c r="E13" s="65">
        <v>0</v>
      </c>
    </row>
    <row r="14" spans="1:5" ht="15" outlineLevel="2" thickBot="1" x14ac:dyDescent="0.35">
      <c r="A14" s="722"/>
      <c r="B14" s="723"/>
      <c r="C14" s="723"/>
      <c r="D14" s="69" t="s">
        <v>34</v>
      </c>
      <c r="E14" s="66">
        <v>0</v>
      </c>
    </row>
    <row r="15" spans="1:5" outlineLevel="2" x14ac:dyDescent="0.3">
      <c r="A15" s="722" t="s">
        <v>86</v>
      </c>
      <c r="B15" s="723" t="s">
        <v>77</v>
      </c>
      <c r="C15" s="723">
        <v>718006</v>
      </c>
      <c r="D15" s="67" t="s">
        <v>25</v>
      </c>
      <c r="E15" s="65">
        <v>0</v>
      </c>
    </row>
    <row r="16" spans="1:5" outlineLevel="2" x14ac:dyDescent="0.3">
      <c r="A16" s="722"/>
      <c r="B16" s="723"/>
      <c r="C16" s="723"/>
      <c r="D16" s="68" t="s">
        <v>26</v>
      </c>
      <c r="E16" s="65">
        <v>0</v>
      </c>
    </row>
    <row r="17" spans="1:5" outlineLevel="2" x14ac:dyDescent="0.3">
      <c r="A17" s="722"/>
      <c r="B17" s="723"/>
      <c r="C17" s="723"/>
      <c r="D17" s="68" t="s">
        <v>27</v>
      </c>
      <c r="E17" s="65">
        <v>0</v>
      </c>
    </row>
    <row r="18" spans="1:5" outlineLevel="2" x14ac:dyDescent="0.3">
      <c r="A18" s="722"/>
      <c r="B18" s="723"/>
      <c r="C18" s="723"/>
      <c r="D18" s="68" t="s">
        <v>28</v>
      </c>
      <c r="E18" s="65">
        <v>0</v>
      </c>
    </row>
    <row r="19" spans="1:5" outlineLevel="2" x14ac:dyDescent="0.3">
      <c r="A19" s="722"/>
      <c r="B19" s="723"/>
      <c r="C19" s="723"/>
      <c r="D19" s="68" t="s">
        <v>29</v>
      </c>
      <c r="E19" s="65">
        <v>0</v>
      </c>
    </row>
    <row r="20" spans="1:5" outlineLevel="2" x14ac:dyDescent="0.3">
      <c r="A20" s="722"/>
      <c r="B20" s="723"/>
      <c r="C20" s="723"/>
      <c r="D20" s="68" t="s">
        <v>30</v>
      </c>
      <c r="E20" s="65">
        <v>0</v>
      </c>
    </row>
    <row r="21" spans="1:5" outlineLevel="2" x14ac:dyDescent="0.3">
      <c r="A21" s="722"/>
      <c r="B21" s="723"/>
      <c r="C21" s="723"/>
      <c r="D21" s="68" t="s">
        <v>31</v>
      </c>
      <c r="E21" s="65">
        <v>0</v>
      </c>
    </row>
    <row r="22" spans="1:5" outlineLevel="2" x14ac:dyDescent="0.3">
      <c r="A22" s="722"/>
      <c r="B22" s="723"/>
      <c r="C22" s="723"/>
      <c r="D22" s="68" t="s">
        <v>32</v>
      </c>
      <c r="E22" s="65">
        <v>0</v>
      </c>
    </row>
    <row r="23" spans="1:5" outlineLevel="2" x14ac:dyDescent="0.3">
      <c r="A23" s="722"/>
      <c r="B23" s="723"/>
      <c r="C23" s="723"/>
      <c r="D23" s="68" t="s">
        <v>33</v>
      </c>
      <c r="E23" s="65">
        <v>0</v>
      </c>
    </row>
    <row r="24" spans="1:5" ht="15" outlineLevel="2" thickBot="1" x14ac:dyDescent="0.35">
      <c r="A24" s="722"/>
      <c r="B24" s="723"/>
      <c r="C24" s="723"/>
      <c r="D24" s="69" t="s">
        <v>34</v>
      </c>
      <c r="E24" s="66">
        <v>0</v>
      </c>
    </row>
    <row r="25" spans="1:5" ht="15" outlineLevel="1" thickBot="1" x14ac:dyDescent="0.35">
      <c r="A25" s="17" t="s">
        <v>111</v>
      </c>
      <c r="B25" s="17"/>
      <c r="C25" s="17"/>
      <c r="D25" s="28"/>
      <c r="E25" s="129">
        <f>SUM(E26:E75)</f>
        <v>19113600</v>
      </c>
    </row>
    <row r="26" spans="1:5" outlineLevel="2" x14ac:dyDescent="0.3">
      <c r="A26" s="722" t="s">
        <v>87</v>
      </c>
      <c r="B26" s="723" t="s">
        <v>85</v>
      </c>
      <c r="C26" s="723">
        <v>635009</v>
      </c>
      <c r="D26" s="67" t="s">
        <v>25</v>
      </c>
      <c r="E26" s="71">
        <v>0</v>
      </c>
    </row>
    <row r="27" spans="1:5" outlineLevel="2" x14ac:dyDescent="0.3">
      <c r="A27" s="722"/>
      <c r="B27" s="723"/>
      <c r="C27" s="723"/>
      <c r="D27" s="68" t="s">
        <v>26</v>
      </c>
      <c r="E27" s="72">
        <v>0</v>
      </c>
    </row>
    <row r="28" spans="1:5" outlineLevel="2" x14ac:dyDescent="0.3">
      <c r="A28" s="722"/>
      <c r="B28" s="723"/>
      <c r="C28" s="723"/>
      <c r="D28" s="68" t="s">
        <v>27</v>
      </c>
      <c r="E28" s="72">
        <v>0</v>
      </c>
    </row>
    <row r="29" spans="1:5" outlineLevel="2" x14ac:dyDescent="0.3">
      <c r="A29" s="722"/>
      <c r="B29" s="723"/>
      <c r="C29" s="723"/>
      <c r="D29" s="68" t="s">
        <v>28</v>
      </c>
      <c r="E29" s="72">
        <v>0</v>
      </c>
    </row>
    <row r="30" spans="1:5" outlineLevel="2" x14ac:dyDescent="0.3">
      <c r="A30" s="722"/>
      <c r="B30" s="723"/>
      <c r="C30" s="723"/>
      <c r="D30" s="68" t="s">
        <v>29</v>
      </c>
      <c r="E30" s="72">
        <v>0</v>
      </c>
    </row>
    <row r="31" spans="1:5" outlineLevel="2" x14ac:dyDescent="0.3">
      <c r="A31" s="722"/>
      <c r="B31" s="723"/>
      <c r="C31" s="723"/>
      <c r="D31" s="68" t="s">
        <v>30</v>
      </c>
      <c r="E31" s="72">
        <v>0</v>
      </c>
    </row>
    <row r="32" spans="1:5" outlineLevel="2" x14ac:dyDescent="0.3">
      <c r="A32" s="722"/>
      <c r="B32" s="723"/>
      <c r="C32" s="723"/>
      <c r="D32" s="68" t="s">
        <v>31</v>
      </c>
      <c r="E32" s="72">
        <v>0</v>
      </c>
    </row>
    <row r="33" spans="1:5" outlineLevel="2" x14ac:dyDescent="0.3">
      <c r="A33" s="722"/>
      <c r="B33" s="723"/>
      <c r="C33" s="723"/>
      <c r="D33" s="68" t="s">
        <v>32</v>
      </c>
      <c r="E33" s="72">
        <v>0</v>
      </c>
    </row>
    <row r="34" spans="1:5" outlineLevel="2" x14ac:dyDescent="0.3">
      <c r="A34" s="722"/>
      <c r="B34" s="723"/>
      <c r="C34" s="723"/>
      <c r="D34" s="68" t="s">
        <v>33</v>
      </c>
      <c r="E34" s="72">
        <v>0</v>
      </c>
    </row>
    <row r="35" spans="1:5" ht="15" outlineLevel="2" thickBot="1" x14ac:dyDescent="0.35">
      <c r="A35" s="722"/>
      <c r="B35" s="723"/>
      <c r="C35" s="723"/>
      <c r="D35" s="69" t="s">
        <v>34</v>
      </c>
      <c r="E35" s="73">
        <v>0</v>
      </c>
    </row>
    <row r="36" spans="1:5" outlineLevel="2" x14ac:dyDescent="0.3">
      <c r="A36" s="722" t="s">
        <v>88</v>
      </c>
      <c r="B36" s="723" t="s">
        <v>82</v>
      </c>
      <c r="C36" s="723">
        <v>637005</v>
      </c>
      <c r="D36" s="67" t="s">
        <v>25</v>
      </c>
      <c r="E36" s="72">
        <f>105000*1.2*12</f>
        <v>1512000</v>
      </c>
    </row>
    <row r="37" spans="1:5" outlineLevel="2" x14ac:dyDescent="0.3">
      <c r="A37" s="722"/>
      <c r="B37" s="723"/>
      <c r="C37" s="723"/>
      <c r="D37" s="68" t="s">
        <v>26</v>
      </c>
      <c r="E37" s="72">
        <f t="shared" ref="E37:E45" si="0">105000*1.2*12</f>
        <v>1512000</v>
      </c>
    </row>
    <row r="38" spans="1:5" outlineLevel="2" x14ac:dyDescent="0.3">
      <c r="A38" s="722"/>
      <c r="B38" s="723"/>
      <c r="C38" s="723"/>
      <c r="D38" s="68" t="s">
        <v>27</v>
      </c>
      <c r="E38" s="72">
        <f t="shared" si="0"/>
        <v>1512000</v>
      </c>
    </row>
    <row r="39" spans="1:5" outlineLevel="2" x14ac:dyDescent="0.3">
      <c r="A39" s="722"/>
      <c r="B39" s="723"/>
      <c r="C39" s="723"/>
      <c r="D39" s="68" t="s">
        <v>28</v>
      </c>
      <c r="E39" s="72">
        <f t="shared" si="0"/>
        <v>1512000</v>
      </c>
    </row>
    <row r="40" spans="1:5" outlineLevel="2" x14ac:dyDescent="0.3">
      <c r="A40" s="722"/>
      <c r="B40" s="723"/>
      <c r="C40" s="723"/>
      <c r="D40" s="68" t="s">
        <v>29</v>
      </c>
      <c r="E40" s="72">
        <f t="shared" si="0"/>
        <v>1512000</v>
      </c>
    </row>
    <row r="41" spans="1:5" outlineLevel="2" x14ac:dyDescent="0.3">
      <c r="A41" s="722"/>
      <c r="B41" s="723"/>
      <c r="C41" s="723"/>
      <c r="D41" s="68" t="s">
        <v>30</v>
      </c>
      <c r="E41" s="72">
        <f t="shared" si="0"/>
        <v>1512000</v>
      </c>
    </row>
    <row r="42" spans="1:5" outlineLevel="2" x14ac:dyDescent="0.3">
      <c r="A42" s="722"/>
      <c r="B42" s="723"/>
      <c r="C42" s="723"/>
      <c r="D42" s="68" t="s">
        <v>31</v>
      </c>
      <c r="E42" s="72">
        <f t="shared" si="0"/>
        <v>1512000</v>
      </c>
    </row>
    <row r="43" spans="1:5" outlineLevel="2" x14ac:dyDescent="0.3">
      <c r="A43" s="722"/>
      <c r="B43" s="723"/>
      <c r="C43" s="723"/>
      <c r="D43" s="68" t="s">
        <v>32</v>
      </c>
      <c r="E43" s="72">
        <f t="shared" si="0"/>
        <v>1512000</v>
      </c>
    </row>
    <row r="44" spans="1:5" outlineLevel="2" x14ac:dyDescent="0.3">
      <c r="A44" s="722"/>
      <c r="B44" s="723"/>
      <c r="C44" s="723"/>
      <c r="D44" s="68" t="s">
        <v>33</v>
      </c>
      <c r="E44" s="72">
        <f t="shared" si="0"/>
        <v>1512000</v>
      </c>
    </row>
    <row r="45" spans="1:5" ht="15" outlineLevel="2" thickBot="1" x14ac:dyDescent="0.35">
      <c r="A45" s="722"/>
      <c r="B45" s="723"/>
      <c r="C45" s="723"/>
      <c r="D45" s="69" t="s">
        <v>34</v>
      </c>
      <c r="E45" s="73">
        <f t="shared" si="0"/>
        <v>1512000</v>
      </c>
    </row>
    <row r="46" spans="1:5" outlineLevel="2" x14ac:dyDescent="0.3">
      <c r="A46" s="722" t="s">
        <v>89</v>
      </c>
      <c r="B46" s="723" t="s">
        <v>77</v>
      </c>
      <c r="C46" s="723">
        <v>718006</v>
      </c>
      <c r="D46" s="67" t="s">
        <v>25</v>
      </c>
      <c r="E46" s="72">
        <f>350*800*1.2</f>
        <v>336000</v>
      </c>
    </row>
    <row r="47" spans="1:5" outlineLevel="2" x14ac:dyDescent="0.3">
      <c r="A47" s="722"/>
      <c r="B47" s="723"/>
      <c r="C47" s="723"/>
      <c r="D47" s="68" t="s">
        <v>26</v>
      </c>
      <c r="E47" s="72">
        <f t="shared" ref="E47:E55" si="1">350*800*1.2</f>
        <v>336000</v>
      </c>
    </row>
    <row r="48" spans="1:5" outlineLevel="2" x14ac:dyDescent="0.3">
      <c r="A48" s="722"/>
      <c r="B48" s="723"/>
      <c r="C48" s="723"/>
      <c r="D48" s="68" t="s">
        <v>27</v>
      </c>
      <c r="E48" s="72">
        <f t="shared" si="1"/>
        <v>336000</v>
      </c>
    </row>
    <row r="49" spans="1:5" outlineLevel="2" x14ac:dyDescent="0.3">
      <c r="A49" s="722"/>
      <c r="B49" s="723"/>
      <c r="C49" s="723"/>
      <c r="D49" s="68" t="s">
        <v>28</v>
      </c>
      <c r="E49" s="72">
        <f t="shared" si="1"/>
        <v>336000</v>
      </c>
    </row>
    <row r="50" spans="1:5" outlineLevel="2" x14ac:dyDescent="0.3">
      <c r="A50" s="722"/>
      <c r="B50" s="723"/>
      <c r="C50" s="723"/>
      <c r="D50" s="68" t="s">
        <v>29</v>
      </c>
      <c r="E50" s="72">
        <f t="shared" si="1"/>
        <v>336000</v>
      </c>
    </row>
    <row r="51" spans="1:5" outlineLevel="2" x14ac:dyDescent="0.3">
      <c r="A51" s="722"/>
      <c r="B51" s="723"/>
      <c r="C51" s="723"/>
      <c r="D51" s="68" t="s">
        <v>30</v>
      </c>
      <c r="E51" s="72">
        <f t="shared" si="1"/>
        <v>336000</v>
      </c>
    </row>
    <row r="52" spans="1:5" outlineLevel="2" x14ac:dyDescent="0.3">
      <c r="A52" s="722"/>
      <c r="B52" s="723"/>
      <c r="C52" s="723"/>
      <c r="D52" s="68" t="s">
        <v>31</v>
      </c>
      <c r="E52" s="72">
        <f t="shared" si="1"/>
        <v>336000</v>
      </c>
    </row>
    <row r="53" spans="1:5" outlineLevel="2" x14ac:dyDescent="0.3">
      <c r="A53" s="722"/>
      <c r="B53" s="723"/>
      <c r="C53" s="723"/>
      <c r="D53" s="68" t="s">
        <v>32</v>
      </c>
      <c r="E53" s="72">
        <f t="shared" si="1"/>
        <v>336000</v>
      </c>
    </row>
    <row r="54" spans="1:5" outlineLevel="2" x14ac:dyDescent="0.3">
      <c r="A54" s="722"/>
      <c r="B54" s="723"/>
      <c r="C54" s="723"/>
      <c r="D54" s="68" t="s">
        <v>33</v>
      </c>
      <c r="E54" s="72">
        <f t="shared" si="1"/>
        <v>336000</v>
      </c>
    </row>
    <row r="55" spans="1:5" ht="15" outlineLevel="2" thickBot="1" x14ac:dyDescent="0.35">
      <c r="A55" s="722"/>
      <c r="B55" s="723"/>
      <c r="C55" s="723"/>
      <c r="D55" s="69" t="s">
        <v>34</v>
      </c>
      <c r="E55" s="73">
        <f t="shared" si="1"/>
        <v>336000</v>
      </c>
    </row>
    <row r="56" spans="1:5" outlineLevel="2" x14ac:dyDescent="0.3">
      <c r="A56" s="722" t="s">
        <v>90</v>
      </c>
      <c r="B56" s="723" t="s">
        <v>91</v>
      </c>
      <c r="C56" s="723"/>
      <c r="D56" s="67" t="s">
        <v>25</v>
      </c>
      <c r="E56" s="72">
        <f>3*12*160*11</f>
        <v>63360</v>
      </c>
    </row>
    <row r="57" spans="1:5" outlineLevel="2" x14ac:dyDescent="0.3">
      <c r="A57" s="722"/>
      <c r="B57" s="723"/>
      <c r="C57" s="723"/>
      <c r="D57" s="68" t="s">
        <v>26</v>
      </c>
      <c r="E57" s="72">
        <f t="shared" ref="E57:E65" si="2">3*12*160*11</f>
        <v>63360</v>
      </c>
    </row>
    <row r="58" spans="1:5" outlineLevel="2" x14ac:dyDescent="0.3">
      <c r="A58" s="722"/>
      <c r="B58" s="723"/>
      <c r="C58" s="723"/>
      <c r="D58" s="68" t="s">
        <v>27</v>
      </c>
      <c r="E58" s="72">
        <f t="shared" si="2"/>
        <v>63360</v>
      </c>
    </row>
    <row r="59" spans="1:5" outlineLevel="2" x14ac:dyDescent="0.3">
      <c r="A59" s="722"/>
      <c r="B59" s="723"/>
      <c r="C59" s="723"/>
      <c r="D59" s="68" t="s">
        <v>28</v>
      </c>
      <c r="E59" s="72">
        <f t="shared" si="2"/>
        <v>63360</v>
      </c>
    </row>
    <row r="60" spans="1:5" outlineLevel="2" x14ac:dyDescent="0.3">
      <c r="A60" s="722"/>
      <c r="B60" s="723"/>
      <c r="C60" s="723"/>
      <c r="D60" s="68" t="s">
        <v>29</v>
      </c>
      <c r="E60" s="72">
        <f t="shared" si="2"/>
        <v>63360</v>
      </c>
    </row>
    <row r="61" spans="1:5" outlineLevel="2" x14ac:dyDescent="0.3">
      <c r="A61" s="722"/>
      <c r="B61" s="723"/>
      <c r="C61" s="723"/>
      <c r="D61" s="68" t="s">
        <v>30</v>
      </c>
      <c r="E61" s="72">
        <f t="shared" si="2"/>
        <v>63360</v>
      </c>
    </row>
    <row r="62" spans="1:5" outlineLevel="2" x14ac:dyDescent="0.3">
      <c r="A62" s="722"/>
      <c r="B62" s="723"/>
      <c r="C62" s="723"/>
      <c r="D62" s="68" t="s">
        <v>31</v>
      </c>
      <c r="E62" s="72">
        <f t="shared" si="2"/>
        <v>63360</v>
      </c>
    </row>
    <row r="63" spans="1:5" outlineLevel="2" x14ac:dyDescent="0.3">
      <c r="A63" s="722"/>
      <c r="B63" s="723"/>
      <c r="C63" s="723"/>
      <c r="D63" s="68" t="s">
        <v>32</v>
      </c>
      <c r="E63" s="72">
        <f t="shared" si="2"/>
        <v>63360</v>
      </c>
    </row>
    <row r="64" spans="1:5" outlineLevel="2" x14ac:dyDescent="0.3">
      <c r="A64" s="722"/>
      <c r="B64" s="723"/>
      <c r="C64" s="723"/>
      <c r="D64" s="68" t="s">
        <v>33</v>
      </c>
      <c r="E64" s="72">
        <f t="shared" si="2"/>
        <v>63360</v>
      </c>
    </row>
    <row r="65" spans="1:5" ht="15" outlineLevel="2" thickBot="1" x14ac:dyDescent="0.35">
      <c r="A65" s="722"/>
      <c r="B65" s="723"/>
      <c r="C65" s="723"/>
      <c r="D65" s="69" t="s">
        <v>34</v>
      </c>
      <c r="E65" s="73">
        <f t="shared" si="2"/>
        <v>63360</v>
      </c>
    </row>
    <row r="66" spans="1:5" outlineLevel="2" x14ac:dyDescent="0.3">
      <c r="A66" s="722" t="s">
        <v>81</v>
      </c>
      <c r="B66" s="723" t="s">
        <v>82</v>
      </c>
      <c r="C66" s="723">
        <v>637001</v>
      </c>
      <c r="D66" s="67" t="s">
        <v>25</v>
      </c>
      <c r="E66" s="72">
        <v>0</v>
      </c>
    </row>
    <row r="67" spans="1:5" outlineLevel="2" x14ac:dyDescent="0.3">
      <c r="A67" s="722"/>
      <c r="B67" s="723"/>
      <c r="C67" s="723"/>
      <c r="D67" s="68" t="s">
        <v>26</v>
      </c>
      <c r="E67" s="72">
        <v>0</v>
      </c>
    </row>
    <row r="68" spans="1:5" outlineLevel="2" x14ac:dyDescent="0.3">
      <c r="A68" s="722"/>
      <c r="B68" s="723"/>
      <c r="C68" s="723"/>
      <c r="D68" s="68" t="s">
        <v>27</v>
      </c>
      <c r="E68" s="72">
        <v>0</v>
      </c>
    </row>
    <row r="69" spans="1:5" outlineLevel="2" x14ac:dyDescent="0.3">
      <c r="A69" s="722"/>
      <c r="B69" s="723"/>
      <c r="C69" s="723"/>
      <c r="D69" s="68" t="s">
        <v>28</v>
      </c>
      <c r="E69" s="72">
        <v>0</v>
      </c>
    </row>
    <row r="70" spans="1:5" outlineLevel="2" x14ac:dyDescent="0.3">
      <c r="A70" s="722"/>
      <c r="B70" s="723"/>
      <c r="C70" s="723"/>
      <c r="D70" s="68" t="s">
        <v>29</v>
      </c>
      <c r="E70" s="72">
        <v>0</v>
      </c>
    </row>
    <row r="71" spans="1:5" outlineLevel="2" x14ac:dyDescent="0.3">
      <c r="A71" s="722"/>
      <c r="B71" s="723"/>
      <c r="C71" s="723"/>
      <c r="D71" s="68" t="s">
        <v>30</v>
      </c>
      <c r="E71" s="72">
        <v>0</v>
      </c>
    </row>
    <row r="72" spans="1:5" outlineLevel="2" x14ac:dyDescent="0.3">
      <c r="A72" s="722"/>
      <c r="B72" s="723"/>
      <c r="C72" s="723"/>
      <c r="D72" s="68" t="s">
        <v>31</v>
      </c>
      <c r="E72" s="72">
        <v>0</v>
      </c>
    </row>
    <row r="73" spans="1:5" outlineLevel="2" x14ac:dyDescent="0.3">
      <c r="A73" s="722"/>
      <c r="B73" s="723"/>
      <c r="C73" s="723"/>
      <c r="D73" s="68" t="s">
        <v>32</v>
      </c>
      <c r="E73" s="72">
        <v>0</v>
      </c>
    </row>
    <row r="74" spans="1:5" outlineLevel="2" x14ac:dyDescent="0.3">
      <c r="A74" s="722"/>
      <c r="B74" s="723"/>
      <c r="C74" s="723"/>
      <c r="D74" s="68" t="s">
        <v>33</v>
      </c>
      <c r="E74" s="72">
        <v>0</v>
      </c>
    </row>
    <row r="75" spans="1:5" ht="15" outlineLevel="2" thickBot="1" x14ac:dyDescent="0.35">
      <c r="A75" s="722"/>
      <c r="B75" s="723"/>
      <c r="C75" s="723"/>
      <c r="D75" s="69" t="s">
        <v>34</v>
      </c>
      <c r="E75" s="73">
        <v>0</v>
      </c>
    </row>
  </sheetData>
  <mergeCells count="23">
    <mergeCell ref="A56:A65"/>
    <mergeCell ref="B56:B65"/>
    <mergeCell ref="C56:C65"/>
    <mergeCell ref="A66:A75"/>
    <mergeCell ref="B66:B75"/>
    <mergeCell ref="C66:C75"/>
    <mergeCell ref="A36:A45"/>
    <mergeCell ref="B36:B45"/>
    <mergeCell ref="C36:C45"/>
    <mergeCell ref="A46:A55"/>
    <mergeCell ref="B46:B55"/>
    <mergeCell ref="C46:C55"/>
    <mergeCell ref="A15:A24"/>
    <mergeCell ref="B15:B24"/>
    <mergeCell ref="C15:C24"/>
    <mergeCell ref="A26:A35"/>
    <mergeCell ref="B26:B35"/>
    <mergeCell ref="C26:C35"/>
    <mergeCell ref="A1:D1"/>
    <mergeCell ref="A3:C3"/>
    <mergeCell ref="A5:A14"/>
    <mergeCell ref="B5:B14"/>
    <mergeCell ref="C5:C14"/>
  </mergeCells>
  <pageMargins left="0.7" right="0.7" top="0.75" bottom="0.75" header="0.3" footer="0.3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outlinePr summaryBelow="0" summaryRight="0"/>
  </sheetPr>
  <dimension ref="A1:E53"/>
  <sheetViews>
    <sheetView view="pageBreakPreview" zoomScaleNormal="85" zoomScaleSheetLayoutView="100" workbookViewId="0">
      <selection activeCell="E13" sqref="E13"/>
    </sheetView>
  </sheetViews>
  <sheetFormatPr defaultColWidth="8.88671875" defaultRowHeight="14.4" outlineLevelRow="1" x14ac:dyDescent="0.3"/>
  <cols>
    <col min="1" max="1" width="22.44140625" customWidth="1"/>
    <col min="2" max="2" width="23.33203125" customWidth="1"/>
    <col min="3" max="3" width="22.44140625" customWidth="1"/>
    <col min="5" max="5" width="17.88671875" customWidth="1"/>
  </cols>
  <sheetData>
    <row r="1" spans="1:5" ht="25.35" customHeight="1" thickBot="1" x14ac:dyDescent="0.45">
      <c r="A1" s="718" t="s">
        <v>102</v>
      </c>
      <c r="B1" s="718"/>
      <c r="C1" s="718"/>
      <c r="D1" s="719"/>
      <c r="E1" s="70" t="s">
        <v>35</v>
      </c>
    </row>
    <row r="2" spans="1:5" ht="15" thickBot="1" x14ac:dyDescent="0.35">
      <c r="A2" s="40" t="s">
        <v>0</v>
      </c>
      <c r="B2" s="75" t="s">
        <v>79</v>
      </c>
      <c r="C2" s="75" t="s">
        <v>78</v>
      </c>
      <c r="D2" s="75" t="s">
        <v>23</v>
      </c>
      <c r="E2" s="17"/>
    </row>
    <row r="3" spans="1:5" ht="15" thickBot="1" x14ac:dyDescent="0.35">
      <c r="A3" s="724" t="s">
        <v>93</v>
      </c>
      <c r="B3" s="724"/>
      <c r="C3" s="724"/>
      <c r="D3" s="76"/>
      <c r="E3" s="77">
        <f>SUM(E4:E53)</f>
        <v>0</v>
      </c>
    </row>
    <row r="4" spans="1:5" outlineLevel="1" x14ac:dyDescent="0.3">
      <c r="A4" s="722" t="s">
        <v>98</v>
      </c>
      <c r="B4" s="723" t="s">
        <v>85</v>
      </c>
      <c r="C4" s="723">
        <v>635002</v>
      </c>
      <c r="D4" s="67" t="s">
        <v>25</v>
      </c>
      <c r="E4" s="71">
        <v>0</v>
      </c>
    </row>
    <row r="5" spans="1:5" outlineLevel="1" x14ac:dyDescent="0.3">
      <c r="A5" s="722"/>
      <c r="B5" s="723"/>
      <c r="C5" s="723"/>
      <c r="D5" s="68" t="s">
        <v>26</v>
      </c>
      <c r="E5" s="72">
        <v>0</v>
      </c>
    </row>
    <row r="6" spans="1:5" outlineLevel="1" x14ac:dyDescent="0.3">
      <c r="A6" s="722"/>
      <c r="B6" s="723"/>
      <c r="C6" s="723"/>
      <c r="D6" s="68" t="s">
        <v>27</v>
      </c>
      <c r="E6" s="72">
        <v>0</v>
      </c>
    </row>
    <row r="7" spans="1:5" outlineLevel="1" x14ac:dyDescent="0.3">
      <c r="A7" s="722"/>
      <c r="B7" s="723"/>
      <c r="C7" s="723"/>
      <c r="D7" s="68" t="s">
        <v>28</v>
      </c>
      <c r="E7" s="72">
        <v>0</v>
      </c>
    </row>
    <row r="8" spans="1:5" outlineLevel="1" x14ac:dyDescent="0.3">
      <c r="A8" s="722"/>
      <c r="B8" s="723"/>
      <c r="C8" s="723"/>
      <c r="D8" s="68" t="s">
        <v>29</v>
      </c>
      <c r="E8" s="72">
        <v>0</v>
      </c>
    </row>
    <row r="9" spans="1:5" outlineLevel="1" x14ac:dyDescent="0.3">
      <c r="A9" s="722"/>
      <c r="B9" s="723"/>
      <c r="C9" s="723"/>
      <c r="D9" s="68" t="s">
        <v>30</v>
      </c>
      <c r="E9" s="72">
        <v>0</v>
      </c>
    </row>
    <row r="10" spans="1:5" outlineLevel="1" x14ac:dyDescent="0.3">
      <c r="A10" s="722"/>
      <c r="B10" s="723"/>
      <c r="C10" s="723"/>
      <c r="D10" s="68" t="s">
        <v>31</v>
      </c>
      <c r="E10" s="72">
        <v>0</v>
      </c>
    </row>
    <row r="11" spans="1:5" outlineLevel="1" x14ac:dyDescent="0.3">
      <c r="A11" s="722"/>
      <c r="B11" s="723"/>
      <c r="C11" s="723"/>
      <c r="D11" s="68" t="s">
        <v>32</v>
      </c>
      <c r="E11" s="72">
        <v>0</v>
      </c>
    </row>
    <row r="12" spans="1:5" outlineLevel="1" x14ac:dyDescent="0.3">
      <c r="A12" s="722"/>
      <c r="B12" s="723"/>
      <c r="C12" s="723"/>
      <c r="D12" s="68" t="s">
        <v>33</v>
      </c>
      <c r="E12" s="72">
        <v>0</v>
      </c>
    </row>
    <row r="13" spans="1:5" ht="15" outlineLevel="1" thickBot="1" x14ac:dyDescent="0.35">
      <c r="A13" s="722"/>
      <c r="B13" s="723"/>
      <c r="C13" s="723"/>
      <c r="D13" s="69" t="s">
        <v>34</v>
      </c>
      <c r="E13" s="73">
        <v>0</v>
      </c>
    </row>
    <row r="14" spans="1:5" outlineLevel="1" x14ac:dyDescent="0.3">
      <c r="A14" s="722" t="s">
        <v>99</v>
      </c>
      <c r="B14" s="722" t="s">
        <v>97</v>
      </c>
      <c r="C14" s="723">
        <v>718002</v>
      </c>
      <c r="D14" s="67" t="s">
        <v>25</v>
      </c>
      <c r="E14" s="72">
        <v>0</v>
      </c>
    </row>
    <row r="15" spans="1:5" outlineLevel="1" x14ac:dyDescent="0.3">
      <c r="A15" s="722"/>
      <c r="B15" s="723"/>
      <c r="C15" s="723"/>
      <c r="D15" s="68" t="s">
        <v>26</v>
      </c>
      <c r="E15" s="72">
        <v>0</v>
      </c>
    </row>
    <row r="16" spans="1:5" outlineLevel="1" x14ac:dyDescent="0.3">
      <c r="A16" s="722"/>
      <c r="B16" s="723"/>
      <c r="C16" s="723"/>
      <c r="D16" s="68" t="s">
        <v>27</v>
      </c>
      <c r="E16" s="72">
        <v>0</v>
      </c>
    </row>
    <row r="17" spans="1:5" outlineLevel="1" x14ac:dyDescent="0.3">
      <c r="A17" s="722"/>
      <c r="B17" s="723"/>
      <c r="C17" s="723"/>
      <c r="D17" s="68" t="s">
        <v>28</v>
      </c>
      <c r="E17" s="72">
        <v>0</v>
      </c>
    </row>
    <row r="18" spans="1:5" outlineLevel="1" x14ac:dyDescent="0.3">
      <c r="A18" s="722"/>
      <c r="B18" s="723"/>
      <c r="C18" s="723"/>
      <c r="D18" s="68" t="s">
        <v>29</v>
      </c>
      <c r="E18" s="72">
        <v>0</v>
      </c>
    </row>
    <row r="19" spans="1:5" outlineLevel="1" x14ac:dyDescent="0.3">
      <c r="A19" s="722"/>
      <c r="B19" s="723"/>
      <c r="C19" s="723"/>
      <c r="D19" s="68" t="s">
        <v>30</v>
      </c>
      <c r="E19" s="72">
        <v>0</v>
      </c>
    </row>
    <row r="20" spans="1:5" outlineLevel="1" x14ac:dyDescent="0.3">
      <c r="A20" s="722"/>
      <c r="B20" s="723"/>
      <c r="C20" s="723"/>
      <c r="D20" s="68" t="s">
        <v>31</v>
      </c>
      <c r="E20" s="72">
        <v>0</v>
      </c>
    </row>
    <row r="21" spans="1:5" outlineLevel="1" x14ac:dyDescent="0.3">
      <c r="A21" s="722"/>
      <c r="B21" s="723"/>
      <c r="C21" s="723"/>
      <c r="D21" s="68" t="s">
        <v>32</v>
      </c>
      <c r="E21" s="72">
        <v>0</v>
      </c>
    </row>
    <row r="22" spans="1:5" outlineLevel="1" x14ac:dyDescent="0.3">
      <c r="A22" s="722"/>
      <c r="B22" s="723"/>
      <c r="C22" s="723"/>
      <c r="D22" s="68" t="s">
        <v>33</v>
      </c>
      <c r="E22" s="72">
        <v>0</v>
      </c>
    </row>
    <row r="23" spans="1:5" ht="15" outlineLevel="1" thickBot="1" x14ac:dyDescent="0.35">
      <c r="A23" s="722"/>
      <c r="B23" s="723"/>
      <c r="C23" s="723"/>
      <c r="D23" s="69" t="s">
        <v>34</v>
      </c>
      <c r="E23" s="72">
        <v>0</v>
      </c>
    </row>
    <row r="24" spans="1:5" outlineLevel="1" x14ac:dyDescent="0.3">
      <c r="A24" s="722" t="s">
        <v>100</v>
      </c>
      <c r="B24" s="723"/>
      <c r="C24" s="723"/>
      <c r="D24" s="67" t="s">
        <v>25</v>
      </c>
      <c r="E24" s="72">
        <v>0</v>
      </c>
    </row>
    <row r="25" spans="1:5" outlineLevel="1" x14ac:dyDescent="0.3">
      <c r="A25" s="722"/>
      <c r="B25" s="723"/>
      <c r="C25" s="723"/>
      <c r="D25" s="68" t="s">
        <v>26</v>
      </c>
      <c r="E25" s="72">
        <v>0</v>
      </c>
    </row>
    <row r="26" spans="1:5" outlineLevel="1" x14ac:dyDescent="0.3">
      <c r="A26" s="722"/>
      <c r="B26" s="723"/>
      <c r="C26" s="723"/>
      <c r="D26" s="68" t="s">
        <v>27</v>
      </c>
      <c r="E26" s="72">
        <v>0</v>
      </c>
    </row>
    <row r="27" spans="1:5" outlineLevel="1" x14ac:dyDescent="0.3">
      <c r="A27" s="722"/>
      <c r="B27" s="723"/>
      <c r="C27" s="723"/>
      <c r="D27" s="68" t="s">
        <v>28</v>
      </c>
      <c r="E27" s="72">
        <v>0</v>
      </c>
    </row>
    <row r="28" spans="1:5" outlineLevel="1" x14ac:dyDescent="0.3">
      <c r="A28" s="722"/>
      <c r="B28" s="723"/>
      <c r="C28" s="723"/>
      <c r="D28" s="68" t="s">
        <v>29</v>
      </c>
      <c r="E28" s="72">
        <v>0</v>
      </c>
    </row>
    <row r="29" spans="1:5" outlineLevel="1" x14ac:dyDescent="0.3">
      <c r="A29" s="722"/>
      <c r="B29" s="723"/>
      <c r="C29" s="723"/>
      <c r="D29" s="68" t="s">
        <v>30</v>
      </c>
      <c r="E29" s="72">
        <v>0</v>
      </c>
    </row>
    <row r="30" spans="1:5" outlineLevel="1" x14ac:dyDescent="0.3">
      <c r="A30" s="722"/>
      <c r="B30" s="723"/>
      <c r="C30" s="723"/>
      <c r="D30" s="68" t="s">
        <v>31</v>
      </c>
      <c r="E30" s="72">
        <v>0</v>
      </c>
    </row>
    <row r="31" spans="1:5" outlineLevel="1" x14ac:dyDescent="0.3">
      <c r="A31" s="722"/>
      <c r="B31" s="723"/>
      <c r="C31" s="723"/>
      <c r="D31" s="68" t="s">
        <v>32</v>
      </c>
      <c r="E31" s="72">
        <v>0</v>
      </c>
    </row>
    <row r="32" spans="1:5" outlineLevel="1" x14ac:dyDescent="0.3">
      <c r="A32" s="722"/>
      <c r="B32" s="723"/>
      <c r="C32" s="723"/>
      <c r="D32" s="68" t="s">
        <v>33</v>
      </c>
      <c r="E32" s="72">
        <v>0</v>
      </c>
    </row>
    <row r="33" spans="1:5" ht="15" outlineLevel="1" thickBot="1" x14ac:dyDescent="0.35">
      <c r="A33" s="722"/>
      <c r="B33" s="723"/>
      <c r="C33" s="723"/>
      <c r="D33" s="69" t="s">
        <v>34</v>
      </c>
      <c r="E33" s="73">
        <v>0</v>
      </c>
    </row>
    <row r="34" spans="1:5" outlineLevel="1" x14ac:dyDescent="0.3">
      <c r="A34" s="722" t="s">
        <v>101</v>
      </c>
      <c r="B34" s="723"/>
      <c r="C34" s="723"/>
      <c r="D34" s="67" t="s">
        <v>25</v>
      </c>
      <c r="E34" s="72">
        <v>0</v>
      </c>
    </row>
    <row r="35" spans="1:5" outlineLevel="1" x14ac:dyDescent="0.3">
      <c r="A35" s="722"/>
      <c r="B35" s="723"/>
      <c r="C35" s="723"/>
      <c r="D35" s="68" t="s">
        <v>26</v>
      </c>
      <c r="E35" s="72">
        <v>0</v>
      </c>
    </row>
    <row r="36" spans="1:5" outlineLevel="1" x14ac:dyDescent="0.3">
      <c r="A36" s="722"/>
      <c r="B36" s="723"/>
      <c r="C36" s="723"/>
      <c r="D36" s="68" t="s">
        <v>27</v>
      </c>
      <c r="E36" s="72">
        <v>0</v>
      </c>
    </row>
    <row r="37" spans="1:5" outlineLevel="1" x14ac:dyDescent="0.3">
      <c r="A37" s="722"/>
      <c r="B37" s="723"/>
      <c r="C37" s="723"/>
      <c r="D37" s="68" t="s">
        <v>28</v>
      </c>
      <c r="E37" s="72">
        <v>0</v>
      </c>
    </row>
    <row r="38" spans="1:5" outlineLevel="1" x14ac:dyDescent="0.3">
      <c r="A38" s="722"/>
      <c r="B38" s="723"/>
      <c r="C38" s="723"/>
      <c r="D38" s="68" t="s">
        <v>29</v>
      </c>
      <c r="E38" s="72">
        <v>0</v>
      </c>
    </row>
    <row r="39" spans="1:5" outlineLevel="1" x14ac:dyDescent="0.3">
      <c r="A39" s="722"/>
      <c r="B39" s="723"/>
      <c r="C39" s="723"/>
      <c r="D39" s="68" t="s">
        <v>30</v>
      </c>
      <c r="E39" s="72">
        <v>0</v>
      </c>
    </row>
    <row r="40" spans="1:5" outlineLevel="1" x14ac:dyDescent="0.3">
      <c r="A40" s="722"/>
      <c r="B40" s="723"/>
      <c r="C40" s="723"/>
      <c r="D40" s="68" t="s">
        <v>31</v>
      </c>
      <c r="E40" s="72">
        <v>0</v>
      </c>
    </row>
    <row r="41" spans="1:5" outlineLevel="1" x14ac:dyDescent="0.3">
      <c r="A41" s="722"/>
      <c r="B41" s="723"/>
      <c r="C41" s="723"/>
      <c r="D41" s="68" t="s">
        <v>32</v>
      </c>
      <c r="E41" s="72">
        <v>0</v>
      </c>
    </row>
    <row r="42" spans="1:5" outlineLevel="1" x14ac:dyDescent="0.3">
      <c r="A42" s="722"/>
      <c r="B42" s="723"/>
      <c r="C42" s="723"/>
      <c r="D42" s="68" t="s">
        <v>33</v>
      </c>
      <c r="E42" s="72">
        <v>0</v>
      </c>
    </row>
    <row r="43" spans="1:5" ht="15" outlineLevel="1" thickBot="1" x14ac:dyDescent="0.35">
      <c r="A43" s="722"/>
      <c r="B43" s="723"/>
      <c r="C43" s="723"/>
      <c r="D43" s="69" t="s">
        <v>34</v>
      </c>
      <c r="E43" s="73">
        <v>0</v>
      </c>
    </row>
    <row r="44" spans="1:5" outlineLevel="1" x14ac:dyDescent="0.3">
      <c r="A44" s="722" t="s">
        <v>96</v>
      </c>
      <c r="B44" s="723" t="s">
        <v>82</v>
      </c>
      <c r="C44" s="723">
        <v>637001</v>
      </c>
      <c r="D44" s="67" t="s">
        <v>25</v>
      </c>
      <c r="E44" s="72">
        <v>0</v>
      </c>
    </row>
    <row r="45" spans="1:5" outlineLevel="1" x14ac:dyDescent="0.3">
      <c r="A45" s="722"/>
      <c r="B45" s="723"/>
      <c r="C45" s="723"/>
      <c r="D45" s="68" t="s">
        <v>26</v>
      </c>
      <c r="E45" s="72">
        <v>0</v>
      </c>
    </row>
    <row r="46" spans="1:5" outlineLevel="1" x14ac:dyDescent="0.3">
      <c r="A46" s="722"/>
      <c r="B46" s="723"/>
      <c r="C46" s="723"/>
      <c r="D46" s="68" t="s">
        <v>27</v>
      </c>
      <c r="E46" s="72">
        <v>0</v>
      </c>
    </row>
    <row r="47" spans="1:5" outlineLevel="1" x14ac:dyDescent="0.3">
      <c r="A47" s="722"/>
      <c r="B47" s="723"/>
      <c r="C47" s="723"/>
      <c r="D47" s="68" t="s">
        <v>28</v>
      </c>
      <c r="E47" s="72">
        <v>0</v>
      </c>
    </row>
    <row r="48" spans="1:5" outlineLevel="1" x14ac:dyDescent="0.3">
      <c r="A48" s="722"/>
      <c r="B48" s="723"/>
      <c r="C48" s="723"/>
      <c r="D48" s="68" t="s">
        <v>29</v>
      </c>
      <c r="E48" s="72">
        <v>0</v>
      </c>
    </row>
    <row r="49" spans="1:5" outlineLevel="1" x14ac:dyDescent="0.3">
      <c r="A49" s="722"/>
      <c r="B49" s="723"/>
      <c r="C49" s="723"/>
      <c r="D49" s="68" t="s">
        <v>30</v>
      </c>
      <c r="E49" s="72">
        <v>0</v>
      </c>
    </row>
    <row r="50" spans="1:5" outlineLevel="1" x14ac:dyDescent="0.3">
      <c r="A50" s="722"/>
      <c r="B50" s="723"/>
      <c r="C50" s="723"/>
      <c r="D50" s="68" t="s">
        <v>31</v>
      </c>
      <c r="E50" s="72">
        <v>0</v>
      </c>
    </row>
    <row r="51" spans="1:5" outlineLevel="1" x14ac:dyDescent="0.3">
      <c r="A51" s="722"/>
      <c r="B51" s="723"/>
      <c r="C51" s="723"/>
      <c r="D51" s="68" t="s">
        <v>32</v>
      </c>
      <c r="E51" s="72">
        <v>0</v>
      </c>
    </row>
    <row r="52" spans="1:5" outlineLevel="1" x14ac:dyDescent="0.3">
      <c r="A52" s="722"/>
      <c r="B52" s="723"/>
      <c r="C52" s="723"/>
      <c r="D52" s="68" t="s">
        <v>33</v>
      </c>
      <c r="E52" s="72">
        <v>0</v>
      </c>
    </row>
    <row r="53" spans="1:5" ht="15" outlineLevel="1" thickBot="1" x14ac:dyDescent="0.35">
      <c r="A53" s="722"/>
      <c r="B53" s="723"/>
      <c r="C53" s="723"/>
      <c r="D53" s="69" t="s">
        <v>34</v>
      </c>
      <c r="E53" s="73">
        <v>0</v>
      </c>
    </row>
  </sheetData>
  <mergeCells count="17">
    <mergeCell ref="A34:A43"/>
    <mergeCell ref="B34:B43"/>
    <mergeCell ref="C34:C43"/>
    <mergeCell ref="A44:A53"/>
    <mergeCell ref="B44:B53"/>
    <mergeCell ref="C44:C53"/>
    <mergeCell ref="A14:A23"/>
    <mergeCell ref="B14:B23"/>
    <mergeCell ref="C14:C23"/>
    <mergeCell ref="A24:A33"/>
    <mergeCell ref="B24:B33"/>
    <mergeCell ref="C24:C33"/>
    <mergeCell ref="A1:D1"/>
    <mergeCell ref="A3:C3"/>
    <mergeCell ref="A4:A13"/>
    <mergeCell ref="B4:B13"/>
    <mergeCell ref="C4:C13"/>
  </mergeCells>
  <pageMargins left="0.7" right="0.7" top="0.75" bottom="0.75" header="0.3" footer="0.3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outlinePr summaryBelow="0" summaryRight="0"/>
  </sheetPr>
  <dimension ref="A1:P195"/>
  <sheetViews>
    <sheetView topLeftCell="B1" zoomScale="85" zoomScaleNormal="85" workbookViewId="0">
      <pane ySplit="2" topLeftCell="A45" activePane="bottomLeft" state="frozen"/>
      <selection pane="bottomLeft" activeCell="E56" sqref="E56:E57"/>
    </sheetView>
  </sheetViews>
  <sheetFormatPr defaultColWidth="8.88671875" defaultRowHeight="14.4" outlineLevelRow="2" outlineLevelCol="1" x14ac:dyDescent="0.3"/>
  <cols>
    <col min="1" max="1" width="22.44140625" customWidth="1"/>
    <col min="2" max="2" width="23.33203125" customWidth="1"/>
    <col min="3" max="3" width="22.44140625" customWidth="1"/>
    <col min="5" max="5" width="17.88671875" customWidth="1"/>
    <col min="6" max="14" width="16.109375" customWidth="1" outlineLevel="1"/>
    <col min="15" max="15" width="9.77734375" bestFit="1" customWidth="1"/>
  </cols>
  <sheetData>
    <row r="1" spans="1:14" ht="35.25" customHeight="1" thickBot="1" x14ac:dyDescent="0.45">
      <c r="A1" s="718" t="s">
        <v>103</v>
      </c>
      <c r="B1" s="718"/>
      <c r="C1" s="718"/>
      <c r="D1" s="719"/>
      <c r="E1" s="70" t="s">
        <v>35</v>
      </c>
      <c r="F1" s="301" t="s">
        <v>371</v>
      </c>
      <c r="G1" s="301" t="s">
        <v>372</v>
      </c>
      <c r="H1" s="301" t="s">
        <v>373</v>
      </c>
      <c r="I1" s="301" t="s">
        <v>374</v>
      </c>
      <c r="J1" s="301" t="s">
        <v>375</v>
      </c>
      <c r="K1" s="301" t="s">
        <v>376</v>
      </c>
      <c r="L1" s="301" t="s">
        <v>377</v>
      </c>
      <c r="M1" s="301" t="s">
        <v>379</v>
      </c>
      <c r="N1" s="301" t="s">
        <v>378</v>
      </c>
    </row>
    <row r="2" spans="1:14" ht="15" thickBot="1" x14ac:dyDescent="0.35">
      <c r="A2" s="40" t="s">
        <v>0</v>
      </c>
      <c r="B2" s="75" t="s">
        <v>79</v>
      </c>
      <c r="C2" s="75" t="s">
        <v>78</v>
      </c>
      <c r="D2" s="75" t="s">
        <v>23</v>
      </c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" thickBot="1" x14ac:dyDescent="0.35">
      <c r="A3" s="725" t="s">
        <v>123</v>
      </c>
      <c r="B3" s="726"/>
      <c r="C3" s="726"/>
      <c r="D3" s="80"/>
      <c r="E3" s="77">
        <f>E4+E35</f>
        <v>7729980.7999999998</v>
      </c>
      <c r="F3" s="78">
        <f>F4+F35</f>
        <v>1159497.1200000001</v>
      </c>
      <c r="G3" s="78">
        <f t="shared" ref="G3:N3" si="0">G4+G35</f>
        <v>1314096.736</v>
      </c>
      <c r="H3" s="78">
        <f t="shared" si="0"/>
        <v>1043547.4079999998</v>
      </c>
      <c r="I3" s="78">
        <f t="shared" si="0"/>
        <v>1082197.3120000002</v>
      </c>
      <c r="J3" s="78">
        <f t="shared" si="0"/>
        <v>1468696.3520000002</v>
      </c>
      <c r="K3" s="78">
        <f t="shared" si="0"/>
        <v>657048.36800000002</v>
      </c>
      <c r="L3" s="78">
        <f t="shared" si="0"/>
        <v>463798.84800000006</v>
      </c>
      <c r="M3" s="78">
        <f t="shared" ref="M3" si="1">M4+M35</f>
        <v>0</v>
      </c>
      <c r="N3" s="78">
        <f t="shared" si="0"/>
        <v>541098.65600000008</v>
      </c>
    </row>
    <row r="4" spans="1:14" ht="15" outlineLevel="1" thickBot="1" x14ac:dyDescent="0.35">
      <c r="A4" s="17" t="s">
        <v>110</v>
      </c>
      <c r="B4" s="17"/>
      <c r="C4" s="17"/>
      <c r="D4" s="28"/>
      <c r="E4" s="77">
        <f>SUM(E5:E34)</f>
        <v>0</v>
      </c>
      <c r="F4" s="78">
        <f>SUM(F5:F34)</f>
        <v>0</v>
      </c>
      <c r="G4" s="78">
        <f t="shared" ref="G4:N4" si="2">SUM(G5:G34)</f>
        <v>0</v>
      </c>
      <c r="H4" s="78">
        <f t="shared" si="2"/>
        <v>0</v>
      </c>
      <c r="I4" s="78">
        <f t="shared" si="2"/>
        <v>0</v>
      </c>
      <c r="J4" s="78">
        <f t="shared" si="2"/>
        <v>0</v>
      </c>
      <c r="K4" s="78">
        <f t="shared" si="2"/>
        <v>0</v>
      </c>
      <c r="L4" s="78">
        <f t="shared" si="2"/>
        <v>0</v>
      </c>
      <c r="M4" s="78">
        <f t="shared" ref="M4" si="3">SUM(M5:M34)</f>
        <v>0</v>
      </c>
      <c r="N4" s="78">
        <f t="shared" si="2"/>
        <v>0</v>
      </c>
    </row>
    <row r="5" spans="1:14" outlineLevel="2" x14ac:dyDescent="0.3">
      <c r="A5" s="722" t="s">
        <v>76</v>
      </c>
      <c r="B5" s="723" t="s">
        <v>77</v>
      </c>
      <c r="C5" s="723">
        <v>711003</v>
      </c>
      <c r="D5" s="67" t="s">
        <v>25</v>
      </c>
      <c r="E5" s="64">
        <f t="shared" ref="E5:E34" si="4">SUM(F5:N5)</f>
        <v>0</v>
      </c>
      <c r="F5" s="124">
        <f>'Rozpočet - HW a licencie'!H5</f>
        <v>0</v>
      </c>
      <c r="G5" s="124">
        <f>'Rozpočet - HW a licencie'!H8</f>
        <v>0</v>
      </c>
      <c r="H5" s="124">
        <f>'Rozpočet - HW a licencie'!H9</f>
        <v>0</v>
      </c>
      <c r="I5" s="124">
        <f>'Rozpočet - HW a licencie'!H13</f>
        <v>0</v>
      </c>
      <c r="J5" s="124">
        <v>0</v>
      </c>
      <c r="K5" s="124">
        <f>'Rozpočet - HW a licencie'!H14</f>
        <v>0</v>
      </c>
      <c r="L5" s="124">
        <f>'Rozpočet - HW a licencie'!H15</f>
        <v>0</v>
      </c>
      <c r="M5" s="124">
        <v>0</v>
      </c>
      <c r="N5" s="124">
        <v>0</v>
      </c>
    </row>
    <row r="6" spans="1:14" outlineLevel="2" x14ac:dyDescent="0.3">
      <c r="A6" s="722"/>
      <c r="B6" s="723"/>
      <c r="C6" s="723"/>
      <c r="D6" s="68" t="s">
        <v>26</v>
      </c>
      <c r="E6" s="65">
        <f t="shared" si="4"/>
        <v>0</v>
      </c>
      <c r="F6" s="125">
        <v>0</v>
      </c>
      <c r="G6" s="125">
        <v>0</v>
      </c>
      <c r="H6" s="125">
        <v>0</v>
      </c>
      <c r="I6" s="125">
        <v>0</v>
      </c>
      <c r="J6" s="125">
        <v>0</v>
      </c>
      <c r="K6" s="125">
        <v>0</v>
      </c>
      <c r="L6" s="125">
        <v>0</v>
      </c>
      <c r="M6" s="125">
        <v>0</v>
      </c>
      <c r="N6" s="125">
        <v>0</v>
      </c>
    </row>
    <row r="7" spans="1:14" outlineLevel="2" x14ac:dyDescent="0.3">
      <c r="A7" s="722"/>
      <c r="B7" s="723"/>
      <c r="C7" s="723"/>
      <c r="D7" s="68" t="s">
        <v>27</v>
      </c>
      <c r="E7" s="65">
        <f t="shared" si="4"/>
        <v>0</v>
      </c>
      <c r="F7" s="125">
        <v>0</v>
      </c>
      <c r="G7" s="125">
        <v>0</v>
      </c>
      <c r="H7" s="125">
        <v>0</v>
      </c>
      <c r="I7" s="125">
        <v>0</v>
      </c>
      <c r="J7" s="125">
        <v>0</v>
      </c>
      <c r="K7" s="125">
        <v>0</v>
      </c>
      <c r="L7" s="125">
        <v>0</v>
      </c>
      <c r="M7" s="125">
        <v>0</v>
      </c>
      <c r="N7" s="125">
        <v>0</v>
      </c>
    </row>
    <row r="8" spans="1:14" outlineLevel="2" x14ac:dyDescent="0.3">
      <c r="A8" s="722"/>
      <c r="B8" s="723"/>
      <c r="C8" s="723"/>
      <c r="D8" s="68" t="s">
        <v>28</v>
      </c>
      <c r="E8" s="65">
        <f t="shared" si="4"/>
        <v>0</v>
      </c>
      <c r="F8" s="125">
        <v>0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</row>
    <row r="9" spans="1:14" outlineLevel="2" x14ac:dyDescent="0.3">
      <c r="A9" s="722"/>
      <c r="B9" s="723"/>
      <c r="C9" s="723"/>
      <c r="D9" s="68" t="s">
        <v>29</v>
      </c>
      <c r="E9" s="65">
        <f t="shared" si="4"/>
        <v>0</v>
      </c>
      <c r="F9" s="125">
        <v>0</v>
      </c>
      <c r="G9" s="125">
        <v>0</v>
      </c>
      <c r="H9" s="125">
        <v>0</v>
      </c>
      <c r="I9" s="125">
        <v>0</v>
      </c>
      <c r="J9" s="125">
        <v>0</v>
      </c>
      <c r="K9" s="125">
        <v>0</v>
      </c>
      <c r="L9" s="125">
        <v>0</v>
      </c>
      <c r="M9" s="125">
        <v>0</v>
      </c>
      <c r="N9" s="125">
        <v>0</v>
      </c>
    </row>
    <row r="10" spans="1:14" outlineLevel="2" x14ac:dyDescent="0.3">
      <c r="A10" s="722"/>
      <c r="B10" s="723"/>
      <c r="C10" s="723"/>
      <c r="D10" s="68" t="s">
        <v>30</v>
      </c>
      <c r="E10" s="65">
        <f t="shared" si="4"/>
        <v>0</v>
      </c>
      <c r="F10" s="125">
        <v>0</v>
      </c>
      <c r="G10" s="125">
        <v>0</v>
      </c>
      <c r="H10" s="125">
        <v>0</v>
      </c>
      <c r="I10" s="125">
        <v>0</v>
      </c>
      <c r="J10" s="125">
        <v>0</v>
      </c>
      <c r="K10" s="125">
        <v>0</v>
      </c>
      <c r="L10" s="125">
        <v>0</v>
      </c>
      <c r="M10" s="125">
        <v>0</v>
      </c>
      <c r="N10" s="125">
        <v>0</v>
      </c>
    </row>
    <row r="11" spans="1:14" outlineLevel="2" x14ac:dyDescent="0.3">
      <c r="A11" s="722"/>
      <c r="B11" s="723"/>
      <c r="C11" s="723"/>
      <c r="D11" s="68" t="s">
        <v>31</v>
      </c>
      <c r="E11" s="65">
        <f t="shared" si="4"/>
        <v>0</v>
      </c>
      <c r="F11" s="125">
        <v>0</v>
      </c>
      <c r="G11" s="125">
        <v>0</v>
      </c>
      <c r="H11" s="125">
        <v>0</v>
      </c>
      <c r="I11" s="125">
        <v>0</v>
      </c>
      <c r="J11" s="125">
        <v>0</v>
      </c>
      <c r="K11" s="125">
        <v>0</v>
      </c>
      <c r="L11" s="125">
        <v>0</v>
      </c>
      <c r="M11" s="125">
        <v>0</v>
      </c>
      <c r="N11" s="125">
        <v>0</v>
      </c>
    </row>
    <row r="12" spans="1:14" outlineLevel="2" x14ac:dyDescent="0.3">
      <c r="A12" s="722"/>
      <c r="B12" s="723"/>
      <c r="C12" s="723"/>
      <c r="D12" s="68" t="s">
        <v>32</v>
      </c>
      <c r="E12" s="65">
        <f t="shared" si="4"/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5">
        <v>0</v>
      </c>
      <c r="L12" s="125">
        <v>0</v>
      </c>
      <c r="M12" s="125">
        <v>0</v>
      </c>
      <c r="N12" s="125">
        <v>0</v>
      </c>
    </row>
    <row r="13" spans="1:14" outlineLevel="2" x14ac:dyDescent="0.3">
      <c r="A13" s="722"/>
      <c r="B13" s="723"/>
      <c r="C13" s="723"/>
      <c r="D13" s="68" t="s">
        <v>33</v>
      </c>
      <c r="E13" s="65">
        <f t="shared" si="4"/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5">
        <v>0</v>
      </c>
      <c r="L13" s="125">
        <v>0</v>
      </c>
      <c r="M13" s="125">
        <v>0</v>
      </c>
      <c r="N13" s="125">
        <v>0</v>
      </c>
    </row>
    <row r="14" spans="1:14" ht="15" outlineLevel="2" thickBot="1" x14ac:dyDescent="0.35">
      <c r="A14" s="722"/>
      <c r="B14" s="723"/>
      <c r="C14" s="723"/>
      <c r="D14" s="69" t="s">
        <v>34</v>
      </c>
      <c r="E14" s="65">
        <f t="shared" si="4"/>
        <v>0</v>
      </c>
      <c r="F14" s="126">
        <v>0</v>
      </c>
      <c r="G14" s="126">
        <v>0</v>
      </c>
      <c r="H14" s="126">
        <v>0</v>
      </c>
      <c r="I14" s="126">
        <v>0</v>
      </c>
      <c r="J14" s="126">
        <v>0</v>
      </c>
      <c r="K14" s="126">
        <v>0</v>
      </c>
      <c r="L14" s="126">
        <v>0</v>
      </c>
      <c r="M14" s="126">
        <v>0</v>
      </c>
      <c r="N14" s="126">
        <v>0</v>
      </c>
    </row>
    <row r="15" spans="1:14" outlineLevel="2" x14ac:dyDescent="0.3">
      <c r="A15" s="722" t="s">
        <v>380</v>
      </c>
      <c r="B15" s="723" t="s">
        <v>82</v>
      </c>
      <c r="C15" s="723">
        <v>633013</v>
      </c>
      <c r="D15" s="67" t="s">
        <v>25</v>
      </c>
      <c r="E15" s="64">
        <f t="shared" si="4"/>
        <v>0</v>
      </c>
      <c r="F15" s="124">
        <v>0</v>
      </c>
      <c r="G15" s="124">
        <v>0</v>
      </c>
      <c r="H15" s="124">
        <v>0</v>
      </c>
      <c r="I15" s="124">
        <v>0</v>
      </c>
      <c r="J15" s="124">
        <v>0</v>
      </c>
      <c r="K15" s="124">
        <v>0</v>
      </c>
      <c r="L15" s="124">
        <v>0</v>
      </c>
      <c r="M15" s="124">
        <v>0</v>
      </c>
      <c r="N15" s="124">
        <v>0</v>
      </c>
    </row>
    <row r="16" spans="1:14" outlineLevel="2" x14ac:dyDescent="0.3">
      <c r="A16" s="722"/>
      <c r="B16" s="723"/>
      <c r="C16" s="723"/>
      <c r="D16" s="68" t="s">
        <v>26</v>
      </c>
      <c r="E16" s="65">
        <f t="shared" si="4"/>
        <v>0</v>
      </c>
      <c r="F16" s="125">
        <v>0</v>
      </c>
      <c r="G16" s="125">
        <v>0</v>
      </c>
      <c r="H16" s="125">
        <v>0</v>
      </c>
      <c r="I16" s="125">
        <v>0</v>
      </c>
      <c r="J16" s="125">
        <v>0</v>
      </c>
      <c r="K16" s="125">
        <v>0</v>
      </c>
      <c r="L16" s="125">
        <v>0</v>
      </c>
      <c r="M16" s="125">
        <v>0</v>
      </c>
      <c r="N16" s="125">
        <v>0</v>
      </c>
    </row>
    <row r="17" spans="1:14" outlineLevel="2" x14ac:dyDescent="0.3">
      <c r="A17" s="722"/>
      <c r="B17" s="723"/>
      <c r="C17" s="723"/>
      <c r="D17" s="68" t="s">
        <v>27</v>
      </c>
      <c r="E17" s="65">
        <f t="shared" si="4"/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5">
        <v>0</v>
      </c>
      <c r="L17" s="125">
        <v>0</v>
      </c>
      <c r="M17" s="125">
        <v>0</v>
      </c>
      <c r="N17" s="125">
        <v>0</v>
      </c>
    </row>
    <row r="18" spans="1:14" outlineLevel="2" x14ac:dyDescent="0.3">
      <c r="A18" s="722"/>
      <c r="B18" s="723"/>
      <c r="C18" s="723"/>
      <c r="D18" s="68" t="s">
        <v>28</v>
      </c>
      <c r="E18" s="65">
        <f t="shared" si="4"/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5">
        <v>0</v>
      </c>
      <c r="L18" s="125">
        <v>0</v>
      </c>
      <c r="M18" s="125">
        <v>0</v>
      </c>
      <c r="N18" s="125">
        <v>0</v>
      </c>
    </row>
    <row r="19" spans="1:14" outlineLevel="2" x14ac:dyDescent="0.3">
      <c r="A19" s="722"/>
      <c r="B19" s="723"/>
      <c r="C19" s="723"/>
      <c r="D19" s="68" t="s">
        <v>29</v>
      </c>
      <c r="E19" s="65">
        <f t="shared" si="4"/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5">
        <v>0</v>
      </c>
      <c r="L19" s="125">
        <v>0</v>
      </c>
      <c r="M19" s="125">
        <v>0</v>
      </c>
      <c r="N19" s="125">
        <v>0</v>
      </c>
    </row>
    <row r="20" spans="1:14" outlineLevel="2" x14ac:dyDescent="0.3">
      <c r="A20" s="722"/>
      <c r="B20" s="723"/>
      <c r="C20" s="723"/>
      <c r="D20" s="68" t="s">
        <v>30</v>
      </c>
      <c r="E20" s="65">
        <f t="shared" si="4"/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5">
        <v>0</v>
      </c>
      <c r="L20" s="125">
        <v>0</v>
      </c>
      <c r="M20" s="125">
        <v>0</v>
      </c>
      <c r="N20" s="125">
        <v>0</v>
      </c>
    </row>
    <row r="21" spans="1:14" outlineLevel="2" x14ac:dyDescent="0.3">
      <c r="A21" s="722"/>
      <c r="B21" s="723"/>
      <c r="C21" s="723"/>
      <c r="D21" s="68" t="s">
        <v>31</v>
      </c>
      <c r="E21" s="65">
        <f t="shared" si="4"/>
        <v>0</v>
      </c>
      <c r="F21" s="125">
        <v>0</v>
      </c>
      <c r="G21" s="125">
        <v>0</v>
      </c>
      <c r="H21" s="125">
        <v>0</v>
      </c>
      <c r="I21" s="125">
        <v>0</v>
      </c>
      <c r="J21" s="125">
        <v>0</v>
      </c>
      <c r="K21" s="125">
        <v>0</v>
      </c>
      <c r="L21" s="125">
        <v>0</v>
      </c>
      <c r="M21" s="125">
        <v>0</v>
      </c>
      <c r="N21" s="125">
        <v>0</v>
      </c>
    </row>
    <row r="22" spans="1:14" outlineLevel="2" x14ac:dyDescent="0.3">
      <c r="A22" s="722"/>
      <c r="B22" s="723"/>
      <c r="C22" s="723"/>
      <c r="D22" s="68" t="s">
        <v>32</v>
      </c>
      <c r="E22" s="65">
        <f t="shared" si="4"/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5">
        <v>0</v>
      </c>
      <c r="L22" s="125">
        <v>0</v>
      </c>
      <c r="M22" s="125">
        <v>0</v>
      </c>
      <c r="N22" s="125">
        <v>0</v>
      </c>
    </row>
    <row r="23" spans="1:14" outlineLevel="2" x14ac:dyDescent="0.3">
      <c r="A23" s="722"/>
      <c r="B23" s="723"/>
      <c r="C23" s="723"/>
      <c r="D23" s="68" t="s">
        <v>33</v>
      </c>
      <c r="E23" s="65">
        <f t="shared" si="4"/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  <c r="K23" s="125">
        <v>0</v>
      </c>
      <c r="L23" s="125">
        <v>0</v>
      </c>
      <c r="M23" s="125">
        <v>0</v>
      </c>
      <c r="N23" s="125">
        <v>0</v>
      </c>
    </row>
    <row r="24" spans="1:14" ht="15" outlineLevel="2" thickBot="1" x14ac:dyDescent="0.35">
      <c r="A24" s="722"/>
      <c r="B24" s="723"/>
      <c r="C24" s="723"/>
      <c r="D24" s="69" t="s">
        <v>34</v>
      </c>
      <c r="E24" s="66">
        <f t="shared" si="4"/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0</v>
      </c>
    </row>
    <row r="25" spans="1:14" outlineLevel="2" x14ac:dyDescent="0.3">
      <c r="A25" s="722" t="s">
        <v>76</v>
      </c>
      <c r="B25" s="723" t="s">
        <v>82</v>
      </c>
      <c r="C25" s="723">
        <v>633013</v>
      </c>
      <c r="D25" s="67" t="s">
        <v>25</v>
      </c>
      <c r="E25" s="64">
        <f t="shared" si="4"/>
        <v>0</v>
      </c>
      <c r="F25" s="124">
        <f>'Rozpočet - HW a licencie'!$H$16/6</f>
        <v>0</v>
      </c>
      <c r="G25" s="124">
        <f>'Rozpočet - HW a licencie'!$H$16/6</f>
        <v>0</v>
      </c>
      <c r="H25" s="124">
        <f>'Rozpočet - HW a licencie'!$H$16/6</f>
        <v>0</v>
      </c>
      <c r="I25" s="124">
        <f>'Rozpočet - HW a licencie'!$H$16/6</f>
        <v>0</v>
      </c>
      <c r="J25" s="124">
        <v>0</v>
      </c>
      <c r="K25" s="124">
        <f>'Rozpočet - HW a licencie'!$H$16/6</f>
        <v>0</v>
      </c>
      <c r="L25" s="124">
        <f>'Rozpočet - HW a licencie'!$H$16/6</f>
        <v>0</v>
      </c>
      <c r="M25" s="124">
        <v>0</v>
      </c>
      <c r="N25" s="124">
        <v>0</v>
      </c>
    </row>
    <row r="26" spans="1:14" outlineLevel="2" x14ac:dyDescent="0.3">
      <c r="A26" s="722"/>
      <c r="B26" s="723"/>
      <c r="C26" s="723"/>
      <c r="D26" s="68" t="s">
        <v>26</v>
      </c>
      <c r="E26" s="65">
        <f t="shared" si="4"/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5">
        <v>0</v>
      </c>
      <c r="L26" s="125">
        <v>0</v>
      </c>
      <c r="M26" s="125">
        <v>0</v>
      </c>
      <c r="N26" s="125">
        <v>0</v>
      </c>
    </row>
    <row r="27" spans="1:14" outlineLevel="2" x14ac:dyDescent="0.3">
      <c r="A27" s="722"/>
      <c r="B27" s="723"/>
      <c r="C27" s="723"/>
      <c r="D27" s="68" t="s">
        <v>27</v>
      </c>
      <c r="E27" s="65">
        <f t="shared" si="4"/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5">
        <v>0</v>
      </c>
      <c r="L27" s="125">
        <v>0</v>
      </c>
      <c r="M27" s="125">
        <v>0</v>
      </c>
      <c r="N27" s="125">
        <v>0</v>
      </c>
    </row>
    <row r="28" spans="1:14" outlineLevel="2" x14ac:dyDescent="0.3">
      <c r="A28" s="722"/>
      <c r="B28" s="723"/>
      <c r="C28" s="723"/>
      <c r="D28" s="68" t="s">
        <v>28</v>
      </c>
      <c r="E28" s="65">
        <f t="shared" si="4"/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5">
        <v>0</v>
      </c>
      <c r="L28" s="125">
        <v>0</v>
      </c>
      <c r="M28" s="125">
        <v>0</v>
      </c>
      <c r="N28" s="125">
        <v>0</v>
      </c>
    </row>
    <row r="29" spans="1:14" outlineLevel="2" x14ac:dyDescent="0.3">
      <c r="A29" s="722"/>
      <c r="B29" s="723"/>
      <c r="C29" s="723"/>
      <c r="D29" s="68" t="s">
        <v>29</v>
      </c>
      <c r="E29" s="65">
        <f t="shared" si="4"/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  <c r="L29" s="125">
        <v>0</v>
      </c>
      <c r="M29" s="125">
        <v>0</v>
      </c>
      <c r="N29" s="125">
        <v>0</v>
      </c>
    </row>
    <row r="30" spans="1:14" outlineLevel="2" x14ac:dyDescent="0.3">
      <c r="A30" s="722"/>
      <c r="B30" s="723"/>
      <c r="C30" s="723"/>
      <c r="D30" s="68" t="s">
        <v>30</v>
      </c>
      <c r="E30" s="65">
        <f t="shared" si="4"/>
        <v>0</v>
      </c>
      <c r="F30" s="125">
        <v>0</v>
      </c>
      <c r="G30" s="125">
        <v>0</v>
      </c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v>0</v>
      </c>
    </row>
    <row r="31" spans="1:14" outlineLevel="2" x14ac:dyDescent="0.3">
      <c r="A31" s="722"/>
      <c r="B31" s="723"/>
      <c r="C31" s="723"/>
      <c r="D31" s="68" t="s">
        <v>31</v>
      </c>
      <c r="E31" s="65">
        <f t="shared" si="4"/>
        <v>0</v>
      </c>
      <c r="F31" s="125">
        <v>0</v>
      </c>
      <c r="G31" s="125">
        <v>0</v>
      </c>
      <c r="H31" s="125">
        <v>0</v>
      </c>
      <c r="I31" s="125">
        <v>0</v>
      </c>
      <c r="J31" s="125">
        <v>0</v>
      </c>
      <c r="K31" s="125">
        <v>0</v>
      </c>
      <c r="L31" s="125">
        <v>0</v>
      </c>
      <c r="M31" s="125">
        <v>0</v>
      </c>
      <c r="N31" s="125">
        <v>0</v>
      </c>
    </row>
    <row r="32" spans="1:14" outlineLevel="2" x14ac:dyDescent="0.3">
      <c r="A32" s="722"/>
      <c r="B32" s="723"/>
      <c r="C32" s="723"/>
      <c r="D32" s="68" t="s">
        <v>32</v>
      </c>
      <c r="E32" s="65">
        <f t="shared" si="4"/>
        <v>0</v>
      </c>
      <c r="F32" s="125">
        <v>0</v>
      </c>
      <c r="G32" s="125">
        <v>0</v>
      </c>
      <c r="H32" s="125">
        <v>0</v>
      </c>
      <c r="I32" s="125">
        <v>0</v>
      </c>
      <c r="J32" s="125">
        <v>0</v>
      </c>
      <c r="K32" s="125">
        <v>0</v>
      </c>
      <c r="L32" s="125">
        <v>0</v>
      </c>
      <c r="M32" s="125">
        <v>0</v>
      </c>
      <c r="N32" s="125">
        <v>0</v>
      </c>
    </row>
    <row r="33" spans="1:15" outlineLevel="2" x14ac:dyDescent="0.3">
      <c r="A33" s="722"/>
      <c r="B33" s="723"/>
      <c r="C33" s="723"/>
      <c r="D33" s="68" t="s">
        <v>33</v>
      </c>
      <c r="E33" s="65">
        <f t="shared" si="4"/>
        <v>0</v>
      </c>
      <c r="F33" s="125">
        <v>0</v>
      </c>
      <c r="G33" s="125">
        <v>0</v>
      </c>
      <c r="H33" s="125">
        <v>0</v>
      </c>
      <c r="I33" s="125">
        <v>0</v>
      </c>
      <c r="J33" s="125">
        <v>0</v>
      </c>
      <c r="K33" s="125">
        <v>0</v>
      </c>
      <c r="L33" s="125">
        <v>0</v>
      </c>
      <c r="M33" s="125">
        <v>0</v>
      </c>
      <c r="N33" s="125">
        <v>0</v>
      </c>
    </row>
    <row r="34" spans="1:15" ht="15" outlineLevel="2" thickBot="1" x14ac:dyDescent="0.35">
      <c r="A34" s="722"/>
      <c r="B34" s="723"/>
      <c r="C34" s="723"/>
      <c r="D34" s="69" t="s">
        <v>34</v>
      </c>
      <c r="E34" s="66">
        <f t="shared" si="4"/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126">
        <v>0</v>
      </c>
      <c r="M34" s="126">
        <v>0</v>
      </c>
      <c r="N34" s="126">
        <v>0</v>
      </c>
    </row>
    <row r="35" spans="1:15" ht="15" outlineLevel="1" thickBot="1" x14ac:dyDescent="0.35">
      <c r="A35" s="17" t="s">
        <v>111</v>
      </c>
      <c r="B35" s="17"/>
      <c r="C35" s="17"/>
      <c r="D35" s="28"/>
      <c r="E35" s="131">
        <f t="shared" ref="E35:F35" si="5">SUM(E36:E75)</f>
        <v>7729980.7999999998</v>
      </c>
      <c r="F35" s="132">
        <f t="shared" si="5"/>
        <v>1159497.1200000001</v>
      </c>
      <c r="G35" s="132">
        <f t="shared" ref="G35:L35" si="6">SUM(G36:G75)</f>
        <v>1314096.736</v>
      </c>
      <c r="H35" s="132">
        <f t="shared" si="6"/>
        <v>1043547.4079999998</v>
      </c>
      <c r="I35" s="132">
        <f t="shared" si="6"/>
        <v>1082197.3120000002</v>
      </c>
      <c r="J35" s="132">
        <f t="shared" si="6"/>
        <v>1468696.3520000002</v>
      </c>
      <c r="K35" s="132">
        <f t="shared" si="6"/>
        <v>657048.36800000002</v>
      </c>
      <c r="L35" s="132">
        <f t="shared" si="6"/>
        <v>463798.84800000006</v>
      </c>
      <c r="M35" s="132">
        <f t="shared" ref="M35" si="7">SUM(M36:M75)</f>
        <v>0</v>
      </c>
      <c r="N35" s="132">
        <f>SUM(N36:N75)</f>
        <v>541098.65600000008</v>
      </c>
    </row>
    <row r="36" spans="1:15" outlineLevel="2" x14ac:dyDescent="0.3">
      <c r="A36" s="722" t="s">
        <v>80</v>
      </c>
      <c r="B36" s="723" t="s">
        <v>77</v>
      </c>
      <c r="C36" s="723">
        <v>711003</v>
      </c>
      <c r="D36" s="67" t="s">
        <v>25</v>
      </c>
      <c r="E36" s="71">
        <f t="shared" ref="E36:E75" si="8">SUM(F36:N36)</f>
        <v>0</v>
      </c>
      <c r="F36" s="115">
        <v>0</v>
      </c>
      <c r="G36" s="115">
        <v>0</v>
      </c>
      <c r="H36" s="115">
        <v>0</v>
      </c>
      <c r="I36" s="115">
        <v>0</v>
      </c>
      <c r="J36" s="115">
        <v>0</v>
      </c>
      <c r="K36" s="115">
        <v>0</v>
      </c>
      <c r="L36" s="115">
        <v>0</v>
      </c>
      <c r="M36" s="115">
        <v>0</v>
      </c>
      <c r="N36" s="115">
        <v>0</v>
      </c>
    </row>
    <row r="37" spans="1:15" outlineLevel="2" x14ac:dyDescent="0.3">
      <c r="A37" s="722"/>
      <c r="B37" s="723"/>
      <c r="C37" s="723"/>
      <c r="D37" s="68" t="s">
        <v>26</v>
      </c>
      <c r="E37" s="72">
        <f t="shared" si="8"/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0</v>
      </c>
      <c r="N37" s="118">
        <v>0</v>
      </c>
    </row>
    <row r="38" spans="1:15" outlineLevel="2" x14ac:dyDescent="0.3">
      <c r="A38" s="722"/>
      <c r="B38" s="723"/>
      <c r="C38" s="723"/>
      <c r="D38" s="68" t="s">
        <v>27</v>
      </c>
      <c r="E38" s="72">
        <f t="shared" si="8"/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0</v>
      </c>
      <c r="N38" s="118">
        <v>0</v>
      </c>
    </row>
    <row r="39" spans="1:15" outlineLevel="2" x14ac:dyDescent="0.3">
      <c r="A39" s="722"/>
      <c r="B39" s="723"/>
      <c r="C39" s="723"/>
      <c r="D39" s="68" t="s">
        <v>28</v>
      </c>
      <c r="E39" s="72">
        <f t="shared" si="8"/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0</v>
      </c>
      <c r="N39" s="118">
        <v>0</v>
      </c>
    </row>
    <row r="40" spans="1:15" outlineLevel="2" x14ac:dyDescent="0.3">
      <c r="A40" s="722"/>
      <c r="B40" s="723"/>
      <c r="C40" s="723"/>
      <c r="D40" s="68" t="s">
        <v>29</v>
      </c>
      <c r="E40" s="72">
        <f t="shared" si="8"/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0</v>
      </c>
      <c r="N40" s="118">
        <v>0</v>
      </c>
    </row>
    <row r="41" spans="1:15" outlineLevel="2" x14ac:dyDescent="0.3">
      <c r="A41" s="722"/>
      <c r="B41" s="723"/>
      <c r="C41" s="723"/>
      <c r="D41" s="68" t="s">
        <v>30</v>
      </c>
      <c r="E41" s="72">
        <f t="shared" si="8"/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0</v>
      </c>
      <c r="N41" s="118">
        <v>0</v>
      </c>
    </row>
    <row r="42" spans="1:15" outlineLevel="2" x14ac:dyDescent="0.3">
      <c r="A42" s="722"/>
      <c r="B42" s="723"/>
      <c r="C42" s="723"/>
      <c r="D42" s="68" t="s">
        <v>31</v>
      </c>
      <c r="E42" s="72">
        <f t="shared" si="8"/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</row>
    <row r="43" spans="1:15" outlineLevel="2" x14ac:dyDescent="0.3">
      <c r="A43" s="722"/>
      <c r="B43" s="723"/>
      <c r="C43" s="723"/>
      <c r="D43" s="68" t="s">
        <v>32</v>
      </c>
      <c r="E43" s="72">
        <f t="shared" si="8"/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0</v>
      </c>
      <c r="N43" s="118">
        <v>0</v>
      </c>
    </row>
    <row r="44" spans="1:15" outlineLevel="2" x14ac:dyDescent="0.3">
      <c r="A44" s="722"/>
      <c r="B44" s="723"/>
      <c r="C44" s="723"/>
      <c r="D44" s="68" t="s">
        <v>33</v>
      </c>
      <c r="E44" s="72">
        <f t="shared" si="8"/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0</v>
      </c>
      <c r="N44" s="118">
        <v>0</v>
      </c>
    </row>
    <row r="45" spans="1:15" ht="15" outlineLevel="2" thickBot="1" x14ac:dyDescent="0.35">
      <c r="A45" s="722"/>
      <c r="B45" s="723"/>
      <c r="C45" s="723"/>
      <c r="D45" s="69" t="s">
        <v>34</v>
      </c>
      <c r="E45" s="73">
        <f t="shared" si="8"/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0</v>
      </c>
      <c r="N45" s="121">
        <v>0</v>
      </c>
    </row>
    <row r="46" spans="1:15" outlineLevel="2" x14ac:dyDescent="0.3">
      <c r="A46" s="722" t="s">
        <v>80</v>
      </c>
      <c r="B46" s="723" t="s">
        <v>77</v>
      </c>
      <c r="C46" s="723">
        <v>711003</v>
      </c>
      <c r="D46" s="67" t="s">
        <v>25</v>
      </c>
      <c r="E46" s="64">
        <f t="shared" si="8"/>
        <v>1468396.8</v>
      </c>
      <c r="F46" s="124">
        <f>'Rozpočet - vývoj Aplikácií'!AJ6*0.2</f>
        <v>220259.52000000002</v>
      </c>
      <c r="G46" s="124">
        <f>'Rozpočet - vývoj Aplikácií'!AJ11*0.2</f>
        <v>249627.45600000001</v>
      </c>
      <c r="H46" s="124">
        <f>'Rozpočet - vývoj Aplikácií'!AJ16*0.2</f>
        <v>198233.56799999997</v>
      </c>
      <c r="I46" s="124">
        <f>'Rozpočet - vývoj Aplikácií'!AJ21*0.2</f>
        <v>205575.55200000003</v>
      </c>
      <c r="J46" s="124">
        <f>'Rozpočet - vývoj Aplikácií'!AJ26*0.2</f>
        <v>278995.39200000005</v>
      </c>
      <c r="K46" s="124">
        <f>'Rozpočet - vývoj Aplikácií'!AJ31*0.2</f>
        <v>124813.728</v>
      </c>
      <c r="L46" s="124">
        <f>'Rozpočet - vývoj Aplikácií'!AJ36*0.2</f>
        <v>88103.808000000005</v>
      </c>
      <c r="M46" s="125">
        <v>0</v>
      </c>
      <c r="N46" s="124">
        <f>'Rozpočet - vývoj Aplikácií'!AJ41*0.2</f>
        <v>102787.77600000001</v>
      </c>
      <c r="O46">
        <f>SUM(F46:N47)/1.2</f>
        <v>6118320.0000000009</v>
      </c>
    </row>
    <row r="47" spans="1:15" outlineLevel="2" x14ac:dyDescent="0.3">
      <c r="A47" s="722"/>
      <c r="B47" s="723"/>
      <c r="C47" s="723"/>
      <c r="D47" s="68" t="s">
        <v>26</v>
      </c>
      <c r="E47" s="65">
        <f t="shared" si="8"/>
        <v>5873587.2000000002</v>
      </c>
      <c r="F47" s="125">
        <f t="shared" ref="F47:L47" si="9">F46/0.2*0.8</f>
        <v>881038.08000000007</v>
      </c>
      <c r="G47" s="125">
        <f t="shared" si="9"/>
        <v>998509.82400000002</v>
      </c>
      <c r="H47" s="125">
        <f t="shared" si="9"/>
        <v>792934.27199999988</v>
      </c>
      <c r="I47" s="125">
        <f t="shared" si="9"/>
        <v>822302.2080000001</v>
      </c>
      <c r="J47" s="125">
        <f t="shared" si="9"/>
        <v>1115981.5680000002</v>
      </c>
      <c r="K47" s="125">
        <f t="shared" si="9"/>
        <v>499254.91200000001</v>
      </c>
      <c r="L47" s="125">
        <f t="shared" si="9"/>
        <v>352415.23200000002</v>
      </c>
      <c r="M47" s="125">
        <v>0</v>
      </c>
      <c r="N47" s="125">
        <f>N46/0.2*0.8</f>
        <v>411151.10400000005</v>
      </c>
    </row>
    <row r="48" spans="1:15" outlineLevel="2" x14ac:dyDescent="0.3">
      <c r="A48" s="722"/>
      <c r="B48" s="723"/>
      <c r="C48" s="723"/>
      <c r="D48" s="68" t="s">
        <v>27</v>
      </c>
      <c r="E48" s="65">
        <f t="shared" si="8"/>
        <v>0</v>
      </c>
      <c r="F48" s="125">
        <v>0</v>
      </c>
      <c r="G48" s="125">
        <v>0</v>
      </c>
      <c r="H48" s="125">
        <v>0</v>
      </c>
      <c r="I48" s="125">
        <v>0</v>
      </c>
      <c r="J48" s="125">
        <v>0</v>
      </c>
      <c r="K48" s="125">
        <v>0</v>
      </c>
      <c r="L48" s="125">
        <v>0</v>
      </c>
      <c r="M48" s="125">
        <v>0</v>
      </c>
      <c r="N48" s="125">
        <v>0</v>
      </c>
    </row>
    <row r="49" spans="1:14" outlineLevel="2" x14ac:dyDescent="0.3">
      <c r="A49" s="722"/>
      <c r="B49" s="723"/>
      <c r="C49" s="723"/>
      <c r="D49" s="68" t="s">
        <v>28</v>
      </c>
      <c r="E49" s="65">
        <f t="shared" si="8"/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5">
        <v>0</v>
      </c>
      <c r="L49" s="125">
        <v>0</v>
      </c>
      <c r="M49" s="125">
        <v>0</v>
      </c>
      <c r="N49" s="125">
        <v>0</v>
      </c>
    </row>
    <row r="50" spans="1:14" outlineLevel="2" x14ac:dyDescent="0.3">
      <c r="A50" s="722"/>
      <c r="B50" s="723"/>
      <c r="C50" s="723"/>
      <c r="D50" s="68" t="s">
        <v>29</v>
      </c>
      <c r="E50" s="65">
        <f t="shared" si="8"/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25">
        <v>0</v>
      </c>
    </row>
    <row r="51" spans="1:14" outlineLevel="2" x14ac:dyDescent="0.3">
      <c r="A51" s="722"/>
      <c r="B51" s="723"/>
      <c r="C51" s="723"/>
      <c r="D51" s="68" t="s">
        <v>30</v>
      </c>
      <c r="E51" s="65">
        <f t="shared" si="8"/>
        <v>0</v>
      </c>
      <c r="F51" s="125">
        <v>0</v>
      </c>
      <c r="G51" s="125">
        <v>0</v>
      </c>
      <c r="H51" s="125">
        <v>0</v>
      </c>
      <c r="I51" s="125">
        <v>0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</row>
    <row r="52" spans="1:14" outlineLevel="2" x14ac:dyDescent="0.3">
      <c r="A52" s="722"/>
      <c r="B52" s="723"/>
      <c r="C52" s="723"/>
      <c r="D52" s="68" t="s">
        <v>31</v>
      </c>
      <c r="E52" s="65">
        <f t="shared" si="8"/>
        <v>0</v>
      </c>
      <c r="F52" s="125">
        <v>0</v>
      </c>
      <c r="G52" s="125">
        <v>0</v>
      </c>
      <c r="H52" s="125">
        <v>0</v>
      </c>
      <c r="I52" s="125">
        <v>0</v>
      </c>
      <c r="J52" s="125">
        <v>0</v>
      </c>
      <c r="K52" s="125">
        <v>0</v>
      </c>
      <c r="L52" s="125">
        <v>0</v>
      </c>
      <c r="M52" s="125">
        <v>0</v>
      </c>
      <c r="N52" s="125">
        <v>0</v>
      </c>
    </row>
    <row r="53" spans="1:14" outlineLevel="2" x14ac:dyDescent="0.3">
      <c r="A53" s="722"/>
      <c r="B53" s="723"/>
      <c r="C53" s="723"/>
      <c r="D53" s="68" t="s">
        <v>32</v>
      </c>
      <c r="E53" s="65">
        <f t="shared" si="8"/>
        <v>0</v>
      </c>
      <c r="F53" s="125">
        <v>0</v>
      </c>
      <c r="G53" s="125">
        <v>0</v>
      </c>
      <c r="H53" s="125">
        <v>0</v>
      </c>
      <c r="I53" s="125">
        <v>0</v>
      </c>
      <c r="J53" s="125">
        <v>0</v>
      </c>
      <c r="K53" s="125">
        <v>0</v>
      </c>
      <c r="L53" s="125">
        <v>0</v>
      </c>
      <c r="M53" s="125">
        <v>0</v>
      </c>
      <c r="N53" s="125">
        <v>0</v>
      </c>
    </row>
    <row r="54" spans="1:14" outlineLevel="2" x14ac:dyDescent="0.3">
      <c r="A54" s="722"/>
      <c r="B54" s="723"/>
      <c r="C54" s="723"/>
      <c r="D54" s="68" t="s">
        <v>33</v>
      </c>
      <c r="E54" s="65">
        <f t="shared" si="8"/>
        <v>0</v>
      </c>
      <c r="F54" s="125">
        <v>0</v>
      </c>
      <c r="G54" s="125">
        <v>0</v>
      </c>
      <c r="H54" s="125">
        <v>0</v>
      </c>
      <c r="I54" s="125">
        <v>0</v>
      </c>
      <c r="J54" s="125">
        <v>0</v>
      </c>
      <c r="K54" s="125">
        <v>0</v>
      </c>
      <c r="L54" s="125">
        <v>0</v>
      </c>
      <c r="M54" s="125">
        <v>0</v>
      </c>
      <c r="N54" s="125">
        <v>0</v>
      </c>
    </row>
    <row r="55" spans="1:14" ht="15" outlineLevel="2" thickBot="1" x14ac:dyDescent="0.35">
      <c r="A55" s="722"/>
      <c r="B55" s="723"/>
      <c r="C55" s="723"/>
      <c r="D55" s="69" t="s">
        <v>34</v>
      </c>
      <c r="E55" s="66">
        <f t="shared" si="8"/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6">
        <v>0</v>
      </c>
      <c r="L55" s="126">
        <v>0</v>
      </c>
      <c r="M55" s="126">
        <v>0</v>
      </c>
      <c r="N55" s="126">
        <v>0</v>
      </c>
    </row>
    <row r="56" spans="1:14" outlineLevel="2" x14ac:dyDescent="0.3">
      <c r="A56" s="722" t="s">
        <v>453</v>
      </c>
      <c r="B56" s="723" t="s">
        <v>91</v>
      </c>
      <c r="C56" s="796">
        <v>610</v>
      </c>
      <c r="D56" s="67" t="s">
        <v>25</v>
      </c>
      <c r="E56" s="64">
        <f t="shared" si="8"/>
        <v>252197.92000000004</v>
      </c>
      <c r="F56" s="124">
        <f>$E$195*0.65*SUM(F46:F47)/SUM($E$46:$E$47)</f>
        <v>37829.688000000009</v>
      </c>
      <c r="G56" s="124">
        <f>$E$195*0.65*SUM(G46:G47)/SUM($E$46:$E$47)</f>
        <v>42873.646400000005</v>
      </c>
      <c r="H56" s="124">
        <f>$E$195*0.65*SUM(H46:H47)/SUM($E$46:$E$47)</f>
        <v>34046.719199999992</v>
      </c>
      <c r="I56" s="124">
        <f>$E$195*0.65*SUM(I46:I47)/SUM($E$46:$E$47)</f>
        <v>35307.708800000008</v>
      </c>
      <c r="J56" s="124">
        <f>$E$195*0.65*SUM(J46:J47)/SUM($E$46:$E$47)</f>
        <v>47917.604800000008</v>
      </c>
      <c r="K56" s="124">
        <f>$E$195*0.65*SUM(K46:K47)/SUM($E$46:$E$47)</f>
        <v>21436.823200000003</v>
      </c>
      <c r="L56" s="124">
        <f>$E$195*0.65*SUM(L46:L47)/SUM($E$46:$E$47)</f>
        <v>15131.875200000002</v>
      </c>
      <c r="M56" s="124">
        <f>$E$195*0.65*SUM(M46:M47)/SUM($E$46:$E$47)</f>
        <v>0</v>
      </c>
      <c r="N56" s="124">
        <f>$E$195*0.65*SUM(N46:N47)/SUM($E$46:$E$47)</f>
        <v>17653.854400000004</v>
      </c>
    </row>
    <row r="57" spans="1:14" outlineLevel="2" x14ac:dyDescent="0.3">
      <c r="A57" s="722"/>
      <c r="B57" s="723"/>
      <c r="C57" s="796"/>
      <c r="D57" s="68" t="s">
        <v>26</v>
      </c>
      <c r="E57" s="65">
        <f t="shared" si="8"/>
        <v>135798.87999999998</v>
      </c>
      <c r="F57" s="125">
        <f>$E$195*0.35*SUM(F46:F47)/SUM($E$46:$E$47)</f>
        <v>20369.831999999999</v>
      </c>
      <c r="G57" s="125">
        <f>$E$195*0.35*SUM(G46:G47)/SUM($E$46:$E$47)</f>
        <v>23085.809599999997</v>
      </c>
      <c r="H57" s="125">
        <f>$E$195*0.35*SUM(H46:H47)/SUM($E$46:$E$47)</f>
        <v>18332.848799999992</v>
      </c>
      <c r="I57" s="125">
        <f>$E$195*0.35*SUM(I46:I47)/SUM($E$46:$E$47)</f>
        <v>19011.843199999999</v>
      </c>
      <c r="J57" s="125">
        <f>$E$195*0.35*SUM(J46:J47)/SUM($E$46:$E$47)</f>
        <v>25801.787199999999</v>
      </c>
      <c r="K57" s="125">
        <f>$E$195*0.35*SUM(K46:K47)/SUM($E$46:$E$47)</f>
        <v>11542.904799999998</v>
      </c>
      <c r="L57" s="125">
        <f>$E$195*0.35*SUM(L46:L47)/SUM($E$46:$E$47)</f>
        <v>8147.9327999999996</v>
      </c>
      <c r="M57" s="125">
        <f>$E$195*0.35*SUM(M46:M47)/SUM($E$46:$E$47)</f>
        <v>0</v>
      </c>
      <c r="N57" s="125">
        <f>$E$195*0.35*SUM(N46:N47)/SUM($E$46:$E$47)</f>
        <v>9505.9215999999997</v>
      </c>
    </row>
    <row r="58" spans="1:14" outlineLevel="2" x14ac:dyDescent="0.3">
      <c r="A58" s="722"/>
      <c r="B58" s="723"/>
      <c r="C58" s="796"/>
      <c r="D58" s="68" t="s">
        <v>27</v>
      </c>
      <c r="E58" s="65">
        <f t="shared" si="8"/>
        <v>0</v>
      </c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4" outlineLevel="2" x14ac:dyDescent="0.3">
      <c r="A59" s="722"/>
      <c r="B59" s="723"/>
      <c r="C59" s="796"/>
      <c r="D59" s="68" t="s">
        <v>28</v>
      </c>
      <c r="E59" s="65">
        <f t="shared" si="8"/>
        <v>0</v>
      </c>
      <c r="F59" s="125"/>
      <c r="G59" s="125"/>
      <c r="H59" s="125"/>
      <c r="I59" s="125"/>
      <c r="J59" s="125"/>
      <c r="K59" s="125"/>
      <c r="L59" s="125"/>
      <c r="M59" s="125"/>
      <c r="N59" s="125"/>
    </row>
    <row r="60" spans="1:14" outlineLevel="2" x14ac:dyDescent="0.3">
      <c r="A60" s="722"/>
      <c r="B60" s="723"/>
      <c r="C60" s="796"/>
      <c r="D60" s="68" t="s">
        <v>29</v>
      </c>
      <c r="E60" s="65">
        <f t="shared" si="8"/>
        <v>0</v>
      </c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4" outlineLevel="2" x14ac:dyDescent="0.3">
      <c r="A61" s="722"/>
      <c r="B61" s="723"/>
      <c r="C61" s="796"/>
      <c r="D61" s="68" t="s">
        <v>30</v>
      </c>
      <c r="E61" s="65">
        <f t="shared" si="8"/>
        <v>0</v>
      </c>
      <c r="F61" s="125"/>
      <c r="G61" s="125"/>
      <c r="H61" s="125"/>
      <c r="I61" s="125"/>
      <c r="J61" s="125"/>
      <c r="K61" s="125"/>
      <c r="L61" s="125"/>
      <c r="M61" s="125"/>
      <c r="N61" s="125"/>
    </row>
    <row r="62" spans="1:14" outlineLevel="2" x14ac:dyDescent="0.3">
      <c r="A62" s="722"/>
      <c r="B62" s="723"/>
      <c r="C62" s="796"/>
      <c r="D62" s="68" t="s">
        <v>31</v>
      </c>
      <c r="E62" s="65">
        <f t="shared" si="8"/>
        <v>0</v>
      </c>
      <c r="F62" s="125"/>
      <c r="G62" s="125"/>
      <c r="H62" s="125"/>
      <c r="I62" s="125"/>
      <c r="J62" s="125"/>
      <c r="K62" s="125"/>
      <c r="L62" s="125"/>
      <c r="M62" s="125"/>
      <c r="N62" s="125"/>
    </row>
    <row r="63" spans="1:14" outlineLevel="2" x14ac:dyDescent="0.3">
      <c r="A63" s="722"/>
      <c r="B63" s="723"/>
      <c r="C63" s="796"/>
      <c r="D63" s="68" t="s">
        <v>32</v>
      </c>
      <c r="E63" s="65">
        <f t="shared" si="8"/>
        <v>0</v>
      </c>
      <c r="F63" s="125"/>
      <c r="G63" s="125"/>
      <c r="H63" s="125"/>
      <c r="I63" s="125"/>
      <c r="J63" s="125"/>
      <c r="K63" s="125"/>
      <c r="L63" s="125"/>
      <c r="M63" s="125"/>
      <c r="N63" s="125"/>
    </row>
    <row r="64" spans="1:14" outlineLevel="2" x14ac:dyDescent="0.3">
      <c r="A64" s="722"/>
      <c r="B64" s="723"/>
      <c r="C64" s="796"/>
      <c r="D64" s="68" t="s">
        <v>33</v>
      </c>
      <c r="E64" s="65">
        <f t="shared" si="8"/>
        <v>0</v>
      </c>
      <c r="F64" s="125"/>
      <c r="G64" s="125"/>
      <c r="H64" s="125"/>
      <c r="I64" s="125"/>
      <c r="J64" s="125"/>
      <c r="K64" s="125"/>
      <c r="L64" s="125"/>
      <c r="M64" s="125"/>
      <c r="N64" s="125"/>
    </row>
    <row r="65" spans="1:16" ht="15" outlineLevel="2" thickBot="1" x14ac:dyDescent="0.35">
      <c r="A65" s="722"/>
      <c r="B65" s="723"/>
      <c r="C65" s="796"/>
      <c r="D65" s="69" t="s">
        <v>34</v>
      </c>
      <c r="E65" s="66">
        <f t="shared" si="8"/>
        <v>0</v>
      </c>
      <c r="F65" s="126"/>
      <c r="G65" s="126"/>
      <c r="H65" s="126"/>
      <c r="I65" s="126"/>
      <c r="J65" s="126"/>
      <c r="K65" s="126"/>
      <c r="L65" s="126"/>
      <c r="M65" s="126"/>
      <c r="N65" s="126"/>
    </row>
    <row r="66" spans="1:16" outlineLevel="2" x14ac:dyDescent="0.3">
      <c r="A66" s="722" t="s">
        <v>81</v>
      </c>
      <c r="B66" s="723" t="s">
        <v>82</v>
      </c>
      <c r="C66" s="723">
        <v>637001</v>
      </c>
      <c r="D66" s="67" t="s">
        <v>25</v>
      </c>
      <c r="E66" s="72">
        <f t="shared" si="8"/>
        <v>0</v>
      </c>
      <c r="F66" s="115">
        <v>0</v>
      </c>
      <c r="G66" s="115">
        <v>0</v>
      </c>
      <c r="H66" s="115">
        <v>0</v>
      </c>
      <c r="I66" s="115">
        <v>0</v>
      </c>
      <c r="J66" s="115">
        <v>0</v>
      </c>
      <c r="K66" s="115">
        <v>0</v>
      </c>
      <c r="L66" s="115">
        <v>0</v>
      </c>
      <c r="M66" s="115">
        <v>0</v>
      </c>
      <c r="N66" s="115">
        <v>0</v>
      </c>
    </row>
    <row r="67" spans="1:16" outlineLevel="2" x14ac:dyDescent="0.3">
      <c r="A67" s="722"/>
      <c r="B67" s="723"/>
      <c r="C67" s="723"/>
      <c r="D67" s="68" t="s">
        <v>26</v>
      </c>
      <c r="E67" s="72">
        <f t="shared" si="8"/>
        <v>0</v>
      </c>
      <c r="F67" s="118">
        <v>0</v>
      </c>
      <c r="G67" s="118">
        <v>0</v>
      </c>
      <c r="H67" s="118">
        <v>0</v>
      </c>
      <c r="I67" s="118">
        <v>0</v>
      </c>
      <c r="J67" s="118">
        <v>0</v>
      </c>
      <c r="K67" s="118">
        <v>0</v>
      </c>
      <c r="L67" s="118">
        <v>0</v>
      </c>
      <c r="M67" s="118">
        <v>0</v>
      </c>
      <c r="N67" s="118">
        <v>0</v>
      </c>
    </row>
    <row r="68" spans="1:16" outlineLevel="2" x14ac:dyDescent="0.3">
      <c r="A68" s="722"/>
      <c r="B68" s="723"/>
      <c r="C68" s="723"/>
      <c r="D68" s="68" t="s">
        <v>27</v>
      </c>
      <c r="E68" s="72">
        <f t="shared" si="8"/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118">
        <v>0</v>
      </c>
      <c r="M68" s="118">
        <v>0</v>
      </c>
      <c r="N68" s="118">
        <v>0</v>
      </c>
    </row>
    <row r="69" spans="1:16" outlineLevel="2" x14ac:dyDescent="0.3">
      <c r="A69" s="722"/>
      <c r="B69" s="723"/>
      <c r="C69" s="723"/>
      <c r="D69" s="68" t="s">
        <v>28</v>
      </c>
      <c r="E69" s="72">
        <f t="shared" si="8"/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0</v>
      </c>
      <c r="M69" s="118">
        <v>0</v>
      </c>
      <c r="N69" s="118">
        <v>0</v>
      </c>
    </row>
    <row r="70" spans="1:16" outlineLevel="2" x14ac:dyDescent="0.3">
      <c r="A70" s="722"/>
      <c r="B70" s="723"/>
      <c r="C70" s="723"/>
      <c r="D70" s="68" t="s">
        <v>29</v>
      </c>
      <c r="E70" s="72">
        <f t="shared" si="8"/>
        <v>0</v>
      </c>
      <c r="F70" s="118">
        <v>0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0</v>
      </c>
      <c r="N70" s="118">
        <v>0</v>
      </c>
    </row>
    <row r="71" spans="1:16" outlineLevel="2" x14ac:dyDescent="0.3">
      <c r="A71" s="722"/>
      <c r="B71" s="723"/>
      <c r="C71" s="723"/>
      <c r="D71" s="68" t="s">
        <v>30</v>
      </c>
      <c r="E71" s="72">
        <f t="shared" si="8"/>
        <v>0</v>
      </c>
      <c r="F71" s="118">
        <v>0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0</v>
      </c>
      <c r="N71" s="118">
        <v>0</v>
      </c>
    </row>
    <row r="72" spans="1:16" outlineLevel="2" x14ac:dyDescent="0.3">
      <c r="A72" s="722"/>
      <c r="B72" s="723"/>
      <c r="C72" s="723"/>
      <c r="D72" s="68" t="s">
        <v>31</v>
      </c>
      <c r="E72" s="72">
        <f t="shared" si="8"/>
        <v>0</v>
      </c>
      <c r="F72" s="118">
        <v>0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0</v>
      </c>
      <c r="N72" s="118">
        <v>0</v>
      </c>
    </row>
    <row r="73" spans="1:16" outlineLevel="2" x14ac:dyDescent="0.3">
      <c r="A73" s="722"/>
      <c r="B73" s="723"/>
      <c r="C73" s="723"/>
      <c r="D73" s="68" t="s">
        <v>32</v>
      </c>
      <c r="E73" s="72">
        <f t="shared" si="8"/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0</v>
      </c>
    </row>
    <row r="74" spans="1:16" outlineLevel="2" x14ac:dyDescent="0.3">
      <c r="A74" s="722"/>
      <c r="B74" s="723"/>
      <c r="C74" s="723"/>
      <c r="D74" s="68" t="s">
        <v>33</v>
      </c>
      <c r="E74" s="72">
        <f t="shared" si="8"/>
        <v>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0</v>
      </c>
    </row>
    <row r="75" spans="1:16" ht="15" outlineLevel="2" thickBot="1" x14ac:dyDescent="0.35">
      <c r="A75" s="722"/>
      <c r="B75" s="723"/>
      <c r="C75" s="723"/>
      <c r="D75" s="68" t="s">
        <v>34</v>
      </c>
      <c r="E75" s="73">
        <f t="shared" si="8"/>
        <v>0</v>
      </c>
      <c r="F75" s="121">
        <v>0</v>
      </c>
      <c r="G75" s="121">
        <v>0</v>
      </c>
      <c r="H75" s="121">
        <v>0</v>
      </c>
      <c r="I75" s="121">
        <v>0</v>
      </c>
      <c r="J75" s="121">
        <v>0</v>
      </c>
      <c r="K75" s="121">
        <v>0</v>
      </c>
      <c r="L75" s="121">
        <v>0</v>
      </c>
      <c r="M75" s="121">
        <v>0</v>
      </c>
      <c r="N75" s="121">
        <v>0</v>
      </c>
    </row>
    <row r="76" spans="1:16" ht="15" thickBot="1" x14ac:dyDescent="0.35">
      <c r="A76" s="720" t="s">
        <v>83</v>
      </c>
      <c r="B76" s="721"/>
      <c r="C76" s="721"/>
      <c r="D76" s="81"/>
      <c r="E76" s="77">
        <f t="shared" ref="E76:F76" si="10">E77+E98</f>
        <v>21890880</v>
      </c>
      <c r="F76" s="78">
        <f t="shared" si="10"/>
        <v>1601424.0000000002</v>
      </c>
      <c r="G76" s="78">
        <f t="shared" ref="G76:N76" si="11">G77+G98</f>
        <v>1814947.1999999993</v>
      </c>
      <c r="H76" s="78">
        <f t="shared" si="11"/>
        <v>1441281.5999999994</v>
      </c>
      <c r="I76" s="78">
        <f t="shared" si="11"/>
        <v>1494662.4000000004</v>
      </c>
      <c r="J76" s="78">
        <f t="shared" si="11"/>
        <v>2028470.4000000006</v>
      </c>
      <c r="K76" s="78">
        <f t="shared" si="11"/>
        <v>907473.59999999963</v>
      </c>
      <c r="L76" s="78">
        <f t="shared" si="11"/>
        <v>640569.59999999963</v>
      </c>
      <c r="M76" s="78">
        <f t="shared" ref="M76" si="12">M77+M98</f>
        <v>11214720</v>
      </c>
      <c r="N76" s="78">
        <f t="shared" si="11"/>
        <v>747331.20000000019</v>
      </c>
    </row>
    <row r="77" spans="1:16" outlineLevel="1" collapsed="1" x14ac:dyDescent="0.3">
      <c r="A77" s="17" t="s">
        <v>110</v>
      </c>
      <c r="B77" s="17"/>
      <c r="C77" s="17"/>
      <c r="D77" s="28"/>
      <c r="E77" s="127">
        <f t="shared" ref="E77:F77" si="13">SUM(E78:E97)</f>
        <v>0</v>
      </c>
      <c r="F77" s="128">
        <f t="shared" si="13"/>
        <v>0</v>
      </c>
      <c r="G77" s="128">
        <f t="shared" ref="G77:N77" si="14">SUM(G78:G97)</f>
        <v>0</v>
      </c>
      <c r="H77" s="128">
        <f t="shared" si="14"/>
        <v>0</v>
      </c>
      <c r="I77" s="128">
        <f t="shared" si="14"/>
        <v>0</v>
      </c>
      <c r="J77" s="128">
        <f t="shared" si="14"/>
        <v>0</v>
      </c>
      <c r="K77" s="128">
        <f t="shared" si="14"/>
        <v>0</v>
      </c>
      <c r="L77" s="128">
        <f t="shared" si="14"/>
        <v>0</v>
      </c>
      <c r="M77" s="128">
        <f t="shared" ref="M77" si="15">SUM(M78:M97)</f>
        <v>0</v>
      </c>
      <c r="N77" s="128">
        <f t="shared" si="14"/>
        <v>0</v>
      </c>
    </row>
    <row r="78" spans="1:16" hidden="1" outlineLevel="2" x14ac:dyDescent="0.3">
      <c r="A78" s="722" t="s">
        <v>84</v>
      </c>
      <c r="B78" s="723" t="s">
        <v>85</v>
      </c>
      <c r="C78" s="723">
        <v>635009</v>
      </c>
      <c r="D78" s="67" t="s">
        <v>25</v>
      </c>
      <c r="E78" s="64">
        <f t="shared" ref="E78:E97" si="16">SUM(F78:N78)</f>
        <v>0</v>
      </c>
      <c r="F78" s="124">
        <v>0</v>
      </c>
      <c r="G78" s="124">
        <v>0</v>
      </c>
      <c r="H78" s="124">
        <v>0</v>
      </c>
      <c r="I78" s="124">
        <v>0</v>
      </c>
      <c r="J78" s="124">
        <v>0</v>
      </c>
      <c r="K78" s="124">
        <v>0</v>
      </c>
      <c r="L78" s="124">
        <v>0</v>
      </c>
      <c r="M78" s="124">
        <v>0</v>
      </c>
      <c r="N78" s="618">
        <v>0</v>
      </c>
    </row>
    <row r="79" spans="1:16" hidden="1" outlineLevel="2" x14ac:dyDescent="0.3">
      <c r="A79" s="722"/>
      <c r="B79" s="723"/>
      <c r="C79" s="723"/>
      <c r="D79" s="68" t="s">
        <v>26</v>
      </c>
      <c r="E79" s="65">
        <f t="shared" si="16"/>
        <v>0</v>
      </c>
      <c r="F79" s="125">
        <v>0</v>
      </c>
      <c r="G79" s="125">
        <v>0</v>
      </c>
      <c r="H79" s="125">
        <v>0</v>
      </c>
      <c r="I79" s="125">
        <v>0</v>
      </c>
      <c r="J79" s="125">
        <v>0</v>
      </c>
      <c r="K79" s="125">
        <v>0</v>
      </c>
      <c r="L79" s="125">
        <v>0</v>
      </c>
      <c r="M79" s="125">
        <v>0</v>
      </c>
      <c r="N79" s="619">
        <v>0</v>
      </c>
    </row>
    <row r="80" spans="1:16" hidden="1" outlineLevel="2" x14ac:dyDescent="0.3">
      <c r="A80" s="722"/>
      <c r="B80" s="723"/>
      <c r="C80" s="723"/>
      <c r="D80" s="68" t="s">
        <v>27</v>
      </c>
      <c r="E80" s="65">
        <f t="shared" si="16"/>
        <v>0</v>
      </c>
      <c r="F80" s="125">
        <v>0</v>
      </c>
      <c r="G80" s="125">
        <v>0</v>
      </c>
      <c r="H80" s="125">
        <v>0</v>
      </c>
      <c r="I80" s="125">
        <v>0</v>
      </c>
      <c r="J80" s="125">
        <v>0</v>
      </c>
      <c r="K80" s="125">
        <v>0</v>
      </c>
      <c r="L80" s="125">
        <v>0</v>
      </c>
      <c r="M80" s="125">
        <v>0</v>
      </c>
      <c r="N80" s="619">
        <v>0</v>
      </c>
      <c r="O80" s="592">
        <f>SUM(F80:N80)/1.2</f>
        <v>0</v>
      </c>
      <c r="P80">
        <f>O80*5</f>
        <v>0</v>
      </c>
    </row>
    <row r="81" spans="1:16" hidden="1" outlineLevel="2" x14ac:dyDescent="0.3">
      <c r="A81" s="722"/>
      <c r="B81" s="723"/>
      <c r="C81" s="723"/>
      <c r="D81" s="68" t="s">
        <v>28</v>
      </c>
      <c r="E81" s="65">
        <f t="shared" si="16"/>
        <v>0</v>
      </c>
      <c r="F81" s="125">
        <v>0</v>
      </c>
      <c r="G81" s="125">
        <v>0</v>
      </c>
      <c r="H81" s="125">
        <v>0</v>
      </c>
      <c r="I81" s="125">
        <v>0</v>
      </c>
      <c r="J81" s="125">
        <v>0</v>
      </c>
      <c r="K81" s="125">
        <v>0</v>
      </c>
      <c r="L81" s="125">
        <v>0</v>
      </c>
      <c r="M81" s="125">
        <v>0</v>
      </c>
      <c r="N81" s="619">
        <v>0</v>
      </c>
    </row>
    <row r="82" spans="1:16" hidden="1" outlineLevel="2" x14ac:dyDescent="0.3">
      <c r="A82" s="722"/>
      <c r="B82" s="723"/>
      <c r="C82" s="723"/>
      <c r="D82" s="68" t="s">
        <v>29</v>
      </c>
      <c r="E82" s="65">
        <f t="shared" si="16"/>
        <v>0</v>
      </c>
      <c r="F82" s="125">
        <v>0</v>
      </c>
      <c r="G82" s="125">
        <v>0</v>
      </c>
      <c r="H82" s="125">
        <v>0</v>
      </c>
      <c r="I82" s="125">
        <v>0</v>
      </c>
      <c r="J82" s="125">
        <v>0</v>
      </c>
      <c r="K82" s="125">
        <v>0</v>
      </c>
      <c r="L82" s="125">
        <v>0</v>
      </c>
      <c r="M82" s="125">
        <v>0</v>
      </c>
      <c r="N82" s="619">
        <v>0</v>
      </c>
    </row>
    <row r="83" spans="1:16" hidden="1" outlineLevel="2" x14ac:dyDescent="0.3">
      <c r="A83" s="722"/>
      <c r="B83" s="723"/>
      <c r="C83" s="723"/>
      <c r="D83" s="68" t="s">
        <v>30</v>
      </c>
      <c r="E83" s="65">
        <f t="shared" si="16"/>
        <v>0</v>
      </c>
      <c r="F83" s="125">
        <v>0</v>
      </c>
      <c r="G83" s="125">
        <v>0</v>
      </c>
      <c r="H83" s="125">
        <v>0</v>
      </c>
      <c r="I83" s="125">
        <v>0</v>
      </c>
      <c r="J83" s="125">
        <v>0</v>
      </c>
      <c r="K83" s="125">
        <v>0</v>
      </c>
      <c r="L83" s="125">
        <v>0</v>
      </c>
      <c r="M83" s="125">
        <v>0</v>
      </c>
      <c r="N83" s="619">
        <v>0</v>
      </c>
    </row>
    <row r="84" spans="1:16" hidden="1" outlineLevel="2" x14ac:dyDescent="0.3">
      <c r="A84" s="722"/>
      <c r="B84" s="723"/>
      <c r="C84" s="723"/>
      <c r="D84" s="68" t="s">
        <v>31</v>
      </c>
      <c r="E84" s="65">
        <f t="shared" si="16"/>
        <v>0</v>
      </c>
      <c r="F84" s="125">
        <v>0</v>
      </c>
      <c r="G84" s="125">
        <v>0</v>
      </c>
      <c r="H84" s="125">
        <v>0</v>
      </c>
      <c r="I84" s="125">
        <v>0</v>
      </c>
      <c r="J84" s="125">
        <v>0</v>
      </c>
      <c r="K84" s="125">
        <v>0</v>
      </c>
      <c r="L84" s="125">
        <v>0</v>
      </c>
      <c r="M84" s="125">
        <v>0</v>
      </c>
      <c r="N84" s="619">
        <v>0</v>
      </c>
    </row>
    <row r="85" spans="1:16" hidden="1" outlineLevel="2" x14ac:dyDescent="0.3">
      <c r="A85" s="722"/>
      <c r="B85" s="723"/>
      <c r="C85" s="723"/>
      <c r="D85" s="68" t="s">
        <v>32</v>
      </c>
      <c r="E85" s="65">
        <f t="shared" si="16"/>
        <v>0</v>
      </c>
      <c r="F85" s="125">
        <v>0</v>
      </c>
      <c r="G85" s="125">
        <v>0</v>
      </c>
      <c r="H85" s="125">
        <v>0</v>
      </c>
      <c r="I85" s="125">
        <v>0</v>
      </c>
      <c r="J85" s="125">
        <v>0</v>
      </c>
      <c r="K85" s="125">
        <v>0</v>
      </c>
      <c r="L85" s="125">
        <v>0</v>
      </c>
      <c r="M85" s="125">
        <v>0</v>
      </c>
      <c r="N85" s="619">
        <v>0</v>
      </c>
    </row>
    <row r="86" spans="1:16" hidden="1" outlineLevel="2" x14ac:dyDescent="0.3">
      <c r="A86" s="722"/>
      <c r="B86" s="723"/>
      <c r="C86" s="723"/>
      <c r="D86" s="68" t="s">
        <v>33</v>
      </c>
      <c r="E86" s="65">
        <f t="shared" si="16"/>
        <v>0</v>
      </c>
      <c r="F86" s="125">
        <v>0</v>
      </c>
      <c r="G86" s="125">
        <v>0</v>
      </c>
      <c r="H86" s="125">
        <v>0</v>
      </c>
      <c r="I86" s="125">
        <v>0</v>
      </c>
      <c r="J86" s="125">
        <v>0</v>
      </c>
      <c r="K86" s="125">
        <v>0</v>
      </c>
      <c r="L86" s="125">
        <v>0</v>
      </c>
      <c r="M86" s="125">
        <v>0</v>
      </c>
      <c r="N86" s="619">
        <v>0</v>
      </c>
    </row>
    <row r="87" spans="1:16" ht="15" hidden="1" outlineLevel="2" thickBot="1" x14ac:dyDescent="0.35">
      <c r="A87" s="722"/>
      <c r="B87" s="723"/>
      <c r="C87" s="723"/>
      <c r="D87" s="69" t="s">
        <v>34</v>
      </c>
      <c r="E87" s="66">
        <f t="shared" si="16"/>
        <v>0</v>
      </c>
      <c r="F87" s="125">
        <v>0</v>
      </c>
      <c r="G87" s="125">
        <v>0</v>
      </c>
      <c r="H87" s="125">
        <v>0</v>
      </c>
      <c r="I87" s="125">
        <v>0</v>
      </c>
      <c r="J87" s="125">
        <v>0</v>
      </c>
      <c r="K87" s="125">
        <v>0</v>
      </c>
      <c r="L87" s="125">
        <v>0</v>
      </c>
      <c r="M87" s="125">
        <v>0</v>
      </c>
      <c r="N87" s="619">
        <v>0</v>
      </c>
    </row>
    <row r="88" spans="1:16" hidden="1" outlineLevel="2" x14ac:dyDescent="0.3">
      <c r="A88" s="722" t="s">
        <v>86</v>
      </c>
      <c r="B88" s="723" t="s">
        <v>82</v>
      </c>
      <c r="C88" s="723">
        <v>718006</v>
      </c>
      <c r="D88" s="67" t="s">
        <v>25</v>
      </c>
      <c r="E88" s="65">
        <f t="shared" si="16"/>
        <v>0</v>
      </c>
      <c r="F88" s="124">
        <v>0</v>
      </c>
      <c r="G88" s="124">
        <v>0</v>
      </c>
      <c r="H88" s="124">
        <v>0</v>
      </c>
      <c r="I88" s="124">
        <v>0</v>
      </c>
      <c r="J88" s="124">
        <v>0</v>
      </c>
      <c r="K88" s="124">
        <v>0</v>
      </c>
      <c r="L88" s="124">
        <v>0</v>
      </c>
      <c r="M88" s="124">
        <v>0</v>
      </c>
      <c r="N88" s="618">
        <v>0</v>
      </c>
    </row>
    <row r="89" spans="1:16" hidden="1" outlineLevel="2" x14ac:dyDescent="0.3">
      <c r="A89" s="722"/>
      <c r="B89" s="723"/>
      <c r="C89" s="723"/>
      <c r="D89" s="68" t="s">
        <v>26</v>
      </c>
      <c r="E89" s="65">
        <f t="shared" si="16"/>
        <v>0</v>
      </c>
      <c r="F89" s="125">
        <v>0</v>
      </c>
      <c r="G89" s="125">
        <v>0</v>
      </c>
      <c r="H89" s="125">
        <v>0</v>
      </c>
      <c r="I89" s="125">
        <v>0</v>
      </c>
      <c r="J89" s="125">
        <v>0</v>
      </c>
      <c r="K89" s="125">
        <v>0</v>
      </c>
      <c r="L89" s="125">
        <v>0</v>
      </c>
      <c r="M89" s="125">
        <v>0</v>
      </c>
      <c r="N89" s="619">
        <v>0</v>
      </c>
    </row>
    <row r="90" spans="1:16" hidden="1" outlineLevel="2" x14ac:dyDescent="0.3">
      <c r="A90" s="722"/>
      <c r="B90" s="723"/>
      <c r="C90" s="723"/>
      <c r="D90" s="68" t="s">
        <v>27</v>
      </c>
      <c r="E90" s="65">
        <f t="shared" si="16"/>
        <v>0</v>
      </c>
      <c r="F90" s="125">
        <v>0</v>
      </c>
      <c r="G90" s="125">
        <v>0</v>
      </c>
      <c r="H90" s="125">
        <v>0</v>
      </c>
      <c r="I90" s="125">
        <v>0</v>
      </c>
      <c r="J90" s="125">
        <v>0</v>
      </c>
      <c r="K90" s="125">
        <v>0</v>
      </c>
      <c r="L90" s="125">
        <v>0</v>
      </c>
      <c r="M90" s="125">
        <v>0</v>
      </c>
      <c r="N90" s="619">
        <v>0</v>
      </c>
      <c r="O90" s="592">
        <f>SUM(F90:N90)/1.2</f>
        <v>0</v>
      </c>
      <c r="P90">
        <f>O90*5</f>
        <v>0</v>
      </c>
    </row>
    <row r="91" spans="1:16" hidden="1" outlineLevel="2" x14ac:dyDescent="0.3">
      <c r="A91" s="722"/>
      <c r="B91" s="723"/>
      <c r="C91" s="723"/>
      <c r="D91" s="68" t="s">
        <v>28</v>
      </c>
      <c r="E91" s="65">
        <f t="shared" si="16"/>
        <v>0</v>
      </c>
      <c r="F91" s="125">
        <v>0</v>
      </c>
      <c r="G91" s="125">
        <v>0</v>
      </c>
      <c r="H91" s="125">
        <v>0</v>
      </c>
      <c r="I91" s="125">
        <v>0</v>
      </c>
      <c r="J91" s="125">
        <v>0</v>
      </c>
      <c r="K91" s="125">
        <v>0</v>
      </c>
      <c r="L91" s="125">
        <v>0</v>
      </c>
      <c r="M91" s="125">
        <v>0</v>
      </c>
      <c r="N91" s="619">
        <v>0</v>
      </c>
    </row>
    <row r="92" spans="1:16" hidden="1" outlineLevel="2" x14ac:dyDescent="0.3">
      <c r="A92" s="722"/>
      <c r="B92" s="723"/>
      <c r="C92" s="723"/>
      <c r="D92" s="68" t="s">
        <v>29</v>
      </c>
      <c r="E92" s="65">
        <f t="shared" si="16"/>
        <v>0</v>
      </c>
      <c r="F92" s="125">
        <v>0</v>
      </c>
      <c r="G92" s="125">
        <v>0</v>
      </c>
      <c r="H92" s="125">
        <v>0</v>
      </c>
      <c r="I92" s="125">
        <v>0</v>
      </c>
      <c r="J92" s="125">
        <v>0</v>
      </c>
      <c r="K92" s="125">
        <v>0</v>
      </c>
      <c r="L92" s="125">
        <v>0</v>
      </c>
      <c r="M92" s="125">
        <v>0</v>
      </c>
      <c r="N92" s="619">
        <v>0</v>
      </c>
    </row>
    <row r="93" spans="1:16" hidden="1" outlineLevel="2" x14ac:dyDescent="0.3">
      <c r="A93" s="722"/>
      <c r="B93" s="723"/>
      <c r="C93" s="723"/>
      <c r="D93" s="68" t="s">
        <v>30</v>
      </c>
      <c r="E93" s="65">
        <f t="shared" si="16"/>
        <v>0</v>
      </c>
      <c r="F93" s="125">
        <v>0</v>
      </c>
      <c r="G93" s="125">
        <v>0</v>
      </c>
      <c r="H93" s="125">
        <v>0</v>
      </c>
      <c r="I93" s="125">
        <v>0</v>
      </c>
      <c r="J93" s="125">
        <v>0</v>
      </c>
      <c r="K93" s="125">
        <v>0</v>
      </c>
      <c r="L93" s="125">
        <v>0</v>
      </c>
      <c r="M93" s="125">
        <v>0</v>
      </c>
      <c r="N93" s="619">
        <v>0</v>
      </c>
    </row>
    <row r="94" spans="1:16" hidden="1" outlineLevel="2" x14ac:dyDescent="0.3">
      <c r="A94" s="722"/>
      <c r="B94" s="723"/>
      <c r="C94" s="723"/>
      <c r="D94" s="68" t="s">
        <v>31</v>
      </c>
      <c r="E94" s="65">
        <f t="shared" si="16"/>
        <v>0</v>
      </c>
      <c r="F94" s="125">
        <v>0</v>
      </c>
      <c r="G94" s="125">
        <v>0</v>
      </c>
      <c r="H94" s="125">
        <v>0</v>
      </c>
      <c r="I94" s="125">
        <v>0</v>
      </c>
      <c r="J94" s="125">
        <v>0</v>
      </c>
      <c r="K94" s="125">
        <v>0</v>
      </c>
      <c r="L94" s="125">
        <v>0</v>
      </c>
      <c r="M94" s="125">
        <v>0</v>
      </c>
      <c r="N94" s="619">
        <v>0</v>
      </c>
    </row>
    <row r="95" spans="1:16" hidden="1" outlineLevel="2" x14ac:dyDescent="0.3">
      <c r="A95" s="722"/>
      <c r="B95" s="723"/>
      <c r="C95" s="723"/>
      <c r="D95" s="68" t="s">
        <v>32</v>
      </c>
      <c r="E95" s="65">
        <f t="shared" si="16"/>
        <v>0</v>
      </c>
      <c r="F95" s="125">
        <v>0</v>
      </c>
      <c r="G95" s="125">
        <v>0</v>
      </c>
      <c r="H95" s="125">
        <v>0</v>
      </c>
      <c r="I95" s="125">
        <v>0</v>
      </c>
      <c r="J95" s="125">
        <v>0</v>
      </c>
      <c r="K95" s="125">
        <v>0</v>
      </c>
      <c r="L95" s="125">
        <v>0</v>
      </c>
      <c r="M95" s="125">
        <v>0</v>
      </c>
      <c r="N95" s="619">
        <v>0</v>
      </c>
    </row>
    <row r="96" spans="1:16" hidden="1" outlineLevel="2" x14ac:dyDescent="0.3">
      <c r="A96" s="722"/>
      <c r="B96" s="723"/>
      <c r="C96" s="723"/>
      <c r="D96" s="68" t="s">
        <v>33</v>
      </c>
      <c r="E96" s="65">
        <f t="shared" si="16"/>
        <v>0</v>
      </c>
      <c r="F96" s="125">
        <v>0</v>
      </c>
      <c r="G96" s="125">
        <v>0</v>
      </c>
      <c r="H96" s="125">
        <v>0</v>
      </c>
      <c r="I96" s="125">
        <v>0</v>
      </c>
      <c r="J96" s="125">
        <v>0</v>
      </c>
      <c r="K96" s="125">
        <v>0</v>
      </c>
      <c r="L96" s="125">
        <v>0</v>
      </c>
      <c r="M96" s="125">
        <v>0</v>
      </c>
      <c r="N96" s="619">
        <v>0</v>
      </c>
    </row>
    <row r="97" spans="1:15" ht="15" hidden="1" outlineLevel="2" thickBot="1" x14ac:dyDescent="0.35">
      <c r="A97" s="722"/>
      <c r="B97" s="723"/>
      <c r="C97" s="723"/>
      <c r="D97" s="69" t="s">
        <v>34</v>
      </c>
      <c r="E97" s="66">
        <f t="shared" si="16"/>
        <v>0</v>
      </c>
      <c r="F97" s="126">
        <v>0</v>
      </c>
      <c r="G97" s="126">
        <v>0</v>
      </c>
      <c r="H97" s="126">
        <v>0</v>
      </c>
      <c r="I97" s="126">
        <v>0</v>
      </c>
      <c r="J97" s="126">
        <v>0</v>
      </c>
      <c r="K97" s="126">
        <v>0</v>
      </c>
      <c r="L97" s="126">
        <v>0</v>
      </c>
      <c r="M97" s="126">
        <v>0</v>
      </c>
      <c r="N97" s="620">
        <v>0</v>
      </c>
    </row>
    <row r="98" spans="1:15" ht="15" outlineLevel="1" thickBot="1" x14ac:dyDescent="0.35">
      <c r="A98" s="17" t="s">
        <v>111</v>
      </c>
      <c r="B98" s="17"/>
      <c r="C98" s="17"/>
      <c r="D98" s="28"/>
      <c r="E98" s="129">
        <f t="shared" ref="E98:F98" si="17">SUM(E99:E148)</f>
        <v>21890880</v>
      </c>
      <c r="F98" s="624">
        <f t="shared" si="17"/>
        <v>1601424.0000000002</v>
      </c>
      <c r="G98" s="624">
        <f t="shared" ref="G98:N98" si="18">SUM(G99:G148)</f>
        <v>1814947.1999999993</v>
      </c>
      <c r="H98" s="624">
        <f t="shared" si="18"/>
        <v>1441281.5999999994</v>
      </c>
      <c r="I98" s="624">
        <f t="shared" si="18"/>
        <v>1494662.4000000004</v>
      </c>
      <c r="J98" s="624">
        <f t="shared" si="18"/>
        <v>2028470.4000000006</v>
      </c>
      <c r="K98" s="624">
        <f t="shared" si="18"/>
        <v>907473.59999999963</v>
      </c>
      <c r="L98" s="624">
        <f t="shared" si="18"/>
        <v>640569.59999999963</v>
      </c>
      <c r="M98" s="624">
        <f t="shared" ref="M98" si="19">SUM(M99:M148)</f>
        <v>11214720</v>
      </c>
      <c r="N98" s="624">
        <f t="shared" si="18"/>
        <v>747331.20000000019</v>
      </c>
      <c r="O98" t="s">
        <v>451</v>
      </c>
    </row>
    <row r="99" spans="1:15" outlineLevel="2" x14ac:dyDescent="0.3">
      <c r="A99" s="722" t="s">
        <v>87</v>
      </c>
      <c r="B99" s="723" t="s">
        <v>85</v>
      </c>
      <c r="C99" s="723">
        <v>635009</v>
      </c>
      <c r="D99" s="67" t="s">
        <v>25</v>
      </c>
      <c r="E99" s="71">
        <f t="shared" ref="E99:E130" si="20">SUM(F99:N99)</f>
        <v>1512000</v>
      </c>
      <c r="F99" s="124">
        <v>0</v>
      </c>
      <c r="G99" s="124">
        <v>0</v>
      </c>
      <c r="H99" s="124">
        <v>0</v>
      </c>
      <c r="I99" s="124">
        <v>0</v>
      </c>
      <c r="J99" s="124">
        <v>0</v>
      </c>
      <c r="K99" s="124">
        <v>0</v>
      </c>
      <c r="L99" s="124">
        <v>0</v>
      </c>
      <c r="M99" s="124">
        <f>105000*12*1.2</f>
        <v>1512000</v>
      </c>
      <c r="N99" s="631">
        <v>0</v>
      </c>
    </row>
    <row r="100" spans="1:15" outlineLevel="2" x14ac:dyDescent="0.3">
      <c r="A100" s="722"/>
      <c r="B100" s="723"/>
      <c r="C100" s="723"/>
      <c r="D100" s="68" t="s">
        <v>26</v>
      </c>
      <c r="E100" s="72">
        <f t="shared" si="20"/>
        <v>1512000</v>
      </c>
      <c r="F100" s="125">
        <v>0</v>
      </c>
      <c r="G100" s="125">
        <v>0</v>
      </c>
      <c r="H100" s="125">
        <v>0</v>
      </c>
      <c r="I100" s="125">
        <v>0</v>
      </c>
      <c r="J100" s="125">
        <v>0</v>
      </c>
      <c r="K100" s="125">
        <v>0</v>
      </c>
      <c r="L100" s="125">
        <v>0</v>
      </c>
      <c r="M100" s="125">
        <f>105000*12*1.2</f>
        <v>1512000</v>
      </c>
      <c r="N100" s="632">
        <v>0</v>
      </c>
    </row>
    <row r="101" spans="1:15" outlineLevel="2" x14ac:dyDescent="0.3">
      <c r="A101" s="722"/>
      <c r="B101" s="723"/>
      <c r="C101" s="723"/>
      <c r="D101" s="68" t="s">
        <v>27</v>
      </c>
      <c r="E101" s="72">
        <f>SUM(F101:N101)</f>
        <v>1315800</v>
      </c>
      <c r="F101" s="125">
        <f>38875*12*F$3/SUM($E$3)*1.2</f>
        <v>83970.000000000015</v>
      </c>
      <c r="G101" s="125">
        <f t="shared" ref="G101:L108" si="21">38875*12*G$3/SUM($E$3)*1.2</f>
        <v>95166</v>
      </c>
      <c r="H101" s="125">
        <f t="shared" si="21"/>
        <v>75572.999999999985</v>
      </c>
      <c r="I101" s="125">
        <f t="shared" si="21"/>
        <v>78372</v>
      </c>
      <c r="J101" s="125">
        <f t="shared" si="21"/>
        <v>106362.00000000001</v>
      </c>
      <c r="K101" s="125">
        <f t="shared" si="21"/>
        <v>47583</v>
      </c>
      <c r="L101" s="125">
        <f t="shared" si="21"/>
        <v>33588</v>
      </c>
      <c r="M101" s="125">
        <f>M100*0.5</f>
        <v>756000</v>
      </c>
      <c r="N101" s="125">
        <f>38875*12*N$3/SUM($E$3)*1.2</f>
        <v>39186</v>
      </c>
      <c r="O101" s="617">
        <f>SUM(N101,F101:L101)</f>
        <v>559800</v>
      </c>
    </row>
    <row r="102" spans="1:15" outlineLevel="2" x14ac:dyDescent="0.3">
      <c r="A102" s="722"/>
      <c r="B102" s="723"/>
      <c r="C102" s="723"/>
      <c r="D102" s="68" t="s">
        <v>28</v>
      </c>
      <c r="E102" s="72">
        <f t="shared" si="20"/>
        <v>1315800</v>
      </c>
      <c r="F102" s="125">
        <f t="shared" ref="F102:F108" si="22">38875*12*F$3/SUM($E$3)*1.2</f>
        <v>83970.000000000015</v>
      </c>
      <c r="G102" s="125">
        <f t="shared" si="21"/>
        <v>95166</v>
      </c>
      <c r="H102" s="125">
        <f t="shared" si="21"/>
        <v>75572.999999999985</v>
      </c>
      <c r="I102" s="125">
        <f t="shared" si="21"/>
        <v>78372</v>
      </c>
      <c r="J102" s="125">
        <f t="shared" si="21"/>
        <v>106362.00000000001</v>
      </c>
      <c r="K102" s="125">
        <f t="shared" si="21"/>
        <v>47583</v>
      </c>
      <c r="L102" s="125">
        <f t="shared" si="21"/>
        <v>33588</v>
      </c>
      <c r="M102" s="125">
        <f>M101</f>
        <v>756000</v>
      </c>
      <c r="N102" s="125">
        <f t="shared" ref="N102:N108" si="23">38875*12*N$3/SUM($E$3)*1.2</f>
        <v>39186</v>
      </c>
      <c r="O102" s="617">
        <f t="shared" ref="O102:O108" si="24">SUM(N102,F102:L102)</f>
        <v>559800</v>
      </c>
    </row>
    <row r="103" spans="1:15" outlineLevel="2" x14ac:dyDescent="0.3">
      <c r="A103" s="722"/>
      <c r="B103" s="723"/>
      <c r="C103" s="723"/>
      <c r="D103" s="68" t="s">
        <v>29</v>
      </c>
      <c r="E103" s="72">
        <f t="shared" si="20"/>
        <v>1315800</v>
      </c>
      <c r="F103" s="125">
        <f t="shared" si="22"/>
        <v>83970.000000000015</v>
      </c>
      <c r="G103" s="125">
        <f t="shared" si="21"/>
        <v>95166</v>
      </c>
      <c r="H103" s="125">
        <f t="shared" si="21"/>
        <v>75572.999999999985</v>
      </c>
      <c r="I103" s="125">
        <f t="shared" si="21"/>
        <v>78372</v>
      </c>
      <c r="J103" s="125">
        <f t="shared" si="21"/>
        <v>106362.00000000001</v>
      </c>
      <c r="K103" s="125">
        <f t="shared" si="21"/>
        <v>47583</v>
      </c>
      <c r="L103" s="125">
        <f t="shared" si="21"/>
        <v>33588</v>
      </c>
      <c r="M103" s="125">
        <f t="shared" ref="M103:M108" si="25">M102</f>
        <v>756000</v>
      </c>
      <c r="N103" s="125">
        <f t="shared" si="23"/>
        <v>39186</v>
      </c>
      <c r="O103" s="617">
        <f t="shared" si="24"/>
        <v>559800</v>
      </c>
    </row>
    <row r="104" spans="1:15" outlineLevel="2" x14ac:dyDescent="0.3">
      <c r="A104" s="722"/>
      <c r="B104" s="723"/>
      <c r="C104" s="723"/>
      <c r="D104" s="68" t="s">
        <v>30</v>
      </c>
      <c r="E104" s="72">
        <f t="shared" si="20"/>
        <v>1315800</v>
      </c>
      <c r="F104" s="125">
        <f t="shared" si="22"/>
        <v>83970.000000000015</v>
      </c>
      <c r="G104" s="125">
        <f t="shared" si="21"/>
        <v>95166</v>
      </c>
      <c r="H104" s="125">
        <f t="shared" si="21"/>
        <v>75572.999999999985</v>
      </c>
      <c r="I104" s="125">
        <f t="shared" si="21"/>
        <v>78372</v>
      </c>
      <c r="J104" s="125">
        <f t="shared" si="21"/>
        <v>106362.00000000001</v>
      </c>
      <c r="K104" s="125">
        <f t="shared" si="21"/>
        <v>47583</v>
      </c>
      <c r="L104" s="125">
        <f t="shared" si="21"/>
        <v>33588</v>
      </c>
      <c r="M104" s="125">
        <f t="shared" si="25"/>
        <v>756000</v>
      </c>
      <c r="N104" s="125">
        <f t="shared" si="23"/>
        <v>39186</v>
      </c>
      <c r="O104" s="617">
        <f t="shared" si="24"/>
        <v>559800</v>
      </c>
    </row>
    <row r="105" spans="1:15" outlineLevel="2" x14ac:dyDescent="0.3">
      <c r="A105" s="722"/>
      <c r="B105" s="723"/>
      <c r="C105" s="723"/>
      <c r="D105" s="68" t="s">
        <v>31</v>
      </c>
      <c r="E105" s="72">
        <f t="shared" si="20"/>
        <v>1315800</v>
      </c>
      <c r="F105" s="125">
        <f t="shared" si="22"/>
        <v>83970.000000000015</v>
      </c>
      <c r="G105" s="125">
        <f t="shared" si="21"/>
        <v>95166</v>
      </c>
      <c r="H105" s="125">
        <f t="shared" si="21"/>
        <v>75572.999999999985</v>
      </c>
      <c r="I105" s="125">
        <f t="shared" si="21"/>
        <v>78372</v>
      </c>
      <c r="J105" s="125">
        <f t="shared" si="21"/>
        <v>106362.00000000001</v>
      </c>
      <c r="K105" s="125">
        <f t="shared" si="21"/>
        <v>47583</v>
      </c>
      <c r="L105" s="125">
        <f t="shared" si="21"/>
        <v>33588</v>
      </c>
      <c r="M105" s="125">
        <f t="shared" si="25"/>
        <v>756000</v>
      </c>
      <c r="N105" s="125">
        <f t="shared" si="23"/>
        <v>39186</v>
      </c>
      <c r="O105" s="617">
        <f t="shared" si="24"/>
        <v>559800</v>
      </c>
    </row>
    <row r="106" spans="1:15" outlineLevel="2" x14ac:dyDescent="0.3">
      <c r="A106" s="722"/>
      <c r="B106" s="723"/>
      <c r="C106" s="723"/>
      <c r="D106" s="68" t="s">
        <v>32</v>
      </c>
      <c r="E106" s="72">
        <f t="shared" si="20"/>
        <v>1315800</v>
      </c>
      <c r="F106" s="125">
        <f t="shared" si="22"/>
        <v>83970.000000000015</v>
      </c>
      <c r="G106" s="125">
        <f t="shared" si="21"/>
        <v>95166</v>
      </c>
      <c r="H106" s="125">
        <f t="shared" si="21"/>
        <v>75572.999999999985</v>
      </c>
      <c r="I106" s="125">
        <f t="shared" si="21"/>
        <v>78372</v>
      </c>
      <c r="J106" s="125">
        <f t="shared" si="21"/>
        <v>106362.00000000001</v>
      </c>
      <c r="K106" s="125">
        <f t="shared" si="21"/>
        <v>47583</v>
      </c>
      <c r="L106" s="125">
        <f t="shared" si="21"/>
        <v>33588</v>
      </c>
      <c r="M106" s="125">
        <f t="shared" si="25"/>
        <v>756000</v>
      </c>
      <c r="N106" s="125">
        <f t="shared" si="23"/>
        <v>39186</v>
      </c>
      <c r="O106" s="617">
        <f t="shared" si="24"/>
        <v>559800</v>
      </c>
    </row>
    <row r="107" spans="1:15" outlineLevel="2" x14ac:dyDescent="0.3">
      <c r="A107" s="722"/>
      <c r="B107" s="723"/>
      <c r="C107" s="723"/>
      <c r="D107" s="68" t="s">
        <v>33</v>
      </c>
      <c r="E107" s="72">
        <f t="shared" si="20"/>
        <v>1315800</v>
      </c>
      <c r="F107" s="125">
        <f t="shared" si="22"/>
        <v>83970.000000000015</v>
      </c>
      <c r="G107" s="125">
        <f t="shared" si="21"/>
        <v>95166</v>
      </c>
      <c r="H107" s="125">
        <f t="shared" si="21"/>
        <v>75572.999999999985</v>
      </c>
      <c r="I107" s="125">
        <f t="shared" si="21"/>
        <v>78372</v>
      </c>
      <c r="J107" s="125">
        <f t="shared" si="21"/>
        <v>106362.00000000001</v>
      </c>
      <c r="K107" s="125">
        <f t="shared" si="21"/>
        <v>47583</v>
      </c>
      <c r="L107" s="125">
        <f t="shared" si="21"/>
        <v>33588</v>
      </c>
      <c r="M107" s="125">
        <f t="shared" si="25"/>
        <v>756000</v>
      </c>
      <c r="N107" s="125">
        <f t="shared" si="23"/>
        <v>39186</v>
      </c>
      <c r="O107" s="617">
        <f t="shared" si="24"/>
        <v>559800</v>
      </c>
    </row>
    <row r="108" spans="1:15" ht="15" outlineLevel="2" thickBot="1" x14ac:dyDescent="0.35">
      <c r="A108" s="722"/>
      <c r="B108" s="723"/>
      <c r="C108" s="723"/>
      <c r="D108" s="69" t="s">
        <v>34</v>
      </c>
      <c r="E108" s="73">
        <f t="shared" si="20"/>
        <v>1315800</v>
      </c>
      <c r="F108" s="125">
        <f t="shared" si="22"/>
        <v>83970.000000000015</v>
      </c>
      <c r="G108" s="125">
        <f t="shared" si="21"/>
        <v>95166</v>
      </c>
      <c r="H108" s="125">
        <f t="shared" si="21"/>
        <v>75572.999999999985</v>
      </c>
      <c r="I108" s="125">
        <f t="shared" si="21"/>
        <v>78372</v>
      </c>
      <c r="J108" s="125">
        <f t="shared" si="21"/>
        <v>106362.00000000001</v>
      </c>
      <c r="K108" s="125">
        <f t="shared" si="21"/>
        <v>47583</v>
      </c>
      <c r="L108" s="125">
        <f t="shared" si="21"/>
        <v>33588</v>
      </c>
      <c r="M108" s="126">
        <f t="shared" si="25"/>
        <v>756000</v>
      </c>
      <c r="N108" s="125">
        <f t="shared" si="23"/>
        <v>39186</v>
      </c>
      <c r="O108" s="617">
        <f t="shared" si="24"/>
        <v>559800</v>
      </c>
    </row>
    <row r="109" spans="1:15" outlineLevel="2" x14ac:dyDescent="0.3">
      <c r="A109" s="722" t="s">
        <v>88</v>
      </c>
      <c r="B109" s="723" t="s">
        <v>82</v>
      </c>
      <c r="C109" s="723">
        <v>637005</v>
      </c>
      <c r="D109" s="67" t="s">
        <v>25</v>
      </c>
      <c r="E109" s="71">
        <f t="shared" si="20"/>
        <v>0</v>
      </c>
      <c r="F109" s="115">
        <v>0</v>
      </c>
      <c r="G109" s="115">
        <v>0</v>
      </c>
      <c r="H109" s="115">
        <v>0</v>
      </c>
      <c r="I109" s="115">
        <v>0</v>
      </c>
      <c r="J109" s="115">
        <v>0</v>
      </c>
      <c r="K109" s="115">
        <v>0</v>
      </c>
      <c r="L109" s="115">
        <v>0</v>
      </c>
      <c r="M109" s="115">
        <v>0</v>
      </c>
      <c r="N109" s="621">
        <v>0</v>
      </c>
    </row>
    <row r="110" spans="1:15" outlineLevel="2" x14ac:dyDescent="0.3">
      <c r="A110" s="722"/>
      <c r="B110" s="723"/>
      <c r="C110" s="723"/>
      <c r="D110" s="68" t="s">
        <v>26</v>
      </c>
      <c r="E110" s="72">
        <f t="shared" si="20"/>
        <v>0</v>
      </c>
      <c r="F110" s="118">
        <v>0</v>
      </c>
      <c r="G110" s="118">
        <v>0</v>
      </c>
      <c r="H110" s="118">
        <v>0</v>
      </c>
      <c r="I110" s="118">
        <v>0</v>
      </c>
      <c r="J110" s="118">
        <v>0</v>
      </c>
      <c r="K110" s="118">
        <v>0</v>
      </c>
      <c r="L110" s="118">
        <v>0</v>
      </c>
      <c r="M110" s="118">
        <v>0</v>
      </c>
      <c r="N110" s="622">
        <v>0</v>
      </c>
    </row>
    <row r="111" spans="1:15" outlineLevel="2" x14ac:dyDescent="0.3">
      <c r="A111" s="722"/>
      <c r="B111" s="723"/>
      <c r="C111" s="723"/>
      <c r="D111" s="68" t="s">
        <v>27</v>
      </c>
      <c r="E111" s="72">
        <f t="shared" si="20"/>
        <v>0</v>
      </c>
      <c r="F111" s="118">
        <v>0</v>
      </c>
      <c r="G111" s="118">
        <v>0</v>
      </c>
      <c r="H111" s="118">
        <v>0</v>
      </c>
      <c r="I111" s="118">
        <v>0</v>
      </c>
      <c r="J111" s="118">
        <v>0</v>
      </c>
      <c r="K111" s="118">
        <v>0</v>
      </c>
      <c r="L111" s="118">
        <v>0</v>
      </c>
      <c r="M111" s="118">
        <v>0</v>
      </c>
      <c r="N111" s="622">
        <v>0</v>
      </c>
    </row>
    <row r="112" spans="1:15" outlineLevel="2" x14ac:dyDescent="0.3">
      <c r="A112" s="722"/>
      <c r="B112" s="723"/>
      <c r="C112" s="723"/>
      <c r="D112" s="68" t="s">
        <v>28</v>
      </c>
      <c r="E112" s="72">
        <f t="shared" si="20"/>
        <v>0</v>
      </c>
      <c r="F112" s="118">
        <v>0</v>
      </c>
      <c r="G112" s="118">
        <v>0</v>
      </c>
      <c r="H112" s="118">
        <v>0</v>
      </c>
      <c r="I112" s="118">
        <v>0</v>
      </c>
      <c r="J112" s="118">
        <v>0</v>
      </c>
      <c r="K112" s="118">
        <v>0</v>
      </c>
      <c r="L112" s="118">
        <v>0</v>
      </c>
      <c r="M112" s="118">
        <v>0</v>
      </c>
      <c r="N112" s="622">
        <v>0</v>
      </c>
    </row>
    <row r="113" spans="1:15" outlineLevel="2" x14ac:dyDescent="0.3">
      <c r="A113" s="722"/>
      <c r="B113" s="723"/>
      <c r="C113" s="723"/>
      <c r="D113" s="68" t="s">
        <v>29</v>
      </c>
      <c r="E113" s="72">
        <f t="shared" si="20"/>
        <v>0</v>
      </c>
      <c r="F113" s="118">
        <v>0</v>
      </c>
      <c r="G113" s="118">
        <v>0</v>
      </c>
      <c r="H113" s="118">
        <v>0</v>
      </c>
      <c r="I113" s="118">
        <v>0</v>
      </c>
      <c r="J113" s="118">
        <v>0</v>
      </c>
      <c r="K113" s="118">
        <v>0</v>
      </c>
      <c r="L113" s="118">
        <v>0</v>
      </c>
      <c r="M113" s="118">
        <v>0</v>
      </c>
      <c r="N113" s="622">
        <v>0</v>
      </c>
    </row>
    <row r="114" spans="1:15" outlineLevel="2" x14ac:dyDescent="0.3">
      <c r="A114" s="722"/>
      <c r="B114" s="723"/>
      <c r="C114" s="723"/>
      <c r="D114" s="68" t="s">
        <v>30</v>
      </c>
      <c r="E114" s="72">
        <f t="shared" si="20"/>
        <v>0</v>
      </c>
      <c r="F114" s="118">
        <v>0</v>
      </c>
      <c r="G114" s="118">
        <v>0</v>
      </c>
      <c r="H114" s="118">
        <v>0</v>
      </c>
      <c r="I114" s="118">
        <v>0</v>
      </c>
      <c r="J114" s="118">
        <v>0</v>
      </c>
      <c r="K114" s="118">
        <v>0</v>
      </c>
      <c r="L114" s="118">
        <v>0</v>
      </c>
      <c r="M114" s="118">
        <v>0</v>
      </c>
      <c r="N114" s="622">
        <v>0</v>
      </c>
    </row>
    <row r="115" spans="1:15" outlineLevel="2" x14ac:dyDescent="0.3">
      <c r="A115" s="722"/>
      <c r="B115" s="723"/>
      <c r="C115" s="723"/>
      <c r="D115" s="68" t="s">
        <v>31</v>
      </c>
      <c r="E115" s="72">
        <f t="shared" si="20"/>
        <v>0</v>
      </c>
      <c r="F115" s="118">
        <v>0</v>
      </c>
      <c r="G115" s="118">
        <v>0</v>
      </c>
      <c r="H115" s="118">
        <v>0</v>
      </c>
      <c r="I115" s="118">
        <v>0</v>
      </c>
      <c r="J115" s="118">
        <v>0</v>
      </c>
      <c r="K115" s="118">
        <v>0</v>
      </c>
      <c r="L115" s="118">
        <v>0</v>
      </c>
      <c r="M115" s="118">
        <v>0</v>
      </c>
      <c r="N115" s="622">
        <v>0</v>
      </c>
    </row>
    <row r="116" spans="1:15" outlineLevel="2" x14ac:dyDescent="0.3">
      <c r="A116" s="722"/>
      <c r="B116" s="723"/>
      <c r="C116" s="723"/>
      <c r="D116" s="68" t="s">
        <v>32</v>
      </c>
      <c r="E116" s="72">
        <f t="shared" si="20"/>
        <v>0</v>
      </c>
      <c r="F116" s="118">
        <v>0</v>
      </c>
      <c r="G116" s="118">
        <v>0</v>
      </c>
      <c r="H116" s="118">
        <v>0</v>
      </c>
      <c r="I116" s="118">
        <v>0</v>
      </c>
      <c r="J116" s="118">
        <v>0</v>
      </c>
      <c r="K116" s="118">
        <v>0</v>
      </c>
      <c r="L116" s="118">
        <v>0</v>
      </c>
      <c r="M116" s="118">
        <v>0</v>
      </c>
      <c r="N116" s="622">
        <v>0</v>
      </c>
    </row>
    <row r="117" spans="1:15" outlineLevel="2" x14ac:dyDescent="0.3">
      <c r="A117" s="722"/>
      <c r="B117" s="723"/>
      <c r="C117" s="723"/>
      <c r="D117" s="68" t="s">
        <v>33</v>
      </c>
      <c r="E117" s="72">
        <f t="shared" si="20"/>
        <v>0</v>
      </c>
      <c r="F117" s="118">
        <v>0</v>
      </c>
      <c r="G117" s="118">
        <v>0</v>
      </c>
      <c r="H117" s="118">
        <v>0</v>
      </c>
      <c r="I117" s="118">
        <v>0</v>
      </c>
      <c r="J117" s="118">
        <v>0</v>
      </c>
      <c r="K117" s="118">
        <v>0</v>
      </c>
      <c r="L117" s="118">
        <v>0</v>
      </c>
      <c r="M117" s="118">
        <v>0</v>
      </c>
      <c r="N117" s="622">
        <v>0</v>
      </c>
    </row>
    <row r="118" spans="1:15" ht="15" outlineLevel="2" thickBot="1" x14ac:dyDescent="0.35">
      <c r="A118" s="722"/>
      <c r="B118" s="723"/>
      <c r="C118" s="723"/>
      <c r="D118" s="69" t="s">
        <v>34</v>
      </c>
      <c r="E118" s="73">
        <f t="shared" si="20"/>
        <v>0</v>
      </c>
      <c r="F118" s="121">
        <v>0</v>
      </c>
      <c r="G118" s="121">
        <v>0</v>
      </c>
      <c r="H118" s="121">
        <v>0</v>
      </c>
      <c r="I118" s="121">
        <v>0</v>
      </c>
      <c r="J118" s="121">
        <v>0</v>
      </c>
      <c r="K118" s="121">
        <v>0</v>
      </c>
      <c r="L118" s="121">
        <v>0</v>
      </c>
      <c r="M118" s="121">
        <v>0</v>
      </c>
      <c r="N118" s="623">
        <v>0</v>
      </c>
    </row>
    <row r="119" spans="1:15" outlineLevel="2" x14ac:dyDescent="0.3">
      <c r="A119" s="722" t="s">
        <v>89</v>
      </c>
      <c r="B119" s="723" t="s">
        <v>77</v>
      </c>
      <c r="C119" s="723">
        <v>718006</v>
      </c>
      <c r="D119" s="67" t="s">
        <v>25</v>
      </c>
      <c r="E119" s="71">
        <f t="shared" si="20"/>
        <v>336000</v>
      </c>
      <c r="F119" s="124">
        <v>0</v>
      </c>
      <c r="G119" s="124">
        <v>0</v>
      </c>
      <c r="H119" s="124">
        <v>0</v>
      </c>
      <c r="I119" s="124">
        <v>0</v>
      </c>
      <c r="J119" s="124">
        <v>0</v>
      </c>
      <c r="K119" s="124">
        <v>0</v>
      </c>
      <c r="L119" s="124">
        <v>0</v>
      </c>
      <c r="M119" s="124">
        <f>350*800*1.2</f>
        <v>336000</v>
      </c>
      <c r="N119" s="631">
        <v>0</v>
      </c>
      <c r="O119" t="s">
        <v>450</v>
      </c>
    </row>
    <row r="120" spans="1:15" outlineLevel="2" x14ac:dyDescent="0.3">
      <c r="A120" s="722"/>
      <c r="B120" s="723"/>
      <c r="C120" s="723"/>
      <c r="D120" s="68" t="s">
        <v>26</v>
      </c>
      <c r="E120" s="72">
        <f t="shared" si="20"/>
        <v>336000</v>
      </c>
      <c r="F120" s="125">
        <v>0</v>
      </c>
      <c r="G120" s="125">
        <v>0</v>
      </c>
      <c r="H120" s="125">
        <v>0</v>
      </c>
      <c r="I120" s="125">
        <v>0</v>
      </c>
      <c r="J120" s="125">
        <v>0</v>
      </c>
      <c r="K120" s="125">
        <v>0</v>
      </c>
      <c r="L120" s="125">
        <v>0</v>
      </c>
      <c r="M120" s="125">
        <f>350*800*1.2</f>
        <v>336000</v>
      </c>
      <c r="N120" s="632">
        <v>0</v>
      </c>
    </row>
    <row r="121" spans="1:15" outlineLevel="2" x14ac:dyDescent="0.3">
      <c r="A121" s="722"/>
      <c r="B121" s="723"/>
      <c r="C121" s="723"/>
      <c r="D121" s="68" t="s">
        <v>27</v>
      </c>
      <c r="E121" s="72">
        <f>SUM(F121:N121)</f>
        <v>816000</v>
      </c>
      <c r="F121" s="125">
        <f>6000*450*1.2/5*F$3/$E$3</f>
        <v>97200.000000000015</v>
      </c>
      <c r="G121" s="125">
        <f t="shared" ref="G121:L128" si="26">6000*450*1.2/5*G$3/$E$3</f>
        <v>110160</v>
      </c>
      <c r="H121" s="125">
        <f t="shared" si="26"/>
        <v>87479.999999999985</v>
      </c>
      <c r="I121" s="125">
        <f t="shared" si="26"/>
        <v>90720.000000000015</v>
      </c>
      <c r="J121" s="125">
        <f t="shared" si="26"/>
        <v>123120.00000000001</v>
      </c>
      <c r="K121" s="125">
        <f t="shared" si="26"/>
        <v>55080</v>
      </c>
      <c r="L121" s="125">
        <f t="shared" si="26"/>
        <v>38880.000000000007</v>
      </c>
      <c r="M121" s="125">
        <f>M120*0.5</f>
        <v>168000</v>
      </c>
      <c r="N121" s="632">
        <f>6000*450*1.2/5*N$3/$E$3</f>
        <v>45360.000000000007</v>
      </c>
      <c r="O121" s="617">
        <f>SUM(F121:L121,N121)</f>
        <v>648000</v>
      </c>
    </row>
    <row r="122" spans="1:15" outlineLevel="2" x14ac:dyDescent="0.3">
      <c r="A122" s="722"/>
      <c r="B122" s="723"/>
      <c r="C122" s="723"/>
      <c r="D122" s="68" t="s">
        <v>28</v>
      </c>
      <c r="E122" s="72">
        <f t="shared" si="20"/>
        <v>816000</v>
      </c>
      <c r="F122" s="125">
        <f t="shared" ref="F122:F128" si="27">6000*450*1.2/5*F$3/$E$3</f>
        <v>97200.000000000015</v>
      </c>
      <c r="G122" s="125">
        <f t="shared" si="26"/>
        <v>110160</v>
      </c>
      <c r="H122" s="125">
        <f t="shared" si="26"/>
        <v>87479.999999999985</v>
      </c>
      <c r="I122" s="125">
        <f t="shared" si="26"/>
        <v>90720.000000000015</v>
      </c>
      <c r="J122" s="125">
        <f t="shared" si="26"/>
        <v>123120.00000000001</v>
      </c>
      <c r="K122" s="125">
        <f t="shared" si="26"/>
        <v>55080</v>
      </c>
      <c r="L122" s="125">
        <f t="shared" si="26"/>
        <v>38880.000000000007</v>
      </c>
      <c r="M122" s="125">
        <f>M121</f>
        <v>168000</v>
      </c>
      <c r="N122" s="632">
        <f t="shared" ref="N122:N128" si="28">6000*450*1.2/5*N$3/$E$3</f>
        <v>45360.000000000007</v>
      </c>
      <c r="O122" s="617">
        <f t="shared" ref="O122:O128" si="29">SUM(F122:L122,N122)</f>
        <v>648000</v>
      </c>
    </row>
    <row r="123" spans="1:15" outlineLevel="2" x14ac:dyDescent="0.3">
      <c r="A123" s="722"/>
      <c r="B123" s="723"/>
      <c r="C123" s="723"/>
      <c r="D123" s="68" t="s">
        <v>29</v>
      </c>
      <c r="E123" s="72">
        <f t="shared" si="20"/>
        <v>816000</v>
      </c>
      <c r="F123" s="125">
        <f t="shared" si="27"/>
        <v>97200.000000000015</v>
      </c>
      <c r="G123" s="125">
        <f t="shared" si="26"/>
        <v>110160</v>
      </c>
      <c r="H123" s="125">
        <f t="shared" si="26"/>
        <v>87479.999999999985</v>
      </c>
      <c r="I123" s="125">
        <f t="shared" si="26"/>
        <v>90720.000000000015</v>
      </c>
      <c r="J123" s="125">
        <f t="shared" si="26"/>
        <v>123120.00000000001</v>
      </c>
      <c r="K123" s="125">
        <f t="shared" si="26"/>
        <v>55080</v>
      </c>
      <c r="L123" s="125">
        <f t="shared" si="26"/>
        <v>38880.000000000007</v>
      </c>
      <c r="M123" s="125">
        <f t="shared" ref="M123:M128" si="30">M122</f>
        <v>168000</v>
      </c>
      <c r="N123" s="632">
        <f t="shared" si="28"/>
        <v>45360.000000000007</v>
      </c>
      <c r="O123" s="617">
        <f t="shared" si="29"/>
        <v>648000</v>
      </c>
    </row>
    <row r="124" spans="1:15" outlineLevel="2" x14ac:dyDescent="0.3">
      <c r="A124" s="722"/>
      <c r="B124" s="723"/>
      <c r="C124" s="723"/>
      <c r="D124" s="68" t="s">
        <v>30</v>
      </c>
      <c r="E124" s="72">
        <f t="shared" si="20"/>
        <v>816000</v>
      </c>
      <c r="F124" s="125">
        <f t="shared" si="27"/>
        <v>97200.000000000015</v>
      </c>
      <c r="G124" s="125">
        <f t="shared" si="26"/>
        <v>110160</v>
      </c>
      <c r="H124" s="125">
        <f t="shared" si="26"/>
        <v>87479.999999999985</v>
      </c>
      <c r="I124" s="125">
        <f t="shared" si="26"/>
        <v>90720.000000000015</v>
      </c>
      <c r="J124" s="125">
        <f t="shared" si="26"/>
        <v>123120.00000000001</v>
      </c>
      <c r="K124" s="125">
        <f t="shared" si="26"/>
        <v>55080</v>
      </c>
      <c r="L124" s="125">
        <f t="shared" si="26"/>
        <v>38880.000000000007</v>
      </c>
      <c r="M124" s="125">
        <f t="shared" si="30"/>
        <v>168000</v>
      </c>
      <c r="N124" s="632">
        <f t="shared" si="28"/>
        <v>45360.000000000007</v>
      </c>
      <c r="O124" s="617">
        <f t="shared" si="29"/>
        <v>648000</v>
      </c>
    </row>
    <row r="125" spans="1:15" outlineLevel="2" x14ac:dyDescent="0.3">
      <c r="A125" s="722"/>
      <c r="B125" s="723"/>
      <c r="C125" s="723"/>
      <c r="D125" s="68" t="s">
        <v>31</v>
      </c>
      <c r="E125" s="72">
        <f t="shared" si="20"/>
        <v>816000</v>
      </c>
      <c r="F125" s="125">
        <f t="shared" si="27"/>
        <v>97200.000000000015</v>
      </c>
      <c r="G125" s="125">
        <f t="shared" si="26"/>
        <v>110160</v>
      </c>
      <c r="H125" s="125">
        <f t="shared" si="26"/>
        <v>87479.999999999985</v>
      </c>
      <c r="I125" s="125">
        <f t="shared" si="26"/>
        <v>90720.000000000015</v>
      </c>
      <c r="J125" s="125">
        <f t="shared" si="26"/>
        <v>123120.00000000001</v>
      </c>
      <c r="K125" s="125">
        <f t="shared" si="26"/>
        <v>55080</v>
      </c>
      <c r="L125" s="125">
        <f t="shared" si="26"/>
        <v>38880.000000000007</v>
      </c>
      <c r="M125" s="125">
        <f t="shared" si="30"/>
        <v>168000</v>
      </c>
      <c r="N125" s="632">
        <f t="shared" si="28"/>
        <v>45360.000000000007</v>
      </c>
      <c r="O125" s="617">
        <f t="shared" si="29"/>
        <v>648000</v>
      </c>
    </row>
    <row r="126" spans="1:15" outlineLevel="2" x14ac:dyDescent="0.3">
      <c r="A126" s="722"/>
      <c r="B126" s="723"/>
      <c r="C126" s="723"/>
      <c r="D126" s="68" t="s">
        <v>32</v>
      </c>
      <c r="E126" s="72">
        <f t="shared" si="20"/>
        <v>816000</v>
      </c>
      <c r="F126" s="125">
        <f t="shared" si="27"/>
        <v>97200.000000000015</v>
      </c>
      <c r="G126" s="125">
        <f t="shared" si="26"/>
        <v>110160</v>
      </c>
      <c r="H126" s="125">
        <f t="shared" si="26"/>
        <v>87479.999999999985</v>
      </c>
      <c r="I126" s="125">
        <f t="shared" si="26"/>
        <v>90720.000000000015</v>
      </c>
      <c r="J126" s="125">
        <f t="shared" si="26"/>
        <v>123120.00000000001</v>
      </c>
      <c r="K126" s="125">
        <f t="shared" si="26"/>
        <v>55080</v>
      </c>
      <c r="L126" s="125">
        <f t="shared" si="26"/>
        <v>38880.000000000007</v>
      </c>
      <c r="M126" s="125">
        <f t="shared" si="30"/>
        <v>168000</v>
      </c>
      <c r="N126" s="632">
        <f t="shared" si="28"/>
        <v>45360.000000000007</v>
      </c>
      <c r="O126" s="617">
        <f t="shared" si="29"/>
        <v>648000</v>
      </c>
    </row>
    <row r="127" spans="1:15" outlineLevel="2" x14ac:dyDescent="0.3">
      <c r="A127" s="722"/>
      <c r="B127" s="723"/>
      <c r="C127" s="723"/>
      <c r="D127" s="68" t="s">
        <v>33</v>
      </c>
      <c r="E127" s="72">
        <f t="shared" si="20"/>
        <v>816000</v>
      </c>
      <c r="F127" s="125">
        <f t="shared" si="27"/>
        <v>97200.000000000015</v>
      </c>
      <c r="G127" s="125">
        <f t="shared" si="26"/>
        <v>110160</v>
      </c>
      <c r="H127" s="125">
        <f t="shared" si="26"/>
        <v>87479.999999999985</v>
      </c>
      <c r="I127" s="125">
        <f t="shared" si="26"/>
        <v>90720.000000000015</v>
      </c>
      <c r="J127" s="125">
        <f t="shared" si="26"/>
        <v>123120.00000000001</v>
      </c>
      <c r="K127" s="125">
        <f t="shared" si="26"/>
        <v>55080</v>
      </c>
      <c r="L127" s="125">
        <f t="shared" si="26"/>
        <v>38880.000000000007</v>
      </c>
      <c r="M127" s="125">
        <f t="shared" si="30"/>
        <v>168000</v>
      </c>
      <c r="N127" s="632">
        <f t="shared" si="28"/>
        <v>45360.000000000007</v>
      </c>
      <c r="O127" s="617">
        <f t="shared" si="29"/>
        <v>648000</v>
      </c>
    </row>
    <row r="128" spans="1:15" ht="15" outlineLevel="2" thickBot="1" x14ac:dyDescent="0.35">
      <c r="A128" s="722"/>
      <c r="B128" s="723"/>
      <c r="C128" s="723"/>
      <c r="D128" s="69" t="s">
        <v>34</v>
      </c>
      <c r="E128" s="73">
        <f t="shared" si="20"/>
        <v>816000</v>
      </c>
      <c r="F128" s="125">
        <f t="shared" si="27"/>
        <v>97200.000000000015</v>
      </c>
      <c r="G128" s="125">
        <f t="shared" si="26"/>
        <v>110160</v>
      </c>
      <c r="H128" s="125">
        <f t="shared" si="26"/>
        <v>87479.999999999985</v>
      </c>
      <c r="I128" s="125">
        <f t="shared" si="26"/>
        <v>90720.000000000015</v>
      </c>
      <c r="J128" s="125">
        <f t="shared" si="26"/>
        <v>123120.00000000001</v>
      </c>
      <c r="K128" s="125">
        <f t="shared" si="26"/>
        <v>55080</v>
      </c>
      <c r="L128" s="125">
        <f t="shared" si="26"/>
        <v>38880.000000000007</v>
      </c>
      <c r="M128" s="125">
        <f t="shared" si="30"/>
        <v>168000</v>
      </c>
      <c r="N128" s="633">
        <f t="shared" si="28"/>
        <v>45360.000000000007</v>
      </c>
      <c r="O128" s="617">
        <f t="shared" si="29"/>
        <v>648000</v>
      </c>
    </row>
    <row r="129" spans="1:14" outlineLevel="2" x14ac:dyDescent="0.3">
      <c r="A129" s="722" t="s">
        <v>90</v>
      </c>
      <c r="B129" s="723" t="s">
        <v>91</v>
      </c>
      <c r="C129" s="723">
        <v>610</v>
      </c>
      <c r="D129" s="67" t="s">
        <v>25</v>
      </c>
      <c r="E129" s="71">
        <f t="shared" si="20"/>
        <v>63360</v>
      </c>
      <c r="F129" s="115">
        <v>0</v>
      </c>
      <c r="G129" s="115">
        <v>0</v>
      </c>
      <c r="H129" s="115">
        <v>0</v>
      </c>
      <c r="I129" s="115">
        <v>0</v>
      </c>
      <c r="J129" s="115">
        <v>0</v>
      </c>
      <c r="K129" s="115">
        <v>0</v>
      </c>
      <c r="L129" s="115">
        <v>0</v>
      </c>
      <c r="M129" s="115">
        <v>63360</v>
      </c>
      <c r="N129" s="621">
        <v>0</v>
      </c>
    </row>
    <row r="130" spans="1:14" outlineLevel="2" x14ac:dyDescent="0.3">
      <c r="A130" s="722"/>
      <c r="B130" s="723"/>
      <c r="C130" s="723"/>
      <c r="D130" s="68" t="s">
        <v>26</v>
      </c>
      <c r="E130" s="72">
        <f t="shared" si="20"/>
        <v>63360</v>
      </c>
      <c r="F130" s="118">
        <v>0</v>
      </c>
      <c r="G130" s="118">
        <v>0</v>
      </c>
      <c r="H130" s="118">
        <v>0</v>
      </c>
      <c r="I130" s="118">
        <v>0</v>
      </c>
      <c r="J130" s="118">
        <v>0</v>
      </c>
      <c r="K130" s="118">
        <v>0</v>
      </c>
      <c r="L130" s="118">
        <v>0</v>
      </c>
      <c r="M130" s="118">
        <v>63360</v>
      </c>
      <c r="N130" s="622">
        <v>0</v>
      </c>
    </row>
    <row r="131" spans="1:14" outlineLevel="2" x14ac:dyDescent="0.3">
      <c r="A131" s="722"/>
      <c r="B131" s="723"/>
      <c r="C131" s="723"/>
      <c r="D131" s="68" t="s">
        <v>27</v>
      </c>
      <c r="E131" s="72">
        <f t="shared" ref="E131:E148" si="31">SUM(F131:N131)</f>
        <v>126719.99999999999</v>
      </c>
      <c r="F131" s="118">
        <f t="shared" ref="F131:L138" si="32">6*12*160*11*F$3/SUM($F$3:$N$3)</f>
        <v>19008</v>
      </c>
      <c r="G131" s="118">
        <f t="shared" si="32"/>
        <v>21542.400000000001</v>
      </c>
      <c r="H131" s="118">
        <f t="shared" si="32"/>
        <v>17107.199999999997</v>
      </c>
      <c r="I131" s="118">
        <f t="shared" si="32"/>
        <v>17740.8</v>
      </c>
      <c r="J131" s="118">
        <f t="shared" si="32"/>
        <v>24076.800000000003</v>
      </c>
      <c r="K131" s="118">
        <f t="shared" si="32"/>
        <v>10771.2</v>
      </c>
      <c r="L131" s="118">
        <f t="shared" si="32"/>
        <v>7603.2</v>
      </c>
      <c r="M131" s="118">
        <v>0</v>
      </c>
      <c r="N131" s="622">
        <f t="shared" ref="N131:N138" si="33">6*12*160*11*N$3/SUM($F$3:$N$3)</f>
        <v>8870.4</v>
      </c>
    </row>
    <row r="132" spans="1:14" outlineLevel="2" x14ac:dyDescent="0.3">
      <c r="A132" s="722"/>
      <c r="B132" s="723"/>
      <c r="C132" s="723"/>
      <c r="D132" s="68" t="s">
        <v>28</v>
      </c>
      <c r="E132" s="72">
        <f t="shared" si="31"/>
        <v>126719.99999999999</v>
      </c>
      <c r="F132" s="118">
        <f t="shared" si="32"/>
        <v>19008</v>
      </c>
      <c r="G132" s="118">
        <f t="shared" si="32"/>
        <v>21542.400000000001</v>
      </c>
      <c r="H132" s="118">
        <f t="shared" si="32"/>
        <v>17107.199999999997</v>
      </c>
      <c r="I132" s="118">
        <f t="shared" si="32"/>
        <v>17740.8</v>
      </c>
      <c r="J132" s="118">
        <f t="shared" si="32"/>
        <v>24076.800000000003</v>
      </c>
      <c r="K132" s="118">
        <f t="shared" si="32"/>
        <v>10771.2</v>
      </c>
      <c r="L132" s="118">
        <f t="shared" si="32"/>
        <v>7603.2</v>
      </c>
      <c r="M132" s="118">
        <v>0</v>
      </c>
      <c r="N132" s="622">
        <f t="shared" si="33"/>
        <v>8870.4</v>
      </c>
    </row>
    <row r="133" spans="1:14" outlineLevel="2" x14ac:dyDescent="0.3">
      <c r="A133" s="722"/>
      <c r="B133" s="723"/>
      <c r="C133" s="723"/>
      <c r="D133" s="68" t="s">
        <v>29</v>
      </c>
      <c r="E133" s="72">
        <f t="shared" si="31"/>
        <v>126719.99999999999</v>
      </c>
      <c r="F133" s="118">
        <f t="shared" si="32"/>
        <v>19008</v>
      </c>
      <c r="G133" s="118">
        <f t="shared" si="32"/>
        <v>21542.400000000001</v>
      </c>
      <c r="H133" s="118">
        <f t="shared" si="32"/>
        <v>17107.199999999997</v>
      </c>
      <c r="I133" s="118">
        <f t="shared" si="32"/>
        <v>17740.8</v>
      </c>
      <c r="J133" s="118">
        <f t="shared" si="32"/>
        <v>24076.800000000003</v>
      </c>
      <c r="K133" s="118">
        <f t="shared" si="32"/>
        <v>10771.2</v>
      </c>
      <c r="L133" s="118">
        <f t="shared" si="32"/>
        <v>7603.2</v>
      </c>
      <c r="M133" s="118">
        <v>0</v>
      </c>
      <c r="N133" s="622">
        <f t="shared" si="33"/>
        <v>8870.4</v>
      </c>
    </row>
    <row r="134" spans="1:14" outlineLevel="2" x14ac:dyDescent="0.3">
      <c r="A134" s="722"/>
      <c r="B134" s="723"/>
      <c r="C134" s="723"/>
      <c r="D134" s="68" t="s">
        <v>30</v>
      </c>
      <c r="E134" s="72">
        <f t="shared" si="31"/>
        <v>126719.99999999999</v>
      </c>
      <c r="F134" s="118">
        <f t="shared" si="32"/>
        <v>19008</v>
      </c>
      <c r="G134" s="118">
        <f t="shared" si="32"/>
        <v>21542.400000000001</v>
      </c>
      <c r="H134" s="118">
        <f t="shared" si="32"/>
        <v>17107.199999999997</v>
      </c>
      <c r="I134" s="118">
        <f t="shared" si="32"/>
        <v>17740.8</v>
      </c>
      <c r="J134" s="118">
        <f t="shared" si="32"/>
        <v>24076.800000000003</v>
      </c>
      <c r="K134" s="118">
        <f t="shared" si="32"/>
        <v>10771.2</v>
      </c>
      <c r="L134" s="118">
        <f t="shared" si="32"/>
        <v>7603.2</v>
      </c>
      <c r="M134" s="118">
        <v>0</v>
      </c>
      <c r="N134" s="622">
        <f t="shared" si="33"/>
        <v>8870.4</v>
      </c>
    </row>
    <row r="135" spans="1:14" outlineLevel="2" x14ac:dyDescent="0.3">
      <c r="A135" s="722"/>
      <c r="B135" s="723"/>
      <c r="C135" s="723"/>
      <c r="D135" s="68" t="s">
        <v>31</v>
      </c>
      <c r="E135" s="72">
        <f t="shared" si="31"/>
        <v>126719.99999999999</v>
      </c>
      <c r="F135" s="118">
        <f t="shared" si="32"/>
        <v>19008</v>
      </c>
      <c r="G135" s="118">
        <f t="shared" si="32"/>
        <v>21542.400000000001</v>
      </c>
      <c r="H135" s="118">
        <f t="shared" si="32"/>
        <v>17107.199999999997</v>
      </c>
      <c r="I135" s="118">
        <f t="shared" si="32"/>
        <v>17740.8</v>
      </c>
      <c r="J135" s="118">
        <f t="shared" si="32"/>
        <v>24076.800000000003</v>
      </c>
      <c r="K135" s="118">
        <f t="shared" si="32"/>
        <v>10771.2</v>
      </c>
      <c r="L135" s="118">
        <f t="shared" si="32"/>
        <v>7603.2</v>
      </c>
      <c r="M135" s="118">
        <v>0</v>
      </c>
      <c r="N135" s="622">
        <f t="shared" si="33"/>
        <v>8870.4</v>
      </c>
    </row>
    <row r="136" spans="1:14" outlineLevel="2" x14ac:dyDescent="0.3">
      <c r="A136" s="722"/>
      <c r="B136" s="723"/>
      <c r="C136" s="723"/>
      <c r="D136" s="68" t="s">
        <v>32</v>
      </c>
      <c r="E136" s="72">
        <f t="shared" si="31"/>
        <v>126719.99999999999</v>
      </c>
      <c r="F136" s="118">
        <f t="shared" si="32"/>
        <v>19008</v>
      </c>
      <c r="G136" s="118">
        <f t="shared" si="32"/>
        <v>21542.400000000001</v>
      </c>
      <c r="H136" s="118">
        <f t="shared" si="32"/>
        <v>17107.199999999997</v>
      </c>
      <c r="I136" s="118">
        <f t="shared" si="32"/>
        <v>17740.8</v>
      </c>
      <c r="J136" s="118">
        <f t="shared" si="32"/>
        <v>24076.800000000003</v>
      </c>
      <c r="K136" s="118">
        <f t="shared" si="32"/>
        <v>10771.2</v>
      </c>
      <c r="L136" s="118">
        <f t="shared" si="32"/>
        <v>7603.2</v>
      </c>
      <c r="M136" s="118">
        <v>0</v>
      </c>
      <c r="N136" s="622">
        <f t="shared" si="33"/>
        <v>8870.4</v>
      </c>
    </row>
    <row r="137" spans="1:14" outlineLevel="2" x14ac:dyDescent="0.3">
      <c r="A137" s="722"/>
      <c r="B137" s="723"/>
      <c r="C137" s="723"/>
      <c r="D137" s="68" t="s">
        <v>33</v>
      </c>
      <c r="E137" s="72">
        <f t="shared" si="31"/>
        <v>126719.99999999999</v>
      </c>
      <c r="F137" s="118">
        <f t="shared" si="32"/>
        <v>19008</v>
      </c>
      <c r="G137" s="118">
        <f t="shared" si="32"/>
        <v>21542.400000000001</v>
      </c>
      <c r="H137" s="118">
        <f t="shared" si="32"/>
        <v>17107.199999999997</v>
      </c>
      <c r="I137" s="118">
        <f t="shared" si="32"/>
        <v>17740.8</v>
      </c>
      <c r="J137" s="118">
        <f t="shared" si="32"/>
        <v>24076.800000000003</v>
      </c>
      <c r="K137" s="118">
        <f t="shared" si="32"/>
        <v>10771.2</v>
      </c>
      <c r="L137" s="118">
        <f t="shared" si="32"/>
        <v>7603.2</v>
      </c>
      <c r="M137" s="118">
        <v>0</v>
      </c>
      <c r="N137" s="622">
        <f t="shared" si="33"/>
        <v>8870.4</v>
      </c>
    </row>
    <row r="138" spans="1:14" ht="15" outlineLevel="2" thickBot="1" x14ac:dyDescent="0.35">
      <c r="A138" s="722"/>
      <c r="B138" s="723"/>
      <c r="C138" s="723"/>
      <c r="D138" s="69" t="s">
        <v>34</v>
      </c>
      <c r="E138" s="73">
        <f t="shared" si="31"/>
        <v>126719.99999999999</v>
      </c>
      <c r="F138" s="121">
        <f t="shared" si="32"/>
        <v>19008</v>
      </c>
      <c r="G138" s="121">
        <f t="shared" si="32"/>
        <v>21542.400000000001</v>
      </c>
      <c r="H138" s="121">
        <f t="shared" si="32"/>
        <v>17107.199999999997</v>
      </c>
      <c r="I138" s="121">
        <f t="shared" si="32"/>
        <v>17740.8</v>
      </c>
      <c r="J138" s="121">
        <f t="shared" si="32"/>
        <v>24076.800000000003</v>
      </c>
      <c r="K138" s="121">
        <f t="shared" si="32"/>
        <v>10771.2</v>
      </c>
      <c r="L138" s="121">
        <f t="shared" si="32"/>
        <v>7603.2</v>
      </c>
      <c r="M138" s="121">
        <v>0</v>
      </c>
      <c r="N138" s="623">
        <f t="shared" si="33"/>
        <v>8870.4</v>
      </c>
    </row>
    <row r="139" spans="1:14" outlineLevel="2" x14ac:dyDescent="0.3">
      <c r="A139" s="722" t="s">
        <v>81</v>
      </c>
      <c r="B139" s="723" t="s">
        <v>82</v>
      </c>
      <c r="C139" s="723">
        <v>637001</v>
      </c>
      <c r="D139" s="67" t="s">
        <v>25</v>
      </c>
      <c r="E139" s="71">
        <f t="shared" si="31"/>
        <v>0</v>
      </c>
      <c r="F139" s="115">
        <v>0</v>
      </c>
      <c r="G139" s="115">
        <v>0</v>
      </c>
      <c r="H139" s="115">
        <v>0</v>
      </c>
      <c r="I139" s="115">
        <v>0</v>
      </c>
      <c r="J139" s="115">
        <v>0</v>
      </c>
      <c r="K139" s="115">
        <v>0</v>
      </c>
      <c r="L139" s="115">
        <v>0</v>
      </c>
      <c r="M139" s="115">
        <v>0</v>
      </c>
      <c r="N139" s="621">
        <v>0</v>
      </c>
    </row>
    <row r="140" spans="1:14" outlineLevel="2" x14ac:dyDescent="0.3">
      <c r="A140" s="722"/>
      <c r="B140" s="723"/>
      <c r="C140" s="723"/>
      <c r="D140" s="68" t="s">
        <v>26</v>
      </c>
      <c r="E140" s="72">
        <f t="shared" si="31"/>
        <v>0</v>
      </c>
      <c r="F140" s="118">
        <v>0</v>
      </c>
      <c r="G140" s="118">
        <v>0</v>
      </c>
      <c r="H140" s="118">
        <v>0</v>
      </c>
      <c r="I140" s="118">
        <v>0</v>
      </c>
      <c r="J140" s="118">
        <v>0</v>
      </c>
      <c r="K140" s="118">
        <v>0</v>
      </c>
      <c r="L140" s="118">
        <v>0</v>
      </c>
      <c r="M140" s="118">
        <v>0</v>
      </c>
      <c r="N140" s="622">
        <v>0</v>
      </c>
    </row>
    <row r="141" spans="1:14" outlineLevel="2" x14ac:dyDescent="0.3">
      <c r="A141" s="722"/>
      <c r="B141" s="723"/>
      <c r="C141" s="723"/>
      <c r="D141" s="68" t="s">
        <v>27</v>
      </c>
      <c r="E141" s="72">
        <f t="shared" si="31"/>
        <v>0</v>
      </c>
      <c r="F141" s="118">
        <v>0</v>
      </c>
      <c r="G141" s="118">
        <v>0</v>
      </c>
      <c r="H141" s="118">
        <v>0</v>
      </c>
      <c r="I141" s="118">
        <v>0</v>
      </c>
      <c r="J141" s="118">
        <v>0</v>
      </c>
      <c r="K141" s="118">
        <v>0</v>
      </c>
      <c r="L141" s="118">
        <v>0</v>
      </c>
      <c r="M141" s="118">
        <v>0</v>
      </c>
      <c r="N141" s="622">
        <v>0</v>
      </c>
    </row>
    <row r="142" spans="1:14" outlineLevel="2" x14ac:dyDescent="0.3">
      <c r="A142" s="722"/>
      <c r="B142" s="723"/>
      <c r="C142" s="723"/>
      <c r="D142" s="68" t="s">
        <v>28</v>
      </c>
      <c r="E142" s="72">
        <f t="shared" si="31"/>
        <v>0</v>
      </c>
      <c r="F142" s="118">
        <v>0</v>
      </c>
      <c r="G142" s="118">
        <v>0</v>
      </c>
      <c r="H142" s="118">
        <v>0</v>
      </c>
      <c r="I142" s="118">
        <v>0</v>
      </c>
      <c r="J142" s="118">
        <v>0</v>
      </c>
      <c r="K142" s="118">
        <v>0</v>
      </c>
      <c r="L142" s="118">
        <v>0</v>
      </c>
      <c r="M142" s="118">
        <v>0</v>
      </c>
      <c r="N142" s="622">
        <v>0</v>
      </c>
    </row>
    <row r="143" spans="1:14" outlineLevel="2" x14ac:dyDescent="0.3">
      <c r="A143" s="722"/>
      <c r="B143" s="723"/>
      <c r="C143" s="723"/>
      <c r="D143" s="68" t="s">
        <v>29</v>
      </c>
      <c r="E143" s="72">
        <f t="shared" si="31"/>
        <v>0</v>
      </c>
      <c r="F143" s="118">
        <v>0</v>
      </c>
      <c r="G143" s="118">
        <v>0</v>
      </c>
      <c r="H143" s="118">
        <v>0</v>
      </c>
      <c r="I143" s="118">
        <v>0</v>
      </c>
      <c r="J143" s="118">
        <v>0</v>
      </c>
      <c r="K143" s="118">
        <v>0</v>
      </c>
      <c r="L143" s="118">
        <v>0</v>
      </c>
      <c r="M143" s="118">
        <v>0</v>
      </c>
      <c r="N143" s="622">
        <v>0</v>
      </c>
    </row>
    <row r="144" spans="1:14" outlineLevel="2" x14ac:dyDescent="0.3">
      <c r="A144" s="722"/>
      <c r="B144" s="723"/>
      <c r="C144" s="723"/>
      <c r="D144" s="68" t="s">
        <v>30</v>
      </c>
      <c r="E144" s="72">
        <f t="shared" si="31"/>
        <v>0</v>
      </c>
      <c r="F144" s="118">
        <v>0</v>
      </c>
      <c r="G144" s="118">
        <v>0</v>
      </c>
      <c r="H144" s="118">
        <v>0</v>
      </c>
      <c r="I144" s="118">
        <v>0</v>
      </c>
      <c r="J144" s="118">
        <v>0</v>
      </c>
      <c r="K144" s="118">
        <v>0</v>
      </c>
      <c r="L144" s="118">
        <v>0</v>
      </c>
      <c r="M144" s="118">
        <v>0</v>
      </c>
      <c r="N144" s="622">
        <v>0</v>
      </c>
    </row>
    <row r="145" spans="1:14" outlineLevel="2" x14ac:dyDescent="0.3">
      <c r="A145" s="722"/>
      <c r="B145" s="723"/>
      <c r="C145" s="723"/>
      <c r="D145" s="68" t="s">
        <v>31</v>
      </c>
      <c r="E145" s="72">
        <f t="shared" si="31"/>
        <v>0</v>
      </c>
      <c r="F145" s="118">
        <v>0</v>
      </c>
      <c r="G145" s="118">
        <v>0</v>
      </c>
      <c r="H145" s="118">
        <v>0</v>
      </c>
      <c r="I145" s="118">
        <v>0</v>
      </c>
      <c r="J145" s="118">
        <v>0</v>
      </c>
      <c r="K145" s="118">
        <v>0</v>
      </c>
      <c r="L145" s="118">
        <v>0</v>
      </c>
      <c r="M145" s="118">
        <v>0</v>
      </c>
      <c r="N145" s="622">
        <v>0</v>
      </c>
    </row>
    <row r="146" spans="1:14" outlineLevel="2" x14ac:dyDescent="0.3">
      <c r="A146" s="722"/>
      <c r="B146" s="723"/>
      <c r="C146" s="723"/>
      <c r="D146" s="68" t="s">
        <v>32</v>
      </c>
      <c r="E146" s="72">
        <f t="shared" si="31"/>
        <v>0</v>
      </c>
      <c r="F146" s="118">
        <v>0</v>
      </c>
      <c r="G146" s="118">
        <v>0</v>
      </c>
      <c r="H146" s="118">
        <v>0</v>
      </c>
      <c r="I146" s="118">
        <v>0</v>
      </c>
      <c r="J146" s="118">
        <v>0</v>
      </c>
      <c r="K146" s="118">
        <v>0</v>
      </c>
      <c r="L146" s="118">
        <v>0</v>
      </c>
      <c r="M146" s="118">
        <v>0</v>
      </c>
      <c r="N146" s="622">
        <v>0</v>
      </c>
    </row>
    <row r="147" spans="1:14" outlineLevel="2" x14ac:dyDescent="0.3">
      <c r="A147" s="722"/>
      <c r="B147" s="723"/>
      <c r="C147" s="723"/>
      <c r="D147" s="68" t="s">
        <v>33</v>
      </c>
      <c r="E147" s="72">
        <f t="shared" si="31"/>
        <v>0</v>
      </c>
      <c r="F147" s="118">
        <v>0</v>
      </c>
      <c r="G147" s="118">
        <v>0</v>
      </c>
      <c r="H147" s="118">
        <v>0</v>
      </c>
      <c r="I147" s="118">
        <v>0</v>
      </c>
      <c r="J147" s="118">
        <v>0</v>
      </c>
      <c r="K147" s="118">
        <v>0</v>
      </c>
      <c r="L147" s="118">
        <v>0</v>
      </c>
      <c r="M147" s="118">
        <v>0</v>
      </c>
      <c r="N147" s="622">
        <v>0</v>
      </c>
    </row>
    <row r="148" spans="1:14" ht="15" outlineLevel="2" thickBot="1" x14ac:dyDescent="0.35">
      <c r="A148" s="722"/>
      <c r="B148" s="723"/>
      <c r="C148" s="723"/>
      <c r="D148" s="69" t="s">
        <v>34</v>
      </c>
      <c r="E148" s="73">
        <f t="shared" si="31"/>
        <v>0</v>
      </c>
      <c r="F148" s="121">
        <v>0</v>
      </c>
      <c r="G148" s="121">
        <v>0</v>
      </c>
      <c r="H148" s="121">
        <v>0</v>
      </c>
      <c r="I148" s="121">
        <v>0</v>
      </c>
      <c r="J148" s="121">
        <v>0</v>
      </c>
      <c r="K148" s="121">
        <v>0</v>
      </c>
      <c r="L148" s="121">
        <v>0</v>
      </c>
      <c r="M148" s="121">
        <v>0</v>
      </c>
      <c r="N148" s="623">
        <v>0</v>
      </c>
    </row>
    <row r="149" spans="1:14" ht="15" thickBot="1" x14ac:dyDescent="0.35">
      <c r="A149" s="17" t="s">
        <v>326</v>
      </c>
      <c r="B149" s="17"/>
      <c r="C149" s="17"/>
      <c r="D149" s="28"/>
      <c r="E149" s="129">
        <f t="shared" ref="E149:F149" si="34">SUM(E150:E169)</f>
        <v>494150.98999999993</v>
      </c>
      <c r="F149" s="130">
        <f t="shared" si="34"/>
        <v>74122.64850000001</v>
      </c>
      <c r="G149" s="130">
        <f t="shared" ref="G149:N149" si="35">SUM(G150:G169)</f>
        <v>84005.66829999999</v>
      </c>
      <c r="H149" s="130">
        <f t="shared" si="35"/>
        <v>66710.383649999974</v>
      </c>
      <c r="I149" s="130">
        <f t="shared" si="35"/>
        <v>69181.138600000006</v>
      </c>
      <c r="J149" s="130">
        <f t="shared" si="35"/>
        <v>93888.688100000014</v>
      </c>
      <c r="K149" s="130">
        <f t="shared" si="35"/>
        <v>42002.834149999995</v>
      </c>
      <c r="L149" s="130">
        <f t="shared" si="35"/>
        <v>29649.059400000002</v>
      </c>
      <c r="M149" s="130">
        <f t="shared" ref="M149" si="36">SUM(M150:M169)</f>
        <v>0</v>
      </c>
      <c r="N149" s="625">
        <f t="shared" si="35"/>
        <v>34590.569300000003</v>
      </c>
    </row>
    <row r="150" spans="1:14" x14ac:dyDescent="0.3">
      <c r="A150" s="722" t="s">
        <v>327</v>
      </c>
      <c r="B150" s="723"/>
      <c r="C150" s="723"/>
      <c r="D150" s="67" t="s">
        <v>25</v>
      </c>
      <c r="E150" s="71">
        <f t="shared" ref="E150:E169" si="37">SUM(F150:N150)</f>
        <v>260618.35799999998</v>
      </c>
      <c r="F150" s="115">
        <f>$E$193*F$3/SUM($F$3:$N$3)*0.65</f>
        <v>39092.753700000001</v>
      </c>
      <c r="G150" s="115">
        <f>$E$193*G$3/SUM($F$3:$N$3)*0.65</f>
        <v>44305.120859999995</v>
      </c>
      <c r="H150" s="115">
        <f>$E$193*H$3/SUM($F$3:$N$3)*0.65</f>
        <v>35183.478329999991</v>
      </c>
      <c r="I150" s="115">
        <f>$E$193*I$3/SUM($F$3:$N$3)*0.65</f>
        <v>36486.570120000004</v>
      </c>
      <c r="J150" s="115">
        <f>$E$193*J$3/SUM($F$3:$N$3)*0.65</f>
        <v>49517.488020000004</v>
      </c>
      <c r="K150" s="115">
        <f>$E$193*K$3/SUM($F$3:$N$3)*0.65</f>
        <v>22152.560429999998</v>
      </c>
      <c r="L150" s="115">
        <f>$E$193*L$3/SUM($F$3:$N$3)*0.65</f>
        <v>15637.101480000001</v>
      </c>
      <c r="M150" s="115">
        <f>$E$193*M$3/SUM($F$3:$N$3)*0.65</f>
        <v>0</v>
      </c>
      <c r="N150" s="621">
        <f>$E$193*N$3/SUM($F$3:$N$3)*0.65</f>
        <v>18243.285060000002</v>
      </c>
    </row>
    <row r="151" spans="1:14" x14ac:dyDescent="0.3">
      <c r="A151" s="722"/>
      <c r="B151" s="723"/>
      <c r="C151" s="723"/>
      <c r="D151" s="68" t="s">
        <v>26</v>
      </c>
      <c r="E151" s="72">
        <f t="shared" si="37"/>
        <v>140332.962</v>
      </c>
      <c r="F151" s="118">
        <f t="shared" ref="F151:N151" si="38">$E$193*F$3/SUM($F$3:$N$3)*0.35</f>
        <v>21049.944299999999</v>
      </c>
      <c r="G151" s="118">
        <f t="shared" si="38"/>
        <v>23856.603539999996</v>
      </c>
      <c r="H151" s="118">
        <f t="shared" si="38"/>
        <v>18944.949869999993</v>
      </c>
      <c r="I151" s="118">
        <f t="shared" si="38"/>
        <v>19646.614679999999</v>
      </c>
      <c r="J151" s="118">
        <f t="shared" si="38"/>
        <v>26663.262780000001</v>
      </c>
      <c r="K151" s="118">
        <f t="shared" si="38"/>
        <v>11928.301769999998</v>
      </c>
      <c r="L151" s="118">
        <f t="shared" si="38"/>
        <v>8419.977719999999</v>
      </c>
      <c r="M151" s="118">
        <f t="shared" si="38"/>
        <v>0</v>
      </c>
      <c r="N151" s="622">
        <f t="shared" si="38"/>
        <v>9823.3073399999994</v>
      </c>
    </row>
    <row r="152" spans="1:14" x14ac:dyDescent="0.3">
      <c r="A152" s="722"/>
      <c r="B152" s="723"/>
      <c r="C152" s="723"/>
      <c r="D152" s="68" t="s">
        <v>27</v>
      </c>
      <c r="E152" s="72">
        <f t="shared" si="37"/>
        <v>0</v>
      </c>
      <c r="F152" s="118">
        <v>0</v>
      </c>
      <c r="G152" s="118">
        <v>0</v>
      </c>
      <c r="H152" s="118">
        <v>0</v>
      </c>
      <c r="I152" s="118">
        <v>0</v>
      </c>
      <c r="J152" s="118">
        <v>0</v>
      </c>
      <c r="K152" s="118">
        <v>0</v>
      </c>
      <c r="L152" s="118">
        <v>0</v>
      </c>
      <c r="M152" s="118">
        <v>0</v>
      </c>
      <c r="N152" s="622">
        <v>0</v>
      </c>
    </row>
    <row r="153" spans="1:14" x14ac:dyDescent="0.3">
      <c r="A153" s="722"/>
      <c r="B153" s="723"/>
      <c r="C153" s="723"/>
      <c r="D153" s="68" t="s">
        <v>28</v>
      </c>
      <c r="E153" s="72">
        <f t="shared" si="37"/>
        <v>0</v>
      </c>
      <c r="F153" s="118">
        <v>0</v>
      </c>
      <c r="G153" s="118">
        <v>0</v>
      </c>
      <c r="H153" s="118">
        <v>0</v>
      </c>
      <c r="I153" s="118">
        <v>0</v>
      </c>
      <c r="J153" s="118">
        <v>0</v>
      </c>
      <c r="K153" s="118">
        <v>0</v>
      </c>
      <c r="L153" s="118">
        <v>0</v>
      </c>
      <c r="M153" s="118">
        <v>0</v>
      </c>
      <c r="N153" s="622">
        <v>0</v>
      </c>
    </row>
    <row r="154" spans="1:14" x14ac:dyDescent="0.3">
      <c r="A154" s="722"/>
      <c r="B154" s="723"/>
      <c r="C154" s="723"/>
      <c r="D154" s="68" t="s">
        <v>29</v>
      </c>
      <c r="E154" s="72">
        <f t="shared" si="37"/>
        <v>0</v>
      </c>
      <c r="F154" s="118">
        <v>0</v>
      </c>
      <c r="G154" s="118">
        <v>0</v>
      </c>
      <c r="H154" s="118">
        <v>0</v>
      </c>
      <c r="I154" s="118">
        <v>0</v>
      </c>
      <c r="J154" s="118">
        <v>0</v>
      </c>
      <c r="K154" s="118">
        <v>0</v>
      </c>
      <c r="L154" s="118">
        <v>0</v>
      </c>
      <c r="M154" s="118">
        <v>0</v>
      </c>
      <c r="N154" s="622">
        <v>0</v>
      </c>
    </row>
    <row r="155" spans="1:14" x14ac:dyDescent="0.3">
      <c r="A155" s="722"/>
      <c r="B155" s="723"/>
      <c r="C155" s="723"/>
      <c r="D155" s="68" t="s">
        <v>30</v>
      </c>
      <c r="E155" s="72">
        <f t="shared" si="37"/>
        <v>0</v>
      </c>
      <c r="F155" s="118">
        <v>0</v>
      </c>
      <c r="G155" s="118">
        <v>0</v>
      </c>
      <c r="H155" s="118">
        <v>0</v>
      </c>
      <c r="I155" s="118">
        <v>0</v>
      </c>
      <c r="J155" s="118">
        <v>0</v>
      </c>
      <c r="K155" s="118">
        <v>0</v>
      </c>
      <c r="L155" s="118">
        <v>0</v>
      </c>
      <c r="M155" s="118">
        <v>0</v>
      </c>
      <c r="N155" s="622">
        <v>0</v>
      </c>
    </row>
    <row r="156" spans="1:14" x14ac:dyDescent="0.3">
      <c r="A156" s="722"/>
      <c r="B156" s="723"/>
      <c r="C156" s="723"/>
      <c r="D156" s="68" t="s">
        <v>31</v>
      </c>
      <c r="E156" s="72">
        <f t="shared" si="37"/>
        <v>0</v>
      </c>
      <c r="F156" s="118">
        <v>0</v>
      </c>
      <c r="G156" s="118">
        <v>0</v>
      </c>
      <c r="H156" s="118">
        <v>0</v>
      </c>
      <c r="I156" s="118">
        <v>0</v>
      </c>
      <c r="J156" s="118">
        <v>0</v>
      </c>
      <c r="K156" s="118">
        <v>0</v>
      </c>
      <c r="L156" s="118">
        <v>0</v>
      </c>
      <c r="M156" s="118">
        <v>0</v>
      </c>
      <c r="N156" s="622">
        <v>0</v>
      </c>
    </row>
    <row r="157" spans="1:14" x14ac:dyDescent="0.3">
      <c r="A157" s="722"/>
      <c r="B157" s="723"/>
      <c r="C157" s="723"/>
      <c r="D157" s="68" t="s">
        <v>32</v>
      </c>
      <c r="E157" s="72">
        <f t="shared" si="37"/>
        <v>0</v>
      </c>
      <c r="F157" s="118">
        <v>0</v>
      </c>
      <c r="G157" s="118">
        <v>0</v>
      </c>
      <c r="H157" s="118">
        <v>0</v>
      </c>
      <c r="I157" s="118">
        <v>0</v>
      </c>
      <c r="J157" s="118">
        <v>0</v>
      </c>
      <c r="K157" s="118">
        <v>0</v>
      </c>
      <c r="L157" s="118">
        <v>0</v>
      </c>
      <c r="M157" s="118">
        <v>0</v>
      </c>
      <c r="N157" s="622">
        <v>0</v>
      </c>
    </row>
    <row r="158" spans="1:14" x14ac:dyDescent="0.3">
      <c r="A158" s="722"/>
      <c r="B158" s="723"/>
      <c r="C158" s="723"/>
      <c r="D158" s="68" t="s">
        <v>33</v>
      </c>
      <c r="E158" s="72">
        <f t="shared" si="37"/>
        <v>0</v>
      </c>
      <c r="F158" s="118">
        <v>0</v>
      </c>
      <c r="G158" s="118">
        <v>0</v>
      </c>
      <c r="H158" s="118">
        <v>0</v>
      </c>
      <c r="I158" s="118">
        <v>0</v>
      </c>
      <c r="J158" s="118">
        <v>0</v>
      </c>
      <c r="K158" s="118">
        <v>0</v>
      </c>
      <c r="L158" s="118">
        <v>0</v>
      </c>
      <c r="M158" s="118">
        <v>0</v>
      </c>
      <c r="N158" s="622">
        <v>0</v>
      </c>
    </row>
    <row r="159" spans="1:14" ht="15" thickBot="1" x14ac:dyDescent="0.35">
      <c r="A159" s="722"/>
      <c r="B159" s="723"/>
      <c r="C159" s="723"/>
      <c r="D159" s="69" t="s">
        <v>34</v>
      </c>
      <c r="E159" s="73">
        <f t="shared" si="37"/>
        <v>0</v>
      </c>
      <c r="F159" s="121">
        <v>0</v>
      </c>
      <c r="G159" s="121">
        <v>0</v>
      </c>
      <c r="H159" s="121">
        <v>0</v>
      </c>
      <c r="I159" s="121">
        <v>0</v>
      </c>
      <c r="J159" s="121">
        <v>0</v>
      </c>
      <c r="K159" s="121">
        <v>0</v>
      </c>
      <c r="L159" s="121">
        <v>0</v>
      </c>
      <c r="M159" s="121">
        <v>0</v>
      </c>
      <c r="N159" s="623">
        <v>0</v>
      </c>
    </row>
    <row r="160" spans="1:14" x14ac:dyDescent="0.3">
      <c r="A160" s="722" t="s">
        <v>159</v>
      </c>
      <c r="B160" s="723"/>
      <c r="C160" s="723" t="s">
        <v>352</v>
      </c>
      <c r="D160" s="67" t="s">
        <v>25</v>
      </c>
      <c r="E160" s="72">
        <f t="shared" si="37"/>
        <v>60579.785499999991</v>
      </c>
      <c r="F160" s="115">
        <f t="shared" ref="F160:N160" si="39">$E$194*F$3/SUM($F$3:$N$3)*0.65</f>
        <v>9086.9678249999997</v>
      </c>
      <c r="G160" s="115">
        <f t="shared" si="39"/>
        <v>10298.563534999999</v>
      </c>
      <c r="H160" s="115">
        <f t="shared" si="39"/>
        <v>8178.2710424999977</v>
      </c>
      <c r="I160" s="115">
        <f t="shared" si="39"/>
        <v>8481.169969999999</v>
      </c>
      <c r="J160" s="115">
        <f t="shared" si="39"/>
        <v>11510.159245000001</v>
      </c>
      <c r="K160" s="115">
        <f t="shared" si="39"/>
        <v>5149.2817674999997</v>
      </c>
      <c r="L160" s="115">
        <f t="shared" si="39"/>
        <v>3634.7871300000002</v>
      </c>
      <c r="M160" s="115">
        <f t="shared" si="39"/>
        <v>0</v>
      </c>
      <c r="N160" s="621">
        <f t="shared" si="39"/>
        <v>4240.5849849999995</v>
      </c>
    </row>
    <row r="161" spans="1:14" x14ac:dyDescent="0.3">
      <c r="A161" s="722"/>
      <c r="B161" s="723"/>
      <c r="C161" s="723"/>
      <c r="D161" s="68" t="s">
        <v>26</v>
      </c>
      <c r="E161" s="72">
        <f t="shared" si="37"/>
        <v>32619.884499999996</v>
      </c>
      <c r="F161" s="118">
        <f t="shared" ref="F161:N161" si="40">$E$194*F$3/SUM($F$3:$N$3)*0.35</f>
        <v>4892.9826749999993</v>
      </c>
      <c r="G161" s="118">
        <f t="shared" si="40"/>
        <v>5545.3803649999991</v>
      </c>
      <c r="H161" s="118">
        <f t="shared" si="40"/>
        <v>4403.6844074999981</v>
      </c>
      <c r="I161" s="118">
        <f t="shared" si="40"/>
        <v>4566.7838299999994</v>
      </c>
      <c r="J161" s="118">
        <f t="shared" si="40"/>
        <v>6197.7780549999998</v>
      </c>
      <c r="K161" s="118">
        <f t="shared" si="40"/>
        <v>2772.6901824999995</v>
      </c>
      <c r="L161" s="118">
        <f t="shared" si="40"/>
        <v>1957.1930699999998</v>
      </c>
      <c r="M161" s="118">
        <f t="shared" si="40"/>
        <v>0</v>
      </c>
      <c r="N161" s="622">
        <f t="shared" si="40"/>
        <v>2283.3919149999997</v>
      </c>
    </row>
    <row r="162" spans="1:14" x14ac:dyDescent="0.3">
      <c r="A162" s="722"/>
      <c r="B162" s="723"/>
      <c r="C162" s="723"/>
      <c r="D162" s="68" t="s">
        <v>27</v>
      </c>
      <c r="E162" s="72">
        <f t="shared" si="37"/>
        <v>0</v>
      </c>
      <c r="F162" s="118">
        <v>0</v>
      </c>
      <c r="G162" s="118">
        <v>0</v>
      </c>
      <c r="H162" s="118">
        <v>0</v>
      </c>
      <c r="I162" s="118">
        <v>0</v>
      </c>
      <c r="J162" s="118">
        <v>0</v>
      </c>
      <c r="K162" s="118">
        <v>0</v>
      </c>
      <c r="L162" s="118">
        <v>0</v>
      </c>
      <c r="M162" s="118">
        <v>0</v>
      </c>
      <c r="N162" s="622">
        <v>0</v>
      </c>
    </row>
    <row r="163" spans="1:14" x14ac:dyDescent="0.3">
      <c r="A163" s="722"/>
      <c r="B163" s="723"/>
      <c r="C163" s="723"/>
      <c r="D163" s="68" t="s">
        <v>28</v>
      </c>
      <c r="E163" s="72">
        <f t="shared" si="37"/>
        <v>0</v>
      </c>
      <c r="F163" s="118">
        <v>0</v>
      </c>
      <c r="G163" s="118">
        <v>0</v>
      </c>
      <c r="H163" s="118">
        <v>0</v>
      </c>
      <c r="I163" s="118">
        <v>0</v>
      </c>
      <c r="J163" s="118">
        <v>0</v>
      </c>
      <c r="K163" s="118">
        <v>0</v>
      </c>
      <c r="L163" s="118">
        <v>0</v>
      </c>
      <c r="M163" s="118">
        <v>0</v>
      </c>
      <c r="N163" s="622">
        <v>0</v>
      </c>
    </row>
    <row r="164" spans="1:14" x14ac:dyDescent="0.3">
      <c r="A164" s="722"/>
      <c r="B164" s="723"/>
      <c r="C164" s="723"/>
      <c r="D164" s="68" t="s">
        <v>29</v>
      </c>
      <c r="E164" s="72">
        <f t="shared" si="37"/>
        <v>0</v>
      </c>
      <c r="F164" s="118">
        <v>0</v>
      </c>
      <c r="G164" s="118">
        <v>0</v>
      </c>
      <c r="H164" s="118">
        <v>0</v>
      </c>
      <c r="I164" s="118">
        <v>0</v>
      </c>
      <c r="J164" s="118">
        <v>0</v>
      </c>
      <c r="K164" s="118">
        <v>0</v>
      </c>
      <c r="L164" s="118">
        <v>0</v>
      </c>
      <c r="M164" s="118">
        <v>0</v>
      </c>
      <c r="N164" s="622">
        <v>0</v>
      </c>
    </row>
    <row r="165" spans="1:14" x14ac:dyDescent="0.3">
      <c r="A165" s="722"/>
      <c r="B165" s="723"/>
      <c r="C165" s="723"/>
      <c r="D165" s="68" t="s">
        <v>30</v>
      </c>
      <c r="E165" s="72">
        <f t="shared" si="37"/>
        <v>0</v>
      </c>
      <c r="F165" s="118">
        <v>0</v>
      </c>
      <c r="G165" s="118">
        <v>0</v>
      </c>
      <c r="H165" s="118">
        <v>0</v>
      </c>
      <c r="I165" s="118">
        <v>0</v>
      </c>
      <c r="J165" s="118">
        <v>0</v>
      </c>
      <c r="K165" s="118">
        <v>0</v>
      </c>
      <c r="L165" s="118">
        <v>0</v>
      </c>
      <c r="M165" s="118">
        <v>0</v>
      </c>
      <c r="N165" s="622">
        <v>0</v>
      </c>
    </row>
    <row r="166" spans="1:14" x14ac:dyDescent="0.3">
      <c r="A166" s="722"/>
      <c r="B166" s="723"/>
      <c r="C166" s="723"/>
      <c r="D166" s="68" t="s">
        <v>31</v>
      </c>
      <c r="E166" s="72">
        <f t="shared" si="37"/>
        <v>0</v>
      </c>
      <c r="F166" s="118">
        <v>0</v>
      </c>
      <c r="G166" s="118">
        <v>0</v>
      </c>
      <c r="H166" s="118">
        <v>0</v>
      </c>
      <c r="I166" s="118">
        <v>0</v>
      </c>
      <c r="J166" s="118">
        <v>0</v>
      </c>
      <c r="K166" s="118">
        <v>0</v>
      </c>
      <c r="L166" s="118">
        <v>0</v>
      </c>
      <c r="M166" s="118">
        <v>0</v>
      </c>
      <c r="N166" s="622">
        <v>0</v>
      </c>
    </row>
    <row r="167" spans="1:14" x14ac:dyDescent="0.3">
      <c r="A167" s="722"/>
      <c r="B167" s="723"/>
      <c r="C167" s="723"/>
      <c r="D167" s="68" t="s">
        <v>32</v>
      </c>
      <c r="E167" s="72">
        <f t="shared" si="37"/>
        <v>0</v>
      </c>
      <c r="F167" s="118">
        <v>0</v>
      </c>
      <c r="G167" s="118">
        <v>0</v>
      </c>
      <c r="H167" s="118">
        <v>0</v>
      </c>
      <c r="I167" s="118">
        <v>0</v>
      </c>
      <c r="J167" s="118">
        <v>0</v>
      </c>
      <c r="K167" s="118">
        <v>0</v>
      </c>
      <c r="L167" s="118">
        <v>0</v>
      </c>
      <c r="M167" s="118">
        <v>0</v>
      </c>
      <c r="N167" s="622">
        <v>0</v>
      </c>
    </row>
    <row r="168" spans="1:14" x14ac:dyDescent="0.3">
      <c r="A168" s="722"/>
      <c r="B168" s="723"/>
      <c r="C168" s="723"/>
      <c r="D168" s="68" t="s">
        <v>33</v>
      </c>
      <c r="E168" s="72">
        <f t="shared" si="37"/>
        <v>0</v>
      </c>
      <c r="F168" s="118">
        <v>0</v>
      </c>
      <c r="G168" s="118">
        <v>0</v>
      </c>
      <c r="H168" s="118">
        <v>0</v>
      </c>
      <c r="I168" s="118">
        <v>0</v>
      </c>
      <c r="J168" s="118">
        <v>0</v>
      </c>
      <c r="K168" s="118">
        <v>0</v>
      </c>
      <c r="L168" s="118">
        <v>0</v>
      </c>
      <c r="M168" s="118">
        <v>0</v>
      </c>
      <c r="N168" s="622">
        <v>0</v>
      </c>
    </row>
    <row r="169" spans="1:14" ht="15" thickBot="1" x14ac:dyDescent="0.35">
      <c r="A169" s="722"/>
      <c r="B169" s="723"/>
      <c r="C169" s="723"/>
      <c r="D169" s="69" t="s">
        <v>34</v>
      </c>
      <c r="E169" s="73">
        <f t="shared" si="37"/>
        <v>0</v>
      </c>
      <c r="F169" s="121">
        <v>0</v>
      </c>
      <c r="G169" s="121">
        <v>0</v>
      </c>
      <c r="H169" s="121">
        <v>0</v>
      </c>
      <c r="I169" s="121">
        <v>0</v>
      </c>
      <c r="J169" s="121">
        <v>0</v>
      </c>
      <c r="K169" s="121">
        <v>0</v>
      </c>
      <c r="L169" s="121">
        <v>0</v>
      </c>
      <c r="M169" s="121">
        <v>0</v>
      </c>
      <c r="N169" s="623">
        <v>0</v>
      </c>
    </row>
    <row r="170" spans="1:14" ht="15" thickBot="1" x14ac:dyDescent="0.35">
      <c r="A170" s="720" t="s">
        <v>354</v>
      </c>
      <c r="B170" s="721"/>
      <c r="C170" s="721"/>
      <c r="D170" s="81"/>
      <c r="E170" s="77">
        <f t="shared" ref="E170:F170" si="41">SUM(E171:E190)</f>
        <v>0</v>
      </c>
      <c r="F170" s="78">
        <f t="shared" si="41"/>
        <v>0</v>
      </c>
      <c r="G170" s="78">
        <f t="shared" ref="G170:N170" si="42">SUM(G171:G190)</f>
        <v>0</v>
      </c>
      <c r="H170" s="78">
        <f t="shared" si="42"/>
        <v>0</v>
      </c>
      <c r="I170" s="78">
        <f t="shared" si="42"/>
        <v>0</v>
      </c>
      <c r="J170" s="78">
        <f t="shared" si="42"/>
        <v>0</v>
      </c>
      <c r="K170" s="78">
        <f t="shared" si="42"/>
        <v>0</v>
      </c>
      <c r="L170" s="78">
        <f t="shared" si="42"/>
        <v>0</v>
      </c>
      <c r="M170" s="78">
        <f t="shared" ref="M170" si="43">SUM(M171:M190)</f>
        <v>0</v>
      </c>
      <c r="N170" s="79">
        <f t="shared" si="42"/>
        <v>0</v>
      </c>
    </row>
    <row r="171" spans="1:14" x14ac:dyDescent="0.3">
      <c r="A171" s="722" t="s">
        <v>356</v>
      </c>
      <c r="B171" s="723" t="s">
        <v>82</v>
      </c>
      <c r="C171" s="723">
        <v>633013</v>
      </c>
      <c r="D171" s="67" t="s">
        <v>25</v>
      </c>
      <c r="E171" s="64">
        <f t="shared" ref="E171:E190" si="44">SUM(F171:N171)</f>
        <v>0</v>
      </c>
      <c r="F171" s="124">
        <v>0</v>
      </c>
      <c r="G171" s="124">
        <v>0</v>
      </c>
      <c r="H171" s="124">
        <v>0</v>
      </c>
      <c r="I171" s="124">
        <v>0</v>
      </c>
      <c r="J171" s="124">
        <v>0</v>
      </c>
      <c r="K171" s="124">
        <v>0</v>
      </c>
      <c r="L171" s="124">
        <v>0</v>
      </c>
      <c r="M171" s="124">
        <v>0</v>
      </c>
      <c r="N171" s="618">
        <v>0</v>
      </c>
    </row>
    <row r="172" spans="1:14" x14ac:dyDescent="0.3">
      <c r="A172" s="722"/>
      <c r="B172" s="723"/>
      <c r="C172" s="723"/>
      <c r="D172" s="68" t="s">
        <v>26</v>
      </c>
      <c r="E172" s="65">
        <f t="shared" si="44"/>
        <v>0</v>
      </c>
      <c r="F172" s="125">
        <v>0</v>
      </c>
      <c r="G172" s="125">
        <v>0</v>
      </c>
      <c r="H172" s="125">
        <v>0</v>
      </c>
      <c r="I172" s="125">
        <v>0</v>
      </c>
      <c r="J172" s="125">
        <v>0</v>
      </c>
      <c r="K172" s="125">
        <v>0</v>
      </c>
      <c r="L172" s="125">
        <v>0</v>
      </c>
      <c r="M172" s="125">
        <v>0</v>
      </c>
      <c r="N172" s="619">
        <v>0</v>
      </c>
    </row>
    <row r="173" spans="1:14" x14ac:dyDescent="0.3">
      <c r="A173" s="722"/>
      <c r="B173" s="723"/>
      <c r="C173" s="723"/>
      <c r="D173" s="68" t="s">
        <v>27</v>
      </c>
      <c r="E173" s="65">
        <f t="shared" si="44"/>
        <v>0</v>
      </c>
      <c r="F173" s="125">
        <v>0</v>
      </c>
      <c r="G173" s="125">
        <v>0</v>
      </c>
      <c r="H173" s="125">
        <v>0</v>
      </c>
      <c r="I173" s="125">
        <v>0</v>
      </c>
      <c r="J173" s="125">
        <v>0</v>
      </c>
      <c r="K173" s="125">
        <v>0</v>
      </c>
      <c r="L173" s="125">
        <v>0</v>
      </c>
      <c r="M173" s="125">
        <v>0</v>
      </c>
      <c r="N173" s="619">
        <v>0</v>
      </c>
    </row>
    <row r="174" spans="1:14" x14ac:dyDescent="0.3">
      <c r="A174" s="722"/>
      <c r="B174" s="723"/>
      <c r="C174" s="723"/>
      <c r="D174" s="68" t="s">
        <v>28</v>
      </c>
      <c r="E174" s="65">
        <f t="shared" si="44"/>
        <v>0</v>
      </c>
      <c r="F174" s="125">
        <v>0</v>
      </c>
      <c r="G174" s="125">
        <v>0</v>
      </c>
      <c r="H174" s="125">
        <v>0</v>
      </c>
      <c r="I174" s="125">
        <v>0</v>
      </c>
      <c r="J174" s="125">
        <v>0</v>
      </c>
      <c r="K174" s="125">
        <v>0</v>
      </c>
      <c r="L174" s="125">
        <v>0</v>
      </c>
      <c r="M174" s="125">
        <v>0</v>
      </c>
      <c r="N174" s="619">
        <v>0</v>
      </c>
    </row>
    <row r="175" spans="1:14" x14ac:dyDescent="0.3">
      <c r="A175" s="722"/>
      <c r="B175" s="723"/>
      <c r="C175" s="723"/>
      <c r="D175" s="68" t="s">
        <v>29</v>
      </c>
      <c r="E175" s="65">
        <f t="shared" si="44"/>
        <v>0</v>
      </c>
      <c r="F175" s="125">
        <v>0</v>
      </c>
      <c r="G175" s="125">
        <v>0</v>
      </c>
      <c r="H175" s="125">
        <v>0</v>
      </c>
      <c r="I175" s="125">
        <v>0</v>
      </c>
      <c r="J175" s="125">
        <v>0</v>
      </c>
      <c r="K175" s="125">
        <v>0</v>
      </c>
      <c r="L175" s="125">
        <v>0</v>
      </c>
      <c r="M175" s="125">
        <v>0</v>
      </c>
      <c r="N175" s="619">
        <v>0</v>
      </c>
    </row>
    <row r="176" spans="1:14" x14ac:dyDescent="0.3">
      <c r="A176" s="722"/>
      <c r="B176" s="723"/>
      <c r="C176" s="723"/>
      <c r="D176" s="68" t="s">
        <v>30</v>
      </c>
      <c r="E176" s="65">
        <f t="shared" si="44"/>
        <v>0</v>
      </c>
      <c r="F176" s="125">
        <v>0</v>
      </c>
      <c r="G176" s="125">
        <v>0</v>
      </c>
      <c r="H176" s="125">
        <v>0</v>
      </c>
      <c r="I176" s="125">
        <v>0</v>
      </c>
      <c r="J176" s="125">
        <v>0</v>
      </c>
      <c r="K176" s="125">
        <v>0</v>
      </c>
      <c r="L176" s="125">
        <v>0</v>
      </c>
      <c r="M176" s="125">
        <v>0</v>
      </c>
      <c r="N176" s="619">
        <v>0</v>
      </c>
    </row>
    <row r="177" spans="1:14" x14ac:dyDescent="0.3">
      <c r="A177" s="722"/>
      <c r="B177" s="723"/>
      <c r="C177" s="723"/>
      <c r="D177" s="68" t="s">
        <v>31</v>
      </c>
      <c r="E177" s="65">
        <f t="shared" si="44"/>
        <v>0</v>
      </c>
      <c r="F177" s="125">
        <v>0</v>
      </c>
      <c r="G177" s="125">
        <v>0</v>
      </c>
      <c r="H177" s="125">
        <v>0</v>
      </c>
      <c r="I177" s="125">
        <v>0</v>
      </c>
      <c r="J177" s="125">
        <v>0</v>
      </c>
      <c r="K177" s="125">
        <v>0</v>
      </c>
      <c r="L177" s="125">
        <v>0</v>
      </c>
      <c r="M177" s="125">
        <v>0</v>
      </c>
      <c r="N177" s="619">
        <v>0</v>
      </c>
    </row>
    <row r="178" spans="1:14" x14ac:dyDescent="0.3">
      <c r="A178" s="722"/>
      <c r="B178" s="723"/>
      <c r="C178" s="723"/>
      <c r="D178" s="68" t="s">
        <v>32</v>
      </c>
      <c r="E178" s="65">
        <f t="shared" si="44"/>
        <v>0</v>
      </c>
      <c r="F178" s="125">
        <v>0</v>
      </c>
      <c r="G178" s="125">
        <v>0</v>
      </c>
      <c r="H178" s="125">
        <v>0</v>
      </c>
      <c r="I178" s="125">
        <v>0</v>
      </c>
      <c r="J178" s="125">
        <v>0</v>
      </c>
      <c r="K178" s="125">
        <v>0</v>
      </c>
      <c r="L178" s="125">
        <v>0</v>
      </c>
      <c r="M178" s="125">
        <v>0</v>
      </c>
      <c r="N178" s="619">
        <v>0</v>
      </c>
    </row>
    <row r="179" spans="1:14" x14ac:dyDescent="0.3">
      <c r="A179" s="722"/>
      <c r="B179" s="723"/>
      <c r="C179" s="723"/>
      <c r="D179" s="68" t="s">
        <v>33</v>
      </c>
      <c r="E179" s="65">
        <f t="shared" si="44"/>
        <v>0</v>
      </c>
      <c r="F179" s="125">
        <v>0</v>
      </c>
      <c r="G179" s="125">
        <v>0</v>
      </c>
      <c r="H179" s="125">
        <v>0</v>
      </c>
      <c r="I179" s="125">
        <v>0</v>
      </c>
      <c r="J179" s="125">
        <v>0</v>
      </c>
      <c r="K179" s="125">
        <v>0</v>
      </c>
      <c r="L179" s="125">
        <v>0</v>
      </c>
      <c r="M179" s="125">
        <v>0</v>
      </c>
      <c r="N179" s="619">
        <v>0</v>
      </c>
    </row>
    <row r="180" spans="1:14" ht="15" thickBot="1" x14ac:dyDescent="0.35">
      <c r="A180" s="722"/>
      <c r="B180" s="723"/>
      <c r="C180" s="723"/>
      <c r="D180" s="69" t="s">
        <v>34</v>
      </c>
      <c r="E180" s="66">
        <f t="shared" si="44"/>
        <v>0</v>
      </c>
      <c r="F180" s="126">
        <v>0</v>
      </c>
      <c r="G180" s="126">
        <v>0</v>
      </c>
      <c r="H180" s="126">
        <v>0</v>
      </c>
      <c r="I180" s="126">
        <v>0</v>
      </c>
      <c r="J180" s="126">
        <v>0</v>
      </c>
      <c r="K180" s="126">
        <v>0</v>
      </c>
      <c r="L180" s="126">
        <v>0</v>
      </c>
      <c r="M180" s="126">
        <v>0</v>
      </c>
      <c r="N180" s="620">
        <v>0</v>
      </c>
    </row>
    <row r="181" spans="1:14" x14ac:dyDescent="0.3">
      <c r="A181" s="722" t="s">
        <v>355</v>
      </c>
      <c r="B181" s="723"/>
      <c r="C181" s="723">
        <v>637031</v>
      </c>
      <c r="D181" s="67" t="s">
        <v>25</v>
      </c>
      <c r="E181" s="65">
        <f t="shared" si="44"/>
        <v>0</v>
      </c>
      <c r="F181" s="124">
        <v>0</v>
      </c>
      <c r="G181" s="124">
        <v>0</v>
      </c>
      <c r="H181" s="124">
        <v>0</v>
      </c>
      <c r="I181" s="124">
        <v>0</v>
      </c>
      <c r="J181" s="124">
        <v>0</v>
      </c>
      <c r="K181" s="124">
        <v>0</v>
      </c>
      <c r="L181" s="124">
        <v>0</v>
      </c>
      <c r="M181" s="124">
        <v>0</v>
      </c>
      <c r="N181" s="618">
        <v>0</v>
      </c>
    </row>
    <row r="182" spans="1:14" x14ac:dyDescent="0.3">
      <c r="A182" s="722"/>
      <c r="B182" s="723"/>
      <c r="C182" s="723"/>
      <c r="D182" s="68" t="s">
        <v>26</v>
      </c>
      <c r="E182" s="65">
        <f t="shared" si="44"/>
        <v>0</v>
      </c>
      <c r="F182" s="125">
        <v>0</v>
      </c>
      <c r="G182" s="125">
        <v>0</v>
      </c>
      <c r="H182" s="125">
        <v>0</v>
      </c>
      <c r="I182" s="125">
        <v>0</v>
      </c>
      <c r="J182" s="125">
        <v>0</v>
      </c>
      <c r="K182" s="125">
        <v>0</v>
      </c>
      <c r="L182" s="125">
        <v>0</v>
      </c>
      <c r="M182" s="125">
        <v>0</v>
      </c>
      <c r="N182" s="619">
        <v>0</v>
      </c>
    </row>
    <row r="183" spans="1:14" x14ac:dyDescent="0.3">
      <c r="A183" s="722"/>
      <c r="B183" s="723"/>
      <c r="C183" s="723"/>
      <c r="D183" s="68" t="s">
        <v>27</v>
      </c>
      <c r="E183" s="65">
        <f t="shared" si="44"/>
        <v>0</v>
      </c>
      <c r="F183" s="125">
        <v>0</v>
      </c>
      <c r="G183" s="125">
        <v>0</v>
      </c>
      <c r="H183" s="125">
        <v>0</v>
      </c>
      <c r="I183" s="125">
        <v>0</v>
      </c>
      <c r="J183" s="125">
        <v>0</v>
      </c>
      <c r="K183" s="125">
        <v>0</v>
      </c>
      <c r="L183" s="125">
        <v>0</v>
      </c>
      <c r="M183" s="125">
        <v>0</v>
      </c>
      <c r="N183" s="619">
        <v>0</v>
      </c>
    </row>
    <row r="184" spans="1:14" x14ac:dyDescent="0.3">
      <c r="A184" s="722"/>
      <c r="B184" s="723"/>
      <c r="C184" s="723"/>
      <c r="D184" s="68" t="s">
        <v>28</v>
      </c>
      <c r="E184" s="65">
        <f t="shared" si="44"/>
        <v>0</v>
      </c>
      <c r="F184" s="125">
        <v>0</v>
      </c>
      <c r="G184" s="125">
        <v>0</v>
      </c>
      <c r="H184" s="125">
        <v>0</v>
      </c>
      <c r="I184" s="125">
        <v>0</v>
      </c>
      <c r="J184" s="125">
        <v>0</v>
      </c>
      <c r="K184" s="125">
        <v>0</v>
      </c>
      <c r="L184" s="125">
        <v>0</v>
      </c>
      <c r="M184" s="125">
        <v>0</v>
      </c>
      <c r="N184" s="619">
        <v>0</v>
      </c>
    </row>
    <row r="185" spans="1:14" x14ac:dyDescent="0.3">
      <c r="A185" s="722"/>
      <c r="B185" s="723"/>
      <c r="C185" s="723"/>
      <c r="D185" s="68" t="s">
        <v>29</v>
      </c>
      <c r="E185" s="65">
        <f t="shared" si="44"/>
        <v>0</v>
      </c>
      <c r="F185" s="125">
        <v>0</v>
      </c>
      <c r="G185" s="125">
        <v>0</v>
      </c>
      <c r="H185" s="125">
        <v>0</v>
      </c>
      <c r="I185" s="125">
        <v>0</v>
      </c>
      <c r="J185" s="125">
        <v>0</v>
      </c>
      <c r="K185" s="125">
        <v>0</v>
      </c>
      <c r="L185" s="125">
        <v>0</v>
      </c>
      <c r="M185" s="125">
        <v>0</v>
      </c>
      <c r="N185" s="619">
        <v>0</v>
      </c>
    </row>
    <row r="186" spans="1:14" x14ac:dyDescent="0.3">
      <c r="A186" s="722"/>
      <c r="B186" s="723"/>
      <c r="C186" s="723"/>
      <c r="D186" s="68" t="s">
        <v>30</v>
      </c>
      <c r="E186" s="65">
        <f t="shared" si="44"/>
        <v>0</v>
      </c>
      <c r="F186" s="125">
        <v>0</v>
      </c>
      <c r="G186" s="125">
        <v>0</v>
      </c>
      <c r="H186" s="125">
        <v>0</v>
      </c>
      <c r="I186" s="125">
        <v>0</v>
      </c>
      <c r="J186" s="125">
        <v>0</v>
      </c>
      <c r="K186" s="125">
        <v>0</v>
      </c>
      <c r="L186" s="125">
        <v>0</v>
      </c>
      <c r="M186" s="125">
        <v>0</v>
      </c>
      <c r="N186" s="619">
        <v>0</v>
      </c>
    </row>
    <row r="187" spans="1:14" x14ac:dyDescent="0.3">
      <c r="A187" s="722"/>
      <c r="B187" s="723"/>
      <c r="C187" s="723"/>
      <c r="D187" s="68" t="s">
        <v>31</v>
      </c>
      <c r="E187" s="65">
        <f t="shared" si="44"/>
        <v>0</v>
      </c>
      <c r="F187" s="125">
        <v>0</v>
      </c>
      <c r="G187" s="125">
        <v>0</v>
      </c>
      <c r="H187" s="125">
        <v>0</v>
      </c>
      <c r="I187" s="125">
        <v>0</v>
      </c>
      <c r="J187" s="125">
        <v>0</v>
      </c>
      <c r="K187" s="125">
        <v>0</v>
      </c>
      <c r="L187" s="125">
        <v>0</v>
      </c>
      <c r="M187" s="125">
        <v>0</v>
      </c>
      <c r="N187" s="619">
        <v>0</v>
      </c>
    </row>
    <row r="188" spans="1:14" x14ac:dyDescent="0.3">
      <c r="A188" s="722"/>
      <c r="B188" s="723"/>
      <c r="C188" s="723"/>
      <c r="D188" s="68" t="s">
        <v>32</v>
      </c>
      <c r="E188" s="65">
        <f t="shared" si="44"/>
        <v>0</v>
      </c>
      <c r="F188" s="125">
        <v>0</v>
      </c>
      <c r="G188" s="125">
        <v>0</v>
      </c>
      <c r="H188" s="125">
        <v>0</v>
      </c>
      <c r="I188" s="125">
        <v>0</v>
      </c>
      <c r="J188" s="125">
        <v>0</v>
      </c>
      <c r="K188" s="125">
        <v>0</v>
      </c>
      <c r="L188" s="125">
        <v>0</v>
      </c>
      <c r="M188" s="125">
        <v>0</v>
      </c>
      <c r="N188" s="619">
        <v>0</v>
      </c>
    </row>
    <row r="189" spans="1:14" x14ac:dyDescent="0.3">
      <c r="A189" s="722"/>
      <c r="B189" s="723"/>
      <c r="C189" s="723"/>
      <c r="D189" s="68" t="s">
        <v>33</v>
      </c>
      <c r="E189" s="65">
        <f t="shared" si="44"/>
        <v>0</v>
      </c>
      <c r="F189" s="125">
        <v>0</v>
      </c>
      <c r="G189" s="125">
        <v>0</v>
      </c>
      <c r="H189" s="125">
        <v>0</v>
      </c>
      <c r="I189" s="125">
        <v>0</v>
      </c>
      <c r="J189" s="125">
        <v>0</v>
      </c>
      <c r="K189" s="125">
        <v>0</v>
      </c>
      <c r="L189" s="125">
        <v>0</v>
      </c>
      <c r="M189" s="125">
        <v>0</v>
      </c>
      <c r="N189" s="619">
        <v>0</v>
      </c>
    </row>
    <row r="190" spans="1:14" ht="15" thickBot="1" x14ac:dyDescent="0.35">
      <c r="A190" s="722"/>
      <c r="B190" s="723"/>
      <c r="C190" s="723"/>
      <c r="D190" s="69" t="s">
        <v>34</v>
      </c>
      <c r="E190" s="66">
        <f t="shared" si="44"/>
        <v>0</v>
      </c>
      <c r="F190" s="126">
        <v>0</v>
      </c>
      <c r="G190" s="126">
        <v>0</v>
      </c>
      <c r="H190" s="126">
        <v>0</v>
      </c>
      <c r="I190" s="126">
        <v>0</v>
      </c>
      <c r="J190" s="126">
        <v>0</v>
      </c>
      <c r="K190" s="126">
        <v>0</v>
      </c>
      <c r="L190" s="126">
        <v>0</v>
      </c>
      <c r="M190" s="126">
        <v>0</v>
      </c>
      <c r="N190" s="620">
        <v>0</v>
      </c>
    </row>
    <row r="193" spans="2:14" x14ac:dyDescent="0.3">
      <c r="B193" t="s">
        <v>327</v>
      </c>
      <c r="E193" s="578">
        <v>400951.32</v>
      </c>
      <c r="F193" s="578"/>
      <c r="G193" s="578"/>
      <c r="H193" s="578"/>
      <c r="I193" s="578"/>
      <c r="J193" s="578"/>
      <c r="K193" s="578"/>
      <c r="L193" s="578"/>
      <c r="M193" s="578"/>
      <c r="N193" s="578"/>
    </row>
    <row r="194" spans="2:14" x14ac:dyDescent="0.3">
      <c r="B194" t="s">
        <v>159</v>
      </c>
      <c r="E194" s="594">
        <v>93199.67</v>
      </c>
      <c r="F194" s="578"/>
      <c r="G194" s="578"/>
      <c r="H194" s="578"/>
      <c r="I194" s="578"/>
      <c r="J194" s="578"/>
      <c r="K194" s="578"/>
      <c r="L194" s="578"/>
      <c r="M194" s="578"/>
      <c r="N194" s="578"/>
    </row>
    <row r="195" spans="2:14" x14ac:dyDescent="0.3">
      <c r="B195" t="s">
        <v>452</v>
      </c>
      <c r="E195" s="594">
        <v>387996.8</v>
      </c>
    </row>
  </sheetData>
  <mergeCells count="58">
    <mergeCell ref="C78:C87"/>
    <mergeCell ref="A88:A97"/>
    <mergeCell ref="B88:B97"/>
    <mergeCell ref="C88:C97"/>
    <mergeCell ref="A46:A55"/>
    <mergeCell ref="B46:B55"/>
    <mergeCell ref="C46:C55"/>
    <mergeCell ref="A56:A65"/>
    <mergeCell ref="B56:B65"/>
    <mergeCell ref="C56:C65"/>
    <mergeCell ref="A160:A169"/>
    <mergeCell ref="B160:B169"/>
    <mergeCell ref="C160:C169"/>
    <mergeCell ref="A139:A148"/>
    <mergeCell ref="B139:B148"/>
    <mergeCell ref="C139:C148"/>
    <mergeCell ref="A150:A159"/>
    <mergeCell ref="B150:B159"/>
    <mergeCell ref="C150:C159"/>
    <mergeCell ref="A1:D1"/>
    <mergeCell ref="A119:A128"/>
    <mergeCell ref="B119:B128"/>
    <mergeCell ref="C119:C128"/>
    <mergeCell ref="A129:A138"/>
    <mergeCell ref="B129:B138"/>
    <mergeCell ref="C129:C138"/>
    <mergeCell ref="A99:A108"/>
    <mergeCell ref="B99:B108"/>
    <mergeCell ref="C99:C108"/>
    <mergeCell ref="A109:A118"/>
    <mergeCell ref="B109:B118"/>
    <mergeCell ref="C109:C118"/>
    <mergeCell ref="A76:C76"/>
    <mergeCell ref="A78:A87"/>
    <mergeCell ref="B78:B87"/>
    <mergeCell ref="A3:C3"/>
    <mergeCell ref="A66:A75"/>
    <mergeCell ref="B66:B75"/>
    <mergeCell ref="C66:C75"/>
    <mergeCell ref="A25:A34"/>
    <mergeCell ref="B25:B34"/>
    <mergeCell ref="C25:C34"/>
    <mergeCell ref="A36:A45"/>
    <mergeCell ref="B36:B45"/>
    <mergeCell ref="C36:C45"/>
    <mergeCell ref="C5:C14"/>
    <mergeCell ref="A5:A14"/>
    <mergeCell ref="B5:B14"/>
    <mergeCell ref="A15:A24"/>
    <mergeCell ref="B15:B24"/>
    <mergeCell ref="C15:C24"/>
    <mergeCell ref="A170:C170"/>
    <mergeCell ref="A171:A180"/>
    <mergeCell ref="B171:B180"/>
    <mergeCell ref="C171:C180"/>
    <mergeCell ref="A181:A190"/>
    <mergeCell ref="B181:B190"/>
    <mergeCell ref="C181:C190"/>
  </mergeCells>
  <pageMargins left="0.7" right="0.7" top="0.75" bottom="0.75" header="0.3" footer="0.3"/>
  <pageSetup paperSize="9" scale="29" orientation="portrait" r:id="rId1"/>
  <ignoredErrors>
    <ignoredError sqref="E35 E9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outlinePr summaryBelow="0" summaryRight="0"/>
  </sheetPr>
  <dimension ref="A1:K84"/>
  <sheetViews>
    <sheetView view="pageBreakPreview" topLeftCell="A11" zoomScale="60" zoomScaleNormal="85" workbookViewId="0">
      <selection activeCell="A35" sqref="A35:A44"/>
    </sheetView>
  </sheetViews>
  <sheetFormatPr defaultColWidth="8.88671875" defaultRowHeight="14.4" outlineLevelRow="1" outlineLevelCol="1" x14ac:dyDescent="0.3"/>
  <cols>
    <col min="1" max="1" width="22.44140625" customWidth="1"/>
    <col min="2" max="2" width="23.33203125" customWidth="1"/>
    <col min="3" max="3" width="22.44140625" customWidth="1"/>
    <col min="5" max="5" width="17.88671875" customWidth="1"/>
    <col min="6" max="9" width="19.33203125" customWidth="1" outlineLevel="1"/>
    <col min="10" max="10" width="31" customWidth="1" outlineLevel="1"/>
    <col min="11" max="11" width="19" customWidth="1"/>
  </cols>
  <sheetData>
    <row r="1" spans="1:11" ht="36" customHeight="1" thickBot="1" x14ac:dyDescent="0.45">
      <c r="A1" s="718" t="s">
        <v>102</v>
      </c>
      <c r="B1" s="718"/>
      <c r="C1" s="718"/>
      <c r="D1" s="719"/>
      <c r="E1" s="70" t="s">
        <v>35</v>
      </c>
      <c r="F1" s="301" t="s">
        <v>74</v>
      </c>
      <c r="G1" s="301" t="s">
        <v>75</v>
      </c>
      <c r="H1" s="301" t="s">
        <v>224</v>
      </c>
      <c r="I1" s="301" t="s">
        <v>207</v>
      </c>
      <c r="J1" s="301" t="s">
        <v>360</v>
      </c>
      <c r="K1" s="301" t="s">
        <v>353</v>
      </c>
    </row>
    <row r="2" spans="1:11" ht="15" thickBot="1" x14ac:dyDescent="0.35">
      <c r="A2" s="40" t="s">
        <v>0</v>
      </c>
      <c r="B2" s="75" t="s">
        <v>79</v>
      </c>
      <c r="C2" s="75" t="s">
        <v>78</v>
      </c>
      <c r="D2" s="75" t="s">
        <v>23</v>
      </c>
      <c r="E2" s="17"/>
      <c r="F2" s="17"/>
      <c r="G2" s="17"/>
      <c r="H2" s="17"/>
      <c r="I2" s="17"/>
      <c r="J2" s="17"/>
      <c r="K2" s="17"/>
    </row>
    <row r="3" spans="1:11" ht="15" thickBot="1" x14ac:dyDescent="0.35">
      <c r="A3" s="727" t="s">
        <v>92</v>
      </c>
      <c r="B3" s="727"/>
      <c r="C3" s="727"/>
      <c r="D3" s="74"/>
      <c r="E3" s="77">
        <f t="shared" ref="E3:K3" si="0">SUM(E4:E33)</f>
        <v>0</v>
      </c>
      <c r="F3" s="78">
        <f t="shared" si="0"/>
        <v>0</v>
      </c>
      <c r="G3" s="78">
        <f t="shared" si="0"/>
        <v>0</v>
      </c>
      <c r="H3" s="265">
        <f t="shared" si="0"/>
        <v>0</v>
      </c>
      <c r="I3" s="265">
        <f t="shared" si="0"/>
        <v>0</v>
      </c>
      <c r="J3" s="265">
        <f>SUM(J4:J33)</f>
        <v>0</v>
      </c>
      <c r="K3" s="79">
        <f t="shared" si="0"/>
        <v>0</v>
      </c>
    </row>
    <row r="4" spans="1:11" outlineLevel="1" x14ac:dyDescent="0.3">
      <c r="A4" s="722" t="s">
        <v>94</v>
      </c>
      <c r="B4" s="722" t="s">
        <v>97</v>
      </c>
      <c r="C4" s="723">
        <v>713002</v>
      </c>
      <c r="D4" s="67" t="s">
        <v>25</v>
      </c>
      <c r="E4" s="71">
        <f>SUM(F4:K4)</f>
        <v>0</v>
      </c>
      <c r="F4" s="115">
        <v>0</v>
      </c>
      <c r="G4" s="116">
        <v>0</v>
      </c>
      <c r="H4" s="266">
        <v>0</v>
      </c>
      <c r="I4" s="266">
        <v>0</v>
      </c>
      <c r="J4" s="266">
        <v>0</v>
      </c>
      <c r="K4" s="117">
        <v>0</v>
      </c>
    </row>
    <row r="5" spans="1:11" outlineLevel="1" x14ac:dyDescent="0.3">
      <c r="A5" s="722"/>
      <c r="B5" s="723"/>
      <c r="C5" s="723"/>
      <c r="D5" s="68" t="s">
        <v>26</v>
      </c>
      <c r="E5" s="72">
        <f t="shared" ref="E5:E33" si="1">SUM(F5:K5)</f>
        <v>0</v>
      </c>
      <c r="F5" s="118">
        <v>0</v>
      </c>
      <c r="G5" s="119">
        <v>0</v>
      </c>
      <c r="H5" s="267">
        <v>0</v>
      </c>
      <c r="I5" s="267">
        <v>0</v>
      </c>
      <c r="J5" s="267">
        <v>0</v>
      </c>
      <c r="K5" s="120">
        <v>0</v>
      </c>
    </row>
    <row r="6" spans="1:11" outlineLevel="1" x14ac:dyDescent="0.3">
      <c r="A6" s="722"/>
      <c r="B6" s="723"/>
      <c r="C6" s="723"/>
      <c r="D6" s="68" t="s">
        <v>27</v>
      </c>
      <c r="E6" s="72">
        <f t="shared" si="1"/>
        <v>0</v>
      </c>
      <c r="F6" s="118">
        <v>0</v>
      </c>
      <c r="G6" s="119">
        <v>0</v>
      </c>
      <c r="H6" s="267">
        <v>0</v>
      </c>
      <c r="I6" s="267">
        <v>0</v>
      </c>
      <c r="J6" s="267">
        <v>0</v>
      </c>
      <c r="K6" s="120">
        <v>0</v>
      </c>
    </row>
    <row r="7" spans="1:11" outlineLevel="1" x14ac:dyDescent="0.3">
      <c r="A7" s="722"/>
      <c r="B7" s="723"/>
      <c r="C7" s="723"/>
      <c r="D7" s="68" t="s">
        <v>28</v>
      </c>
      <c r="E7" s="72">
        <f t="shared" si="1"/>
        <v>0</v>
      </c>
      <c r="F7" s="118">
        <v>0</v>
      </c>
      <c r="G7" s="119">
        <v>0</v>
      </c>
      <c r="H7" s="267">
        <v>0</v>
      </c>
      <c r="I7" s="267">
        <v>0</v>
      </c>
      <c r="J7" s="267">
        <v>0</v>
      </c>
      <c r="K7" s="120">
        <v>0</v>
      </c>
    </row>
    <row r="8" spans="1:11" outlineLevel="1" x14ac:dyDescent="0.3">
      <c r="A8" s="722"/>
      <c r="B8" s="723"/>
      <c r="C8" s="723"/>
      <c r="D8" s="68" t="s">
        <v>29</v>
      </c>
      <c r="E8" s="72">
        <f t="shared" si="1"/>
        <v>0</v>
      </c>
      <c r="F8" s="118">
        <v>0</v>
      </c>
      <c r="G8" s="119">
        <v>0</v>
      </c>
      <c r="H8" s="267">
        <v>0</v>
      </c>
      <c r="I8" s="267">
        <v>0</v>
      </c>
      <c r="J8" s="267">
        <v>0</v>
      </c>
      <c r="K8" s="120">
        <v>0</v>
      </c>
    </row>
    <row r="9" spans="1:11" outlineLevel="1" x14ac:dyDescent="0.3">
      <c r="A9" s="722"/>
      <c r="B9" s="723"/>
      <c r="C9" s="723"/>
      <c r="D9" s="68" t="s">
        <v>30</v>
      </c>
      <c r="E9" s="72">
        <f t="shared" si="1"/>
        <v>0</v>
      </c>
      <c r="F9" s="118">
        <v>0</v>
      </c>
      <c r="G9" s="119">
        <v>0</v>
      </c>
      <c r="H9" s="267">
        <v>0</v>
      </c>
      <c r="I9" s="267">
        <v>0</v>
      </c>
      <c r="J9" s="267">
        <v>0</v>
      </c>
      <c r="K9" s="120">
        <v>0</v>
      </c>
    </row>
    <row r="10" spans="1:11" outlineLevel="1" x14ac:dyDescent="0.3">
      <c r="A10" s="722"/>
      <c r="B10" s="723"/>
      <c r="C10" s="723"/>
      <c r="D10" s="68" t="s">
        <v>31</v>
      </c>
      <c r="E10" s="72">
        <f t="shared" si="1"/>
        <v>0</v>
      </c>
      <c r="F10" s="118">
        <v>0</v>
      </c>
      <c r="G10" s="119">
        <v>0</v>
      </c>
      <c r="H10" s="267">
        <v>0</v>
      </c>
      <c r="I10" s="267">
        <v>0</v>
      </c>
      <c r="J10" s="267">
        <v>0</v>
      </c>
      <c r="K10" s="120">
        <v>0</v>
      </c>
    </row>
    <row r="11" spans="1:11" outlineLevel="1" x14ac:dyDescent="0.3">
      <c r="A11" s="722"/>
      <c r="B11" s="723"/>
      <c r="C11" s="723"/>
      <c r="D11" s="68" t="s">
        <v>32</v>
      </c>
      <c r="E11" s="72">
        <f t="shared" si="1"/>
        <v>0</v>
      </c>
      <c r="F11" s="118">
        <v>0</v>
      </c>
      <c r="G11" s="119">
        <v>0</v>
      </c>
      <c r="H11" s="267">
        <v>0</v>
      </c>
      <c r="I11" s="267">
        <v>0</v>
      </c>
      <c r="J11" s="267">
        <v>0</v>
      </c>
      <c r="K11" s="120">
        <v>0</v>
      </c>
    </row>
    <row r="12" spans="1:11" outlineLevel="1" x14ac:dyDescent="0.3">
      <c r="A12" s="722"/>
      <c r="B12" s="723"/>
      <c r="C12" s="723"/>
      <c r="D12" s="68" t="s">
        <v>33</v>
      </c>
      <c r="E12" s="72">
        <f t="shared" si="1"/>
        <v>0</v>
      </c>
      <c r="F12" s="118">
        <v>0</v>
      </c>
      <c r="G12" s="119">
        <v>0</v>
      </c>
      <c r="H12" s="267">
        <v>0</v>
      </c>
      <c r="I12" s="267">
        <v>0</v>
      </c>
      <c r="J12" s="267">
        <v>0</v>
      </c>
      <c r="K12" s="120">
        <v>0</v>
      </c>
    </row>
    <row r="13" spans="1:11" ht="15" outlineLevel="1" thickBot="1" x14ac:dyDescent="0.35">
      <c r="A13" s="722"/>
      <c r="B13" s="723"/>
      <c r="C13" s="723"/>
      <c r="D13" s="69" t="s">
        <v>34</v>
      </c>
      <c r="E13" s="73">
        <f t="shared" si="1"/>
        <v>0</v>
      </c>
      <c r="F13" s="121">
        <v>0</v>
      </c>
      <c r="G13" s="122">
        <v>0</v>
      </c>
      <c r="H13" s="268">
        <v>0</v>
      </c>
      <c r="I13" s="268">
        <v>0</v>
      </c>
      <c r="J13" s="268">
        <v>0</v>
      </c>
      <c r="K13" s="123">
        <v>0</v>
      </c>
    </row>
    <row r="14" spans="1:11" ht="15" customHeight="1" outlineLevel="1" x14ac:dyDescent="0.3">
      <c r="A14" s="722" t="s">
        <v>95</v>
      </c>
      <c r="B14" s="722" t="s">
        <v>119</v>
      </c>
      <c r="C14" s="723">
        <v>633002</v>
      </c>
      <c r="D14" s="67" t="s">
        <v>25</v>
      </c>
      <c r="E14" s="72">
        <f t="shared" si="1"/>
        <v>0</v>
      </c>
      <c r="F14" s="115">
        <v>0</v>
      </c>
      <c r="G14" s="116">
        <v>0</v>
      </c>
      <c r="H14" s="266">
        <v>0</v>
      </c>
      <c r="I14" s="266">
        <v>0</v>
      </c>
      <c r="J14" s="266">
        <v>0</v>
      </c>
      <c r="K14" s="117">
        <v>0</v>
      </c>
    </row>
    <row r="15" spans="1:11" outlineLevel="1" x14ac:dyDescent="0.3">
      <c r="A15" s="722"/>
      <c r="B15" s="723"/>
      <c r="C15" s="723"/>
      <c r="D15" s="68" t="s">
        <v>26</v>
      </c>
      <c r="E15" s="72">
        <f t="shared" si="1"/>
        <v>0</v>
      </c>
      <c r="F15" s="118">
        <v>0</v>
      </c>
      <c r="G15" s="119">
        <v>0</v>
      </c>
      <c r="H15" s="267">
        <v>0</v>
      </c>
      <c r="I15" s="267">
        <v>0</v>
      </c>
      <c r="J15" s="267">
        <v>0</v>
      </c>
      <c r="K15" s="120">
        <v>0</v>
      </c>
    </row>
    <row r="16" spans="1:11" outlineLevel="1" x14ac:dyDescent="0.3">
      <c r="A16" s="722"/>
      <c r="B16" s="723"/>
      <c r="C16" s="723"/>
      <c r="D16" s="68" t="s">
        <v>27</v>
      </c>
      <c r="E16" s="72">
        <f t="shared" si="1"/>
        <v>0</v>
      </c>
      <c r="F16" s="118">
        <v>0</v>
      </c>
      <c r="G16" s="119">
        <v>0</v>
      </c>
      <c r="H16" s="267">
        <v>0</v>
      </c>
      <c r="I16" s="267">
        <v>0</v>
      </c>
      <c r="J16" s="267">
        <v>0</v>
      </c>
      <c r="K16" s="120">
        <v>0</v>
      </c>
    </row>
    <row r="17" spans="1:11" outlineLevel="1" x14ac:dyDescent="0.3">
      <c r="A17" s="722"/>
      <c r="B17" s="723"/>
      <c r="C17" s="723"/>
      <c r="D17" s="68" t="s">
        <v>28</v>
      </c>
      <c r="E17" s="72">
        <f t="shared" si="1"/>
        <v>0</v>
      </c>
      <c r="F17" s="118">
        <v>0</v>
      </c>
      <c r="G17" s="119">
        <v>0</v>
      </c>
      <c r="H17" s="267">
        <v>0</v>
      </c>
      <c r="I17" s="267">
        <v>0</v>
      </c>
      <c r="J17" s="267">
        <v>0</v>
      </c>
      <c r="K17" s="120">
        <v>0</v>
      </c>
    </row>
    <row r="18" spans="1:11" outlineLevel="1" x14ac:dyDescent="0.3">
      <c r="A18" s="722"/>
      <c r="B18" s="723"/>
      <c r="C18" s="723"/>
      <c r="D18" s="68" t="s">
        <v>29</v>
      </c>
      <c r="E18" s="72">
        <f t="shared" si="1"/>
        <v>0</v>
      </c>
      <c r="F18" s="118">
        <v>0</v>
      </c>
      <c r="G18" s="119">
        <v>0</v>
      </c>
      <c r="H18" s="267">
        <v>0</v>
      </c>
      <c r="I18" s="267">
        <v>0</v>
      </c>
      <c r="J18" s="267">
        <v>0</v>
      </c>
      <c r="K18" s="120">
        <v>0</v>
      </c>
    </row>
    <row r="19" spans="1:11" outlineLevel="1" x14ac:dyDescent="0.3">
      <c r="A19" s="722"/>
      <c r="B19" s="723"/>
      <c r="C19" s="723"/>
      <c r="D19" s="68" t="s">
        <v>30</v>
      </c>
      <c r="E19" s="72">
        <f t="shared" si="1"/>
        <v>0</v>
      </c>
      <c r="F19" s="118">
        <v>0</v>
      </c>
      <c r="G19" s="119">
        <v>0</v>
      </c>
      <c r="H19" s="267">
        <v>0</v>
      </c>
      <c r="I19" s="267">
        <v>0</v>
      </c>
      <c r="J19" s="267">
        <v>0</v>
      </c>
      <c r="K19" s="120">
        <v>0</v>
      </c>
    </row>
    <row r="20" spans="1:11" outlineLevel="1" x14ac:dyDescent="0.3">
      <c r="A20" s="722"/>
      <c r="B20" s="723"/>
      <c r="C20" s="723"/>
      <c r="D20" s="68" t="s">
        <v>31</v>
      </c>
      <c r="E20" s="72">
        <f t="shared" si="1"/>
        <v>0</v>
      </c>
      <c r="F20" s="118">
        <v>0</v>
      </c>
      <c r="G20" s="119">
        <v>0</v>
      </c>
      <c r="H20" s="267">
        <v>0</v>
      </c>
      <c r="I20" s="267">
        <v>0</v>
      </c>
      <c r="J20" s="267">
        <v>0</v>
      </c>
      <c r="K20" s="120">
        <v>0</v>
      </c>
    </row>
    <row r="21" spans="1:11" outlineLevel="1" x14ac:dyDescent="0.3">
      <c r="A21" s="722"/>
      <c r="B21" s="723"/>
      <c r="C21" s="723"/>
      <c r="D21" s="68" t="s">
        <v>32</v>
      </c>
      <c r="E21" s="72">
        <f t="shared" si="1"/>
        <v>0</v>
      </c>
      <c r="F21" s="118">
        <v>0</v>
      </c>
      <c r="G21" s="119">
        <v>0</v>
      </c>
      <c r="H21" s="267">
        <v>0</v>
      </c>
      <c r="I21" s="267">
        <v>0</v>
      </c>
      <c r="J21" s="267">
        <v>0</v>
      </c>
      <c r="K21" s="120">
        <v>0</v>
      </c>
    </row>
    <row r="22" spans="1:11" outlineLevel="1" x14ac:dyDescent="0.3">
      <c r="A22" s="722"/>
      <c r="B22" s="723"/>
      <c r="C22" s="723"/>
      <c r="D22" s="68" t="s">
        <v>33</v>
      </c>
      <c r="E22" s="72">
        <f t="shared" si="1"/>
        <v>0</v>
      </c>
      <c r="F22" s="118">
        <v>0</v>
      </c>
      <c r="G22" s="119">
        <v>0</v>
      </c>
      <c r="H22" s="267">
        <v>0</v>
      </c>
      <c r="I22" s="267">
        <v>0</v>
      </c>
      <c r="J22" s="267">
        <v>0</v>
      </c>
      <c r="K22" s="120">
        <v>0</v>
      </c>
    </row>
    <row r="23" spans="1:11" ht="15" outlineLevel="1" thickBot="1" x14ac:dyDescent="0.35">
      <c r="A23" s="722"/>
      <c r="B23" s="723"/>
      <c r="C23" s="723"/>
      <c r="D23" s="69" t="s">
        <v>34</v>
      </c>
      <c r="E23" s="73">
        <f t="shared" si="1"/>
        <v>0</v>
      </c>
      <c r="F23" s="121">
        <v>0</v>
      </c>
      <c r="G23" s="122">
        <v>0</v>
      </c>
      <c r="H23" s="268">
        <v>0</v>
      </c>
      <c r="I23" s="268">
        <v>0</v>
      </c>
      <c r="J23" s="268">
        <v>0</v>
      </c>
      <c r="K23" s="123">
        <v>0</v>
      </c>
    </row>
    <row r="24" spans="1:11" outlineLevel="1" x14ac:dyDescent="0.3">
      <c r="A24" s="722" t="s">
        <v>96</v>
      </c>
      <c r="B24" s="723" t="s">
        <v>82</v>
      </c>
      <c r="C24" s="723">
        <v>637001</v>
      </c>
      <c r="D24" s="67" t="s">
        <v>25</v>
      </c>
      <c r="E24" s="72">
        <f t="shared" si="1"/>
        <v>0</v>
      </c>
      <c r="F24" s="115">
        <v>0</v>
      </c>
      <c r="G24" s="116">
        <v>0</v>
      </c>
      <c r="H24" s="266">
        <v>0</v>
      </c>
      <c r="I24" s="266">
        <v>0</v>
      </c>
      <c r="J24" s="266">
        <v>0</v>
      </c>
      <c r="K24" s="117">
        <v>0</v>
      </c>
    </row>
    <row r="25" spans="1:11" outlineLevel="1" x14ac:dyDescent="0.3">
      <c r="A25" s="722"/>
      <c r="B25" s="723"/>
      <c r="C25" s="723"/>
      <c r="D25" s="68" t="s">
        <v>26</v>
      </c>
      <c r="E25" s="72">
        <f t="shared" si="1"/>
        <v>0</v>
      </c>
      <c r="F25" s="118">
        <v>0</v>
      </c>
      <c r="G25" s="119">
        <v>0</v>
      </c>
      <c r="H25" s="267">
        <v>0</v>
      </c>
      <c r="I25" s="267">
        <v>0</v>
      </c>
      <c r="J25" s="267">
        <v>0</v>
      </c>
      <c r="K25" s="120">
        <v>0</v>
      </c>
    </row>
    <row r="26" spans="1:11" outlineLevel="1" x14ac:dyDescent="0.3">
      <c r="A26" s="722"/>
      <c r="B26" s="723"/>
      <c r="C26" s="723"/>
      <c r="D26" s="68" t="s">
        <v>27</v>
      </c>
      <c r="E26" s="72">
        <f t="shared" si="1"/>
        <v>0</v>
      </c>
      <c r="F26" s="118">
        <v>0</v>
      </c>
      <c r="G26" s="119">
        <v>0</v>
      </c>
      <c r="H26" s="267">
        <v>0</v>
      </c>
      <c r="I26" s="267">
        <v>0</v>
      </c>
      <c r="J26" s="267">
        <v>0</v>
      </c>
      <c r="K26" s="120">
        <v>0</v>
      </c>
    </row>
    <row r="27" spans="1:11" outlineLevel="1" x14ac:dyDescent="0.3">
      <c r="A27" s="722"/>
      <c r="B27" s="723"/>
      <c r="C27" s="723"/>
      <c r="D27" s="68" t="s">
        <v>28</v>
      </c>
      <c r="E27" s="72">
        <f t="shared" si="1"/>
        <v>0</v>
      </c>
      <c r="F27" s="118">
        <v>0</v>
      </c>
      <c r="G27" s="119">
        <v>0</v>
      </c>
      <c r="H27" s="267">
        <v>0</v>
      </c>
      <c r="I27" s="267">
        <v>0</v>
      </c>
      <c r="J27" s="267">
        <v>0</v>
      </c>
      <c r="K27" s="120">
        <v>0</v>
      </c>
    </row>
    <row r="28" spans="1:11" outlineLevel="1" x14ac:dyDescent="0.3">
      <c r="A28" s="722"/>
      <c r="B28" s="723"/>
      <c r="C28" s="723"/>
      <c r="D28" s="68" t="s">
        <v>29</v>
      </c>
      <c r="E28" s="72">
        <f t="shared" si="1"/>
        <v>0</v>
      </c>
      <c r="F28" s="118">
        <v>0</v>
      </c>
      <c r="G28" s="119">
        <v>0</v>
      </c>
      <c r="H28" s="267">
        <v>0</v>
      </c>
      <c r="I28" s="267">
        <v>0</v>
      </c>
      <c r="J28" s="267">
        <v>0</v>
      </c>
      <c r="K28" s="120">
        <v>0</v>
      </c>
    </row>
    <row r="29" spans="1:11" outlineLevel="1" x14ac:dyDescent="0.3">
      <c r="A29" s="722"/>
      <c r="B29" s="723"/>
      <c r="C29" s="723"/>
      <c r="D29" s="68" t="s">
        <v>30</v>
      </c>
      <c r="E29" s="72">
        <f t="shared" si="1"/>
        <v>0</v>
      </c>
      <c r="F29" s="118">
        <v>0</v>
      </c>
      <c r="G29" s="119">
        <v>0</v>
      </c>
      <c r="H29" s="267">
        <v>0</v>
      </c>
      <c r="I29" s="267">
        <v>0</v>
      </c>
      <c r="J29" s="267">
        <v>0</v>
      </c>
      <c r="K29" s="120">
        <v>0</v>
      </c>
    </row>
    <row r="30" spans="1:11" outlineLevel="1" x14ac:dyDescent="0.3">
      <c r="A30" s="722"/>
      <c r="B30" s="723"/>
      <c r="C30" s="723"/>
      <c r="D30" s="68" t="s">
        <v>31</v>
      </c>
      <c r="E30" s="72">
        <f t="shared" si="1"/>
        <v>0</v>
      </c>
      <c r="F30" s="118">
        <v>0</v>
      </c>
      <c r="G30" s="119">
        <v>0</v>
      </c>
      <c r="H30" s="267">
        <v>0</v>
      </c>
      <c r="I30" s="267">
        <v>0</v>
      </c>
      <c r="J30" s="267">
        <v>0</v>
      </c>
      <c r="K30" s="120">
        <v>0</v>
      </c>
    </row>
    <row r="31" spans="1:11" outlineLevel="1" x14ac:dyDescent="0.3">
      <c r="A31" s="722"/>
      <c r="B31" s="723"/>
      <c r="C31" s="723"/>
      <c r="D31" s="68" t="s">
        <v>32</v>
      </c>
      <c r="E31" s="72">
        <f t="shared" si="1"/>
        <v>0</v>
      </c>
      <c r="F31" s="118">
        <v>0</v>
      </c>
      <c r="G31" s="119">
        <v>0</v>
      </c>
      <c r="H31" s="267">
        <v>0</v>
      </c>
      <c r="I31" s="267">
        <v>0</v>
      </c>
      <c r="J31" s="267">
        <v>0</v>
      </c>
      <c r="K31" s="120">
        <v>0</v>
      </c>
    </row>
    <row r="32" spans="1:11" outlineLevel="1" x14ac:dyDescent="0.3">
      <c r="A32" s="722"/>
      <c r="B32" s="723"/>
      <c r="C32" s="723"/>
      <c r="D32" s="68" t="s">
        <v>33</v>
      </c>
      <c r="E32" s="72">
        <f t="shared" si="1"/>
        <v>0</v>
      </c>
      <c r="F32" s="118">
        <v>0</v>
      </c>
      <c r="G32" s="119">
        <v>0</v>
      </c>
      <c r="H32" s="267">
        <v>0</v>
      </c>
      <c r="I32" s="267">
        <v>0</v>
      </c>
      <c r="J32" s="267">
        <v>0</v>
      </c>
      <c r="K32" s="120">
        <v>0</v>
      </c>
    </row>
    <row r="33" spans="1:11" ht="15" outlineLevel="1" thickBot="1" x14ac:dyDescent="0.35">
      <c r="A33" s="722"/>
      <c r="B33" s="723"/>
      <c r="C33" s="723"/>
      <c r="D33" s="69" t="s">
        <v>34</v>
      </c>
      <c r="E33" s="72">
        <f t="shared" si="1"/>
        <v>0</v>
      </c>
      <c r="F33" s="121">
        <v>0</v>
      </c>
      <c r="G33" s="122">
        <v>0</v>
      </c>
      <c r="H33" s="268">
        <v>0</v>
      </c>
      <c r="I33" s="268">
        <v>0</v>
      </c>
      <c r="J33" s="268">
        <v>0</v>
      </c>
      <c r="K33" s="123">
        <v>0</v>
      </c>
    </row>
    <row r="34" spans="1:11" ht="15" thickBot="1" x14ac:dyDescent="0.35">
      <c r="A34" s="724" t="s">
        <v>93</v>
      </c>
      <c r="B34" s="724"/>
      <c r="C34" s="724"/>
      <c r="D34" s="76"/>
      <c r="E34" s="77">
        <f t="shared" ref="E34:K34" si="2">SUM(E35:E84)</f>
        <v>0</v>
      </c>
      <c r="F34" s="78">
        <f t="shared" si="2"/>
        <v>0</v>
      </c>
      <c r="G34" s="78">
        <f t="shared" si="2"/>
        <v>0</v>
      </c>
      <c r="H34" s="265">
        <f t="shared" si="2"/>
        <v>0</v>
      </c>
      <c r="I34" s="265">
        <f t="shared" si="2"/>
        <v>0</v>
      </c>
      <c r="J34" s="265">
        <f>SUM(J35:J84)</f>
        <v>0</v>
      </c>
      <c r="K34" s="79">
        <f t="shared" si="2"/>
        <v>0</v>
      </c>
    </row>
    <row r="35" spans="1:11" outlineLevel="1" x14ac:dyDescent="0.3">
      <c r="A35" s="722" t="s">
        <v>98</v>
      </c>
      <c r="B35" s="723" t="s">
        <v>85</v>
      </c>
      <c r="C35" s="723">
        <v>635002</v>
      </c>
      <c r="D35" s="67" t="s">
        <v>25</v>
      </c>
      <c r="E35" s="71">
        <f t="shared" ref="E35:E84" si="3">SUM(F35:K35)</f>
        <v>0</v>
      </c>
      <c r="F35" s="266">
        <v>0</v>
      </c>
      <c r="G35" s="266">
        <v>0</v>
      </c>
      <c r="H35" s="266">
        <v>0</v>
      </c>
      <c r="I35" s="266">
        <v>0</v>
      </c>
      <c r="J35" s="266">
        <v>0</v>
      </c>
      <c r="K35" s="117">
        <v>0</v>
      </c>
    </row>
    <row r="36" spans="1:11" outlineLevel="1" x14ac:dyDescent="0.3">
      <c r="A36" s="722"/>
      <c r="B36" s="723"/>
      <c r="C36" s="723"/>
      <c r="D36" s="68" t="s">
        <v>26</v>
      </c>
      <c r="E36" s="72">
        <f t="shared" si="3"/>
        <v>0</v>
      </c>
      <c r="F36" s="267">
        <v>0</v>
      </c>
      <c r="G36" s="267">
        <v>0</v>
      </c>
      <c r="H36" s="267">
        <v>0</v>
      </c>
      <c r="I36" s="267">
        <v>0</v>
      </c>
      <c r="J36" s="267">
        <v>0</v>
      </c>
      <c r="K36" s="120">
        <v>0</v>
      </c>
    </row>
    <row r="37" spans="1:11" outlineLevel="1" x14ac:dyDescent="0.3">
      <c r="A37" s="722"/>
      <c r="B37" s="723"/>
      <c r="C37" s="723"/>
      <c r="D37" s="68" t="s">
        <v>27</v>
      </c>
      <c r="E37" s="72">
        <f t="shared" si="3"/>
        <v>0</v>
      </c>
      <c r="F37" s="267">
        <v>0</v>
      </c>
      <c r="G37" s="267">
        <v>0</v>
      </c>
      <c r="H37" s="267">
        <v>0</v>
      </c>
      <c r="I37" s="267">
        <v>0</v>
      </c>
      <c r="J37" s="267">
        <v>0</v>
      </c>
      <c r="K37" s="120">
        <v>0</v>
      </c>
    </row>
    <row r="38" spans="1:11" outlineLevel="1" x14ac:dyDescent="0.3">
      <c r="A38" s="722"/>
      <c r="B38" s="723"/>
      <c r="C38" s="723"/>
      <c r="D38" s="68" t="s">
        <v>28</v>
      </c>
      <c r="E38" s="72">
        <f t="shared" si="3"/>
        <v>0</v>
      </c>
      <c r="F38" s="267">
        <v>0</v>
      </c>
      <c r="G38" s="267">
        <v>0</v>
      </c>
      <c r="H38" s="267">
        <v>0</v>
      </c>
      <c r="I38" s="267">
        <v>0</v>
      </c>
      <c r="J38" s="267">
        <v>0</v>
      </c>
      <c r="K38" s="120">
        <v>0</v>
      </c>
    </row>
    <row r="39" spans="1:11" outlineLevel="1" x14ac:dyDescent="0.3">
      <c r="A39" s="722"/>
      <c r="B39" s="723"/>
      <c r="C39" s="723"/>
      <c r="D39" s="68" t="s">
        <v>29</v>
      </c>
      <c r="E39" s="72">
        <f t="shared" si="3"/>
        <v>0</v>
      </c>
      <c r="F39" s="267">
        <v>0</v>
      </c>
      <c r="G39" s="267">
        <v>0</v>
      </c>
      <c r="H39" s="267">
        <v>0</v>
      </c>
      <c r="I39" s="267">
        <v>0</v>
      </c>
      <c r="J39" s="267">
        <v>0</v>
      </c>
      <c r="K39" s="120">
        <v>0</v>
      </c>
    </row>
    <row r="40" spans="1:11" outlineLevel="1" x14ac:dyDescent="0.3">
      <c r="A40" s="722"/>
      <c r="B40" s="723"/>
      <c r="C40" s="723"/>
      <c r="D40" s="68" t="s">
        <v>30</v>
      </c>
      <c r="E40" s="72">
        <f t="shared" si="3"/>
        <v>0</v>
      </c>
      <c r="F40" s="267">
        <v>0</v>
      </c>
      <c r="G40" s="267">
        <v>0</v>
      </c>
      <c r="H40" s="267">
        <v>0</v>
      </c>
      <c r="I40" s="267">
        <v>0</v>
      </c>
      <c r="J40" s="267">
        <v>0</v>
      </c>
      <c r="K40" s="120">
        <v>0</v>
      </c>
    </row>
    <row r="41" spans="1:11" outlineLevel="1" x14ac:dyDescent="0.3">
      <c r="A41" s="722"/>
      <c r="B41" s="723"/>
      <c r="C41" s="723"/>
      <c r="D41" s="68" t="s">
        <v>31</v>
      </c>
      <c r="E41" s="72">
        <f t="shared" si="3"/>
        <v>0</v>
      </c>
      <c r="F41" s="267">
        <v>0</v>
      </c>
      <c r="G41" s="267">
        <v>0</v>
      </c>
      <c r="H41" s="267">
        <v>0</v>
      </c>
      <c r="I41" s="267">
        <v>0</v>
      </c>
      <c r="J41" s="267">
        <v>0</v>
      </c>
      <c r="K41" s="120">
        <v>0</v>
      </c>
    </row>
    <row r="42" spans="1:11" outlineLevel="1" x14ac:dyDescent="0.3">
      <c r="A42" s="722"/>
      <c r="B42" s="723"/>
      <c r="C42" s="723"/>
      <c r="D42" s="68" t="s">
        <v>32</v>
      </c>
      <c r="E42" s="72">
        <f t="shared" si="3"/>
        <v>0</v>
      </c>
      <c r="F42" s="267">
        <v>0</v>
      </c>
      <c r="G42" s="267">
        <v>0</v>
      </c>
      <c r="H42" s="267">
        <v>0</v>
      </c>
      <c r="I42" s="267">
        <v>0</v>
      </c>
      <c r="J42" s="267">
        <v>0</v>
      </c>
      <c r="K42" s="120">
        <v>0</v>
      </c>
    </row>
    <row r="43" spans="1:11" outlineLevel="1" x14ac:dyDescent="0.3">
      <c r="A43" s="722"/>
      <c r="B43" s="723"/>
      <c r="C43" s="723"/>
      <c r="D43" s="68" t="s">
        <v>33</v>
      </c>
      <c r="E43" s="72">
        <f t="shared" si="3"/>
        <v>0</v>
      </c>
      <c r="F43" s="267">
        <v>0</v>
      </c>
      <c r="G43" s="267">
        <v>0</v>
      </c>
      <c r="H43" s="267">
        <v>0</v>
      </c>
      <c r="I43" s="267">
        <v>0</v>
      </c>
      <c r="J43" s="267">
        <v>0</v>
      </c>
      <c r="K43" s="120">
        <v>0</v>
      </c>
    </row>
    <row r="44" spans="1:11" ht="15" outlineLevel="1" thickBot="1" x14ac:dyDescent="0.35">
      <c r="A44" s="722"/>
      <c r="B44" s="723"/>
      <c r="C44" s="723"/>
      <c r="D44" s="69" t="s">
        <v>34</v>
      </c>
      <c r="E44" s="73">
        <f t="shared" si="3"/>
        <v>0</v>
      </c>
      <c r="F44" s="268">
        <v>0</v>
      </c>
      <c r="G44" s="268">
        <v>0</v>
      </c>
      <c r="H44" s="268">
        <v>0</v>
      </c>
      <c r="I44" s="268">
        <v>0</v>
      </c>
      <c r="J44" s="268">
        <v>0</v>
      </c>
      <c r="K44" s="123">
        <v>0</v>
      </c>
    </row>
    <row r="45" spans="1:11" outlineLevel="1" x14ac:dyDescent="0.3">
      <c r="A45" s="722" t="s">
        <v>99</v>
      </c>
      <c r="B45" s="722" t="s">
        <v>97</v>
      </c>
      <c r="C45" s="723">
        <v>718002</v>
      </c>
      <c r="D45" s="67" t="s">
        <v>25</v>
      </c>
      <c r="E45" s="72">
        <f t="shared" si="3"/>
        <v>0</v>
      </c>
      <c r="F45" s="115">
        <v>0</v>
      </c>
      <c r="G45" s="116">
        <v>0</v>
      </c>
      <c r="H45" s="266">
        <v>0</v>
      </c>
      <c r="I45" s="266">
        <v>0</v>
      </c>
      <c r="J45" s="266">
        <v>0</v>
      </c>
      <c r="K45" s="117">
        <v>0</v>
      </c>
    </row>
    <row r="46" spans="1:11" outlineLevel="1" x14ac:dyDescent="0.3">
      <c r="A46" s="722"/>
      <c r="B46" s="723"/>
      <c r="C46" s="723"/>
      <c r="D46" s="68" t="s">
        <v>26</v>
      </c>
      <c r="E46" s="72">
        <f t="shared" si="3"/>
        <v>0</v>
      </c>
      <c r="F46" s="118">
        <v>0</v>
      </c>
      <c r="G46" s="119">
        <v>0</v>
      </c>
      <c r="H46" s="267">
        <v>0</v>
      </c>
      <c r="I46" s="267">
        <v>0</v>
      </c>
      <c r="J46" s="267">
        <v>0</v>
      </c>
      <c r="K46" s="120">
        <v>0</v>
      </c>
    </row>
    <row r="47" spans="1:11" outlineLevel="1" x14ac:dyDescent="0.3">
      <c r="A47" s="722"/>
      <c r="B47" s="723"/>
      <c r="C47" s="723"/>
      <c r="D47" s="68" t="s">
        <v>27</v>
      </c>
      <c r="E47" s="72">
        <f t="shared" si="3"/>
        <v>0</v>
      </c>
      <c r="F47" s="118">
        <v>0</v>
      </c>
      <c r="G47" s="119">
        <v>0</v>
      </c>
      <c r="H47" s="267">
        <v>0</v>
      </c>
      <c r="I47" s="267">
        <v>0</v>
      </c>
      <c r="J47" s="267">
        <v>0</v>
      </c>
      <c r="K47" s="120">
        <v>0</v>
      </c>
    </row>
    <row r="48" spans="1:11" outlineLevel="1" x14ac:dyDescent="0.3">
      <c r="A48" s="722"/>
      <c r="B48" s="723"/>
      <c r="C48" s="723"/>
      <c r="D48" s="68" t="s">
        <v>28</v>
      </c>
      <c r="E48" s="72">
        <f t="shared" si="3"/>
        <v>0</v>
      </c>
      <c r="F48" s="118">
        <v>0</v>
      </c>
      <c r="G48" s="119">
        <v>0</v>
      </c>
      <c r="H48" s="267">
        <v>0</v>
      </c>
      <c r="I48" s="267">
        <v>0</v>
      </c>
      <c r="J48" s="267">
        <v>0</v>
      </c>
      <c r="K48" s="120">
        <v>0</v>
      </c>
    </row>
    <row r="49" spans="1:11" outlineLevel="1" x14ac:dyDescent="0.3">
      <c r="A49" s="722"/>
      <c r="B49" s="723"/>
      <c r="C49" s="723"/>
      <c r="D49" s="68" t="s">
        <v>29</v>
      </c>
      <c r="E49" s="72">
        <f t="shared" si="3"/>
        <v>0</v>
      </c>
      <c r="F49" s="118">
        <v>0</v>
      </c>
      <c r="G49" s="119">
        <v>0</v>
      </c>
      <c r="H49" s="267">
        <v>0</v>
      </c>
      <c r="I49" s="267">
        <v>0</v>
      </c>
      <c r="J49" s="267">
        <v>0</v>
      </c>
      <c r="K49" s="120">
        <v>0</v>
      </c>
    </row>
    <row r="50" spans="1:11" outlineLevel="1" x14ac:dyDescent="0.3">
      <c r="A50" s="722"/>
      <c r="B50" s="723"/>
      <c r="C50" s="723"/>
      <c r="D50" s="68" t="s">
        <v>30</v>
      </c>
      <c r="E50" s="72">
        <f t="shared" si="3"/>
        <v>0</v>
      </c>
      <c r="F50" s="118">
        <v>0</v>
      </c>
      <c r="G50" s="119">
        <v>0</v>
      </c>
      <c r="H50" s="267">
        <v>0</v>
      </c>
      <c r="I50" s="267">
        <v>0</v>
      </c>
      <c r="J50" s="267">
        <v>0</v>
      </c>
      <c r="K50" s="120">
        <v>0</v>
      </c>
    </row>
    <row r="51" spans="1:11" outlineLevel="1" x14ac:dyDescent="0.3">
      <c r="A51" s="722"/>
      <c r="B51" s="723"/>
      <c r="C51" s="723"/>
      <c r="D51" s="68" t="s">
        <v>31</v>
      </c>
      <c r="E51" s="72">
        <f t="shared" si="3"/>
        <v>0</v>
      </c>
      <c r="F51" s="118">
        <v>0</v>
      </c>
      <c r="G51" s="119">
        <v>0</v>
      </c>
      <c r="H51" s="267">
        <v>0</v>
      </c>
      <c r="I51" s="267">
        <v>0</v>
      </c>
      <c r="J51" s="267">
        <v>0</v>
      </c>
      <c r="K51" s="120">
        <v>0</v>
      </c>
    </row>
    <row r="52" spans="1:11" outlineLevel="1" x14ac:dyDescent="0.3">
      <c r="A52" s="722"/>
      <c r="B52" s="723"/>
      <c r="C52" s="723"/>
      <c r="D52" s="68" t="s">
        <v>32</v>
      </c>
      <c r="E52" s="72">
        <f t="shared" si="3"/>
        <v>0</v>
      </c>
      <c r="F52" s="118">
        <v>0</v>
      </c>
      <c r="G52" s="119">
        <v>0</v>
      </c>
      <c r="H52" s="267">
        <v>0</v>
      </c>
      <c r="I52" s="267">
        <v>0</v>
      </c>
      <c r="J52" s="267">
        <v>0</v>
      </c>
      <c r="K52" s="120">
        <v>0</v>
      </c>
    </row>
    <row r="53" spans="1:11" outlineLevel="1" x14ac:dyDescent="0.3">
      <c r="A53" s="722"/>
      <c r="B53" s="723"/>
      <c r="C53" s="723"/>
      <c r="D53" s="68" t="s">
        <v>33</v>
      </c>
      <c r="E53" s="72">
        <f t="shared" si="3"/>
        <v>0</v>
      </c>
      <c r="F53" s="118">
        <v>0</v>
      </c>
      <c r="G53" s="119">
        <v>0</v>
      </c>
      <c r="H53" s="267">
        <v>0</v>
      </c>
      <c r="I53" s="267">
        <v>0</v>
      </c>
      <c r="J53" s="267">
        <v>0</v>
      </c>
      <c r="K53" s="120">
        <v>0</v>
      </c>
    </row>
    <row r="54" spans="1:11" ht="15" outlineLevel="1" thickBot="1" x14ac:dyDescent="0.35">
      <c r="A54" s="722"/>
      <c r="B54" s="723"/>
      <c r="C54" s="723"/>
      <c r="D54" s="69" t="s">
        <v>34</v>
      </c>
      <c r="E54" s="73">
        <f t="shared" si="3"/>
        <v>0</v>
      </c>
      <c r="F54" s="121">
        <v>0</v>
      </c>
      <c r="G54" s="122">
        <v>0</v>
      </c>
      <c r="H54" s="268">
        <v>0</v>
      </c>
      <c r="I54" s="268">
        <v>0</v>
      </c>
      <c r="J54" s="268">
        <v>0</v>
      </c>
      <c r="K54" s="123">
        <v>0</v>
      </c>
    </row>
    <row r="55" spans="1:11" outlineLevel="1" x14ac:dyDescent="0.3">
      <c r="A55" s="722" t="s">
        <v>100</v>
      </c>
      <c r="B55" s="723"/>
      <c r="C55" s="723"/>
      <c r="D55" s="67" t="s">
        <v>25</v>
      </c>
      <c r="E55" s="72">
        <f t="shared" si="3"/>
        <v>0</v>
      </c>
      <c r="F55" s="115">
        <v>0</v>
      </c>
      <c r="G55" s="116">
        <v>0</v>
      </c>
      <c r="H55" s="266">
        <v>0</v>
      </c>
      <c r="I55" s="266">
        <v>0</v>
      </c>
      <c r="J55" s="266">
        <v>0</v>
      </c>
      <c r="K55" s="117">
        <v>0</v>
      </c>
    </row>
    <row r="56" spans="1:11" outlineLevel="1" x14ac:dyDescent="0.3">
      <c r="A56" s="722"/>
      <c r="B56" s="723"/>
      <c r="C56" s="723"/>
      <c r="D56" s="68" t="s">
        <v>26</v>
      </c>
      <c r="E56" s="72">
        <f t="shared" si="3"/>
        <v>0</v>
      </c>
      <c r="F56" s="118">
        <v>0</v>
      </c>
      <c r="G56" s="119">
        <v>0</v>
      </c>
      <c r="H56" s="267">
        <v>0</v>
      </c>
      <c r="I56" s="267">
        <v>0</v>
      </c>
      <c r="J56" s="267">
        <v>0</v>
      </c>
      <c r="K56" s="120">
        <v>0</v>
      </c>
    </row>
    <row r="57" spans="1:11" outlineLevel="1" x14ac:dyDescent="0.3">
      <c r="A57" s="722"/>
      <c r="B57" s="723"/>
      <c r="C57" s="723"/>
      <c r="D57" s="68" t="s">
        <v>27</v>
      </c>
      <c r="E57" s="72">
        <f t="shared" si="3"/>
        <v>0</v>
      </c>
      <c r="F57" s="118">
        <v>0</v>
      </c>
      <c r="G57" s="119">
        <v>0</v>
      </c>
      <c r="H57" s="267">
        <v>0</v>
      </c>
      <c r="I57" s="267">
        <v>0</v>
      </c>
      <c r="J57" s="267">
        <v>0</v>
      </c>
      <c r="K57" s="120">
        <v>0</v>
      </c>
    </row>
    <row r="58" spans="1:11" outlineLevel="1" x14ac:dyDescent="0.3">
      <c r="A58" s="722"/>
      <c r="B58" s="723"/>
      <c r="C58" s="723"/>
      <c r="D58" s="68" t="s">
        <v>28</v>
      </c>
      <c r="E58" s="72">
        <f t="shared" si="3"/>
        <v>0</v>
      </c>
      <c r="F58" s="118">
        <v>0</v>
      </c>
      <c r="G58" s="119">
        <v>0</v>
      </c>
      <c r="H58" s="267">
        <v>0</v>
      </c>
      <c r="I58" s="267">
        <v>0</v>
      </c>
      <c r="J58" s="267">
        <v>0</v>
      </c>
      <c r="K58" s="120">
        <v>0</v>
      </c>
    </row>
    <row r="59" spans="1:11" outlineLevel="1" x14ac:dyDescent="0.3">
      <c r="A59" s="722"/>
      <c r="B59" s="723"/>
      <c r="C59" s="723"/>
      <c r="D59" s="68" t="s">
        <v>29</v>
      </c>
      <c r="E59" s="72">
        <f t="shared" si="3"/>
        <v>0</v>
      </c>
      <c r="F59" s="118">
        <v>0</v>
      </c>
      <c r="G59" s="119">
        <v>0</v>
      </c>
      <c r="H59" s="267">
        <v>0</v>
      </c>
      <c r="I59" s="267">
        <v>0</v>
      </c>
      <c r="J59" s="267">
        <v>0</v>
      </c>
      <c r="K59" s="120">
        <v>0</v>
      </c>
    </row>
    <row r="60" spans="1:11" outlineLevel="1" x14ac:dyDescent="0.3">
      <c r="A60" s="722"/>
      <c r="B60" s="723"/>
      <c r="C60" s="723"/>
      <c r="D60" s="68" t="s">
        <v>30</v>
      </c>
      <c r="E60" s="72">
        <f t="shared" si="3"/>
        <v>0</v>
      </c>
      <c r="F60" s="118">
        <v>0</v>
      </c>
      <c r="G60" s="119">
        <v>0</v>
      </c>
      <c r="H60" s="267">
        <v>0</v>
      </c>
      <c r="I60" s="267">
        <v>0</v>
      </c>
      <c r="J60" s="267">
        <v>0</v>
      </c>
      <c r="K60" s="120">
        <v>0</v>
      </c>
    </row>
    <row r="61" spans="1:11" outlineLevel="1" x14ac:dyDescent="0.3">
      <c r="A61" s="722"/>
      <c r="B61" s="723"/>
      <c r="C61" s="723"/>
      <c r="D61" s="68" t="s">
        <v>31</v>
      </c>
      <c r="E61" s="72">
        <f t="shared" si="3"/>
        <v>0</v>
      </c>
      <c r="F61" s="118">
        <v>0</v>
      </c>
      <c r="G61" s="119">
        <v>0</v>
      </c>
      <c r="H61" s="267">
        <v>0</v>
      </c>
      <c r="I61" s="267">
        <v>0</v>
      </c>
      <c r="J61" s="267">
        <v>0</v>
      </c>
      <c r="K61" s="120">
        <v>0</v>
      </c>
    </row>
    <row r="62" spans="1:11" outlineLevel="1" x14ac:dyDescent="0.3">
      <c r="A62" s="722"/>
      <c r="B62" s="723"/>
      <c r="C62" s="723"/>
      <c r="D62" s="68" t="s">
        <v>32</v>
      </c>
      <c r="E62" s="72">
        <f t="shared" si="3"/>
        <v>0</v>
      </c>
      <c r="F62" s="118">
        <v>0</v>
      </c>
      <c r="G62" s="119">
        <v>0</v>
      </c>
      <c r="H62" s="267">
        <v>0</v>
      </c>
      <c r="I62" s="267">
        <v>0</v>
      </c>
      <c r="J62" s="267">
        <v>0</v>
      </c>
      <c r="K62" s="120">
        <v>0</v>
      </c>
    </row>
    <row r="63" spans="1:11" outlineLevel="1" x14ac:dyDescent="0.3">
      <c r="A63" s="722"/>
      <c r="B63" s="723"/>
      <c r="C63" s="723"/>
      <c r="D63" s="68" t="s">
        <v>33</v>
      </c>
      <c r="E63" s="72">
        <f t="shared" si="3"/>
        <v>0</v>
      </c>
      <c r="F63" s="118">
        <v>0</v>
      </c>
      <c r="G63" s="119">
        <v>0</v>
      </c>
      <c r="H63" s="267">
        <v>0</v>
      </c>
      <c r="I63" s="267">
        <v>0</v>
      </c>
      <c r="J63" s="267">
        <v>0</v>
      </c>
      <c r="K63" s="120">
        <v>0</v>
      </c>
    </row>
    <row r="64" spans="1:11" ht="15" outlineLevel="1" thickBot="1" x14ac:dyDescent="0.35">
      <c r="A64" s="722"/>
      <c r="B64" s="723"/>
      <c r="C64" s="723"/>
      <c r="D64" s="69" t="s">
        <v>34</v>
      </c>
      <c r="E64" s="73">
        <f t="shared" si="3"/>
        <v>0</v>
      </c>
      <c r="F64" s="121">
        <v>0</v>
      </c>
      <c r="G64" s="122">
        <v>0</v>
      </c>
      <c r="H64" s="268">
        <v>0</v>
      </c>
      <c r="I64" s="268">
        <v>0</v>
      </c>
      <c r="J64" s="268">
        <v>0</v>
      </c>
      <c r="K64" s="123">
        <v>0</v>
      </c>
    </row>
    <row r="65" spans="1:11" outlineLevel="1" x14ac:dyDescent="0.3">
      <c r="A65" s="722" t="s">
        <v>101</v>
      </c>
      <c r="B65" s="723"/>
      <c r="C65" s="723"/>
      <c r="D65" s="67" t="s">
        <v>25</v>
      </c>
      <c r="E65" s="72">
        <f t="shared" si="3"/>
        <v>0</v>
      </c>
      <c r="F65" s="115">
        <v>0</v>
      </c>
      <c r="G65" s="116">
        <v>0</v>
      </c>
      <c r="H65" s="266">
        <v>0</v>
      </c>
      <c r="I65" s="266">
        <v>0</v>
      </c>
      <c r="J65" s="266">
        <v>0</v>
      </c>
      <c r="K65" s="117">
        <v>0</v>
      </c>
    </row>
    <row r="66" spans="1:11" outlineLevel="1" x14ac:dyDescent="0.3">
      <c r="A66" s="722"/>
      <c r="B66" s="723"/>
      <c r="C66" s="723"/>
      <c r="D66" s="68" t="s">
        <v>26</v>
      </c>
      <c r="E66" s="72">
        <f t="shared" si="3"/>
        <v>0</v>
      </c>
      <c r="F66" s="118">
        <v>0</v>
      </c>
      <c r="G66" s="119">
        <v>0</v>
      </c>
      <c r="H66" s="267">
        <v>0</v>
      </c>
      <c r="I66" s="267">
        <v>0</v>
      </c>
      <c r="J66" s="267">
        <v>0</v>
      </c>
      <c r="K66" s="120">
        <v>0</v>
      </c>
    </row>
    <row r="67" spans="1:11" outlineLevel="1" x14ac:dyDescent="0.3">
      <c r="A67" s="722"/>
      <c r="B67" s="723"/>
      <c r="C67" s="723"/>
      <c r="D67" s="68" t="s">
        <v>27</v>
      </c>
      <c r="E67" s="72">
        <f t="shared" si="3"/>
        <v>0</v>
      </c>
      <c r="F67" s="118">
        <v>0</v>
      </c>
      <c r="G67" s="119">
        <v>0</v>
      </c>
      <c r="H67" s="267">
        <v>0</v>
      </c>
      <c r="I67" s="267">
        <v>0</v>
      </c>
      <c r="J67" s="267">
        <v>0</v>
      </c>
      <c r="K67" s="120">
        <v>0</v>
      </c>
    </row>
    <row r="68" spans="1:11" outlineLevel="1" x14ac:dyDescent="0.3">
      <c r="A68" s="722"/>
      <c r="B68" s="723"/>
      <c r="C68" s="723"/>
      <c r="D68" s="68" t="s">
        <v>28</v>
      </c>
      <c r="E68" s="72">
        <f t="shared" si="3"/>
        <v>0</v>
      </c>
      <c r="F68" s="118">
        <v>0</v>
      </c>
      <c r="G68" s="119">
        <v>0</v>
      </c>
      <c r="H68" s="267">
        <v>0</v>
      </c>
      <c r="I68" s="267">
        <v>0</v>
      </c>
      <c r="J68" s="267">
        <v>0</v>
      </c>
      <c r="K68" s="120">
        <v>0</v>
      </c>
    </row>
    <row r="69" spans="1:11" outlineLevel="1" x14ac:dyDescent="0.3">
      <c r="A69" s="722"/>
      <c r="B69" s="723"/>
      <c r="C69" s="723"/>
      <c r="D69" s="68" t="s">
        <v>29</v>
      </c>
      <c r="E69" s="72">
        <f t="shared" si="3"/>
        <v>0</v>
      </c>
      <c r="F69" s="118">
        <v>0</v>
      </c>
      <c r="G69" s="119">
        <v>0</v>
      </c>
      <c r="H69" s="267">
        <v>0</v>
      </c>
      <c r="I69" s="267">
        <v>0</v>
      </c>
      <c r="J69" s="267">
        <v>0</v>
      </c>
      <c r="K69" s="120">
        <v>0</v>
      </c>
    </row>
    <row r="70" spans="1:11" outlineLevel="1" x14ac:dyDescent="0.3">
      <c r="A70" s="722"/>
      <c r="B70" s="723"/>
      <c r="C70" s="723"/>
      <c r="D70" s="68" t="s">
        <v>30</v>
      </c>
      <c r="E70" s="72">
        <f t="shared" si="3"/>
        <v>0</v>
      </c>
      <c r="F70" s="118">
        <v>0</v>
      </c>
      <c r="G70" s="119">
        <v>0</v>
      </c>
      <c r="H70" s="267">
        <v>0</v>
      </c>
      <c r="I70" s="267">
        <v>0</v>
      </c>
      <c r="J70" s="267">
        <v>0</v>
      </c>
      <c r="K70" s="120">
        <v>0</v>
      </c>
    </row>
    <row r="71" spans="1:11" outlineLevel="1" x14ac:dyDescent="0.3">
      <c r="A71" s="722"/>
      <c r="B71" s="723"/>
      <c r="C71" s="723"/>
      <c r="D71" s="68" t="s">
        <v>31</v>
      </c>
      <c r="E71" s="72">
        <f t="shared" si="3"/>
        <v>0</v>
      </c>
      <c r="F71" s="118">
        <v>0</v>
      </c>
      <c r="G71" s="119">
        <v>0</v>
      </c>
      <c r="H71" s="267">
        <v>0</v>
      </c>
      <c r="I71" s="267">
        <v>0</v>
      </c>
      <c r="J71" s="267">
        <v>0</v>
      </c>
      <c r="K71" s="120">
        <v>0</v>
      </c>
    </row>
    <row r="72" spans="1:11" outlineLevel="1" x14ac:dyDescent="0.3">
      <c r="A72" s="722"/>
      <c r="B72" s="723"/>
      <c r="C72" s="723"/>
      <c r="D72" s="68" t="s">
        <v>32</v>
      </c>
      <c r="E72" s="72">
        <f t="shared" si="3"/>
        <v>0</v>
      </c>
      <c r="F72" s="118">
        <v>0</v>
      </c>
      <c r="G72" s="119">
        <v>0</v>
      </c>
      <c r="H72" s="267">
        <v>0</v>
      </c>
      <c r="I72" s="267">
        <v>0</v>
      </c>
      <c r="J72" s="267">
        <v>0</v>
      </c>
      <c r="K72" s="120">
        <v>0</v>
      </c>
    </row>
    <row r="73" spans="1:11" outlineLevel="1" x14ac:dyDescent="0.3">
      <c r="A73" s="722"/>
      <c r="B73" s="723"/>
      <c r="C73" s="723"/>
      <c r="D73" s="68" t="s">
        <v>33</v>
      </c>
      <c r="E73" s="72">
        <f t="shared" si="3"/>
        <v>0</v>
      </c>
      <c r="F73" s="118">
        <v>0</v>
      </c>
      <c r="G73" s="119">
        <v>0</v>
      </c>
      <c r="H73" s="267">
        <v>0</v>
      </c>
      <c r="I73" s="267">
        <v>0</v>
      </c>
      <c r="J73" s="267">
        <v>0</v>
      </c>
      <c r="K73" s="120">
        <v>0</v>
      </c>
    </row>
    <row r="74" spans="1:11" ht="15" outlineLevel="1" thickBot="1" x14ac:dyDescent="0.35">
      <c r="A74" s="722"/>
      <c r="B74" s="723"/>
      <c r="C74" s="723"/>
      <c r="D74" s="69" t="s">
        <v>34</v>
      </c>
      <c r="E74" s="73">
        <f t="shared" si="3"/>
        <v>0</v>
      </c>
      <c r="F74" s="121">
        <v>0</v>
      </c>
      <c r="G74" s="122">
        <v>0</v>
      </c>
      <c r="H74" s="268">
        <v>0</v>
      </c>
      <c r="I74" s="268">
        <v>0</v>
      </c>
      <c r="J74" s="268">
        <v>0</v>
      </c>
      <c r="K74" s="123">
        <v>0</v>
      </c>
    </row>
    <row r="75" spans="1:11" outlineLevel="1" x14ac:dyDescent="0.3">
      <c r="A75" s="722" t="s">
        <v>96</v>
      </c>
      <c r="B75" s="723" t="s">
        <v>82</v>
      </c>
      <c r="C75" s="723">
        <v>637001</v>
      </c>
      <c r="D75" s="67" t="s">
        <v>25</v>
      </c>
      <c r="E75" s="72">
        <f t="shared" si="3"/>
        <v>0</v>
      </c>
      <c r="F75" s="115">
        <v>0</v>
      </c>
      <c r="G75" s="116">
        <v>0</v>
      </c>
      <c r="H75" s="266">
        <v>0</v>
      </c>
      <c r="I75" s="266">
        <v>0</v>
      </c>
      <c r="J75" s="266">
        <v>0</v>
      </c>
      <c r="K75" s="117">
        <v>0</v>
      </c>
    </row>
    <row r="76" spans="1:11" outlineLevel="1" x14ac:dyDescent="0.3">
      <c r="A76" s="722"/>
      <c r="B76" s="723"/>
      <c r="C76" s="723"/>
      <c r="D76" s="68" t="s">
        <v>26</v>
      </c>
      <c r="E76" s="72">
        <f t="shared" si="3"/>
        <v>0</v>
      </c>
      <c r="F76" s="118">
        <v>0</v>
      </c>
      <c r="G76" s="119">
        <v>0</v>
      </c>
      <c r="H76" s="267">
        <v>0</v>
      </c>
      <c r="I76" s="267">
        <v>0</v>
      </c>
      <c r="J76" s="267">
        <v>0</v>
      </c>
      <c r="K76" s="120">
        <v>0</v>
      </c>
    </row>
    <row r="77" spans="1:11" outlineLevel="1" x14ac:dyDescent="0.3">
      <c r="A77" s="722"/>
      <c r="B77" s="723"/>
      <c r="C77" s="723"/>
      <c r="D77" s="68" t="s">
        <v>27</v>
      </c>
      <c r="E77" s="72">
        <f t="shared" si="3"/>
        <v>0</v>
      </c>
      <c r="F77" s="118">
        <v>0</v>
      </c>
      <c r="G77" s="119">
        <v>0</v>
      </c>
      <c r="H77" s="267">
        <v>0</v>
      </c>
      <c r="I77" s="267">
        <v>0</v>
      </c>
      <c r="J77" s="267">
        <v>0</v>
      </c>
      <c r="K77" s="120">
        <v>0</v>
      </c>
    </row>
    <row r="78" spans="1:11" outlineLevel="1" x14ac:dyDescent="0.3">
      <c r="A78" s="722"/>
      <c r="B78" s="723"/>
      <c r="C78" s="723"/>
      <c r="D78" s="68" t="s">
        <v>28</v>
      </c>
      <c r="E78" s="72">
        <f t="shared" si="3"/>
        <v>0</v>
      </c>
      <c r="F78" s="118">
        <v>0</v>
      </c>
      <c r="G78" s="119">
        <v>0</v>
      </c>
      <c r="H78" s="267">
        <v>0</v>
      </c>
      <c r="I78" s="267">
        <v>0</v>
      </c>
      <c r="J78" s="267">
        <v>0</v>
      </c>
      <c r="K78" s="120">
        <v>0</v>
      </c>
    </row>
    <row r="79" spans="1:11" outlineLevel="1" x14ac:dyDescent="0.3">
      <c r="A79" s="722"/>
      <c r="B79" s="723"/>
      <c r="C79" s="723"/>
      <c r="D79" s="68" t="s">
        <v>29</v>
      </c>
      <c r="E79" s="72">
        <f t="shared" si="3"/>
        <v>0</v>
      </c>
      <c r="F79" s="118">
        <v>0</v>
      </c>
      <c r="G79" s="119">
        <v>0</v>
      </c>
      <c r="H79" s="267">
        <v>0</v>
      </c>
      <c r="I79" s="267">
        <v>0</v>
      </c>
      <c r="J79" s="267">
        <v>0</v>
      </c>
      <c r="K79" s="120">
        <v>0</v>
      </c>
    </row>
    <row r="80" spans="1:11" outlineLevel="1" x14ac:dyDescent="0.3">
      <c r="A80" s="722"/>
      <c r="B80" s="723"/>
      <c r="C80" s="723"/>
      <c r="D80" s="68" t="s">
        <v>30</v>
      </c>
      <c r="E80" s="72">
        <f t="shared" si="3"/>
        <v>0</v>
      </c>
      <c r="F80" s="118">
        <v>0</v>
      </c>
      <c r="G80" s="119">
        <v>0</v>
      </c>
      <c r="H80" s="267">
        <v>0</v>
      </c>
      <c r="I80" s="267">
        <v>0</v>
      </c>
      <c r="J80" s="267">
        <v>0</v>
      </c>
      <c r="K80" s="120">
        <v>0</v>
      </c>
    </row>
    <row r="81" spans="1:11" outlineLevel="1" x14ac:dyDescent="0.3">
      <c r="A81" s="722"/>
      <c r="B81" s="723"/>
      <c r="C81" s="723"/>
      <c r="D81" s="68" t="s">
        <v>31</v>
      </c>
      <c r="E81" s="72">
        <f t="shared" si="3"/>
        <v>0</v>
      </c>
      <c r="F81" s="118">
        <v>0</v>
      </c>
      <c r="G81" s="119">
        <v>0</v>
      </c>
      <c r="H81" s="267">
        <v>0</v>
      </c>
      <c r="I81" s="267">
        <v>0</v>
      </c>
      <c r="J81" s="267">
        <v>0</v>
      </c>
      <c r="K81" s="120">
        <v>0</v>
      </c>
    </row>
    <row r="82" spans="1:11" outlineLevel="1" x14ac:dyDescent="0.3">
      <c r="A82" s="722"/>
      <c r="B82" s="723"/>
      <c r="C82" s="723"/>
      <c r="D82" s="68" t="s">
        <v>32</v>
      </c>
      <c r="E82" s="72">
        <f t="shared" si="3"/>
        <v>0</v>
      </c>
      <c r="F82" s="118">
        <v>0</v>
      </c>
      <c r="G82" s="119">
        <v>0</v>
      </c>
      <c r="H82" s="267">
        <v>0</v>
      </c>
      <c r="I82" s="267">
        <v>0</v>
      </c>
      <c r="J82" s="267">
        <v>0</v>
      </c>
      <c r="K82" s="120">
        <v>0</v>
      </c>
    </row>
    <row r="83" spans="1:11" outlineLevel="1" x14ac:dyDescent="0.3">
      <c r="A83" s="722"/>
      <c r="B83" s="723"/>
      <c r="C83" s="723"/>
      <c r="D83" s="68" t="s">
        <v>33</v>
      </c>
      <c r="E83" s="72">
        <f t="shared" si="3"/>
        <v>0</v>
      </c>
      <c r="F83" s="118">
        <v>0</v>
      </c>
      <c r="G83" s="119">
        <v>0</v>
      </c>
      <c r="H83" s="267">
        <v>0</v>
      </c>
      <c r="I83" s="267">
        <v>0</v>
      </c>
      <c r="J83" s="267">
        <v>0</v>
      </c>
      <c r="K83" s="120">
        <v>0</v>
      </c>
    </row>
    <row r="84" spans="1:11" ht="15" outlineLevel="1" thickBot="1" x14ac:dyDescent="0.35">
      <c r="A84" s="722"/>
      <c r="B84" s="723"/>
      <c r="C84" s="723"/>
      <c r="D84" s="69" t="s">
        <v>34</v>
      </c>
      <c r="E84" s="73">
        <f t="shared" si="3"/>
        <v>0</v>
      </c>
      <c r="F84" s="121">
        <v>0</v>
      </c>
      <c r="G84" s="122">
        <v>0</v>
      </c>
      <c r="H84" s="268">
        <v>0</v>
      </c>
      <c r="I84" s="268">
        <v>0</v>
      </c>
      <c r="J84" s="268">
        <v>0</v>
      </c>
      <c r="K84" s="123">
        <v>0</v>
      </c>
    </row>
  </sheetData>
  <mergeCells count="27">
    <mergeCell ref="A1:D1"/>
    <mergeCell ref="A65:A74"/>
    <mergeCell ref="B65:B74"/>
    <mergeCell ref="C65:C74"/>
    <mergeCell ref="A75:A84"/>
    <mergeCell ref="B75:B84"/>
    <mergeCell ref="C75:C84"/>
    <mergeCell ref="A45:A54"/>
    <mergeCell ref="B45:B54"/>
    <mergeCell ref="C45:C54"/>
    <mergeCell ref="A55:A64"/>
    <mergeCell ref="B55:B64"/>
    <mergeCell ref="C55:C64"/>
    <mergeCell ref="A35:A44"/>
    <mergeCell ref="B35:B44"/>
    <mergeCell ref="C35:C44"/>
    <mergeCell ref="A3:C3"/>
    <mergeCell ref="A24:A33"/>
    <mergeCell ref="B24:B33"/>
    <mergeCell ref="C24:C33"/>
    <mergeCell ref="A34:C34"/>
    <mergeCell ref="A4:A13"/>
    <mergeCell ref="B4:B13"/>
    <mergeCell ref="C4:C13"/>
    <mergeCell ref="A14:A23"/>
    <mergeCell ref="B14:B23"/>
    <mergeCell ref="C14:C23"/>
  </mergeCells>
  <pageMargins left="0.7" right="0.7" top="0.75" bottom="0.75" header="0.3" footer="0.3"/>
  <pageSetup paperSize="9" scale="39" orientation="portrait" r:id="rId1"/>
  <ignoredErrors>
    <ignoredError sqref="E34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249977111117893"/>
  </sheetPr>
  <dimension ref="A1:G21"/>
  <sheetViews>
    <sheetView workbookViewId="0">
      <selection activeCell="D4" sqref="D4"/>
    </sheetView>
  </sheetViews>
  <sheetFormatPr defaultRowHeight="14.4" x14ac:dyDescent="0.3"/>
  <cols>
    <col min="1" max="1" width="10.21875" bestFit="1" customWidth="1"/>
    <col min="2" max="2" width="29" bestFit="1" customWidth="1"/>
    <col min="3" max="3" width="92.88671875" bestFit="1" customWidth="1"/>
    <col min="4" max="4" width="14.88671875" bestFit="1" customWidth="1"/>
    <col min="5" max="5" width="11.33203125" bestFit="1" customWidth="1"/>
    <col min="6" max="7" width="10.33203125" bestFit="1" customWidth="1"/>
  </cols>
  <sheetData>
    <row r="1" spans="1:7" x14ac:dyDescent="0.3">
      <c r="A1" s="582" t="s">
        <v>390</v>
      </c>
      <c r="B1" s="582" t="s">
        <v>389</v>
      </c>
      <c r="C1" s="582" t="s">
        <v>414</v>
      </c>
      <c r="D1" s="582" t="s">
        <v>415</v>
      </c>
      <c r="E1" s="582" t="s">
        <v>109</v>
      </c>
    </row>
    <row r="2" spans="1:7" x14ac:dyDescent="0.3">
      <c r="A2" s="733" t="s">
        <v>391</v>
      </c>
      <c r="B2" s="736" t="s">
        <v>393</v>
      </c>
      <c r="C2" s="580" t="s">
        <v>394</v>
      </c>
      <c r="D2" s="581">
        <f>E2*0.75</f>
        <v>990342</v>
      </c>
      <c r="E2" s="728">
        <v>1320456</v>
      </c>
    </row>
    <row r="3" spans="1:7" x14ac:dyDescent="0.3">
      <c r="A3" s="734"/>
      <c r="B3" s="737"/>
      <c r="C3" s="580" t="s">
        <v>395</v>
      </c>
      <c r="D3" s="581">
        <f>E2*0.15</f>
        <v>198068.4</v>
      </c>
      <c r="E3" s="742"/>
    </row>
    <row r="4" spans="1:7" x14ac:dyDescent="0.3">
      <c r="A4" s="734"/>
      <c r="B4" s="738"/>
      <c r="C4" s="580" t="s">
        <v>396</v>
      </c>
      <c r="D4" s="581">
        <f>E2*0.1</f>
        <v>132045.6</v>
      </c>
      <c r="E4" s="729"/>
    </row>
    <row r="5" spans="1:7" x14ac:dyDescent="0.3">
      <c r="A5" s="734"/>
      <c r="B5" s="739" t="s">
        <v>397</v>
      </c>
      <c r="C5" s="580" t="s">
        <v>398</v>
      </c>
      <c r="D5" s="581">
        <f>E5*0.75</f>
        <v>0</v>
      </c>
      <c r="E5" s="728">
        <f>SUM('Rozpočet - HW a licencie'!F3:F16)</f>
        <v>0</v>
      </c>
    </row>
    <row r="6" spans="1:7" x14ac:dyDescent="0.3">
      <c r="A6" s="734"/>
      <c r="B6" s="740"/>
      <c r="C6" s="580" t="s">
        <v>399</v>
      </c>
      <c r="D6" s="581">
        <f>E5*0.15</f>
        <v>0</v>
      </c>
      <c r="E6" s="742"/>
    </row>
    <row r="7" spans="1:7" x14ac:dyDescent="0.3">
      <c r="A7" s="734"/>
      <c r="B7" s="741"/>
      <c r="C7" s="580" t="s">
        <v>400</v>
      </c>
      <c r="D7" s="581">
        <f>E5*0.1</f>
        <v>0</v>
      </c>
      <c r="E7" s="729"/>
    </row>
    <row r="8" spans="1:7" x14ac:dyDescent="0.3">
      <c r="A8" s="734"/>
      <c r="B8" s="739" t="s">
        <v>401</v>
      </c>
      <c r="C8" s="580" t="s">
        <v>402</v>
      </c>
      <c r="D8" s="581">
        <f>E8*0.75</f>
        <v>1486872</v>
      </c>
      <c r="E8" s="728">
        <v>1982496</v>
      </c>
    </row>
    <row r="9" spans="1:7" x14ac:dyDescent="0.3">
      <c r="A9" s="734"/>
      <c r="B9" s="740"/>
      <c r="C9" s="580" t="s">
        <v>403</v>
      </c>
      <c r="D9" s="581">
        <f>E8*0.15</f>
        <v>297374.39999999997</v>
      </c>
      <c r="E9" s="742"/>
    </row>
    <row r="10" spans="1:7" x14ac:dyDescent="0.3">
      <c r="A10" s="734"/>
      <c r="B10" s="741"/>
      <c r="C10" s="580" t="s">
        <v>404</v>
      </c>
      <c r="D10" s="581">
        <f>E8*0.1</f>
        <v>198249.60000000001</v>
      </c>
      <c r="E10" s="729"/>
    </row>
    <row r="11" spans="1:7" x14ac:dyDescent="0.3">
      <c r="A11" s="734"/>
      <c r="B11" s="739" t="s">
        <v>405</v>
      </c>
      <c r="C11" s="580" t="s">
        <v>406</v>
      </c>
      <c r="D11" s="581">
        <f>E11*0.75</f>
        <v>1376721</v>
      </c>
      <c r="E11" s="728">
        <v>1835628</v>
      </c>
    </row>
    <row r="12" spans="1:7" x14ac:dyDescent="0.3">
      <c r="A12" s="734"/>
      <c r="B12" s="740"/>
      <c r="C12" s="580" t="s">
        <v>407</v>
      </c>
      <c r="D12" s="581">
        <f>E11*0.15</f>
        <v>275344.2</v>
      </c>
      <c r="E12" s="742"/>
    </row>
    <row r="13" spans="1:7" x14ac:dyDescent="0.3">
      <c r="A13" s="734"/>
      <c r="B13" s="741"/>
      <c r="C13" s="580" t="s">
        <v>408</v>
      </c>
      <c r="D13" s="581">
        <f>E11*0.1</f>
        <v>183562.80000000002</v>
      </c>
      <c r="E13" s="729"/>
    </row>
    <row r="14" spans="1:7" x14ac:dyDescent="0.3">
      <c r="A14" s="734"/>
      <c r="B14" s="739" t="s">
        <v>409</v>
      </c>
      <c r="C14" s="580" t="s">
        <v>410</v>
      </c>
      <c r="D14" s="581">
        <f>E14*0.75</f>
        <v>1652553</v>
      </c>
      <c r="E14" s="728">
        <v>2203404</v>
      </c>
    </row>
    <row r="15" spans="1:7" x14ac:dyDescent="0.3">
      <c r="A15" s="734"/>
      <c r="B15" s="740"/>
      <c r="C15" s="580" t="s">
        <v>411</v>
      </c>
      <c r="D15" s="581">
        <f>E14*0.15</f>
        <v>330510.59999999998</v>
      </c>
      <c r="E15" s="742"/>
    </row>
    <row r="16" spans="1:7" x14ac:dyDescent="0.3">
      <c r="A16" s="735"/>
      <c r="B16" s="741"/>
      <c r="C16" s="580" t="s">
        <v>412</v>
      </c>
      <c r="D16" s="581">
        <f>E14*0.1</f>
        <v>220340.40000000002</v>
      </c>
      <c r="E16" s="729"/>
      <c r="F16" s="578">
        <f>SUM(E2:E16)/1.2</f>
        <v>6118320</v>
      </c>
      <c r="G16" s="578">
        <f>F16*1.2</f>
        <v>7341984</v>
      </c>
    </row>
    <row r="17" spans="1:6" x14ac:dyDescent="0.3">
      <c r="A17" s="733" t="s">
        <v>392</v>
      </c>
      <c r="B17" s="739" t="s">
        <v>325</v>
      </c>
      <c r="C17" s="580" t="s">
        <v>417</v>
      </c>
      <c r="D17" s="581">
        <v>261807.96</v>
      </c>
      <c r="E17" s="728">
        <v>438006</v>
      </c>
    </row>
    <row r="18" spans="1:6" x14ac:dyDescent="0.3">
      <c r="A18" s="734"/>
      <c r="B18" s="741"/>
      <c r="C18" s="580" t="s">
        <v>416</v>
      </c>
      <c r="D18" s="581">
        <v>183105.85</v>
      </c>
      <c r="E18" s="729"/>
    </row>
    <row r="19" spans="1:6" x14ac:dyDescent="0.3">
      <c r="A19" s="734"/>
      <c r="B19" s="739" t="s">
        <v>413</v>
      </c>
      <c r="C19" s="580" t="s">
        <v>418</v>
      </c>
      <c r="D19" s="581">
        <v>55026.96</v>
      </c>
      <c r="E19" s="728">
        <v>174363.66</v>
      </c>
    </row>
    <row r="20" spans="1:6" x14ac:dyDescent="0.3">
      <c r="A20" s="735"/>
      <c r="B20" s="741"/>
      <c r="C20" s="580" t="s">
        <v>419</v>
      </c>
      <c r="D20" s="581">
        <v>119336.7</v>
      </c>
      <c r="E20" s="729"/>
      <c r="F20" s="578"/>
    </row>
    <row r="21" spans="1:6" x14ac:dyDescent="0.3">
      <c r="A21" s="730" t="s">
        <v>420</v>
      </c>
      <c r="B21" s="730"/>
      <c r="C21" s="730"/>
      <c r="D21" s="731">
        <f>SUM(E2:E20)</f>
        <v>7954353.6600000001</v>
      </c>
      <c r="E21" s="732"/>
    </row>
  </sheetData>
  <mergeCells count="18">
    <mergeCell ref="E11:E13"/>
    <mergeCell ref="E14:E16"/>
    <mergeCell ref="E17:E18"/>
    <mergeCell ref="A21:C21"/>
    <mergeCell ref="D21:E21"/>
    <mergeCell ref="E19:E20"/>
    <mergeCell ref="A2:A16"/>
    <mergeCell ref="A17:A20"/>
    <mergeCell ref="B2:B4"/>
    <mergeCell ref="B5:B7"/>
    <mergeCell ref="B8:B10"/>
    <mergeCell ref="B11:B13"/>
    <mergeCell ref="B14:B16"/>
    <mergeCell ref="B17:B18"/>
    <mergeCell ref="B19:B20"/>
    <mergeCell ref="E2:E4"/>
    <mergeCell ref="E5:E7"/>
    <mergeCell ref="E8:E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0.249977111117893"/>
  </sheetPr>
  <dimension ref="A1:AL54"/>
  <sheetViews>
    <sheetView zoomScale="85" zoomScaleNormal="85" zoomScaleSheetLayoutView="90" workbookViewId="0">
      <pane xSplit="1" ySplit="5" topLeftCell="B26" activePane="bottomRight" state="frozen"/>
      <selection pane="topRight" activeCell="B1" sqref="B1"/>
      <selection pane="bottomLeft" activeCell="A6" sqref="A6"/>
      <selection pane="bottomRight" activeCell="A51" sqref="A51"/>
    </sheetView>
  </sheetViews>
  <sheetFormatPr defaultColWidth="8.6640625" defaultRowHeight="12" x14ac:dyDescent="0.25"/>
  <cols>
    <col min="1" max="1" width="58.88671875" style="133" customWidth="1"/>
    <col min="2" max="2" width="8.5546875" style="133" customWidth="1"/>
    <col min="3" max="3" width="3.33203125" style="133" customWidth="1"/>
    <col min="4" max="26" width="3.6640625" style="133" customWidth="1"/>
    <col min="27" max="31" width="8" style="133" customWidth="1"/>
    <col min="32" max="32" width="9" style="133" bestFit="1" customWidth="1"/>
    <col min="33" max="33" width="13.77734375" style="133" customWidth="1"/>
    <col min="34" max="34" width="10" style="133" customWidth="1"/>
    <col min="35" max="35" width="10.6640625" style="134" customWidth="1"/>
    <col min="36" max="37" width="10.6640625" style="133" customWidth="1"/>
    <col min="38" max="16384" width="8.6640625" style="133"/>
  </cols>
  <sheetData>
    <row r="1" spans="1:38" x14ac:dyDescent="0.25">
      <c r="AF1" s="133" t="s">
        <v>426</v>
      </c>
      <c r="AG1" s="585">
        <f>SUM('Rozpočet - HW a licencie'!F3:F9)</f>
        <v>0</v>
      </c>
    </row>
    <row r="2" spans="1:38" x14ac:dyDescent="0.25">
      <c r="AF2" s="133" t="s">
        <v>428</v>
      </c>
      <c r="AG2" s="586">
        <f>AI47</f>
        <v>0</v>
      </c>
    </row>
    <row r="3" spans="1:38" ht="12.6" thickBot="1" x14ac:dyDescent="0.3">
      <c r="AF3" s="133" t="s">
        <v>427</v>
      </c>
      <c r="AG3" s="586">
        <f>SUM(AI7:AI45)+AI48</f>
        <v>7341983.9999999991</v>
      </c>
      <c r="AH3" s="585">
        <f>'TCO TO BE- SW'!E3-SUM('Rozpočet - vývoj Aplikácií'!AG1:AG3)</f>
        <v>387996.80000000075</v>
      </c>
    </row>
    <row r="4" spans="1:38" ht="36.75" customHeight="1" x14ac:dyDescent="0.25">
      <c r="A4" s="261" t="s">
        <v>125</v>
      </c>
      <c r="B4" s="262" t="s">
        <v>1</v>
      </c>
      <c r="C4" s="252" t="s">
        <v>126</v>
      </c>
      <c r="D4" s="253" t="s">
        <v>127</v>
      </c>
      <c r="E4" s="253" t="s">
        <v>128</v>
      </c>
      <c r="F4" s="253" t="s">
        <v>129</v>
      </c>
      <c r="G4" s="253" t="s">
        <v>130</v>
      </c>
      <c r="H4" s="253" t="s">
        <v>131</v>
      </c>
      <c r="I4" s="253" t="s">
        <v>132</v>
      </c>
      <c r="J4" s="253" t="s">
        <v>133</v>
      </c>
      <c r="K4" s="253" t="s">
        <v>134</v>
      </c>
      <c r="L4" s="253" t="s">
        <v>135</v>
      </c>
      <c r="M4" s="253" t="s">
        <v>136</v>
      </c>
      <c r="N4" s="254" t="s">
        <v>137</v>
      </c>
      <c r="O4" s="253" t="s">
        <v>138</v>
      </c>
      <c r="P4" s="253" t="s">
        <v>139</v>
      </c>
      <c r="Q4" s="253" t="s">
        <v>140</v>
      </c>
      <c r="R4" s="253" t="s">
        <v>141</v>
      </c>
      <c r="S4" s="253" t="s">
        <v>142</v>
      </c>
      <c r="T4" s="253" t="s">
        <v>143</v>
      </c>
      <c r="U4" s="253" t="s">
        <v>144</v>
      </c>
      <c r="V4" s="253" t="s">
        <v>145</v>
      </c>
      <c r="W4" s="253" t="s">
        <v>146</v>
      </c>
      <c r="X4" s="253" t="s">
        <v>147</v>
      </c>
      <c r="Y4" s="253" t="s">
        <v>444</v>
      </c>
      <c r="Z4" s="254" t="s">
        <v>148</v>
      </c>
      <c r="AA4" s="238" t="s">
        <v>149</v>
      </c>
      <c r="AB4" s="239" t="s">
        <v>150</v>
      </c>
      <c r="AC4" s="239" t="s">
        <v>151</v>
      </c>
      <c r="AD4" s="239" t="s">
        <v>152</v>
      </c>
      <c r="AE4" s="239" t="s">
        <v>431</v>
      </c>
      <c r="AF4" s="239" t="s">
        <v>153</v>
      </c>
      <c r="AG4" s="239" t="s">
        <v>154</v>
      </c>
      <c r="AH4" s="238" t="s">
        <v>155</v>
      </c>
      <c r="AI4" s="231" t="s">
        <v>156</v>
      </c>
      <c r="AK4" s="135"/>
    </row>
    <row r="5" spans="1:38" ht="14.25" customHeight="1" x14ac:dyDescent="0.25">
      <c r="A5" s="136"/>
      <c r="B5" s="137"/>
      <c r="C5" s="255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7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7"/>
      <c r="AA5" s="240"/>
      <c r="AB5" s="241"/>
      <c r="AC5" s="241"/>
      <c r="AD5" s="241"/>
      <c r="AE5" s="241"/>
      <c r="AF5" s="241"/>
      <c r="AG5" s="241"/>
      <c r="AH5" s="240"/>
      <c r="AI5" s="249"/>
      <c r="AJ5" s="135"/>
      <c r="AK5" s="140"/>
    </row>
    <row r="6" spans="1:38" ht="13.8" x14ac:dyDescent="0.25">
      <c r="A6" s="583" t="s">
        <v>371</v>
      </c>
      <c r="B6" s="743" t="s">
        <v>423</v>
      </c>
      <c r="C6" s="284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8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8"/>
      <c r="AA6" s="242"/>
      <c r="AB6" s="243"/>
      <c r="AC6" s="243"/>
      <c r="AD6" s="243"/>
      <c r="AE6" s="243"/>
      <c r="AF6" s="243"/>
      <c r="AG6" s="243"/>
      <c r="AH6" s="514"/>
      <c r="AI6" s="515"/>
      <c r="AJ6" s="588">
        <f>SUM(AJ7:AJ10)</f>
        <v>1101297.6000000001</v>
      </c>
      <c r="AK6" s="589">
        <v>0.15</v>
      </c>
      <c r="AL6" s="133">
        <f>AJ6/$AJ$51</f>
        <v>0.15</v>
      </c>
    </row>
    <row r="7" spans="1:38" ht="13.8" x14ac:dyDescent="0.25">
      <c r="A7" s="263" t="s">
        <v>446</v>
      </c>
      <c r="B7" s="743"/>
      <c r="C7" s="246"/>
      <c r="D7" s="247"/>
      <c r="E7" s="247"/>
      <c r="F7" s="247">
        <v>1</v>
      </c>
      <c r="G7" s="247">
        <v>1</v>
      </c>
      <c r="H7" s="247">
        <v>1</v>
      </c>
      <c r="I7" s="247">
        <v>1</v>
      </c>
      <c r="J7" s="247">
        <v>1</v>
      </c>
      <c r="K7" s="247"/>
      <c r="L7" s="247"/>
      <c r="M7" s="247"/>
      <c r="N7" s="248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518"/>
      <c r="AB7" s="519">
        <f>20*'Harmonogram dodavky'!H2</f>
        <v>100</v>
      </c>
      <c r="AC7" s="259"/>
      <c r="AD7" s="593">
        <f>AE7/AB7</f>
        <v>2.5125000000000002</v>
      </c>
      <c r="AE7" s="593">
        <v>251.25</v>
      </c>
      <c r="AF7" s="259"/>
      <c r="AG7" s="611">
        <v>788.33194029850745</v>
      </c>
      <c r="AH7" s="516">
        <f>AA7*AC7*AF7</f>
        <v>0</v>
      </c>
      <c r="AI7" s="517">
        <f t="shared" ref="AI7:AI40" si="0">AB7*AD7*AG7</f>
        <v>198068.40000000002</v>
      </c>
      <c r="AJ7" s="587">
        <f>AI7</f>
        <v>198068.40000000002</v>
      </c>
      <c r="AL7" s="133">
        <f t="shared" ref="AL7:AL45" si="1">AJ7/$AJ$51</f>
        <v>2.6977503628447023E-2</v>
      </c>
    </row>
    <row r="8" spans="1:38" ht="13.8" x14ac:dyDescent="0.25">
      <c r="A8" s="263" t="s">
        <v>401</v>
      </c>
      <c r="B8" s="743"/>
      <c r="C8" s="246"/>
      <c r="D8" s="247"/>
      <c r="E8" s="247"/>
      <c r="F8" s="247"/>
      <c r="G8" s="247"/>
      <c r="H8" s="247"/>
      <c r="I8" s="247">
        <v>1</v>
      </c>
      <c r="J8" s="247">
        <v>1</v>
      </c>
      <c r="K8" s="247">
        <v>1</v>
      </c>
      <c r="L8" s="247">
        <v>1</v>
      </c>
      <c r="M8" s="247">
        <v>1</v>
      </c>
      <c r="N8" s="248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518"/>
      <c r="AB8" s="519">
        <f>20*'Harmonogram dodavky'!H3</f>
        <v>100</v>
      </c>
      <c r="AC8" s="259"/>
      <c r="AD8" s="593">
        <f t="shared" ref="AD8:AD10" si="2">AE8/AB8</f>
        <v>3.7755000000000014</v>
      </c>
      <c r="AE8" s="593">
        <v>377.55000000000013</v>
      </c>
      <c r="AF8" s="259"/>
      <c r="AG8" s="611">
        <v>787.64243146603076</v>
      </c>
      <c r="AH8" s="516">
        <f t="shared" ref="AH8:AH40" si="3">AA8*AC8*AF8</f>
        <v>0</v>
      </c>
      <c r="AI8" s="517">
        <f t="shared" si="0"/>
        <v>297374.40000000002</v>
      </c>
      <c r="AJ8" s="587">
        <f t="shared" ref="AJ8:AJ10" si="4">AI8</f>
        <v>297374.40000000002</v>
      </c>
      <c r="AL8" s="133">
        <f t="shared" si="1"/>
        <v>4.0503275408935786E-2</v>
      </c>
    </row>
    <row r="9" spans="1:38" ht="13.8" x14ac:dyDescent="0.25">
      <c r="A9" s="263" t="s">
        <v>405</v>
      </c>
      <c r="B9" s="743"/>
      <c r="C9" s="246"/>
      <c r="D9" s="247"/>
      <c r="E9" s="247"/>
      <c r="F9" s="247"/>
      <c r="G9" s="247"/>
      <c r="H9" s="247"/>
      <c r="I9" s="247"/>
      <c r="J9" s="247"/>
      <c r="K9" s="247"/>
      <c r="L9" s="247"/>
      <c r="M9" s="247">
        <v>1</v>
      </c>
      <c r="N9" s="248">
        <v>1</v>
      </c>
      <c r="O9" s="247">
        <v>1</v>
      </c>
      <c r="P9" s="247"/>
      <c r="Q9" s="247"/>
      <c r="R9" s="247"/>
      <c r="S9" s="247"/>
      <c r="T9" s="247"/>
      <c r="U9" s="247"/>
      <c r="V9" s="247"/>
      <c r="W9" s="247"/>
      <c r="X9" s="247"/>
      <c r="Y9" s="247"/>
      <c r="Z9" s="247"/>
      <c r="AA9" s="518"/>
      <c r="AB9" s="519">
        <f>20*'Harmonogram dodavky'!H4</f>
        <v>60</v>
      </c>
      <c r="AC9" s="259"/>
      <c r="AD9" s="593">
        <f t="shared" si="2"/>
        <v>5.8249999999999984</v>
      </c>
      <c r="AE9" s="593">
        <v>349.49999999999989</v>
      </c>
      <c r="AF9" s="259"/>
      <c r="AG9" s="611">
        <v>787.82317596566554</v>
      </c>
      <c r="AH9" s="516">
        <f t="shared" si="3"/>
        <v>0</v>
      </c>
      <c r="AI9" s="517">
        <f t="shared" si="0"/>
        <v>275344.2</v>
      </c>
      <c r="AJ9" s="587">
        <f t="shared" si="4"/>
        <v>275344.2</v>
      </c>
      <c r="AL9" s="133">
        <f t="shared" si="1"/>
        <v>3.7502696818734554E-2</v>
      </c>
    </row>
    <row r="10" spans="1:38" ht="13.35" customHeight="1" x14ac:dyDescent="0.25">
      <c r="A10" s="263" t="s">
        <v>409</v>
      </c>
      <c r="B10" s="743"/>
      <c r="C10" s="246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8"/>
      <c r="O10" s="247"/>
      <c r="P10" s="247">
        <v>1</v>
      </c>
      <c r="Q10" s="247">
        <v>1</v>
      </c>
      <c r="R10" s="247">
        <v>1</v>
      </c>
      <c r="S10" s="247"/>
      <c r="T10" s="247"/>
      <c r="U10" s="247"/>
      <c r="V10" s="247"/>
      <c r="W10" s="247"/>
      <c r="X10" s="247"/>
      <c r="Y10" s="247"/>
      <c r="Z10" s="247"/>
      <c r="AA10" s="518"/>
      <c r="AB10" s="519">
        <f>20*'Harmonogram dodavky'!H5</f>
        <v>60</v>
      </c>
      <c r="AC10" s="259"/>
      <c r="AD10" s="593">
        <f t="shared" si="2"/>
        <v>6.9925000000000006</v>
      </c>
      <c r="AE10" s="593">
        <v>419.55</v>
      </c>
      <c r="AF10" s="259"/>
      <c r="AG10" s="611">
        <v>787.7740436181623</v>
      </c>
      <c r="AH10" s="516">
        <f t="shared" si="3"/>
        <v>0</v>
      </c>
      <c r="AI10" s="517">
        <f t="shared" si="0"/>
        <v>330510.59999999998</v>
      </c>
      <c r="AJ10" s="587">
        <f t="shared" si="4"/>
        <v>330510.59999999998</v>
      </c>
      <c r="AL10" s="133">
        <f t="shared" si="1"/>
        <v>4.5016524143882623E-2</v>
      </c>
    </row>
    <row r="11" spans="1:38" ht="13.8" x14ac:dyDescent="0.25">
      <c r="A11" s="583" t="s">
        <v>372</v>
      </c>
      <c r="B11" s="743"/>
      <c r="C11" s="246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8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247"/>
      <c r="AA11" s="469"/>
      <c r="AB11" s="244"/>
      <c r="AC11" s="244"/>
      <c r="AD11" s="244"/>
      <c r="AE11" s="244"/>
      <c r="AF11" s="244"/>
      <c r="AG11" s="612"/>
      <c r="AH11" s="516"/>
      <c r="AI11" s="517"/>
      <c r="AJ11" s="588">
        <f>SUM(AJ12:AJ15)</f>
        <v>1248137.28</v>
      </c>
      <c r="AK11" s="589">
        <v>0.17</v>
      </c>
      <c r="AL11" s="133">
        <f t="shared" si="1"/>
        <v>0.16999999999999998</v>
      </c>
    </row>
    <row r="12" spans="1:38" ht="13.8" x14ac:dyDescent="0.25">
      <c r="A12" s="263" t="s">
        <v>446</v>
      </c>
      <c r="B12" s="743"/>
      <c r="C12" s="246"/>
      <c r="D12" s="247"/>
      <c r="E12" s="247"/>
      <c r="F12" s="247">
        <v>1</v>
      </c>
      <c r="G12" s="247">
        <v>1</v>
      </c>
      <c r="H12" s="247">
        <v>1</v>
      </c>
      <c r="I12" s="247">
        <v>1</v>
      </c>
      <c r="J12" s="247">
        <v>1</v>
      </c>
      <c r="K12" s="247"/>
      <c r="L12" s="247"/>
      <c r="M12" s="247"/>
      <c r="N12" s="248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518"/>
      <c r="AB12" s="519">
        <f>20*'Harmonogram dodavky'!H6</f>
        <v>100</v>
      </c>
      <c r="AC12" s="259"/>
      <c r="AD12" s="593">
        <f t="shared" ref="AD12:AD15" si="5">AE12/AB12</f>
        <v>2.8475000000000006</v>
      </c>
      <c r="AE12" s="593">
        <v>284.75000000000006</v>
      </c>
      <c r="AF12" s="259"/>
      <c r="AG12" s="611">
        <v>788.33194029850722</v>
      </c>
      <c r="AH12" s="516">
        <f t="shared" si="3"/>
        <v>0</v>
      </c>
      <c r="AI12" s="517">
        <f t="shared" si="0"/>
        <v>224477.52</v>
      </c>
      <c r="AJ12" s="587">
        <f>AI12</f>
        <v>224477.52</v>
      </c>
      <c r="AL12" s="133">
        <f t="shared" si="1"/>
        <v>3.0574504112239956E-2</v>
      </c>
    </row>
    <row r="13" spans="1:38" ht="13.8" x14ac:dyDescent="0.25">
      <c r="A13" s="263" t="s">
        <v>401</v>
      </c>
      <c r="B13" s="743"/>
      <c r="C13" s="246"/>
      <c r="D13" s="247"/>
      <c r="E13" s="247"/>
      <c r="F13" s="247"/>
      <c r="G13" s="247"/>
      <c r="H13" s="247">
        <v>1</v>
      </c>
      <c r="I13" s="247">
        <v>1</v>
      </c>
      <c r="J13" s="247">
        <v>1</v>
      </c>
      <c r="K13" s="247">
        <v>1</v>
      </c>
      <c r="L13" s="247">
        <v>1</v>
      </c>
      <c r="M13" s="247"/>
      <c r="N13" s="248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518"/>
      <c r="AB13" s="519">
        <f>20*'Harmonogram dodavky'!H7</f>
        <v>100</v>
      </c>
      <c r="AC13" s="259"/>
      <c r="AD13" s="593">
        <f t="shared" si="5"/>
        <v>4.2789000000000001</v>
      </c>
      <c r="AE13" s="593">
        <v>427.89</v>
      </c>
      <c r="AF13" s="259"/>
      <c r="AG13" s="611">
        <v>787.64243146603121</v>
      </c>
      <c r="AH13" s="516">
        <f t="shared" si="3"/>
        <v>0</v>
      </c>
      <c r="AI13" s="517">
        <f t="shared" si="0"/>
        <v>337024.32000000007</v>
      </c>
      <c r="AJ13" s="587">
        <f t="shared" ref="AJ13:AJ15" si="6">AI13</f>
        <v>337024.32000000007</v>
      </c>
      <c r="AL13" s="133">
        <f t="shared" si="1"/>
        <v>4.5903712130127228E-2</v>
      </c>
    </row>
    <row r="14" spans="1:38" ht="13.8" x14ac:dyDescent="0.25">
      <c r="A14" s="263" t="s">
        <v>405</v>
      </c>
      <c r="B14" s="743"/>
      <c r="C14" s="246"/>
      <c r="D14" s="247"/>
      <c r="E14" s="247"/>
      <c r="F14" s="247"/>
      <c r="G14" s="247"/>
      <c r="H14" s="247"/>
      <c r="I14" s="247"/>
      <c r="J14" s="247"/>
      <c r="K14" s="247"/>
      <c r="L14" s="247"/>
      <c r="M14" s="247">
        <v>1</v>
      </c>
      <c r="N14" s="248">
        <v>1</v>
      </c>
      <c r="O14" s="247">
        <v>1</v>
      </c>
      <c r="P14" s="247">
        <v>1</v>
      </c>
      <c r="Q14" s="247">
        <v>1</v>
      </c>
      <c r="R14" s="247"/>
      <c r="S14" s="247"/>
      <c r="T14" s="247"/>
      <c r="U14" s="247"/>
      <c r="V14" s="247"/>
      <c r="W14" s="247"/>
      <c r="X14" s="247"/>
      <c r="Y14" s="247"/>
      <c r="Z14" s="247"/>
      <c r="AA14" s="518"/>
      <c r="AB14" s="519">
        <f>20*'Harmonogram dodavky'!H8</f>
        <v>100</v>
      </c>
      <c r="AC14" s="259"/>
      <c r="AD14" s="593">
        <f t="shared" si="5"/>
        <v>3.9609999999999999</v>
      </c>
      <c r="AE14" s="593">
        <v>396.09999999999997</v>
      </c>
      <c r="AF14" s="259"/>
      <c r="AG14" s="611">
        <v>787.82317596566531</v>
      </c>
      <c r="AH14" s="516">
        <f t="shared" si="3"/>
        <v>0</v>
      </c>
      <c r="AI14" s="517">
        <f t="shared" si="0"/>
        <v>312056.76</v>
      </c>
      <c r="AJ14" s="587">
        <f t="shared" si="6"/>
        <v>312056.76</v>
      </c>
      <c r="AL14" s="133">
        <f t="shared" si="1"/>
        <v>4.2503056394565822E-2</v>
      </c>
    </row>
    <row r="15" spans="1:38" ht="13.8" x14ac:dyDescent="0.25">
      <c r="A15" s="263" t="s">
        <v>409</v>
      </c>
      <c r="B15" s="743"/>
      <c r="C15" s="246"/>
      <c r="D15" s="247"/>
      <c r="E15" s="247"/>
      <c r="F15" s="247"/>
      <c r="G15" s="247"/>
      <c r="H15" s="247"/>
      <c r="I15" s="247"/>
      <c r="J15" s="247"/>
      <c r="K15" s="247"/>
      <c r="L15" s="247"/>
      <c r="M15" s="247"/>
      <c r="N15" s="248"/>
      <c r="O15" s="247"/>
      <c r="P15" s="247"/>
      <c r="Q15" s="247"/>
      <c r="R15" s="247">
        <v>1</v>
      </c>
      <c r="S15" s="247">
        <v>1</v>
      </c>
      <c r="T15" s="247">
        <v>1</v>
      </c>
      <c r="U15" s="247">
        <v>1</v>
      </c>
      <c r="V15" s="247"/>
      <c r="W15" s="247"/>
      <c r="X15" s="247"/>
      <c r="Y15" s="247"/>
      <c r="Z15" s="247"/>
      <c r="AA15" s="518"/>
      <c r="AB15" s="519">
        <f>20*'Harmonogram dodavky'!H9</f>
        <v>80</v>
      </c>
      <c r="AC15" s="259"/>
      <c r="AD15" s="593">
        <f t="shared" si="5"/>
        <v>5.9436250000000008</v>
      </c>
      <c r="AE15" s="593">
        <v>475.49000000000007</v>
      </c>
      <c r="AF15" s="259"/>
      <c r="AG15" s="611">
        <v>787.77404361816207</v>
      </c>
      <c r="AH15" s="516">
        <f t="shared" si="3"/>
        <v>0</v>
      </c>
      <c r="AI15" s="517">
        <f t="shared" si="0"/>
        <v>374578.67999999993</v>
      </c>
      <c r="AJ15" s="587">
        <f t="shared" si="6"/>
        <v>374578.67999999993</v>
      </c>
      <c r="AL15" s="133">
        <f t="shared" si="1"/>
        <v>5.1018727363066972E-2</v>
      </c>
    </row>
    <row r="16" spans="1:38" ht="13.8" x14ac:dyDescent="0.25">
      <c r="A16" s="583" t="s">
        <v>373</v>
      </c>
      <c r="B16" s="743"/>
      <c r="C16" s="246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8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469"/>
      <c r="AB16" s="244"/>
      <c r="AC16" s="244"/>
      <c r="AD16" s="244"/>
      <c r="AE16" s="244"/>
      <c r="AF16" s="244"/>
      <c r="AG16" s="612"/>
      <c r="AH16" s="516"/>
      <c r="AI16" s="517"/>
      <c r="AJ16" s="588">
        <f>SUM(AJ17:AJ20)</f>
        <v>991167.83999999985</v>
      </c>
      <c r="AK16" s="589">
        <v>0.13500000000000001</v>
      </c>
      <c r="AL16" s="133">
        <f t="shared" si="1"/>
        <v>0.13499999999999995</v>
      </c>
    </row>
    <row r="17" spans="1:38" ht="13.8" x14ac:dyDescent="0.25">
      <c r="A17" s="263" t="s">
        <v>446</v>
      </c>
      <c r="B17" s="743"/>
      <c r="C17" s="246"/>
      <c r="D17" s="247"/>
      <c r="E17" s="247"/>
      <c r="F17" s="247"/>
      <c r="G17" s="247"/>
      <c r="H17" s="247"/>
      <c r="I17" s="247">
        <v>1</v>
      </c>
      <c r="J17" s="247">
        <v>1</v>
      </c>
      <c r="K17" s="247">
        <v>1</v>
      </c>
      <c r="L17" s="247">
        <v>1</v>
      </c>
      <c r="M17" s="247"/>
      <c r="N17" s="248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518"/>
      <c r="AB17" s="519">
        <f>20*'Harmonogram dodavky'!H10</f>
        <v>80</v>
      </c>
      <c r="AC17" s="259"/>
      <c r="AD17" s="593">
        <f t="shared" ref="AD17:AD20" si="7">AE17/AB17</f>
        <v>2.8265625000000005</v>
      </c>
      <c r="AE17" s="593">
        <v>226.12500000000003</v>
      </c>
      <c r="AF17" s="259"/>
      <c r="AG17" s="611">
        <v>788.33194029850722</v>
      </c>
      <c r="AH17" s="516">
        <f t="shared" si="3"/>
        <v>0</v>
      </c>
      <c r="AI17" s="517">
        <f t="shared" si="0"/>
        <v>178261.56</v>
      </c>
      <c r="AJ17" s="587">
        <f>AI17</f>
        <v>178261.56</v>
      </c>
      <c r="AL17" s="133">
        <f t="shared" si="1"/>
        <v>2.4279753265602319E-2</v>
      </c>
    </row>
    <row r="18" spans="1:38" ht="13.8" x14ac:dyDescent="0.25">
      <c r="A18" s="263" t="s">
        <v>401</v>
      </c>
      <c r="B18" s="743"/>
      <c r="C18" s="246"/>
      <c r="D18" s="247"/>
      <c r="E18" s="247"/>
      <c r="F18" s="247"/>
      <c r="G18" s="247"/>
      <c r="H18" s="247"/>
      <c r="I18" s="247"/>
      <c r="J18" s="247"/>
      <c r="K18" s="247">
        <v>1</v>
      </c>
      <c r="L18" s="247">
        <v>1</v>
      </c>
      <c r="M18" s="247">
        <v>1</v>
      </c>
      <c r="N18" s="248">
        <v>1</v>
      </c>
      <c r="O18" s="247">
        <v>1</v>
      </c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518"/>
      <c r="AB18" s="519">
        <f>20*'Harmonogram dodavky'!H11</f>
        <v>100</v>
      </c>
      <c r="AC18" s="259"/>
      <c r="AD18" s="593">
        <f t="shared" si="7"/>
        <v>3.3979500000000002</v>
      </c>
      <c r="AE18" s="593">
        <v>339.79500000000002</v>
      </c>
      <c r="AF18" s="259"/>
      <c r="AG18" s="611">
        <v>787.64243146603087</v>
      </c>
      <c r="AH18" s="516">
        <f t="shared" si="3"/>
        <v>0</v>
      </c>
      <c r="AI18" s="517">
        <f t="shared" si="0"/>
        <v>267636.95999999996</v>
      </c>
      <c r="AJ18" s="587">
        <f t="shared" ref="AJ18:AJ20" si="8">AI18</f>
        <v>267636.95999999996</v>
      </c>
      <c r="AL18" s="133">
        <f t="shared" si="1"/>
        <v>3.64529478680422E-2</v>
      </c>
    </row>
    <row r="19" spans="1:38" ht="13.8" x14ac:dyDescent="0.25">
      <c r="A19" s="263" t="s">
        <v>405</v>
      </c>
      <c r="B19" s="743"/>
      <c r="C19" s="246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8"/>
      <c r="O19" s="247">
        <v>1</v>
      </c>
      <c r="P19" s="247">
        <v>1</v>
      </c>
      <c r="Q19" s="247">
        <v>1</v>
      </c>
      <c r="R19" s="247">
        <v>1</v>
      </c>
      <c r="S19" s="247"/>
      <c r="T19" s="247"/>
      <c r="U19" s="247"/>
      <c r="V19" s="247"/>
      <c r="W19" s="247"/>
      <c r="X19" s="247"/>
      <c r="Y19" s="247"/>
      <c r="Z19" s="247"/>
      <c r="AA19" s="518"/>
      <c r="AB19" s="519">
        <f>20*'Harmonogram dodavky'!H12</f>
        <v>80</v>
      </c>
      <c r="AC19" s="259"/>
      <c r="AD19" s="593">
        <f t="shared" si="7"/>
        <v>3.9318750000000007</v>
      </c>
      <c r="AE19" s="593">
        <v>314.55000000000007</v>
      </c>
      <c r="AF19" s="259"/>
      <c r="AG19" s="611">
        <v>787.82317596566497</v>
      </c>
      <c r="AH19" s="516">
        <f t="shared" si="3"/>
        <v>0</v>
      </c>
      <c r="AI19" s="517">
        <f t="shared" si="0"/>
        <v>247809.77999999997</v>
      </c>
      <c r="AJ19" s="587">
        <f t="shared" si="8"/>
        <v>247809.77999999997</v>
      </c>
      <c r="AL19" s="133">
        <f t="shared" si="1"/>
        <v>3.3752427136861093E-2</v>
      </c>
    </row>
    <row r="20" spans="1:38" ht="13.8" x14ac:dyDescent="0.25">
      <c r="A20" s="263" t="s">
        <v>409</v>
      </c>
      <c r="B20" s="743"/>
      <c r="C20" s="246"/>
      <c r="D20" s="247"/>
      <c r="E20" s="247"/>
      <c r="F20" s="247"/>
      <c r="G20" s="247"/>
      <c r="H20" s="247"/>
      <c r="I20" s="247"/>
      <c r="J20" s="247"/>
      <c r="K20" s="247"/>
      <c r="L20" s="247"/>
      <c r="M20" s="247"/>
      <c r="N20" s="248"/>
      <c r="O20" s="247"/>
      <c r="P20" s="247"/>
      <c r="Q20" s="247"/>
      <c r="R20" s="247"/>
      <c r="S20" s="247">
        <v>1</v>
      </c>
      <c r="T20" s="247">
        <v>1</v>
      </c>
      <c r="U20" s="247">
        <v>1</v>
      </c>
      <c r="V20" s="247">
        <v>1</v>
      </c>
      <c r="W20" s="247"/>
      <c r="X20" s="247"/>
      <c r="Y20" s="247"/>
      <c r="Z20" s="247"/>
      <c r="AA20" s="518"/>
      <c r="AB20" s="519">
        <f>20*'Harmonogram dodavky'!H13</f>
        <v>80</v>
      </c>
      <c r="AC20" s="259"/>
      <c r="AD20" s="593">
        <f t="shared" si="7"/>
        <v>4.7199375000000003</v>
      </c>
      <c r="AE20" s="593">
        <v>377.59500000000003</v>
      </c>
      <c r="AF20" s="259"/>
      <c r="AG20" s="611">
        <v>787.77404361816207</v>
      </c>
      <c r="AH20" s="516">
        <f t="shared" si="3"/>
        <v>0</v>
      </c>
      <c r="AI20" s="517">
        <f t="shared" si="0"/>
        <v>297459.53999999992</v>
      </c>
      <c r="AJ20" s="587">
        <f t="shared" si="8"/>
        <v>297459.53999999992</v>
      </c>
      <c r="AL20" s="133">
        <f t="shared" si="1"/>
        <v>4.0514871729494355E-2</v>
      </c>
    </row>
    <row r="21" spans="1:38" ht="13.8" x14ac:dyDescent="0.25">
      <c r="A21" s="583" t="s">
        <v>374</v>
      </c>
      <c r="B21" s="743"/>
      <c r="C21" s="246"/>
      <c r="D21" s="247"/>
      <c r="E21" s="247"/>
      <c r="F21" s="247"/>
      <c r="G21" s="247"/>
      <c r="H21" s="247"/>
      <c r="I21" s="247"/>
      <c r="J21" s="247"/>
      <c r="K21" s="247"/>
      <c r="L21" s="247"/>
      <c r="M21" s="247"/>
      <c r="N21" s="248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469"/>
      <c r="AB21" s="244"/>
      <c r="AC21" s="244"/>
      <c r="AD21" s="244"/>
      <c r="AE21" s="244"/>
      <c r="AF21" s="244"/>
      <c r="AG21" s="612"/>
      <c r="AH21" s="516"/>
      <c r="AI21" s="517"/>
      <c r="AJ21" s="588">
        <f>SUM(AJ22:AJ25)</f>
        <v>1027877.7600000001</v>
      </c>
      <c r="AK21" s="589">
        <v>0.14000000000000001</v>
      </c>
      <c r="AL21" s="133">
        <f t="shared" si="1"/>
        <v>0.13999999999999999</v>
      </c>
    </row>
    <row r="22" spans="1:38" ht="13.8" x14ac:dyDescent="0.25">
      <c r="A22" s="263" t="s">
        <v>446</v>
      </c>
      <c r="B22" s="743"/>
      <c r="C22" s="246"/>
      <c r="D22" s="247"/>
      <c r="E22" s="247"/>
      <c r="F22" s="247"/>
      <c r="G22" s="247"/>
      <c r="H22" s="247"/>
      <c r="I22" s="247">
        <v>1</v>
      </c>
      <c r="J22" s="247">
        <v>1</v>
      </c>
      <c r="K22" s="247">
        <v>1</v>
      </c>
      <c r="L22" s="247">
        <v>1</v>
      </c>
      <c r="M22" s="247">
        <v>1</v>
      </c>
      <c r="N22" s="248"/>
      <c r="O22" s="247"/>
      <c r="P22" s="247"/>
      <c r="Q22" s="247"/>
      <c r="R22" s="247"/>
      <c r="S22" s="247"/>
      <c r="T22" s="247"/>
      <c r="U22" s="247"/>
      <c r="V22" s="247"/>
      <c r="W22" s="247"/>
      <c r="X22" s="247"/>
      <c r="Y22" s="247"/>
      <c r="Z22" s="247"/>
      <c r="AA22" s="518"/>
      <c r="AB22" s="519">
        <f>20*'Harmonogram dodavky'!H14</f>
        <v>100</v>
      </c>
      <c r="AC22" s="259"/>
      <c r="AD22" s="593">
        <f t="shared" ref="AD22:AD25" si="9">AE22/AB22</f>
        <v>2.3450000000000002</v>
      </c>
      <c r="AE22" s="593">
        <v>234.5</v>
      </c>
      <c r="AF22" s="259"/>
      <c r="AG22" s="611">
        <v>788.33194029850756</v>
      </c>
      <c r="AH22" s="516">
        <f t="shared" si="3"/>
        <v>0</v>
      </c>
      <c r="AI22" s="517">
        <f t="shared" si="0"/>
        <v>184863.84000000005</v>
      </c>
      <c r="AJ22" s="587">
        <f>AI22</f>
        <v>184863.84000000005</v>
      </c>
      <c r="AL22" s="133">
        <f t="shared" si="1"/>
        <v>2.5179003386550561E-2</v>
      </c>
    </row>
    <row r="23" spans="1:38" ht="13.8" x14ac:dyDescent="0.25">
      <c r="A23" s="263" t="s">
        <v>401</v>
      </c>
      <c r="B23" s="743"/>
      <c r="C23" s="246"/>
      <c r="D23" s="247"/>
      <c r="E23" s="247"/>
      <c r="F23" s="247"/>
      <c r="G23" s="247"/>
      <c r="H23" s="247"/>
      <c r="I23" s="247"/>
      <c r="J23" s="247"/>
      <c r="K23" s="247">
        <v>1</v>
      </c>
      <c r="L23" s="247">
        <v>1</v>
      </c>
      <c r="M23" s="247">
        <v>1</v>
      </c>
      <c r="N23" s="248">
        <v>1</v>
      </c>
      <c r="O23" s="247">
        <v>1</v>
      </c>
      <c r="P23" s="247">
        <v>1</v>
      </c>
      <c r="Q23" s="247"/>
      <c r="R23" s="247"/>
      <c r="S23" s="247"/>
      <c r="T23" s="247"/>
      <c r="U23" s="247"/>
      <c r="V23" s="247"/>
      <c r="W23" s="247"/>
      <c r="X23" s="247"/>
      <c r="Y23" s="247"/>
      <c r="Z23" s="247"/>
      <c r="AA23" s="518"/>
      <c r="AB23" s="519">
        <f>20*'Harmonogram dodavky'!H15</f>
        <v>120</v>
      </c>
      <c r="AC23" s="259"/>
      <c r="AD23" s="593">
        <f t="shared" si="9"/>
        <v>2.9364999999999992</v>
      </c>
      <c r="AE23" s="593">
        <v>352.37999999999988</v>
      </c>
      <c r="AF23" s="259"/>
      <c r="AG23" s="611">
        <v>787.64243146603121</v>
      </c>
      <c r="AH23" s="516">
        <f t="shared" si="3"/>
        <v>0</v>
      </c>
      <c r="AI23" s="517">
        <f t="shared" si="0"/>
        <v>277549.44</v>
      </c>
      <c r="AJ23" s="587">
        <f t="shared" ref="AJ23:AJ25" si="10">AI23</f>
        <v>277549.44</v>
      </c>
      <c r="AL23" s="133">
        <f t="shared" si="1"/>
        <v>3.7803057048340062E-2</v>
      </c>
    </row>
    <row r="24" spans="1:38" ht="13.8" x14ac:dyDescent="0.25">
      <c r="A24" s="263" t="s">
        <v>405</v>
      </c>
      <c r="B24" s="743"/>
      <c r="C24" s="246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8"/>
      <c r="O24" s="247">
        <v>1</v>
      </c>
      <c r="P24" s="247">
        <v>1</v>
      </c>
      <c r="Q24" s="247">
        <v>1</v>
      </c>
      <c r="R24" s="247">
        <v>1</v>
      </c>
      <c r="S24" s="247">
        <v>1</v>
      </c>
      <c r="T24" s="247">
        <v>1</v>
      </c>
      <c r="U24" s="247"/>
      <c r="V24" s="247"/>
      <c r="W24" s="247"/>
      <c r="X24" s="247"/>
      <c r="Y24" s="247"/>
      <c r="Z24" s="247"/>
      <c r="AA24" s="518"/>
      <c r="AB24" s="519">
        <f>20*'Harmonogram dodavky'!H16</f>
        <v>120</v>
      </c>
      <c r="AC24" s="259"/>
      <c r="AD24" s="593">
        <f t="shared" si="9"/>
        <v>2.7183333333333333</v>
      </c>
      <c r="AE24" s="593">
        <v>326.2</v>
      </c>
      <c r="AF24" s="259"/>
      <c r="AG24" s="611">
        <v>787.82317596566531</v>
      </c>
      <c r="AH24" s="516">
        <f t="shared" si="3"/>
        <v>0</v>
      </c>
      <c r="AI24" s="517">
        <f t="shared" si="0"/>
        <v>256987.92</v>
      </c>
      <c r="AJ24" s="587">
        <f t="shared" si="10"/>
        <v>256987.92</v>
      </c>
      <c r="AL24" s="133">
        <f t="shared" si="1"/>
        <v>3.5002517030818914E-2</v>
      </c>
    </row>
    <row r="25" spans="1:38" ht="13.8" x14ac:dyDescent="0.25">
      <c r="A25" s="263" t="s">
        <v>409</v>
      </c>
      <c r="B25" s="743"/>
      <c r="C25" s="246"/>
      <c r="D25" s="247"/>
      <c r="E25" s="247"/>
      <c r="F25" s="247"/>
      <c r="G25" s="247"/>
      <c r="H25" s="247"/>
      <c r="I25" s="247"/>
      <c r="J25" s="247"/>
      <c r="K25" s="247"/>
      <c r="L25" s="247"/>
      <c r="M25" s="247"/>
      <c r="N25" s="248"/>
      <c r="O25" s="247"/>
      <c r="P25" s="247"/>
      <c r="Q25" s="247"/>
      <c r="R25" s="247"/>
      <c r="S25" s="247"/>
      <c r="T25" s="247"/>
      <c r="U25" s="247">
        <v>1</v>
      </c>
      <c r="V25" s="247">
        <v>1</v>
      </c>
      <c r="W25" s="247">
        <v>1</v>
      </c>
      <c r="X25" s="247"/>
      <c r="Y25" s="247"/>
      <c r="Z25" s="247"/>
      <c r="AA25" s="518"/>
      <c r="AB25" s="519">
        <f>20*'Harmonogram dodavky'!H17</f>
        <v>60</v>
      </c>
      <c r="AC25" s="259"/>
      <c r="AD25" s="593">
        <f t="shared" si="9"/>
        <v>6.5263333333333344</v>
      </c>
      <c r="AE25" s="593">
        <v>391.58000000000004</v>
      </c>
      <c r="AF25" s="259"/>
      <c r="AG25" s="611">
        <v>787.77404361816241</v>
      </c>
      <c r="AH25" s="516">
        <f t="shared" si="3"/>
        <v>0</v>
      </c>
      <c r="AI25" s="517">
        <f t="shared" si="0"/>
        <v>308476.56000000006</v>
      </c>
      <c r="AJ25" s="587">
        <f t="shared" si="10"/>
        <v>308476.56000000006</v>
      </c>
      <c r="AL25" s="133">
        <f t="shared" si="1"/>
        <v>4.2015422534290463E-2</v>
      </c>
    </row>
    <row r="26" spans="1:38" ht="13.8" x14ac:dyDescent="0.25">
      <c r="A26" s="583" t="s">
        <v>375</v>
      </c>
      <c r="B26" s="743"/>
      <c r="C26" s="246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8"/>
      <c r="O26" s="247"/>
      <c r="P26" s="247"/>
      <c r="Q26" s="247"/>
      <c r="R26" s="247"/>
      <c r="S26" s="247"/>
      <c r="T26" s="247"/>
      <c r="U26" s="247"/>
      <c r="V26" s="247"/>
      <c r="W26" s="247"/>
      <c r="X26" s="247"/>
      <c r="Y26" s="247"/>
      <c r="Z26" s="247"/>
      <c r="AA26" s="469"/>
      <c r="AB26" s="244"/>
      <c r="AC26" s="244"/>
      <c r="AD26" s="244"/>
      <c r="AE26" s="244"/>
      <c r="AF26" s="244"/>
      <c r="AG26" s="612"/>
      <c r="AH26" s="516"/>
      <c r="AI26" s="517"/>
      <c r="AJ26" s="588">
        <f>SUM(AJ27:AJ30)</f>
        <v>1394976.9600000002</v>
      </c>
      <c r="AK26" s="589">
        <v>0.19</v>
      </c>
      <c r="AL26" s="133">
        <f t="shared" si="1"/>
        <v>0.19</v>
      </c>
    </row>
    <row r="27" spans="1:38" ht="13.8" x14ac:dyDescent="0.25">
      <c r="A27" s="263" t="s">
        <v>446</v>
      </c>
      <c r="B27" s="743"/>
      <c r="C27" s="246"/>
      <c r="D27" s="247"/>
      <c r="E27" s="247"/>
      <c r="F27" s="247"/>
      <c r="G27" s="247"/>
      <c r="H27" s="247"/>
      <c r="I27" s="247"/>
      <c r="J27" s="247">
        <v>1</v>
      </c>
      <c r="K27" s="247">
        <v>1</v>
      </c>
      <c r="L27" s="247">
        <v>1</v>
      </c>
      <c r="M27" s="247">
        <v>1</v>
      </c>
      <c r="N27" s="248">
        <v>1</v>
      </c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518"/>
      <c r="AB27" s="519">
        <f>20*'Harmonogram dodavky'!H18</f>
        <v>100</v>
      </c>
      <c r="AC27" s="259"/>
      <c r="AD27" s="593">
        <f t="shared" ref="AD27:AD30" si="11">AE27/AB27</f>
        <v>3.1825000000000006</v>
      </c>
      <c r="AE27" s="593">
        <v>318.25000000000006</v>
      </c>
      <c r="AF27" s="259"/>
      <c r="AG27" s="611">
        <v>788.33194029850733</v>
      </c>
      <c r="AH27" s="516">
        <f t="shared" si="3"/>
        <v>0</v>
      </c>
      <c r="AI27" s="517">
        <f t="shared" si="0"/>
        <v>250886.64</v>
      </c>
      <c r="AJ27" s="587">
        <f>AI27</f>
        <v>250886.64</v>
      </c>
      <c r="AL27" s="133">
        <f t="shared" si="1"/>
        <v>3.4171504596032895E-2</v>
      </c>
    </row>
    <row r="28" spans="1:38" ht="13.8" x14ac:dyDescent="0.25">
      <c r="A28" s="263" t="s">
        <v>401</v>
      </c>
      <c r="B28" s="743"/>
      <c r="C28" s="246"/>
      <c r="D28" s="247"/>
      <c r="E28" s="247"/>
      <c r="F28" s="247"/>
      <c r="G28" s="247"/>
      <c r="H28" s="247"/>
      <c r="I28" s="247"/>
      <c r="J28" s="247"/>
      <c r="K28" s="247"/>
      <c r="L28" s="247"/>
      <c r="M28" s="247">
        <v>1</v>
      </c>
      <c r="N28" s="248">
        <v>1</v>
      </c>
      <c r="O28" s="247">
        <v>1</v>
      </c>
      <c r="P28" s="247">
        <v>1</v>
      </c>
      <c r="Q28" s="247">
        <v>1</v>
      </c>
      <c r="R28" s="247">
        <v>1</v>
      </c>
      <c r="S28" s="247">
        <v>1</v>
      </c>
      <c r="T28" s="247"/>
      <c r="U28" s="247"/>
      <c r="V28" s="247"/>
      <c r="W28" s="247"/>
      <c r="X28" s="247"/>
      <c r="Y28" s="247"/>
      <c r="Z28" s="247"/>
      <c r="AA28" s="518"/>
      <c r="AB28" s="519">
        <f>20*'Harmonogram dodavky'!H19</f>
        <v>140</v>
      </c>
      <c r="AC28" s="259"/>
      <c r="AD28" s="593">
        <f t="shared" si="11"/>
        <v>3.4159285714285703</v>
      </c>
      <c r="AE28" s="593">
        <v>478.22999999999985</v>
      </c>
      <c r="AF28" s="259"/>
      <c r="AG28" s="611">
        <v>787.64243146603133</v>
      </c>
      <c r="AH28" s="516">
        <f t="shared" si="3"/>
        <v>0</v>
      </c>
      <c r="AI28" s="517">
        <f t="shared" si="0"/>
        <v>376674.24000000005</v>
      </c>
      <c r="AJ28" s="587">
        <f t="shared" ref="AJ28:AJ30" si="12">AI28</f>
        <v>376674.24000000005</v>
      </c>
      <c r="AL28" s="133">
        <f t="shared" si="1"/>
        <v>5.1304148851318662E-2</v>
      </c>
    </row>
    <row r="29" spans="1:38" ht="13.8" x14ac:dyDescent="0.25">
      <c r="A29" s="263" t="s">
        <v>405</v>
      </c>
      <c r="B29" s="743"/>
      <c r="C29" s="246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8"/>
      <c r="O29" s="247"/>
      <c r="P29" s="247"/>
      <c r="Q29" s="247">
        <v>1</v>
      </c>
      <c r="R29" s="247">
        <v>1</v>
      </c>
      <c r="S29" s="247">
        <v>1</v>
      </c>
      <c r="T29" s="247">
        <v>1</v>
      </c>
      <c r="U29" s="247">
        <v>1</v>
      </c>
      <c r="V29" s="247"/>
      <c r="W29" s="247"/>
      <c r="X29" s="247"/>
      <c r="Y29" s="247"/>
      <c r="Z29" s="247"/>
      <c r="AA29" s="518"/>
      <c r="AB29" s="519">
        <f>20*'Harmonogram dodavky'!H20</f>
        <v>100</v>
      </c>
      <c r="AC29" s="259"/>
      <c r="AD29" s="593">
        <f t="shared" si="11"/>
        <v>4.4270000000000005</v>
      </c>
      <c r="AE29" s="593">
        <v>442.70000000000005</v>
      </c>
      <c r="AF29" s="259"/>
      <c r="AG29" s="611">
        <v>787.8231759656652</v>
      </c>
      <c r="AH29" s="516">
        <f t="shared" si="3"/>
        <v>0</v>
      </c>
      <c r="AI29" s="517">
        <f t="shared" si="0"/>
        <v>348769.32</v>
      </c>
      <c r="AJ29" s="587">
        <f t="shared" si="12"/>
        <v>348769.32</v>
      </c>
      <c r="AL29" s="133">
        <f t="shared" si="1"/>
        <v>4.7503415970397096E-2</v>
      </c>
    </row>
    <row r="30" spans="1:38" ht="13.8" x14ac:dyDescent="0.25">
      <c r="A30" s="263" t="s">
        <v>409</v>
      </c>
      <c r="B30" s="743"/>
      <c r="C30" s="246"/>
      <c r="D30" s="247"/>
      <c r="E30" s="247"/>
      <c r="F30" s="247"/>
      <c r="G30" s="247"/>
      <c r="H30" s="247"/>
      <c r="I30" s="247"/>
      <c r="J30" s="247"/>
      <c r="K30" s="247"/>
      <c r="L30" s="247"/>
      <c r="M30" s="247"/>
      <c r="N30" s="248"/>
      <c r="O30" s="247"/>
      <c r="P30" s="247"/>
      <c r="Q30" s="247"/>
      <c r="R30" s="247"/>
      <c r="S30" s="247"/>
      <c r="T30" s="247"/>
      <c r="U30" s="247">
        <v>1</v>
      </c>
      <c r="V30" s="247">
        <v>1</v>
      </c>
      <c r="W30" s="247">
        <v>1</v>
      </c>
      <c r="X30" s="247">
        <v>1</v>
      </c>
      <c r="Y30" s="247">
        <v>1</v>
      </c>
      <c r="Z30" s="247"/>
      <c r="AA30" s="518"/>
      <c r="AB30" s="519">
        <f>20*'Harmonogram dodavky'!H21</f>
        <v>100</v>
      </c>
      <c r="AC30" s="259"/>
      <c r="AD30" s="593">
        <f t="shared" si="11"/>
        <v>5.3143000000000002</v>
      </c>
      <c r="AE30" s="593">
        <v>531.43000000000006</v>
      </c>
      <c r="AF30" s="259"/>
      <c r="AG30" s="611">
        <v>787.7740436181623</v>
      </c>
      <c r="AH30" s="516">
        <f t="shared" si="3"/>
        <v>0</v>
      </c>
      <c r="AI30" s="517">
        <f t="shared" si="0"/>
        <v>418646.76000000007</v>
      </c>
      <c r="AJ30" s="587">
        <f t="shared" si="12"/>
        <v>418646.76000000007</v>
      </c>
      <c r="AL30" s="133">
        <f t="shared" si="1"/>
        <v>5.7020930582251342E-2</v>
      </c>
    </row>
    <row r="31" spans="1:38" ht="13.8" x14ac:dyDescent="0.25">
      <c r="A31" s="583" t="s">
        <v>376</v>
      </c>
      <c r="B31" s="743"/>
      <c r="C31" s="246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8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469"/>
      <c r="AB31" s="244"/>
      <c r="AC31" s="244"/>
      <c r="AD31" s="244"/>
      <c r="AE31" s="244"/>
      <c r="AF31" s="244"/>
      <c r="AG31" s="612"/>
      <c r="AH31" s="516"/>
      <c r="AI31" s="517"/>
      <c r="AJ31" s="588">
        <f>SUM(AJ32:AJ35)</f>
        <v>624068.64</v>
      </c>
      <c r="AK31" s="589">
        <v>8.5000000000000006E-2</v>
      </c>
      <c r="AL31" s="133">
        <f t="shared" si="1"/>
        <v>8.4999999999999992E-2</v>
      </c>
    </row>
    <row r="32" spans="1:38" ht="13.8" x14ac:dyDescent="0.25">
      <c r="A32" s="263" t="s">
        <v>446</v>
      </c>
      <c r="B32" s="743"/>
      <c r="C32" s="246"/>
      <c r="D32" s="247"/>
      <c r="E32" s="247"/>
      <c r="F32" s="247"/>
      <c r="G32" s="247"/>
      <c r="H32" s="247">
        <v>1</v>
      </c>
      <c r="I32" s="247">
        <v>1</v>
      </c>
      <c r="J32" s="247">
        <v>1</v>
      </c>
      <c r="K32" s="247">
        <v>1</v>
      </c>
      <c r="L32" s="247"/>
      <c r="M32" s="247"/>
      <c r="N32" s="248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/>
      <c r="Z32" s="247"/>
      <c r="AA32" s="518"/>
      <c r="AB32" s="519">
        <f>20*'Harmonogram dodavky'!H22</f>
        <v>80</v>
      </c>
      <c r="AC32" s="259"/>
      <c r="AD32" s="593">
        <f t="shared" ref="AD32:AD35" si="13">AE32/AB32</f>
        <v>1.7796875000000003</v>
      </c>
      <c r="AE32" s="593">
        <v>142.37500000000003</v>
      </c>
      <c r="AF32" s="259"/>
      <c r="AG32" s="611">
        <v>788.33194029850722</v>
      </c>
      <c r="AH32" s="516">
        <f t="shared" si="3"/>
        <v>0</v>
      </c>
      <c r="AI32" s="517">
        <f t="shared" si="0"/>
        <v>112238.76</v>
      </c>
      <c r="AJ32" s="587">
        <f>AI32</f>
        <v>112238.76</v>
      </c>
      <c r="AL32" s="133">
        <f t="shared" si="1"/>
        <v>1.5287252056119978E-2</v>
      </c>
    </row>
    <row r="33" spans="1:38" ht="13.8" x14ac:dyDescent="0.25">
      <c r="A33" s="263" t="s">
        <v>401</v>
      </c>
      <c r="B33" s="743"/>
      <c r="C33" s="246"/>
      <c r="D33" s="247"/>
      <c r="E33" s="247"/>
      <c r="F33" s="247"/>
      <c r="G33" s="247"/>
      <c r="H33" s="247"/>
      <c r="I33" s="247"/>
      <c r="J33" s="247"/>
      <c r="K33" s="247">
        <v>1</v>
      </c>
      <c r="L33" s="247">
        <v>1</v>
      </c>
      <c r="M33" s="247">
        <v>1</v>
      </c>
      <c r="N33" s="248">
        <v>1</v>
      </c>
      <c r="O33" s="247">
        <v>1</v>
      </c>
      <c r="P33" s="247">
        <v>1</v>
      </c>
      <c r="Q33" s="247">
        <v>1</v>
      </c>
      <c r="R33" s="247">
        <v>1</v>
      </c>
      <c r="S33" s="247">
        <v>1</v>
      </c>
      <c r="T33" s="247">
        <v>1</v>
      </c>
      <c r="U33" s="247">
        <v>1</v>
      </c>
      <c r="V33" s="247"/>
      <c r="W33" s="247"/>
      <c r="X33" s="247"/>
      <c r="Y33" s="247"/>
      <c r="Z33" s="247"/>
      <c r="AA33" s="518"/>
      <c r="AB33" s="519">
        <f>20*'Harmonogram dodavky'!H23</f>
        <v>220</v>
      </c>
      <c r="AC33" s="259"/>
      <c r="AD33" s="593">
        <f t="shared" si="13"/>
        <v>0.97247727272727269</v>
      </c>
      <c r="AE33" s="593">
        <v>213.94499999999999</v>
      </c>
      <c r="AF33" s="259"/>
      <c r="AG33" s="611">
        <v>787.64243146603121</v>
      </c>
      <c r="AH33" s="516">
        <f t="shared" si="3"/>
        <v>0</v>
      </c>
      <c r="AI33" s="517">
        <f t="shared" si="0"/>
        <v>168512.16000000003</v>
      </c>
      <c r="AJ33" s="587">
        <f t="shared" ref="AJ33:AJ35" si="14">AI33</f>
        <v>168512.16000000003</v>
      </c>
      <c r="AL33" s="133">
        <f t="shared" si="1"/>
        <v>2.2951856065063614E-2</v>
      </c>
    </row>
    <row r="34" spans="1:38" ht="13.8" x14ac:dyDescent="0.25">
      <c r="A34" s="263" t="s">
        <v>405</v>
      </c>
      <c r="B34" s="743"/>
      <c r="C34" s="246"/>
      <c r="D34" s="247"/>
      <c r="E34" s="247"/>
      <c r="F34" s="247"/>
      <c r="G34" s="247"/>
      <c r="H34" s="247"/>
      <c r="I34" s="247"/>
      <c r="J34" s="247"/>
      <c r="K34" s="247"/>
      <c r="L34" s="247"/>
      <c r="M34" s="247"/>
      <c r="N34" s="248"/>
      <c r="O34" s="247"/>
      <c r="P34" s="247"/>
      <c r="Q34" s="247"/>
      <c r="R34" s="247"/>
      <c r="S34" s="247"/>
      <c r="T34" s="247">
        <v>1</v>
      </c>
      <c r="U34" s="247">
        <v>1</v>
      </c>
      <c r="V34" s="247">
        <v>1</v>
      </c>
      <c r="W34" s="247">
        <v>1</v>
      </c>
      <c r="X34" s="247"/>
      <c r="Y34" s="247"/>
      <c r="Z34" s="247"/>
      <c r="AA34" s="518"/>
      <c r="AB34" s="519">
        <f>20*'Harmonogram dodavky'!H24</f>
        <v>80</v>
      </c>
      <c r="AC34" s="259"/>
      <c r="AD34" s="593">
        <f t="shared" si="13"/>
        <v>2.475625</v>
      </c>
      <c r="AE34" s="593">
        <v>198.04999999999998</v>
      </c>
      <c r="AF34" s="259"/>
      <c r="AG34" s="611">
        <v>787.82317596566531</v>
      </c>
      <c r="AH34" s="516">
        <f t="shared" si="3"/>
        <v>0</v>
      </c>
      <c r="AI34" s="517">
        <f t="shared" si="0"/>
        <v>156028.38000000003</v>
      </c>
      <c r="AJ34" s="587">
        <f t="shared" si="14"/>
        <v>156028.38000000003</v>
      </c>
      <c r="AL34" s="133">
        <f t="shared" si="1"/>
        <v>2.1251528197282918E-2</v>
      </c>
    </row>
    <row r="35" spans="1:38" ht="13.8" x14ac:dyDescent="0.25">
      <c r="A35" s="263" t="s">
        <v>409</v>
      </c>
      <c r="B35" s="743"/>
      <c r="C35" s="246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8"/>
      <c r="O35" s="247"/>
      <c r="P35" s="247"/>
      <c r="Q35" s="247"/>
      <c r="R35" s="247"/>
      <c r="S35" s="247"/>
      <c r="T35" s="247"/>
      <c r="U35" s="247"/>
      <c r="V35" s="247">
        <v>1</v>
      </c>
      <c r="W35" s="247">
        <v>1</v>
      </c>
      <c r="X35" s="247">
        <v>1</v>
      </c>
      <c r="Y35" s="247">
        <v>1</v>
      </c>
      <c r="Z35" s="247">
        <v>1</v>
      </c>
      <c r="AA35" s="518"/>
      <c r="AB35" s="519">
        <f>20*'Harmonogram dodavky'!H25</f>
        <v>100</v>
      </c>
      <c r="AC35" s="259"/>
      <c r="AD35" s="593">
        <f t="shared" si="13"/>
        <v>2.3774500000000005</v>
      </c>
      <c r="AE35" s="593">
        <v>237.74500000000003</v>
      </c>
      <c r="AF35" s="259"/>
      <c r="AG35" s="611">
        <v>787.77404361816207</v>
      </c>
      <c r="AH35" s="516">
        <f t="shared" si="3"/>
        <v>0</v>
      </c>
      <c r="AI35" s="517">
        <f t="shared" si="0"/>
        <v>187289.34</v>
      </c>
      <c r="AJ35" s="587">
        <f t="shared" si="14"/>
        <v>187289.34</v>
      </c>
      <c r="AL35" s="133">
        <f t="shared" si="1"/>
        <v>2.550936368153349E-2</v>
      </c>
    </row>
    <row r="36" spans="1:38" ht="13.8" x14ac:dyDescent="0.25">
      <c r="A36" s="583" t="s">
        <v>377</v>
      </c>
      <c r="B36" s="743"/>
      <c r="C36" s="246"/>
      <c r="D36" s="247"/>
      <c r="E36" s="247"/>
      <c r="F36" s="247"/>
      <c r="G36" s="247"/>
      <c r="H36" s="247"/>
      <c r="I36" s="247"/>
      <c r="J36" s="247"/>
      <c r="K36" s="247"/>
      <c r="L36" s="247"/>
      <c r="M36" s="247"/>
      <c r="N36" s="248"/>
      <c r="O36" s="247"/>
      <c r="P36" s="247"/>
      <c r="Q36" s="247"/>
      <c r="R36" s="247"/>
      <c r="S36" s="247"/>
      <c r="T36" s="247"/>
      <c r="U36" s="247"/>
      <c r="V36" s="247"/>
      <c r="W36" s="247"/>
      <c r="X36" s="247"/>
      <c r="Y36" s="247"/>
      <c r="Z36" s="247"/>
      <c r="AA36" s="469"/>
      <c r="AB36" s="244"/>
      <c r="AC36" s="244"/>
      <c r="AD36" s="244"/>
      <c r="AE36" s="244"/>
      <c r="AF36" s="244"/>
      <c r="AG36" s="612"/>
      <c r="AH36" s="516"/>
      <c r="AI36" s="517"/>
      <c r="AJ36" s="588">
        <f>SUM(AJ37:AJ40)</f>
        <v>440519.04</v>
      </c>
      <c r="AK36" s="589">
        <v>0.06</v>
      </c>
      <c r="AL36" s="133">
        <f t="shared" si="1"/>
        <v>5.9999999999999991E-2</v>
      </c>
    </row>
    <row r="37" spans="1:38" ht="13.8" x14ac:dyDescent="0.25">
      <c r="A37" s="263" t="s">
        <v>446</v>
      </c>
      <c r="B37" s="743"/>
      <c r="C37" s="246"/>
      <c r="D37" s="247"/>
      <c r="E37" s="247"/>
      <c r="F37" s="247"/>
      <c r="G37" s="247"/>
      <c r="H37" s="247"/>
      <c r="I37" s="247"/>
      <c r="J37" s="247">
        <v>1</v>
      </c>
      <c r="K37" s="247">
        <v>1</v>
      </c>
      <c r="L37" s="247">
        <v>1</v>
      </c>
      <c r="M37" s="247">
        <v>1</v>
      </c>
      <c r="N37" s="248">
        <v>1</v>
      </c>
      <c r="O37" s="247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518"/>
      <c r="AB37" s="519">
        <f>20*'Harmonogram dodavky'!H26</f>
        <v>100</v>
      </c>
      <c r="AC37" s="259"/>
      <c r="AD37" s="593">
        <f t="shared" ref="AD37:AD40" si="15">AE37/AB37</f>
        <v>1.0050000000000001</v>
      </c>
      <c r="AE37" s="593">
        <v>100.50000000000001</v>
      </c>
      <c r="AF37" s="259"/>
      <c r="AG37" s="611">
        <v>788.33194029850722</v>
      </c>
      <c r="AH37" s="516">
        <f t="shared" si="3"/>
        <v>0</v>
      </c>
      <c r="AI37" s="517">
        <f t="shared" si="0"/>
        <v>79227.359999999986</v>
      </c>
      <c r="AJ37" s="587">
        <f>AI37</f>
        <v>79227.359999999986</v>
      </c>
      <c r="AL37" s="133">
        <f t="shared" si="1"/>
        <v>1.0791001451378807E-2</v>
      </c>
    </row>
    <row r="38" spans="1:38" ht="13.8" x14ac:dyDescent="0.25">
      <c r="A38" s="263" t="s">
        <v>401</v>
      </c>
      <c r="B38" s="743"/>
      <c r="C38" s="246"/>
      <c r="D38" s="247"/>
      <c r="E38" s="247"/>
      <c r="F38" s="247"/>
      <c r="G38" s="247"/>
      <c r="H38" s="247"/>
      <c r="I38" s="247"/>
      <c r="J38" s="247"/>
      <c r="K38" s="247"/>
      <c r="L38" s="247">
        <v>1</v>
      </c>
      <c r="M38" s="247">
        <v>1</v>
      </c>
      <c r="N38" s="248">
        <v>1</v>
      </c>
      <c r="O38" s="247">
        <v>1</v>
      </c>
      <c r="P38" s="247">
        <v>1</v>
      </c>
      <c r="Q38" s="247">
        <v>1</v>
      </c>
      <c r="R38" s="247">
        <v>1</v>
      </c>
      <c r="S38" s="247"/>
      <c r="T38" s="247"/>
      <c r="U38" s="247"/>
      <c r="V38" s="247"/>
      <c r="W38" s="247"/>
      <c r="X38" s="247"/>
      <c r="Y38" s="247"/>
      <c r="Z38" s="247"/>
      <c r="AA38" s="518"/>
      <c r="AB38" s="519">
        <f>20*'Harmonogram dodavky'!H27</f>
        <v>140</v>
      </c>
      <c r="AC38" s="259"/>
      <c r="AD38" s="593">
        <f t="shared" si="15"/>
        <v>1.0787142857142855</v>
      </c>
      <c r="AE38" s="593">
        <v>151.01999999999998</v>
      </c>
      <c r="AF38" s="259"/>
      <c r="AG38" s="611">
        <v>787.6424314660311</v>
      </c>
      <c r="AH38" s="516">
        <f t="shared" si="3"/>
        <v>0</v>
      </c>
      <c r="AI38" s="517">
        <f t="shared" si="0"/>
        <v>118949.76000000001</v>
      </c>
      <c r="AJ38" s="587">
        <f t="shared" ref="AJ38:AJ40" si="16">AI38</f>
        <v>118949.76000000001</v>
      </c>
      <c r="AL38" s="133">
        <f t="shared" si="1"/>
        <v>1.6201310163574314E-2</v>
      </c>
    </row>
    <row r="39" spans="1:38" ht="13.8" x14ac:dyDescent="0.25">
      <c r="A39" s="263" t="s">
        <v>405</v>
      </c>
      <c r="B39" s="743"/>
      <c r="C39" s="246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8"/>
      <c r="O39" s="247"/>
      <c r="P39" s="247"/>
      <c r="Q39" s="247"/>
      <c r="R39" s="247">
        <v>1</v>
      </c>
      <c r="S39" s="247">
        <v>1</v>
      </c>
      <c r="T39" s="247">
        <v>1</v>
      </c>
      <c r="U39" s="247">
        <v>1</v>
      </c>
      <c r="V39" s="247">
        <v>1</v>
      </c>
      <c r="W39" s="247"/>
      <c r="X39" s="247"/>
      <c r="Y39" s="247"/>
      <c r="Z39" s="247"/>
      <c r="AA39" s="518"/>
      <c r="AB39" s="519">
        <f>20*'Harmonogram dodavky'!H28</f>
        <v>100</v>
      </c>
      <c r="AC39" s="259"/>
      <c r="AD39" s="593">
        <f t="shared" si="15"/>
        <v>1.3979999999999999</v>
      </c>
      <c r="AE39" s="593">
        <v>139.79999999999998</v>
      </c>
      <c r="AF39" s="259"/>
      <c r="AG39" s="611">
        <v>787.82317596566543</v>
      </c>
      <c r="AH39" s="516">
        <f t="shared" si="3"/>
        <v>0</v>
      </c>
      <c r="AI39" s="517">
        <f t="shared" si="0"/>
        <v>110137.68000000001</v>
      </c>
      <c r="AJ39" s="587">
        <f t="shared" si="16"/>
        <v>110137.68000000001</v>
      </c>
      <c r="AL39" s="133">
        <f t="shared" si="1"/>
        <v>1.5001078727493821E-2</v>
      </c>
    </row>
    <row r="40" spans="1:38" ht="13.8" x14ac:dyDescent="0.25">
      <c r="A40" s="263" t="s">
        <v>409</v>
      </c>
      <c r="B40" s="743"/>
      <c r="C40" s="246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8"/>
      <c r="O40" s="247"/>
      <c r="P40" s="247"/>
      <c r="Q40" s="247"/>
      <c r="R40" s="247"/>
      <c r="S40" s="247"/>
      <c r="T40" s="247"/>
      <c r="U40" s="247"/>
      <c r="V40" s="247">
        <v>1</v>
      </c>
      <c r="W40" s="247">
        <v>1</v>
      </c>
      <c r="X40" s="247">
        <v>1</v>
      </c>
      <c r="Y40" s="247">
        <v>1</v>
      </c>
      <c r="Z40" s="247">
        <v>1</v>
      </c>
      <c r="AA40" s="518"/>
      <c r="AB40" s="519">
        <f>20*'Harmonogram dodavky'!H29</f>
        <v>100</v>
      </c>
      <c r="AC40" s="259"/>
      <c r="AD40" s="593">
        <f t="shared" si="15"/>
        <v>1.6781999999999997</v>
      </c>
      <c r="AE40" s="593">
        <v>167.81999999999996</v>
      </c>
      <c r="AF40" s="259"/>
      <c r="AG40" s="611">
        <v>787.77404361816241</v>
      </c>
      <c r="AH40" s="516">
        <f t="shared" si="3"/>
        <v>0</v>
      </c>
      <c r="AI40" s="517">
        <f t="shared" si="0"/>
        <v>132204.24</v>
      </c>
      <c r="AJ40" s="587">
        <f t="shared" si="16"/>
        <v>132204.24</v>
      </c>
      <c r="AL40" s="133">
        <f t="shared" si="1"/>
        <v>1.800660965755305E-2</v>
      </c>
    </row>
    <row r="41" spans="1:38" ht="13.8" x14ac:dyDescent="0.25">
      <c r="A41" s="583" t="s">
        <v>378</v>
      </c>
      <c r="B41" s="743"/>
      <c r="C41" s="246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8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469"/>
      <c r="AB41" s="244"/>
      <c r="AC41" s="244"/>
      <c r="AD41" s="244"/>
      <c r="AE41" s="244"/>
      <c r="AF41" s="244"/>
      <c r="AG41" s="612"/>
      <c r="AH41" s="516"/>
      <c r="AI41" s="517"/>
      <c r="AJ41" s="588">
        <f>SUM(AJ42:AJ45)</f>
        <v>513938.88000000006</v>
      </c>
      <c r="AK41" s="589">
        <v>7.0000000000000007E-2</v>
      </c>
      <c r="AL41" s="133">
        <f t="shared" si="1"/>
        <v>6.9999999999999993E-2</v>
      </c>
    </row>
    <row r="42" spans="1:38" ht="13.8" x14ac:dyDescent="0.25">
      <c r="A42" s="263" t="s">
        <v>446</v>
      </c>
      <c r="B42" s="743"/>
      <c r="C42" s="246"/>
      <c r="D42" s="247"/>
      <c r="E42" s="247"/>
      <c r="F42" s="247"/>
      <c r="G42" s="247"/>
      <c r="H42" s="247"/>
      <c r="I42" s="247"/>
      <c r="J42" s="247">
        <v>1</v>
      </c>
      <c r="K42" s="247">
        <v>1</v>
      </c>
      <c r="L42" s="247">
        <v>1</v>
      </c>
      <c r="M42" s="247">
        <v>1</v>
      </c>
      <c r="N42" s="248">
        <v>1</v>
      </c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518"/>
      <c r="AB42" s="519">
        <f>20*'Harmonogram dodavky'!H30</f>
        <v>100</v>
      </c>
      <c r="AC42" s="259"/>
      <c r="AD42" s="593">
        <f t="shared" ref="AD42:AD45" si="17">AE42/AB42</f>
        <v>1.1725000000000001</v>
      </c>
      <c r="AE42" s="593">
        <v>117.25</v>
      </c>
      <c r="AF42" s="259"/>
      <c r="AG42" s="611">
        <v>788.33194029850756</v>
      </c>
      <c r="AH42" s="516">
        <f t="shared" ref="AH42:AH45" si="18">AA42*AC42*AF42</f>
        <v>0</v>
      </c>
      <c r="AI42" s="517">
        <f t="shared" ref="AI42:AI45" si="19">AB42*AD42*AG42</f>
        <v>92431.920000000027</v>
      </c>
      <c r="AJ42" s="587">
        <f>AI42</f>
        <v>92431.920000000027</v>
      </c>
      <c r="AL42" s="133">
        <f t="shared" si="1"/>
        <v>1.258950169327528E-2</v>
      </c>
    </row>
    <row r="43" spans="1:38" ht="13.8" x14ac:dyDescent="0.25">
      <c r="A43" s="263" t="s">
        <v>401</v>
      </c>
      <c r="B43" s="743"/>
      <c r="C43" s="246"/>
      <c r="D43" s="247"/>
      <c r="E43" s="247"/>
      <c r="F43" s="247"/>
      <c r="G43" s="247"/>
      <c r="H43" s="247"/>
      <c r="I43" s="247"/>
      <c r="J43" s="247"/>
      <c r="K43" s="247"/>
      <c r="L43" s="247">
        <v>1</v>
      </c>
      <c r="M43" s="247">
        <v>1</v>
      </c>
      <c r="N43" s="248">
        <v>1</v>
      </c>
      <c r="O43" s="247">
        <v>1</v>
      </c>
      <c r="P43" s="247">
        <v>1</v>
      </c>
      <c r="Q43" s="247">
        <v>1</v>
      </c>
      <c r="R43" s="247">
        <v>1</v>
      </c>
      <c r="S43" s="247"/>
      <c r="T43" s="247"/>
      <c r="U43" s="247"/>
      <c r="V43" s="247"/>
      <c r="W43" s="247"/>
      <c r="X43" s="247"/>
      <c r="Y43" s="247"/>
      <c r="Z43" s="247"/>
      <c r="AA43" s="518"/>
      <c r="AB43" s="519">
        <f>20*'Harmonogram dodavky'!H31</f>
        <v>140</v>
      </c>
      <c r="AC43" s="259"/>
      <c r="AD43" s="593">
        <f t="shared" si="17"/>
        <v>1.2584999999999995</v>
      </c>
      <c r="AE43" s="593">
        <v>176.18999999999994</v>
      </c>
      <c r="AF43" s="259"/>
      <c r="AG43" s="611">
        <v>787.64243146603121</v>
      </c>
      <c r="AH43" s="516">
        <f t="shared" si="18"/>
        <v>0</v>
      </c>
      <c r="AI43" s="517">
        <f t="shared" si="19"/>
        <v>138774.72</v>
      </c>
      <c r="AJ43" s="587">
        <f t="shared" ref="AJ43:AJ45" si="20">AI43</f>
        <v>138774.72</v>
      </c>
      <c r="AL43" s="133">
        <f t="shared" si="1"/>
        <v>1.8901528524170031E-2</v>
      </c>
    </row>
    <row r="44" spans="1:38" ht="13.8" x14ac:dyDescent="0.25">
      <c r="A44" s="263" t="s">
        <v>405</v>
      </c>
      <c r="B44" s="743"/>
      <c r="C44" s="246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8"/>
      <c r="O44" s="247"/>
      <c r="P44" s="247"/>
      <c r="Q44" s="247"/>
      <c r="R44" s="247">
        <v>1</v>
      </c>
      <c r="S44" s="247">
        <v>1</v>
      </c>
      <c r="T44" s="247">
        <v>1</v>
      </c>
      <c r="U44" s="247">
        <v>1</v>
      </c>
      <c r="V44" s="247">
        <v>1</v>
      </c>
      <c r="W44" s="247"/>
      <c r="X44" s="247"/>
      <c r="Y44" s="247"/>
      <c r="Z44" s="247"/>
      <c r="AA44" s="518"/>
      <c r="AB44" s="519">
        <f>20*'Harmonogram dodavky'!H32</f>
        <v>100</v>
      </c>
      <c r="AC44" s="259"/>
      <c r="AD44" s="593">
        <f t="shared" si="17"/>
        <v>1.631</v>
      </c>
      <c r="AE44" s="593">
        <v>163.1</v>
      </c>
      <c r="AF44" s="259"/>
      <c r="AG44" s="611">
        <v>787.82317596566531</v>
      </c>
      <c r="AH44" s="516">
        <f t="shared" si="18"/>
        <v>0</v>
      </c>
      <c r="AI44" s="517">
        <f t="shared" si="19"/>
        <v>128493.96</v>
      </c>
      <c r="AJ44" s="587">
        <f t="shared" si="20"/>
        <v>128493.96</v>
      </c>
      <c r="AL44" s="133">
        <f t="shared" si="1"/>
        <v>1.7501258515409457E-2</v>
      </c>
    </row>
    <row r="45" spans="1:38" ht="13.8" x14ac:dyDescent="0.25">
      <c r="A45" s="263" t="s">
        <v>409</v>
      </c>
      <c r="B45" s="743"/>
      <c r="C45" s="246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8"/>
      <c r="O45" s="247"/>
      <c r="P45" s="247"/>
      <c r="Q45" s="247"/>
      <c r="R45" s="247"/>
      <c r="S45" s="247"/>
      <c r="T45" s="247"/>
      <c r="U45" s="247"/>
      <c r="V45" s="247">
        <v>1</v>
      </c>
      <c r="W45" s="247">
        <v>1</v>
      </c>
      <c r="X45" s="247">
        <v>1</v>
      </c>
      <c r="Y45" s="247">
        <v>1</v>
      </c>
      <c r="Z45" s="247">
        <v>1</v>
      </c>
      <c r="AA45" s="518"/>
      <c r="AB45" s="519">
        <f>20*'Harmonogram dodavky'!H33</f>
        <v>100</v>
      </c>
      <c r="AC45" s="259"/>
      <c r="AD45" s="593">
        <f t="shared" si="17"/>
        <v>1.9579000000000002</v>
      </c>
      <c r="AE45" s="593">
        <v>195.79000000000002</v>
      </c>
      <c r="AF45" s="259"/>
      <c r="AG45" s="611">
        <v>787.77404361816241</v>
      </c>
      <c r="AH45" s="516">
        <f t="shared" si="18"/>
        <v>0</v>
      </c>
      <c r="AI45" s="517">
        <f t="shared" si="19"/>
        <v>154238.28000000003</v>
      </c>
      <c r="AJ45" s="587">
        <f t="shared" si="20"/>
        <v>154238.28000000003</v>
      </c>
      <c r="AL45" s="133">
        <f t="shared" si="1"/>
        <v>2.1007711267145231E-2</v>
      </c>
    </row>
    <row r="46" spans="1:38" ht="13.8" x14ac:dyDescent="0.25">
      <c r="A46" s="583" t="s">
        <v>429</v>
      </c>
      <c r="B46" s="743"/>
      <c r="C46" s="246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8"/>
      <c r="O46" s="247"/>
      <c r="P46" s="247"/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469"/>
      <c r="AB46" s="244"/>
      <c r="AC46" s="244"/>
      <c r="AD46" s="244"/>
      <c r="AE46" s="244"/>
      <c r="AF46" s="244"/>
      <c r="AG46" s="468"/>
      <c r="AH46" s="516"/>
      <c r="AI46" s="517"/>
      <c r="AJ46" s="587"/>
    </row>
    <row r="47" spans="1:38" ht="13.8" x14ac:dyDescent="0.25">
      <c r="A47" s="584" t="s">
        <v>424</v>
      </c>
      <c r="B47" s="743"/>
      <c r="C47" s="246">
        <v>1</v>
      </c>
      <c r="D47" s="247">
        <v>1</v>
      </c>
      <c r="E47" s="247">
        <v>1</v>
      </c>
      <c r="F47" s="247">
        <v>1</v>
      </c>
      <c r="G47" s="247">
        <v>1</v>
      </c>
      <c r="H47" s="247">
        <v>1</v>
      </c>
      <c r="I47" s="247">
        <v>1</v>
      </c>
      <c r="J47" s="247">
        <v>1</v>
      </c>
      <c r="K47" s="247">
        <v>1</v>
      </c>
      <c r="L47" s="247">
        <v>1</v>
      </c>
      <c r="M47" s="247">
        <v>1</v>
      </c>
      <c r="N47" s="248">
        <v>1</v>
      </c>
      <c r="O47" s="247">
        <v>1</v>
      </c>
      <c r="P47" s="247">
        <v>1</v>
      </c>
      <c r="Q47" s="247">
        <v>1</v>
      </c>
      <c r="R47" s="247">
        <v>1</v>
      </c>
      <c r="S47" s="247">
        <v>1</v>
      </c>
      <c r="T47" s="247">
        <v>1</v>
      </c>
      <c r="U47" s="247">
        <v>1</v>
      </c>
      <c r="V47" s="247">
        <v>1</v>
      </c>
      <c r="W47" s="247">
        <v>1</v>
      </c>
      <c r="X47" s="247">
        <v>1</v>
      </c>
      <c r="Y47" s="247">
        <v>1</v>
      </c>
      <c r="Z47" s="247">
        <v>1</v>
      </c>
      <c r="AA47" s="518"/>
      <c r="AB47" s="519"/>
      <c r="AC47" s="259"/>
      <c r="AD47" s="259">
        <v>1</v>
      </c>
      <c r="AE47" s="259"/>
      <c r="AF47" s="259"/>
      <c r="AG47" s="467">
        <v>750</v>
      </c>
      <c r="AH47" s="516">
        <f t="shared" ref="AH47" si="21">AA47*AC47*AF47</f>
        <v>0</v>
      </c>
      <c r="AI47" s="517">
        <f t="shared" ref="AI47" si="22">AB47*AD47*AG47</f>
        <v>0</v>
      </c>
      <c r="AJ47" s="587"/>
    </row>
    <row r="48" spans="1:38" ht="13.8" x14ac:dyDescent="0.25">
      <c r="A48" s="584" t="s">
        <v>430</v>
      </c>
      <c r="B48" s="743"/>
      <c r="C48" s="246">
        <v>1</v>
      </c>
      <c r="D48" s="247">
        <v>1</v>
      </c>
      <c r="E48" s="247">
        <v>1</v>
      </c>
      <c r="F48" s="247">
        <v>1</v>
      </c>
      <c r="G48" s="247">
        <v>1</v>
      </c>
      <c r="H48" s="247">
        <v>1</v>
      </c>
      <c r="I48" s="247">
        <v>1</v>
      </c>
      <c r="J48" s="247">
        <v>1</v>
      </c>
      <c r="K48" s="247">
        <v>1</v>
      </c>
      <c r="L48" s="247">
        <v>1</v>
      </c>
      <c r="M48" s="247">
        <v>1</v>
      </c>
      <c r="N48" s="248">
        <v>1</v>
      </c>
      <c r="O48" s="247">
        <v>1</v>
      </c>
      <c r="P48" s="247">
        <v>1</v>
      </c>
      <c r="Q48" s="247">
        <v>1</v>
      </c>
      <c r="R48" s="247">
        <v>1</v>
      </c>
      <c r="S48" s="247">
        <v>1</v>
      </c>
      <c r="T48" s="247">
        <v>1</v>
      </c>
      <c r="U48" s="247">
        <v>1</v>
      </c>
      <c r="V48" s="247">
        <v>1</v>
      </c>
      <c r="W48" s="247">
        <v>1</v>
      </c>
      <c r="X48" s="247">
        <v>1</v>
      </c>
      <c r="Y48" s="247">
        <v>1</v>
      </c>
      <c r="Z48" s="247">
        <v>1</v>
      </c>
      <c r="AA48" s="518"/>
      <c r="AB48" s="519"/>
      <c r="AC48" s="259"/>
      <c r="AD48" s="259">
        <v>2.5</v>
      </c>
      <c r="AE48" s="259">
        <f>AB48*AD48</f>
        <v>0</v>
      </c>
      <c r="AF48" s="259"/>
      <c r="AG48" s="467">
        <v>500</v>
      </c>
      <c r="AH48" s="516">
        <f t="shared" ref="AH48" si="23">AA48*AC48*AF48</f>
        <v>0</v>
      </c>
      <c r="AI48" s="517">
        <f t="shared" ref="AI48" si="24">AB48*AD48*AG48</f>
        <v>0</v>
      </c>
      <c r="AJ48" s="587"/>
    </row>
    <row r="49" spans="1:37" ht="13.8" x14ac:dyDescent="0.25">
      <c r="A49" s="583" t="s">
        <v>157</v>
      </c>
      <c r="B49" s="743"/>
      <c r="C49" s="246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8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518">
        <f>COUNTA(C49:Z49)*21</f>
        <v>0</v>
      </c>
      <c r="AB49" s="519">
        <f t="shared" ref="AB49" si="25">COUNTA(C49:Z49)*21</f>
        <v>0</v>
      </c>
      <c r="AC49" s="244"/>
      <c r="AD49" s="244"/>
      <c r="AE49" s="244"/>
      <c r="AF49" s="244"/>
      <c r="AG49" s="468"/>
      <c r="AH49" s="516"/>
      <c r="AI49" s="517"/>
      <c r="AJ49" s="587"/>
      <c r="AK49" s="141"/>
    </row>
    <row r="50" spans="1:37" ht="14.4" thickBot="1" x14ac:dyDescent="0.3">
      <c r="A50" s="263" t="s">
        <v>158</v>
      </c>
      <c r="B50" s="744"/>
      <c r="C50" s="613"/>
      <c r="D50" s="614"/>
      <c r="E50" s="614"/>
      <c r="F50" s="614"/>
      <c r="G50" s="614"/>
      <c r="H50" s="614"/>
      <c r="I50" s="614"/>
      <c r="J50" s="614"/>
      <c r="K50" s="614"/>
      <c r="L50" s="614"/>
      <c r="M50" s="614"/>
      <c r="N50" s="615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518">
        <f>COUNTA(C50:Z50)*21</f>
        <v>0</v>
      </c>
      <c r="AB50" s="519">
        <f t="shared" ref="AB50" si="26">COUNTA(C50:Z50)*21</f>
        <v>0</v>
      </c>
      <c r="AC50" s="259"/>
      <c r="AD50" s="259"/>
      <c r="AE50" s="259"/>
      <c r="AF50" s="259"/>
      <c r="AG50" s="467">
        <v>500</v>
      </c>
      <c r="AH50" s="516">
        <f t="shared" ref="AH50" si="27">AA50*AC50*AF50</f>
        <v>0</v>
      </c>
      <c r="AI50" s="517">
        <f t="shared" ref="AI50" si="28">AB50*AD50*AG50</f>
        <v>0</v>
      </c>
      <c r="AJ50" s="587"/>
      <c r="AK50" s="141"/>
    </row>
    <row r="51" spans="1:37" ht="12.6" thickBot="1" x14ac:dyDescent="0.3">
      <c r="A51" s="264" t="s">
        <v>161</v>
      </c>
      <c r="B51" s="142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45"/>
      <c r="AB51" s="245"/>
      <c r="AC51" s="245"/>
      <c r="AD51" s="245"/>
      <c r="AE51" s="245"/>
      <c r="AF51" s="245"/>
      <c r="AG51" s="245"/>
      <c r="AH51" s="512">
        <f>SUM(AH6:AH50)</f>
        <v>0</v>
      </c>
      <c r="AI51" s="513">
        <f>SUM(AI6:AI50)</f>
        <v>7341983.9999999991</v>
      </c>
      <c r="AJ51" s="616">
        <f>AJ41+AJ36+AJ31+AJ21+AJ16+AJ11+AJ6+AJ26</f>
        <v>7341984.0000000009</v>
      </c>
      <c r="AK51" s="143"/>
    </row>
    <row r="52" spans="1:37" x14ac:dyDescent="0.25">
      <c r="AE52" s="133">
        <f>SUM(AE7:AE51)</f>
        <v>9319.0000000000018</v>
      </c>
    </row>
    <row r="54" spans="1:37" ht="15.6" x14ac:dyDescent="0.3">
      <c r="AI54" s="144"/>
    </row>
  </sheetData>
  <mergeCells count="1">
    <mergeCell ref="B6:B50"/>
  </mergeCells>
  <conditionalFormatting sqref="C49:Z50 C6:Z40">
    <cfRule type="colorScale" priority="3">
      <colorScale>
        <cfvo type="num" val="0"/>
        <cfvo type="num" val="1"/>
        <color theme="0"/>
        <color theme="2" tint="-0.249977111117893"/>
      </colorScale>
    </cfRule>
  </conditionalFormatting>
  <conditionalFormatting sqref="C41:Z41 C46:Z48 C42:F45">
    <cfRule type="colorScale" priority="2">
      <colorScale>
        <cfvo type="num" val="0"/>
        <cfvo type="num" val="1"/>
        <color theme="0"/>
        <color theme="2" tint="-0.249977111117893"/>
      </colorScale>
    </cfRule>
  </conditionalFormatting>
  <conditionalFormatting sqref="G42:Z45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3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0.249977111117893"/>
  </sheetPr>
  <dimension ref="A1:AG33"/>
  <sheetViews>
    <sheetView zoomScale="90" zoomScaleNormal="90" workbookViewId="0">
      <pane ySplit="1" topLeftCell="A4" activePane="bottomLeft" state="frozen"/>
      <selection pane="bottomLeft" activeCell="F12" sqref="F12"/>
    </sheetView>
  </sheetViews>
  <sheetFormatPr defaultColWidth="8.77734375" defaultRowHeight="14.4" x14ac:dyDescent="0.3"/>
  <cols>
    <col min="2" max="2" width="35.21875" customWidth="1"/>
    <col min="3" max="3" width="8.21875" bestFit="1" customWidth="1"/>
    <col min="4" max="6" width="35.21875" customWidth="1"/>
    <col min="7" max="7" width="7.44140625" customWidth="1"/>
    <col min="8" max="9" width="9.77734375" customWidth="1"/>
    <col min="10" max="33" width="4.5546875" customWidth="1"/>
  </cols>
  <sheetData>
    <row r="1" spans="1:33" x14ac:dyDescent="0.3">
      <c r="A1" s="590" t="s">
        <v>437</v>
      </c>
      <c r="B1" s="590" t="s">
        <v>432</v>
      </c>
      <c r="C1" s="590" t="s">
        <v>447</v>
      </c>
      <c r="D1" s="590" t="s">
        <v>433</v>
      </c>
      <c r="E1" s="590" t="s">
        <v>432</v>
      </c>
      <c r="F1" s="590" t="s">
        <v>439</v>
      </c>
      <c r="G1" s="590" t="s">
        <v>435</v>
      </c>
      <c r="H1" s="590" t="s">
        <v>434</v>
      </c>
      <c r="I1" s="590" t="s">
        <v>436</v>
      </c>
      <c r="J1" s="256" t="s">
        <v>126</v>
      </c>
      <c r="K1" s="256" t="s">
        <v>127</v>
      </c>
      <c r="L1" s="256" t="s">
        <v>128</v>
      </c>
      <c r="M1" s="256" t="s">
        <v>129</v>
      </c>
      <c r="N1" s="256" t="s">
        <v>130</v>
      </c>
      <c r="O1" s="256" t="s">
        <v>131</v>
      </c>
      <c r="P1" s="256" t="s">
        <v>132</v>
      </c>
      <c r="Q1" s="256" t="s">
        <v>133</v>
      </c>
      <c r="R1" s="256" t="s">
        <v>134</v>
      </c>
      <c r="S1" s="256" t="s">
        <v>135</v>
      </c>
      <c r="T1" s="256" t="s">
        <v>136</v>
      </c>
      <c r="U1" s="256" t="s">
        <v>137</v>
      </c>
      <c r="V1" s="256" t="s">
        <v>138</v>
      </c>
      <c r="W1" s="256" t="s">
        <v>139</v>
      </c>
      <c r="X1" s="256" t="s">
        <v>140</v>
      </c>
      <c r="Y1" s="256" t="s">
        <v>141</v>
      </c>
      <c r="Z1" s="256" t="s">
        <v>142</v>
      </c>
      <c r="AA1" s="256" t="s">
        <v>143</v>
      </c>
      <c r="AB1" s="256" t="s">
        <v>144</v>
      </c>
      <c r="AC1" s="256" t="s">
        <v>145</v>
      </c>
      <c r="AD1" s="256" t="s">
        <v>146</v>
      </c>
      <c r="AE1" s="256" t="s">
        <v>147</v>
      </c>
      <c r="AF1" s="256" t="s">
        <v>444</v>
      </c>
      <c r="AG1" s="256" t="s">
        <v>148</v>
      </c>
    </row>
    <row r="2" spans="1:33" ht="45" customHeight="1" x14ac:dyDescent="0.3">
      <c r="A2" s="626">
        <v>1</v>
      </c>
      <c r="B2" s="627" t="s">
        <v>446</v>
      </c>
      <c r="C2" s="627">
        <v>1</v>
      </c>
      <c r="D2" s="628" t="s">
        <v>371</v>
      </c>
      <c r="E2" s="627" t="str">
        <f t="shared" ref="E2:E33" si="0">B2</f>
        <v>Analýza a návrh</v>
      </c>
      <c r="F2" s="629" t="s">
        <v>440</v>
      </c>
      <c r="G2" s="628">
        <v>4</v>
      </c>
      <c r="H2" s="630">
        <f t="shared" ref="H2:H33" si="1">SUM(J2:AG2)</f>
        <v>5</v>
      </c>
      <c r="I2" s="630">
        <f t="shared" ref="I2:I33" si="2">G2+H2-1</f>
        <v>8</v>
      </c>
      <c r="J2" s="247"/>
      <c r="K2" s="247"/>
      <c r="L2" s="247"/>
      <c r="M2" s="247">
        <v>1</v>
      </c>
      <c r="N2" s="247">
        <v>1</v>
      </c>
      <c r="O2" s="247">
        <v>1</v>
      </c>
      <c r="P2" s="247">
        <v>1</v>
      </c>
      <c r="Q2" s="247">
        <v>1</v>
      </c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41.4" x14ac:dyDescent="0.3">
      <c r="A3" s="626">
        <v>3</v>
      </c>
      <c r="B3" s="627" t="s">
        <v>438</v>
      </c>
      <c r="C3" s="627">
        <v>1</v>
      </c>
      <c r="D3" s="628" t="s">
        <v>371</v>
      </c>
      <c r="E3" s="627" t="str">
        <f t="shared" si="0"/>
        <v xml:space="preserve">Implementácia služieb </v>
      </c>
      <c r="F3" s="629" t="s">
        <v>441</v>
      </c>
      <c r="G3" s="628">
        <v>7</v>
      </c>
      <c r="H3" s="630">
        <f t="shared" si="1"/>
        <v>5</v>
      </c>
      <c r="I3" s="630">
        <f t="shared" si="2"/>
        <v>11</v>
      </c>
      <c r="J3" s="247"/>
      <c r="K3" s="247"/>
      <c r="L3" s="247"/>
      <c r="M3" s="247"/>
      <c r="N3" s="247"/>
      <c r="O3" s="247"/>
      <c r="P3" s="247">
        <v>1</v>
      </c>
      <c r="Q3" s="247">
        <v>1</v>
      </c>
      <c r="R3" s="247">
        <v>1</v>
      </c>
      <c r="S3" s="247">
        <v>1</v>
      </c>
      <c r="T3" s="247">
        <v>1</v>
      </c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</row>
    <row r="4" spans="1:33" ht="41.4" x14ac:dyDescent="0.3">
      <c r="A4" s="626">
        <v>4</v>
      </c>
      <c r="B4" s="627" t="s">
        <v>405</v>
      </c>
      <c r="C4" s="627">
        <v>1</v>
      </c>
      <c r="D4" s="628" t="s">
        <v>371</v>
      </c>
      <c r="E4" s="627" t="str">
        <f t="shared" si="0"/>
        <v>Testovanie</v>
      </c>
      <c r="F4" s="629" t="s">
        <v>442</v>
      </c>
      <c r="G4" s="628">
        <v>11</v>
      </c>
      <c r="H4" s="630">
        <f t="shared" si="1"/>
        <v>3</v>
      </c>
      <c r="I4" s="630">
        <f t="shared" si="2"/>
        <v>13</v>
      </c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>
        <v>1</v>
      </c>
      <c r="U4" s="247">
        <v>1</v>
      </c>
      <c r="V4" s="247">
        <v>1</v>
      </c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</row>
    <row r="5" spans="1:33" ht="41.4" x14ac:dyDescent="0.3">
      <c r="A5" s="626">
        <v>5</v>
      </c>
      <c r="B5" s="627" t="s">
        <v>409</v>
      </c>
      <c r="C5" s="627">
        <v>1</v>
      </c>
      <c r="D5" s="628" t="s">
        <v>371</v>
      </c>
      <c r="E5" s="627" t="str">
        <f t="shared" si="0"/>
        <v>Nasadenie</v>
      </c>
      <c r="F5" s="629" t="s">
        <v>443</v>
      </c>
      <c r="G5" s="628">
        <v>14</v>
      </c>
      <c r="H5" s="630">
        <f t="shared" si="1"/>
        <v>3</v>
      </c>
      <c r="I5" s="630">
        <f t="shared" si="2"/>
        <v>16</v>
      </c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>
        <v>1</v>
      </c>
      <c r="X5" s="247">
        <v>1</v>
      </c>
      <c r="Y5" s="247">
        <v>1</v>
      </c>
      <c r="Z5" s="247"/>
      <c r="AA5" s="247"/>
      <c r="AB5" s="247"/>
      <c r="AC5" s="247"/>
      <c r="AD5" s="247"/>
      <c r="AE5" s="247"/>
      <c r="AF5" s="247"/>
      <c r="AG5" s="247"/>
    </row>
    <row r="6" spans="1:33" ht="41.4" x14ac:dyDescent="0.3">
      <c r="A6" s="626">
        <v>1</v>
      </c>
      <c r="B6" s="627" t="s">
        <v>446</v>
      </c>
      <c r="C6" s="627">
        <v>2</v>
      </c>
      <c r="D6" s="628" t="s">
        <v>372</v>
      </c>
      <c r="E6" s="627" t="str">
        <f t="shared" si="0"/>
        <v>Analýza a návrh</v>
      </c>
      <c r="F6" s="629" t="s">
        <v>440</v>
      </c>
      <c r="G6" s="628">
        <v>4</v>
      </c>
      <c r="H6" s="630">
        <f t="shared" si="1"/>
        <v>5</v>
      </c>
      <c r="I6" s="630">
        <f t="shared" si="2"/>
        <v>8</v>
      </c>
      <c r="J6" s="247"/>
      <c r="K6" s="247"/>
      <c r="L6" s="247"/>
      <c r="M6" s="247">
        <v>1</v>
      </c>
      <c r="N6" s="247">
        <v>1</v>
      </c>
      <c r="O6" s="247">
        <v>1</v>
      </c>
      <c r="P6" s="247">
        <v>1</v>
      </c>
      <c r="Q6" s="247">
        <v>1</v>
      </c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</row>
    <row r="7" spans="1:33" ht="41.4" x14ac:dyDescent="0.3">
      <c r="A7" s="626">
        <v>3</v>
      </c>
      <c r="B7" s="627" t="s">
        <v>438</v>
      </c>
      <c r="C7" s="627">
        <v>2</v>
      </c>
      <c r="D7" s="628" t="s">
        <v>372</v>
      </c>
      <c r="E7" s="627" t="str">
        <f t="shared" si="0"/>
        <v xml:space="preserve">Implementácia služieb </v>
      </c>
      <c r="F7" s="629" t="s">
        <v>441</v>
      </c>
      <c r="G7" s="628">
        <v>6</v>
      </c>
      <c r="H7" s="630">
        <f t="shared" si="1"/>
        <v>5</v>
      </c>
      <c r="I7" s="630">
        <f t="shared" si="2"/>
        <v>10</v>
      </c>
      <c r="J7" s="247"/>
      <c r="K7" s="247"/>
      <c r="L7" s="247"/>
      <c r="M7" s="247"/>
      <c r="N7" s="247"/>
      <c r="O7" s="247">
        <v>1</v>
      </c>
      <c r="P7" s="247">
        <v>1</v>
      </c>
      <c r="Q7" s="247">
        <v>1</v>
      </c>
      <c r="R7" s="247">
        <v>1</v>
      </c>
      <c r="S7" s="247">
        <v>1</v>
      </c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</row>
    <row r="8" spans="1:33" ht="41.4" x14ac:dyDescent="0.3">
      <c r="A8" s="626">
        <v>4</v>
      </c>
      <c r="B8" s="627" t="s">
        <v>405</v>
      </c>
      <c r="C8" s="627">
        <v>2</v>
      </c>
      <c r="D8" s="628" t="s">
        <v>372</v>
      </c>
      <c r="E8" s="627" t="str">
        <f t="shared" si="0"/>
        <v>Testovanie</v>
      </c>
      <c r="F8" s="629" t="s">
        <v>442</v>
      </c>
      <c r="G8" s="628">
        <v>12</v>
      </c>
      <c r="H8" s="630">
        <f t="shared" si="1"/>
        <v>5</v>
      </c>
      <c r="I8" s="630">
        <f t="shared" si="2"/>
        <v>16</v>
      </c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>
        <v>1</v>
      </c>
      <c r="U8" s="247">
        <v>1</v>
      </c>
      <c r="V8" s="247">
        <v>1</v>
      </c>
      <c r="W8" s="247">
        <v>1</v>
      </c>
      <c r="X8" s="247">
        <v>1</v>
      </c>
      <c r="Y8" s="247"/>
      <c r="Z8" s="247"/>
      <c r="AA8" s="247"/>
      <c r="AB8" s="247"/>
      <c r="AC8" s="247"/>
      <c r="AD8" s="247"/>
      <c r="AE8" s="247"/>
      <c r="AF8" s="247"/>
      <c r="AG8" s="247"/>
    </row>
    <row r="9" spans="1:33" ht="41.4" x14ac:dyDescent="0.3">
      <c r="A9" s="626">
        <v>5</v>
      </c>
      <c r="B9" s="627" t="s">
        <v>409</v>
      </c>
      <c r="C9" s="627">
        <v>2</v>
      </c>
      <c r="D9" s="628" t="s">
        <v>372</v>
      </c>
      <c r="E9" s="627" t="str">
        <f t="shared" si="0"/>
        <v>Nasadenie</v>
      </c>
      <c r="F9" s="629" t="s">
        <v>443</v>
      </c>
      <c r="G9" s="628">
        <v>16</v>
      </c>
      <c r="H9" s="630">
        <f t="shared" si="1"/>
        <v>4</v>
      </c>
      <c r="I9" s="630">
        <f t="shared" si="2"/>
        <v>19</v>
      </c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47"/>
      <c r="X9" s="247"/>
      <c r="Y9" s="247">
        <v>1</v>
      </c>
      <c r="Z9" s="247">
        <v>1</v>
      </c>
      <c r="AA9" s="247">
        <v>1</v>
      </c>
      <c r="AB9" s="247">
        <v>1</v>
      </c>
      <c r="AC9" s="247"/>
      <c r="AD9" s="247"/>
      <c r="AE9" s="247"/>
      <c r="AF9" s="247"/>
      <c r="AG9" s="247"/>
    </row>
    <row r="10" spans="1:33" ht="50.55" customHeight="1" x14ac:dyDescent="0.3">
      <c r="A10" s="626">
        <v>1</v>
      </c>
      <c r="B10" s="627" t="s">
        <v>446</v>
      </c>
      <c r="C10" s="627">
        <v>3</v>
      </c>
      <c r="D10" s="628" t="s">
        <v>373</v>
      </c>
      <c r="E10" s="627" t="str">
        <f t="shared" si="0"/>
        <v>Analýza a návrh</v>
      </c>
      <c r="F10" s="629" t="s">
        <v>440</v>
      </c>
      <c r="G10" s="628">
        <v>7</v>
      </c>
      <c r="H10" s="630">
        <f t="shared" si="1"/>
        <v>4</v>
      </c>
      <c r="I10" s="630">
        <f t="shared" si="2"/>
        <v>10</v>
      </c>
      <c r="J10" s="247"/>
      <c r="K10" s="247"/>
      <c r="L10" s="247"/>
      <c r="M10" s="247"/>
      <c r="N10" s="247"/>
      <c r="O10" s="247"/>
      <c r="P10" s="247">
        <v>1</v>
      </c>
      <c r="Q10" s="247">
        <v>1</v>
      </c>
      <c r="R10" s="247">
        <v>1</v>
      </c>
      <c r="S10" s="247">
        <v>1</v>
      </c>
      <c r="T10" s="247"/>
      <c r="U10" s="247"/>
      <c r="V10" s="247"/>
      <c r="W10" s="247"/>
      <c r="X10" s="247"/>
      <c r="Y10" s="247"/>
      <c r="Z10" s="247"/>
      <c r="AA10" s="247"/>
      <c r="AB10" s="247"/>
      <c r="AC10" s="247"/>
      <c r="AD10" s="247"/>
      <c r="AE10" s="247"/>
      <c r="AF10" s="247"/>
      <c r="AG10" s="247"/>
    </row>
    <row r="11" spans="1:33" ht="41.4" x14ac:dyDescent="0.3">
      <c r="A11" s="626">
        <v>3</v>
      </c>
      <c r="B11" s="627" t="s">
        <v>438</v>
      </c>
      <c r="C11" s="627">
        <v>3</v>
      </c>
      <c r="D11" s="628" t="s">
        <v>373</v>
      </c>
      <c r="E11" s="627" t="str">
        <f t="shared" si="0"/>
        <v xml:space="preserve">Implementácia služieb </v>
      </c>
      <c r="F11" s="629" t="s">
        <v>441</v>
      </c>
      <c r="G11" s="628">
        <v>9</v>
      </c>
      <c r="H11" s="630">
        <f t="shared" si="1"/>
        <v>5</v>
      </c>
      <c r="I11" s="630">
        <f t="shared" si="2"/>
        <v>13</v>
      </c>
      <c r="J11" s="247"/>
      <c r="K11" s="247"/>
      <c r="L11" s="247"/>
      <c r="M11" s="247"/>
      <c r="N11" s="247"/>
      <c r="O11" s="247"/>
      <c r="P11" s="247"/>
      <c r="Q11" s="247"/>
      <c r="R11" s="247">
        <v>1</v>
      </c>
      <c r="S11" s="247">
        <v>1</v>
      </c>
      <c r="T11" s="247">
        <v>1</v>
      </c>
      <c r="U11" s="247">
        <v>1</v>
      </c>
      <c r="V11" s="247">
        <v>1</v>
      </c>
      <c r="W11" s="247"/>
      <c r="X11" s="247"/>
      <c r="Y11" s="247"/>
      <c r="Z11" s="247"/>
      <c r="AA11" s="247"/>
      <c r="AB11" s="247"/>
      <c r="AC11" s="247"/>
      <c r="AD11" s="247"/>
      <c r="AE11" s="247"/>
      <c r="AF11" s="247"/>
      <c r="AG11" s="247"/>
    </row>
    <row r="12" spans="1:33" ht="41.4" x14ac:dyDescent="0.3">
      <c r="A12" s="626">
        <v>4</v>
      </c>
      <c r="B12" s="627" t="s">
        <v>405</v>
      </c>
      <c r="C12" s="627">
        <v>3</v>
      </c>
      <c r="D12" s="628" t="s">
        <v>373</v>
      </c>
      <c r="E12" s="627" t="str">
        <f t="shared" si="0"/>
        <v>Testovanie</v>
      </c>
      <c r="F12" s="629" t="s">
        <v>442</v>
      </c>
      <c r="G12" s="628">
        <v>13</v>
      </c>
      <c r="H12" s="630">
        <f t="shared" si="1"/>
        <v>4</v>
      </c>
      <c r="I12" s="630">
        <f t="shared" si="2"/>
        <v>16</v>
      </c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>
        <v>1</v>
      </c>
      <c r="W12" s="247">
        <v>1</v>
      </c>
      <c r="X12" s="247">
        <v>1</v>
      </c>
      <c r="Y12" s="247">
        <v>1</v>
      </c>
      <c r="Z12" s="247"/>
      <c r="AA12" s="247"/>
      <c r="AB12" s="247"/>
      <c r="AC12" s="247"/>
      <c r="AD12" s="247"/>
      <c r="AE12" s="247"/>
      <c r="AF12" s="247"/>
      <c r="AG12" s="247"/>
    </row>
    <row r="13" spans="1:33" ht="41.4" x14ac:dyDescent="0.3">
      <c r="A13" s="626">
        <v>5</v>
      </c>
      <c r="B13" s="627" t="s">
        <v>409</v>
      </c>
      <c r="C13" s="627">
        <v>3</v>
      </c>
      <c r="D13" s="628" t="s">
        <v>373</v>
      </c>
      <c r="E13" s="627" t="str">
        <f t="shared" si="0"/>
        <v>Nasadenie</v>
      </c>
      <c r="F13" s="629" t="s">
        <v>443</v>
      </c>
      <c r="G13" s="628">
        <v>17</v>
      </c>
      <c r="H13" s="630">
        <f t="shared" si="1"/>
        <v>4</v>
      </c>
      <c r="I13" s="630">
        <f t="shared" si="2"/>
        <v>20</v>
      </c>
      <c r="J13" s="247"/>
      <c r="K13" s="247"/>
      <c r="L13" s="247"/>
      <c r="M13" s="247"/>
      <c r="N13" s="247"/>
      <c r="O13" s="247"/>
      <c r="P13" s="247"/>
      <c r="Q13" s="247"/>
      <c r="R13" s="247"/>
      <c r="S13" s="247"/>
      <c r="T13" s="247"/>
      <c r="U13" s="247"/>
      <c r="V13" s="247"/>
      <c r="W13" s="247"/>
      <c r="X13" s="247"/>
      <c r="Y13" s="247"/>
      <c r="Z13" s="247">
        <v>1</v>
      </c>
      <c r="AA13" s="247">
        <v>1</v>
      </c>
      <c r="AB13" s="247">
        <v>1</v>
      </c>
      <c r="AC13" s="247">
        <v>1</v>
      </c>
      <c r="AD13" s="247"/>
      <c r="AE13" s="247"/>
      <c r="AF13" s="247"/>
      <c r="AG13" s="247"/>
    </row>
    <row r="14" spans="1:33" ht="41.4" x14ac:dyDescent="0.3">
      <c r="A14" s="626">
        <v>1</v>
      </c>
      <c r="B14" s="627" t="s">
        <v>446</v>
      </c>
      <c r="C14" s="627">
        <v>4</v>
      </c>
      <c r="D14" s="628" t="s">
        <v>374</v>
      </c>
      <c r="E14" s="627" t="str">
        <f t="shared" si="0"/>
        <v>Analýza a návrh</v>
      </c>
      <c r="F14" s="629" t="s">
        <v>440</v>
      </c>
      <c r="G14" s="628">
        <v>7</v>
      </c>
      <c r="H14" s="630">
        <f t="shared" si="1"/>
        <v>5</v>
      </c>
      <c r="I14" s="630">
        <f t="shared" si="2"/>
        <v>11</v>
      </c>
      <c r="J14" s="247"/>
      <c r="K14" s="247"/>
      <c r="L14" s="247"/>
      <c r="M14" s="247"/>
      <c r="N14" s="247"/>
      <c r="O14" s="247"/>
      <c r="P14" s="247">
        <v>1</v>
      </c>
      <c r="Q14" s="247">
        <v>1</v>
      </c>
      <c r="R14" s="247">
        <v>1</v>
      </c>
      <c r="S14" s="247">
        <v>1</v>
      </c>
      <c r="T14" s="247">
        <v>1</v>
      </c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</row>
    <row r="15" spans="1:33" ht="41.4" x14ac:dyDescent="0.3">
      <c r="A15" s="626">
        <v>3</v>
      </c>
      <c r="B15" s="627" t="s">
        <v>438</v>
      </c>
      <c r="C15" s="627">
        <v>4</v>
      </c>
      <c r="D15" s="628" t="s">
        <v>374</v>
      </c>
      <c r="E15" s="627" t="str">
        <f t="shared" si="0"/>
        <v xml:space="preserve">Implementácia služieb </v>
      </c>
      <c r="F15" s="629" t="s">
        <v>441</v>
      </c>
      <c r="G15" s="628">
        <v>9</v>
      </c>
      <c r="H15" s="630">
        <f t="shared" si="1"/>
        <v>6</v>
      </c>
      <c r="I15" s="630">
        <f t="shared" si="2"/>
        <v>14</v>
      </c>
      <c r="J15" s="247"/>
      <c r="K15" s="247"/>
      <c r="L15" s="247"/>
      <c r="M15" s="247"/>
      <c r="N15" s="247"/>
      <c r="O15" s="247"/>
      <c r="P15" s="247"/>
      <c r="Q15" s="247"/>
      <c r="R15" s="247">
        <v>1</v>
      </c>
      <c r="S15" s="247">
        <v>1</v>
      </c>
      <c r="T15" s="247">
        <v>1</v>
      </c>
      <c r="U15" s="247">
        <v>1</v>
      </c>
      <c r="V15" s="247">
        <v>1</v>
      </c>
      <c r="W15" s="247">
        <v>1</v>
      </c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</row>
    <row r="16" spans="1:33" ht="41.4" x14ac:dyDescent="0.3">
      <c r="A16" s="626">
        <v>4</v>
      </c>
      <c r="B16" s="627" t="s">
        <v>405</v>
      </c>
      <c r="C16" s="627">
        <v>4</v>
      </c>
      <c r="D16" s="628" t="s">
        <v>374</v>
      </c>
      <c r="E16" s="627" t="str">
        <f t="shared" si="0"/>
        <v>Testovanie</v>
      </c>
      <c r="F16" s="629" t="s">
        <v>442</v>
      </c>
      <c r="G16" s="628">
        <v>11</v>
      </c>
      <c r="H16" s="630">
        <f t="shared" si="1"/>
        <v>6</v>
      </c>
      <c r="I16" s="630">
        <f t="shared" si="2"/>
        <v>16</v>
      </c>
      <c r="J16" s="247"/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>
        <v>1</v>
      </c>
      <c r="W16" s="247">
        <v>1</v>
      </c>
      <c r="X16" s="247">
        <v>1</v>
      </c>
      <c r="Y16" s="247">
        <v>1</v>
      </c>
      <c r="Z16" s="247">
        <v>1</v>
      </c>
      <c r="AA16" s="247">
        <v>1</v>
      </c>
      <c r="AB16" s="247"/>
      <c r="AC16" s="247"/>
      <c r="AD16" s="247"/>
      <c r="AE16" s="247"/>
      <c r="AF16" s="247"/>
      <c r="AG16" s="247"/>
    </row>
    <row r="17" spans="1:33" ht="41.4" x14ac:dyDescent="0.3">
      <c r="A17" s="626">
        <v>5</v>
      </c>
      <c r="B17" s="627" t="s">
        <v>409</v>
      </c>
      <c r="C17" s="627">
        <v>4</v>
      </c>
      <c r="D17" s="628" t="s">
        <v>374</v>
      </c>
      <c r="E17" s="627" t="str">
        <f t="shared" si="0"/>
        <v>Nasadenie</v>
      </c>
      <c r="F17" s="629" t="s">
        <v>443</v>
      </c>
      <c r="G17" s="628">
        <v>18</v>
      </c>
      <c r="H17" s="630">
        <f t="shared" si="1"/>
        <v>3</v>
      </c>
      <c r="I17" s="630">
        <f t="shared" si="2"/>
        <v>20</v>
      </c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>
        <v>1</v>
      </c>
      <c r="AC17" s="247">
        <v>1</v>
      </c>
      <c r="AD17" s="247">
        <v>1</v>
      </c>
      <c r="AE17" s="247"/>
      <c r="AF17" s="247"/>
      <c r="AG17" s="247"/>
    </row>
    <row r="18" spans="1:33" ht="42.45" customHeight="1" x14ac:dyDescent="0.3">
      <c r="A18" s="626">
        <v>1</v>
      </c>
      <c r="B18" s="627" t="s">
        <v>446</v>
      </c>
      <c r="C18" s="627">
        <v>5</v>
      </c>
      <c r="D18" s="628" t="s">
        <v>375</v>
      </c>
      <c r="E18" s="627" t="str">
        <f t="shared" si="0"/>
        <v>Analýza a návrh</v>
      </c>
      <c r="F18" s="629" t="s">
        <v>440</v>
      </c>
      <c r="G18" s="628">
        <v>8</v>
      </c>
      <c r="H18" s="630">
        <f t="shared" si="1"/>
        <v>5</v>
      </c>
      <c r="I18" s="630">
        <f t="shared" si="2"/>
        <v>12</v>
      </c>
      <c r="J18" s="247"/>
      <c r="K18" s="247"/>
      <c r="L18" s="247"/>
      <c r="M18" s="247"/>
      <c r="N18" s="247"/>
      <c r="O18" s="247"/>
      <c r="P18" s="247"/>
      <c r="Q18" s="247">
        <v>1</v>
      </c>
      <c r="R18" s="247">
        <v>1</v>
      </c>
      <c r="S18" s="247">
        <v>1</v>
      </c>
      <c r="T18" s="247">
        <v>1</v>
      </c>
      <c r="U18" s="247">
        <v>1</v>
      </c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</row>
    <row r="19" spans="1:33" ht="41.4" x14ac:dyDescent="0.3">
      <c r="A19" s="626">
        <v>3</v>
      </c>
      <c r="B19" s="627" t="s">
        <v>438</v>
      </c>
      <c r="C19" s="627">
        <v>5</v>
      </c>
      <c r="D19" s="628" t="s">
        <v>375</v>
      </c>
      <c r="E19" s="627" t="str">
        <f t="shared" si="0"/>
        <v xml:space="preserve">Implementácia služieb </v>
      </c>
      <c r="F19" s="629" t="s">
        <v>441</v>
      </c>
      <c r="G19" s="628">
        <v>11</v>
      </c>
      <c r="H19" s="630">
        <f t="shared" si="1"/>
        <v>7</v>
      </c>
      <c r="I19" s="630">
        <f t="shared" si="2"/>
        <v>17</v>
      </c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>
        <v>1</v>
      </c>
      <c r="U19" s="247">
        <v>1</v>
      </c>
      <c r="V19" s="247">
        <v>1</v>
      </c>
      <c r="W19" s="247">
        <v>1</v>
      </c>
      <c r="X19" s="247">
        <v>1</v>
      </c>
      <c r="Y19" s="247">
        <v>1</v>
      </c>
      <c r="Z19" s="247">
        <v>1</v>
      </c>
      <c r="AA19" s="247"/>
      <c r="AB19" s="247"/>
      <c r="AC19" s="247"/>
      <c r="AD19" s="247"/>
      <c r="AE19" s="247"/>
      <c r="AF19" s="247"/>
      <c r="AG19" s="247"/>
    </row>
    <row r="20" spans="1:33" ht="41.4" x14ac:dyDescent="0.3">
      <c r="A20" s="626">
        <v>4</v>
      </c>
      <c r="B20" s="627" t="s">
        <v>405</v>
      </c>
      <c r="C20" s="627">
        <v>5</v>
      </c>
      <c r="D20" s="628" t="s">
        <v>375</v>
      </c>
      <c r="E20" s="627" t="str">
        <f t="shared" si="0"/>
        <v>Testovanie</v>
      </c>
      <c r="F20" s="629" t="s">
        <v>442</v>
      </c>
      <c r="G20" s="628">
        <v>15</v>
      </c>
      <c r="H20" s="630">
        <f t="shared" si="1"/>
        <v>5</v>
      </c>
      <c r="I20" s="630">
        <f t="shared" si="2"/>
        <v>19</v>
      </c>
      <c r="J20" s="247"/>
      <c r="K20" s="247"/>
      <c r="L20" s="247"/>
      <c r="M20" s="247"/>
      <c r="N20" s="247"/>
      <c r="O20" s="247"/>
      <c r="P20" s="247"/>
      <c r="Q20" s="247"/>
      <c r="R20" s="247"/>
      <c r="S20" s="247"/>
      <c r="T20" s="247"/>
      <c r="U20" s="247"/>
      <c r="V20" s="247"/>
      <c r="W20" s="247"/>
      <c r="X20" s="247">
        <v>1</v>
      </c>
      <c r="Y20" s="247">
        <v>1</v>
      </c>
      <c r="Z20" s="247">
        <v>1</v>
      </c>
      <c r="AA20" s="247">
        <v>1</v>
      </c>
      <c r="AB20" s="247">
        <v>1</v>
      </c>
      <c r="AC20" s="247"/>
      <c r="AD20" s="247"/>
      <c r="AE20" s="247"/>
      <c r="AF20" s="247"/>
      <c r="AG20" s="247"/>
    </row>
    <row r="21" spans="1:33" ht="41.4" x14ac:dyDescent="0.3">
      <c r="A21" s="626">
        <v>5</v>
      </c>
      <c r="B21" s="627" t="s">
        <v>409</v>
      </c>
      <c r="C21" s="627">
        <v>5</v>
      </c>
      <c r="D21" s="628" t="s">
        <v>375</v>
      </c>
      <c r="E21" s="627" t="str">
        <f t="shared" si="0"/>
        <v>Nasadenie</v>
      </c>
      <c r="F21" s="629" t="s">
        <v>443</v>
      </c>
      <c r="G21" s="628">
        <v>19</v>
      </c>
      <c r="H21" s="630">
        <f t="shared" si="1"/>
        <v>5</v>
      </c>
      <c r="I21" s="630">
        <f t="shared" si="2"/>
        <v>23</v>
      </c>
      <c r="J21" s="247"/>
      <c r="K21" s="247"/>
      <c r="L21" s="247"/>
      <c r="M21" s="247"/>
      <c r="N21" s="247"/>
      <c r="O21" s="247"/>
      <c r="P21" s="247"/>
      <c r="Q21" s="247"/>
      <c r="R21" s="247"/>
      <c r="S21" s="247"/>
      <c r="T21" s="247"/>
      <c r="U21" s="247"/>
      <c r="V21" s="247"/>
      <c r="W21" s="247"/>
      <c r="X21" s="247"/>
      <c r="Y21" s="247"/>
      <c r="Z21" s="247"/>
      <c r="AA21" s="247"/>
      <c r="AB21" s="247">
        <v>1</v>
      </c>
      <c r="AC21" s="247">
        <v>1</v>
      </c>
      <c r="AD21" s="247">
        <v>1</v>
      </c>
      <c r="AE21" s="247">
        <v>1</v>
      </c>
      <c r="AF21" s="247">
        <v>1</v>
      </c>
      <c r="AG21" s="247"/>
    </row>
    <row r="22" spans="1:33" ht="41.4" x14ac:dyDescent="0.3">
      <c r="A22" s="626">
        <v>1</v>
      </c>
      <c r="B22" s="627" t="s">
        <v>446</v>
      </c>
      <c r="C22" s="627">
        <v>6</v>
      </c>
      <c r="D22" s="628" t="s">
        <v>376</v>
      </c>
      <c r="E22" s="627" t="str">
        <f t="shared" si="0"/>
        <v>Analýza a návrh</v>
      </c>
      <c r="F22" s="629" t="s">
        <v>440</v>
      </c>
      <c r="G22" s="628">
        <v>6</v>
      </c>
      <c r="H22" s="630">
        <f t="shared" si="1"/>
        <v>4</v>
      </c>
      <c r="I22" s="630">
        <f t="shared" si="2"/>
        <v>9</v>
      </c>
      <c r="J22" s="247"/>
      <c r="K22" s="247"/>
      <c r="L22" s="247"/>
      <c r="M22" s="247"/>
      <c r="N22" s="247"/>
      <c r="O22" s="247">
        <v>1</v>
      </c>
      <c r="P22" s="247">
        <v>1</v>
      </c>
      <c r="Q22" s="247">
        <v>1</v>
      </c>
      <c r="R22" s="247">
        <v>1</v>
      </c>
      <c r="S22" s="247"/>
      <c r="T22" s="247"/>
      <c r="U22" s="247"/>
      <c r="V22" s="247"/>
      <c r="W22" s="247"/>
      <c r="X22" s="247"/>
      <c r="Y22" s="247"/>
      <c r="Z22" s="247"/>
      <c r="AA22" s="247"/>
      <c r="AB22" s="247"/>
      <c r="AC22" s="247"/>
      <c r="AD22" s="247"/>
      <c r="AE22" s="247"/>
      <c r="AF22" s="247"/>
      <c r="AG22" s="247"/>
    </row>
    <row r="23" spans="1:33" ht="41.4" x14ac:dyDescent="0.3">
      <c r="A23" s="626">
        <v>3</v>
      </c>
      <c r="B23" s="627" t="s">
        <v>438</v>
      </c>
      <c r="C23" s="627">
        <v>6</v>
      </c>
      <c r="D23" s="628" t="s">
        <v>376</v>
      </c>
      <c r="E23" s="627" t="str">
        <f t="shared" si="0"/>
        <v xml:space="preserve">Implementácia služieb </v>
      </c>
      <c r="F23" s="629" t="s">
        <v>441</v>
      </c>
      <c r="G23" s="628">
        <v>9</v>
      </c>
      <c r="H23" s="630">
        <f t="shared" si="1"/>
        <v>11</v>
      </c>
      <c r="I23" s="630">
        <f t="shared" si="2"/>
        <v>19</v>
      </c>
      <c r="J23" s="247"/>
      <c r="K23" s="247"/>
      <c r="L23" s="247"/>
      <c r="M23" s="247"/>
      <c r="N23" s="247"/>
      <c r="O23" s="247"/>
      <c r="P23" s="247"/>
      <c r="Q23" s="247"/>
      <c r="R23" s="247">
        <v>1</v>
      </c>
      <c r="S23" s="247">
        <v>1</v>
      </c>
      <c r="T23" s="247">
        <v>1</v>
      </c>
      <c r="U23" s="247">
        <v>1</v>
      </c>
      <c r="V23" s="247">
        <v>1</v>
      </c>
      <c r="W23" s="247">
        <v>1</v>
      </c>
      <c r="X23" s="247">
        <v>1</v>
      </c>
      <c r="Y23" s="247">
        <v>1</v>
      </c>
      <c r="Z23" s="247">
        <v>1</v>
      </c>
      <c r="AA23" s="247">
        <v>1</v>
      </c>
      <c r="AB23" s="247">
        <v>1</v>
      </c>
      <c r="AC23" s="247"/>
      <c r="AD23" s="247"/>
      <c r="AE23" s="247"/>
      <c r="AF23" s="247"/>
      <c r="AG23" s="247"/>
    </row>
    <row r="24" spans="1:33" ht="41.4" x14ac:dyDescent="0.3">
      <c r="A24" s="626">
        <v>4</v>
      </c>
      <c r="B24" s="627" t="s">
        <v>405</v>
      </c>
      <c r="C24" s="627">
        <v>6</v>
      </c>
      <c r="D24" s="628" t="s">
        <v>376</v>
      </c>
      <c r="E24" s="627" t="str">
        <f t="shared" si="0"/>
        <v>Testovanie</v>
      </c>
      <c r="F24" s="629" t="s">
        <v>442</v>
      </c>
      <c r="G24" s="628">
        <v>18</v>
      </c>
      <c r="H24" s="630">
        <f t="shared" si="1"/>
        <v>4</v>
      </c>
      <c r="I24" s="630">
        <f t="shared" si="2"/>
        <v>21</v>
      </c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>
        <v>1</v>
      </c>
      <c r="AB24" s="247">
        <v>1</v>
      </c>
      <c r="AC24" s="247">
        <v>1</v>
      </c>
      <c r="AD24" s="247">
        <v>1</v>
      </c>
      <c r="AE24" s="247"/>
      <c r="AF24" s="247"/>
      <c r="AG24" s="247"/>
    </row>
    <row r="25" spans="1:33" ht="41.4" x14ac:dyDescent="0.3">
      <c r="A25" s="626">
        <v>5</v>
      </c>
      <c r="B25" s="627" t="s">
        <v>409</v>
      </c>
      <c r="C25" s="627">
        <v>6</v>
      </c>
      <c r="D25" s="628" t="s">
        <v>376</v>
      </c>
      <c r="E25" s="627" t="str">
        <f t="shared" si="0"/>
        <v>Nasadenie</v>
      </c>
      <c r="F25" s="629" t="s">
        <v>443</v>
      </c>
      <c r="G25" s="628">
        <v>20</v>
      </c>
      <c r="H25" s="630">
        <f t="shared" si="1"/>
        <v>5</v>
      </c>
      <c r="I25" s="630">
        <f t="shared" si="2"/>
        <v>24</v>
      </c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7"/>
      <c r="AB25" s="247"/>
      <c r="AC25" s="247">
        <v>1</v>
      </c>
      <c r="AD25" s="247">
        <v>1</v>
      </c>
      <c r="AE25" s="247">
        <v>1</v>
      </c>
      <c r="AF25" s="247">
        <v>1</v>
      </c>
      <c r="AG25" s="247">
        <v>1</v>
      </c>
    </row>
    <row r="26" spans="1:33" ht="36.450000000000003" customHeight="1" x14ac:dyDescent="0.3">
      <c r="A26" s="626">
        <v>1</v>
      </c>
      <c r="B26" s="627" t="s">
        <v>446</v>
      </c>
      <c r="C26" s="627">
        <v>7</v>
      </c>
      <c r="D26" s="628" t="s">
        <v>377</v>
      </c>
      <c r="E26" s="627" t="str">
        <f t="shared" si="0"/>
        <v>Analýza a návrh</v>
      </c>
      <c r="F26" s="629" t="s">
        <v>440</v>
      </c>
      <c r="G26" s="628">
        <v>8</v>
      </c>
      <c r="H26" s="630">
        <f t="shared" si="1"/>
        <v>5</v>
      </c>
      <c r="I26" s="630">
        <f t="shared" si="2"/>
        <v>12</v>
      </c>
      <c r="J26" s="247"/>
      <c r="K26" s="247"/>
      <c r="L26" s="247"/>
      <c r="M26" s="247"/>
      <c r="N26" s="247"/>
      <c r="O26" s="247"/>
      <c r="P26" s="247"/>
      <c r="Q26" s="247">
        <v>1</v>
      </c>
      <c r="R26" s="247">
        <v>1</v>
      </c>
      <c r="S26" s="247">
        <v>1</v>
      </c>
      <c r="T26" s="247">
        <v>1</v>
      </c>
      <c r="U26" s="247">
        <v>1</v>
      </c>
      <c r="V26" s="247"/>
      <c r="W26" s="247"/>
      <c r="X26" s="247"/>
      <c r="Y26" s="247"/>
      <c r="Z26" s="247"/>
      <c r="AA26" s="247"/>
      <c r="AB26" s="247"/>
      <c r="AC26" s="247"/>
      <c r="AD26" s="247"/>
      <c r="AE26" s="247"/>
      <c r="AF26" s="247"/>
      <c r="AG26" s="247"/>
    </row>
    <row r="27" spans="1:33" ht="41.4" x14ac:dyDescent="0.3">
      <c r="A27" s="626">
        <v>3</v>
      </c>
      <c r="B27" s="627" t="s">
        <v>438</v>
      </c>
      <c r="C27" s="627">
        <v>7</v>
      </c>
      <c r="D27" s="628" t="s">
        <v>377</v>
      </c>
      <c r="E27" s="627" t="str">
        <f t="shared" si="0"/>
        <v xml:space="preserve">Implementácia služieb </v>
      </c>
      <c r="F27" s="629" t="s">
        <v>441</v>
      </c>
      <c r="G27" s="628">
        <v>10</v>
      </c>
      <c r="H27" s="630">
        <f t="shared" si="1"/>
        <v>7</v>
      </c>
      <c r="I27" s="630">
        <f t="shared" si="2"/>
        <v>16</v>
      </c>
      <c r="J27" s="247"/>
      <c r="K27" s="247"/>
      <c r="L27" s="247"/>
      <c r="M27" s="247"/>
      <c r="N27" s="247"/>
      <c r="O27" s="247"/>
      <c r="P27" s="247"/>
      <c r="Q27" s="247"/>
      <c r="R27" s="247"/>
      <c r="S27" s="247">
        <v>1</v>
      </c>
      <c r="T27" s="247">
        <v>1</v>
      </c>
      <c r="U27" s="247">
        <v>1</v>
      </c>
      <c r="V27" s="247">
        <v>1</v>
      </c>
      <c r="W27" s="247">
        <v>1</v>
      </c>
      <c r="X27" s="247">
        <v>1</v>
      </c>
      <c r="Y27" s="247">
        <v>1</v>
      </c>
      <c r="Z27" s="247"/>
      <c r="AA27" s="247"/>
      <c r="AB27" s="247"/>
      <c r="AC27" s="247"/>
      <c r="AD27" s="247"/>
      <c r="AE27" s="247"/>
      <c r="AF27" s="247"/>
      <c r="AG27" s="247"/>
    </row>
    <row r="28" spans="1:33" ht="41.4" x14ac:dyDescent="0.3">
      <c r="A28" s="626">
        <v>4</v>
      </c>
      <c r="B28" s="627" t="s">
        <v>405</v>
      </c>
      <c r="C28" s="627">
        <v>7</v>
      </c>
      <c r="D28" s="628" t="s">
        <v>377</v>
      </c>
      <c r="E28" s="627" t="str">
        <f t="shared" si="0"/>
        <v>Testovanie</v>
      </c>
      <c r="F28" s="629" t="s">
        <v>442</v>
      </c>
      <c r="G28" s="628">
        <v>16</v>
      </c>
      <c r="H28" s="630">
        <f t="shared" si="1"/>
        <v>5</v>
      </c>
      <c r="I28" s="630">
        <f t="shared" si="2"/>
        <v>20</v>
      </c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>
        <v>1</v>
      </c>
      <c r="Z28" s="247">
        <v>1</v>
      </c>
      <c r="AA28" s="247">
        <v>1</v>
      </c>
      <c r="AB28" s="247">
        <v>1</v>
      </c>
      <c r="AC28" s="247">
        <v>1</v>
      </c>
      <c r="AD28" s="247"/>
      <c r="AE28" s="247"/>
      <c r="AF28" s="247"/>
      <c r="AG28" s="247"/>
    </row>
    <row r="29" spans="1:33" ht="41.4" x14ac:dyDescent="0.3">
      <c r="A29" s="626">
        <v>5</v>
      </c>
      <c r="B29" s="627" t="s">
        <v>409</v>
      </c>
      <c r="C29" s="627">
        <v>7</v>
      </c>
      <c r="D29" s="628" t="s">
        <v>377</v>
      </c>
      <c r="E29" s="627" t="str">
        <f t="shared" si="0"/>
        <v>Nasadenie</v>
      </c>
      <c r="F29" s="629" t="s">
        <v>443</v>
      </c>
      <c r="G29" s="628">
        <v>20</v>
      </c>
      <c r="H29" s="630">
        <f t="shared" si="1"/>
        <v>5</v>
      </c>
      <c r="I29" s="630">
        <f t="shared" si="2"/>
        <v>24</v>
      </c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47">
        <v>1</v>
      </c>
      <c r="AD29" s="247">
        <v>1</v>
      </c>
      <c r="AE29" s="247">
        <v>1</v>
      </c>
      <c r="AF29" s="247">
        <v>1</v>
      </c>
      <c r="AG29" s="247">
        <v>1</v>
      </c>
    </row>
    <row r="30" spans="1:33" ht="41.4" x14ac:dyDescent="0.3">
      <c r="A30" s="626">
        <v>1</v>
      </c>
      <c r="B30" s="627" t="s">
        <v>446</v>
      </c>
      <c r="C30" s="627">
        <v>8</v>
      </c>
      <c r="D30" s="628" t="s">
        <v>378</v>
      </c>
      <c r="E30" s="627" t="str">
        <f t="shared" si="0"/>
        <v>Analýza a návrh</v>
      </c>
      <c r="F30" s="629" t="s">
        <v>440</v>
      </c>
      <c r="G30" s="628">
        <v>8</v>
      </c>
      <c r="H30" s="630">
        <f t="shared" si="1"/>
        <v>5</v>
      </c>
      <c r="I30" s="630">
        <f t="shared" si="2"/>
        <v>12</v>
      </c>
      <c r="J30" s="247"/>
      <c r="K30" s="247"/>
      <c r="L30" s="247"/>
      <c r="M30" s="247"/>
      <c r="N30" s="247"/>
      <c r="O30" s="247"/>
      <c r="P30" s="247"/>
      <c r="Q30" s="247">
        <v>1</v>
      </c>
      <c r="R30" s="247">
        <v>1</v>
      </c>
      <c r="S30" s="247">
        <v>1</v>
      </c>
      <c r="T30" s="247">
        <v>1</v>
      </c>
      <c r="U30" s="247">
        <v>1</v>
      </c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7"/>
      <c r="AG30" s="247"/>
    </row>
    <row r="31" spans="1:33" ht="41.4" x14ac:dyDescent="0.3">
      <c r="A31" s="626">
        <v>3</v>
      </c>
      <c r="B31" s="627" t="s">
        <v>438</v>
      </c>
      <c r="C31" s="627">
        <v>8</v>
      </c>
      <c r="D31" s="628" t="s">
        <v>378</v>
      </c>
      <c r="E31" s="627" t="str">
        <f t="shared" si="0"/>
        <v xml:space="preserve">Implementácia služieb </v>
      </c>
      <c r="F31" s="629" t="s">
        <v>441</v>
      </c>
      <c r="G31" s="628">
        <v>10</v>
      </c>
      <c r="H31" s="630">
        <f t="shared" si="1"/>
        <v>7</v>
      </c>
      <c r="I31" s="630">
        <f t="shared" si="2"/>
        <v>16</v>
      </c>
      <c r="J31" s="247"/>
      <c r="K31" s="247"/>
      <c r="L31" s="247"/>
      <c r="M31" s="247"/>
      <c r="N31" s="247"/>
      <c r="O31" s="247"/>
      <c r="P31" s="247"/>
      <c r="Q31" s="247"/>
      <c r="R31" s="247"/>
      <c r="S31" s="247">
        <v>1</v>
      </c>
      <c r="T31" s="247">
        <v>1</v>
      </c>
      <c r="U31" s="247">
        <v>1</v>
      </c>
      <c r="V31" s="247">
        <v>1</v>
      </c>
      <c r="W31" s="247">
        <v>1</v>
      </c>
      <c r="X31" s="247">
        <v>1</v>
      </c>
      <c r="Y31" s="247">
        <v>1</v>
      </c>
      <c r="Z31" s="247"/>
      <c r="AA31" s="247"/>
      <c r="AB31" s="247"/>
      <c r="AC31" s="247"/>
      <c r="AD31" s="247"/>
      <c r="AE31" s="247"/>
      <c r="AF31" s="247"/>
      <c r="AG31" s="247"/>
    </row>
    <row r="32" spans="1:33" ht="41.4" x14ac:dyDescent="0.3">
      <c r="A32" s="626">
        <v>4</v>
      </c>
      <c r="B32" s="627" t="s">
        <v>405</v>
      </c>
      <c r="C32" s="627">
        <v>8</v>
      </c>
      <c r="D32" s="628" t="s">
        <v>378</v>
      </c>
      <c r="E32" s="627" t="str">
        <f t="shared" si="0"/>
        <v>Testovanie</v>
      </c>
      <c r="F32" s="629" t="s">
        <v>442</v>
      </c>
      <c r="G32" s="628">
        <v>16</v>
      </c>
      <c r="H32" s="630">
        <f t="shared" si="1"/>
        <v>5</v>
      </c>
      <c r="I32" s="630">
        <f t="shared" si="2"/>
        <v>20</v>
      </c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7"/>
      <c r="V32" s="247"/>
      <c r="W32" s="247"/>
      <c r="X32" s="247"/>
      <c r="Y32" s="247">
        <v>1</v>
      </c>
      <c r="Z32" s="247">
        <v>1</v>
      </c>
      <c r="AA32" s="247">
        <v>1</v>
      </c>
      <c r="AB32" s="247">
        <v>1</v>
      </c>
      <c r="AC32" s="247">
        <v>1</v>
      </c>
      <c r="AD32" s="247"/>
      <c r="AE32" s="247"/>
      <c r="AF32" s="247"/>
      <c r="AG32" s="247"/>
    </row>
    <row r="33" spans="1:33" ht="41.4" x14ac:dyDescent="0.3">
      <c r="A33" s="626">
        <v>5</v>
      </c>
      <c r="B33" s="627" t="s">
        <v>409</v>
      </c>
      <c r="C33" s="627">
        <v>8</v>
      </c>
      <c r="D33" s="628" t="s">
        <v>378</v>
      </c>
      <c r="E33" s="627" t="str">
        <f t="shared" si="0"/>
        <v>Nasadenie</v>
      </c>
      <c r="F33" s="629" t="s">
        <v>443</v>
      </c>
      <c r="G33" s="628">
        <v>20</v>
      </c>
      <c r="H33" s="630">
        <f t="shared" si="1"/>
        <v>5</v>
      </c>
      <c r="I33" s="630">
        <f t="shared" si="2"/>
        <v>24</v>
      </c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47"/>
      <c r="Z33" s="247"/>
      <c r="AA33" s="247"/>
      <c r="AB33" s="247"/>
      <c r="AC33" s="247">
        <v>1</v>
      </c>
      <c r="AD33" s="247">
        <v>1</v>
      </c>
      <c r="AE33" s="247">
        <v>1</v>
      </c>
      <c r="AF33" s="247">
        <v>1</v>
      </c>
      <c r="AG33" s="247">
        <v>1</v>
      </c>
    </row>
  </sheetData>
  <autoFilter ref="A1:AG35" xr:uid="{00000000-0009-0000-0000-00000F000000}">
    <sortState xmlns:xlrd2="http://schemas.microsoft.com/office/spreadsheetml/2017/richdata2" ref="A2:AG33">
      <sortCondition ref="C2:C33"/>
      <sortCondition ref="A2:A33"/>
    </sortState>
  </autoFilter>
  <sortState xmlns:xlrd2="http://schemas.microsoft.com/office/spreadsheetml/2017/richdata2" ref="A2:AG33">
    <sortCondition ref="A2:A33"/>
    <sortCondition ref="I2:I33"/>
  </sortState>
  <conditionalFormatting sqref="J2:AG29">
    <cfRule type="colorScale" priority="3">
      <colorScale>
        <cfvo type="num" val="0"/>
        <cfvo type="num" val="1"/>
        <color theme="0"/>
        <color theme="2" tint="-0.249977111117893"/>
      </colorScale>
    </cfRule>
  </conditionalFormatting>
  <conditionalFormatting sqref="J30:M33">
    <cfRule type="colorScale" priority="2">
      <colorScale>
        <cfvo type="num" val="0"/>
        <cfvo type="num" val="1"/>
        <color theme="0"/>
        <color theme="2" tint="-0.249977111117893"/>
      </colorScale>
    </cfRule>
  </conditionalFormatting>
  <conditionalFormatting sqref="N30:AG33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 tint="-0.249977111117893"/>
  </sheetPr>
  <dimension ref="A1:H27"/>
  <sheetViews>
    <sheetView view="pageBreakPreview" zoomScale="115" zoomScaleNormal="100" zoomScaleSheetLayoutView="115" workbookViewId="0">
      <selection activeCell="G16" sqref="G16:H27"/>
    </sheetView>
  </sheetViews>
  <sheetFormatPr defaultColWidth="8.88671875" defaultRowHeight="14.4" x14ac:dyDescent="0.3"/>
  <cols>
    <col min="1" max="1" width="31.33203125" customWidth="1"/>
    <col min="2" max="2" width="28.77734375" customWidth="1"/>
    <col min="3" max="3" width="13.44140625" bestFit="1" customWidth="1"/>
    <col min="5" max="5" width="18.33203125" bestFit="1" customWidth="1"/>
    <col min="6" max="6" width="16" bestFit="1" customWidth="1"/>
    <col min="7" max="7" width="11.21875" bestFit="1" customWidth="1"/>
    <col min="8" max="8" width="18" customWidth="1"/>
  </cols>
  <sheetData>
    <row r="1" spans="1:8" ht="15" thickBot="1" x14ac:dyDescent="0.35"/>
    <row r="2" spans="1:8" ht="15" thickBot="1" x14ac:dyDescent="0.35">
      <c r="A2" s="491" t="s">
        <v>337</v>
      </c>
      <c r="B2" s="491" t="s">
        <v>425</v>
      </c>
      <c r="C2" s="491" t="s">
        <v>338</v>
      </c>
      <c r="D2" s="491" t="s">
        <v>339</v>
      </c>
      <c r="E2" s="495" t="s">
        <v>340</v>
      </c>
      <c r="F2" s="495" t="s">
        <v>341</v>
      </c>
      <c r="G2" s="491" t="s">
        <v>342</v>
      </c>
      <c r="H2" s="590" t="s">
        <v>445</v>
      </c>
    </row>
    <row r="3" spans="1:8" x14ac:dyDescent="0.3">
      <c r="A3" s="489"/>
      <c r="B3" s="489"/>
      <c r="C3" s="492"/>
      <c r="D3" s="492"/>
      <c r="E3" s="496"/>
      <c r="F3" s="494">
        <f>E3*D3</f>
        <v>0</v>
      </c>
      <c r="G3" s="490">
        <f>F3/1.2</f>
        <v>0</v>
      </c>
      <c r="H3" s="591">
        <f t="shared" ref="H3:H4" si="0">SUM(F1:F3)</f>
        <v>0</v>
      </c>
    </row>
    <row r="4" spans="1:8" x14ac:dyDescent="0.3">
      <c r="A4" s="489"/>
      <c r="B4" s="489"/>
      <c r="C4" s="492"/>
      <c r="D4" s="493"/>
      <c r="E4" s="497"/>
      <c r="F4" s="494">
        <f t="shared" ref="F4:F27" si="1">E4*D4</f>
        <v>0</v>
      </c>
      <c r="G4" s="490">
        <f t="shared" ref="G4:G16" si="2">F4/1.2</f>
        <v>0</v>
      </c>
      <c r="H4" s="591">
        <f t="shared" si="0"/>
        <v>0</v>
      </c>
    </row>
    <row r="5" spans="1:8" x14ac:dyDescent="0.3">
      <c r="A5" s="489"/>
      <c r="B5" s="489"/>
      <c r="C5" s="492"/>
      <c r="D5" s="493"/>
      <c r="E5" s="497"/>
      <c r="F5" s="494">
        <f t="shared" si="1"/>
        <v>0</v>
      </c>
      <c r="G5" s="490">
        <f t="shared" si="2"/>
        <v>0</v>
      </c>
      <c r="H5" s="591">
        <f>SUM(F3:F5)</f>
        <v>0</v>
      </c>
    </row>
    <row r="6" spans="1:8" x14ac:dyDescent="0.3">
      <c r="A6" s="263"/>
      <c r="B6" s="263"/>
      <c r="C6" s="492"/>
      <c r="D6" s="493"/>
      <c r="E6" s="497"/>
      <c r="F6" s="494">
        <f t="shared" si="1"/>
        <v>0</v>
      </c>
      <c r="G6" s="490">
        <f t="shared" si="2"/>
        <v>0</v>
      </c>
      <c r="H6" s="591">
        <f t="shared" ref="H6:H16" si="3">SUM(F4:F6)</f>
        <v>0</v>
      </c>
    </row>
    <row r="7" spans="1:8" x14ac:dyDescent="0.3">
      <c r="A7" s="263"/>
      <c r="B7" s="263"/>
      <c r="C7" s="492"/>
      <c r="D7" s="493"/>
      <c r="E7" s="497"/>
      <c r="F7" s="494">
        <f t="shared" si="1"/>
        <v>0</v>
      </c>
      <c r="G7" s="490">
        <f t="shared" si="2"/>
        <v>0</v>
      </c>
      <c r="H7" s="591">
        <f t="shared" si="3"/>
        <v>0</v>
      </c>
    </row>
    <row r="8" spans="1:8" x14ac:dyDescent="0.3">
      <c r="A8" s="263"/>
      <c r="B8" s="263"/>
      <c r="C8" s="492"/>
      <c r="D8" s="493"/>
      <c r="E8" s="497"/>
      <c r="F8" s="494">
        <f t="shared" si="1"/>
        <v>0</v>
      </c>
      <c r="G8" s="490">
        <f t="shared" si="2"/>
        <v>0</v>
      </c>
      <c r="H8" s="591">
        <f t="shared" si="3"/>
        <v>0</v>
      </c>
    </row>
    <row r="9" spans="1:8" x14ac:dyDescent="0.3">
      <c r="A9" s="263"/>
      <c r="B9" s="263"/>
      <c r="C9" s="492"/>
      <c r="D9" s="493"/>
      <c r="E9" s="497"/>
      <c r="F9" s="494">
        <f t="shared" si="1"/>
        <v>0</v>
      </c>
      <c r="G9" s="490">
        <f t="shared" si="2"/>
        <v>0</v>
      </c>
      <c r="H9" s="591">
        <f t="shared" si="3"/>
        <v>0</v>
      </c>
    </row>
    <row r="10" spans="1:8" x14ac:dyDescent="0.3">
      <c r="A10" s="263"/>
      <c r="B10" s="263"/>
      <c r="C10" s="492"/>
      <c r="D10" s="493"/>
      <c r="E10" s="497"/>
      <c r="F10" s="494">
        <f t="shared" si="1"/>
        <v>0</v>
      </c>
      <c r="G10" s="490">
        <f t="shared" si="2"/>
        <v>0</v>
      </c>
      <c r="H10" s="591">
        <f t="shared" si="3"/>
        <v>0</v>
      </c>
    </row>
    <row r="11" spans="1:8" x14ac:dyDescent="0.3">
      <c r="A11" s="263"/>
      <c r="B11" s="263"/>
      <c r="C11" s="492"/>
      <c r="D11" s="493"/>
      <c r="E11" s="497"/>
      <c r="F11" s="494">
        <f t="shared" si="1"/>
        <v>0</v>
      </c>
      <c r="G11" s="490">
        <f t="shared" si="2"/>
        <v>0</v>
      </c>
      <c r="H11" s="591">
        <f t="shared" si="3"/>
        <v>0</v>
      </c>
    </row>
    <row r="12" spans="1:8" x14ac:dyDescent="0.3">
      <c r="A12" s="263"/>
      <c r="B12" s="263"/>
      <c r="C12" s="492"/>
      <c r="D12" s="493"/>
      <c r="E12" s="497"/>
      <c r="F12" s="494">
        <f t="shared" si="1"/>
        <v>0</v>
      </c>
      <c r="G12" s="490">
        <f t="shared" si="2"/>
        <v>0</v>
      </c>
      <c r="H12" s="591">
        <f t="shared" si="3"/>
        <v>0</v>
      </c>
    </row>
    <row r="13" spans="1:8" x14ac:dyDescent="0.3">
      <c r="A13" s="263"/>
      <c r="B13" s="263"/>
      <c r="C13" s="492"/>
      <c r="D13" s="493"/>
      <c r="E13" s="497"/>
      <c r="F13" s="494">
        <f t="shared" si="1"/>
        <v>0</v>
      </c>
      <c r="G13" s="490">
        <f t="shared" si="2"/>
        <v>0</v>
      </c>
      <c r="H13" s="591">
        <f t="shared" si="3"/>
        <v>0</v>
      </c>
    </row>
    <row r="14" spans="1:8" x14ac:dyDescent="0.3">
      <c r="A14" s="263"/>
      <c r="B14" s="263"/>
      <c r="C14" s="492"/>
      <c r="D14" s="493"/>
      <c r="E14" s="497"/>
      <c r="F14" s="494">
        <f t="shared" ref="F14:F15" si="4">E14*D14</f>
        <v>0</v>
      </c>
      <c r="G14" s="490">
        <f t="shared" si="2"/>
        <v>0</v>
      </c>
      <c r="H14" s="591">
        <f t="shared" si="3"/>
        <v>0</v>
      </c>
    </row>
    <row r="15" spans="1:8" x14ac:dyDescent="0.3">
      <c r="A15" s="263"/>
      <c r="B15" s="263"/>
      <c r="C15" s="492"/>
      <c r="D15" s="493"/>
      <c r="E15" s="497"/>
      <c r="F15" s="494">
        <f t="shared" si="4"/>
        <v>0</v>
      </c>
      <c r="G15" s="490">
        <f t="shared" si="2"/>
        <v>0</v>
      </c>
      <c r="H15" s="591">
        <f t="shared" si="3"/>
        <v>0</v>
      </c>
    </row>
    <row r="16" spans="1:8" x14ac:dyDescent="0.3">
      <c r="A16" s="263"/>
      <c r="B16" s="263"/>
      <c r="C16" s="493"/>
      <c r="D16" s="493"/>
      <c r="E16" s="497"/>
      <c r="F16" s="494">
        <f t="shared" si="1"/>
        <v>0</v>
      </c>
      <c r="G16" s="490">
        <f t="shared" si="2"/>
        <v>0</v>
      </c>
      <c r="H16" s="591">
        <f t="shared" si="3"/>
        <v>0</v>
      </c>
    </row>
    <row r="17" spans="1:8" x14ac:dyDescent="0.3">
      <c r="A17" s="263"/>
      <c r="B17" s="263"/>
      <c r="C17" s="493"/>
      <c r="D17" s="493"/>
      <c r="E17" s="497"/>
      <c r="F17" s="494">
        <f t="shared" si="1"/>
        <v>0</v>
      </c>
      <c r="G17" s="490">
        <f t="shared" ref="G17:G27" si="5">F17/1.2</f>
        <v>0</v>
      </c>
      <c r="H17" s="591">
        <f t="shared" ref="H17:H27" si="6">SUM(F15:F17)</f>
        <v>0</v>
      </c>
    </row>
    <row r="18" spans="1:8" x14ac:dyDescent="0.3">
      <c r="A18" s="263"/>
      <c r="B18" s="263"/>
      <c r="C18" s="493"/>
      <c r="D18" s="493"/>
      <c r="E18" s="497"/>
      <c r="F18" s="494">
        <f t="shared" si="1"/>
        <v>0</v>
      </c>
      <c r="G18" s="490">
        <f t="shared" si="5"/>
        <v>0</v>
      </c>
      <c r="H18" s="591">
        <f t="shared" si="6"/>
        <v>0</v>
      </c>
    </row>
    <row r="19" spans="1:8" x14ac:dyDescent="0.3">
      <c r="A19" s="263"/>
      <c r="B19" s="263"/>
      <c r="C19" s="493"/>
      <c r="D19" s="493"/>
      <c r="E19" s="497"/>
      <c r="F19" s="494">
        <f t="shared" si="1"/>
        <v>0</v>
      </c>
      <c r="G19" s="490">
        <f t="shared" si="5"/>
        <v>0</v>
      </c>
      <c r="H19" s="591">
        <f t="shared" si="6"/>
        <v>0</v>
      </c>
    </row>
    <row r="20" spans="1:8" x14ac:dyDescent="0.3">
      <c r="A20" s="263"/>
      <c r="B20" s="263"/>
      <c r="C20" s="493"/>
      <c r="D20" s="493"/>
      <c r="E20" s="497"/>
      <c r="F20" s="494">
        <f t="shared" si="1"/>
        <v>0</v>
      </c>
      <c r="G20" s="490">
        <f t="shared" si="5"/>
        <v>0</v>
      </c>
      <c r="H20" s="591">
        <f t="shared" si="6"/>
        <v>0</v>
      </c>
    </row>
    <row r="21" spans="1:8" x14ac:dyDescent="0.3">
      <c r="A21" s="263"/>
      <c r="B21" s="263"/>
      <c r="C21" s="493"/>
      <c r="D21" s="493"/>
      <c r="E21" s="497"/>
      <c r="F21" s="494">
        <f t="shared" si="1"/>
        <v>0</v>
      </c>
      <c r="G21" s="490">
        <f t="shared" si="5"/>
        <v>0</v>
      </c>
      <c r="H21" s="591">
        <f t="shared" si="6"/>
        <v>0</v>
      </c>
    </row>
    <row r="22" spans="1:8" x14ac:dyDescent="0.3">
      <c r="A22" s="263"/>
      <c r="B22" s="263"/>
      <c r="C22" s="493"/>
      <c r="D22" s="493"/>
      <c r="E22" s="497"/>
      <c r="F22" s="494">
        <f t="shared" si="1"/>
        <v>0</v>
      </c>
      <c r="G22" s="490">
        <f t="shared" si="5"/>
        <v>0</v>
      </c>
      <c r="H22" s="591">
        <f t="shared" si="6"/>
        <v>0</v>
      </c>
    </row>
    <row r="23" spans="1:8" x14ac:dyDescent="0.3">
      <c r="A23" s="263"/>
      <c r="B23" s="263"/>
      <c r="C23" s="493"/>
      <c r="D23" s="493"/>
      <c r="E23" s="497"/>
      <c r="F23" s="494">
        <f t="shared" si="1"/>
        <v>0</v>
      </c>
      <c r="G23" s="490">
        <f t="shared" si="5"/>
        <v>0</v>
      </c>
      <c r="H23" s="591">
        <f t="shared" si="6"/>
        <v>0</v>
      </c>
    </row>
    <row r="24" spans="1:8" x14ac:dyDescent="0.3">
      <c r="A24" s="263"/>
      <c r="B24" s="263"/>
      <c r="C24" s="493"/>
      <c r="D24" s="493"/>
      <c r="E24" s="497"/>
      <c r="F24" s="494">
        <f t="shared" si="1"/>
        <v>0</v>
      </c>
      <c r="G24" s="490">
        <f t="shared" si="5"/>
        <v>0</v>
      </c>
      <c r="H24" s="591">
        <f t="shared" si="6"/>
        <v>0</v>
      </c>
    </row>
    <row r="25" spans="1:8" x14ac:dyDescent="0.3">
      <c r="A25" s="263"/>
      <c r="B25" s="263"/>
      <c r="C25" s="493"/>
      <c r="D25" s="493"/>
      <c r="E25" s="497"/>
      <c r="F25" s="494">
        <f t="shared" si="1"/>
        <v>0</v>
      </c>
      <c r="G25" s="490">
        <f t="shared" si="5"/>
        <v>0</v>
      </c>
      <c r="H25" s="591">
        <f t="shared" si="6"/>
        <v>0</v>
      </c>
    </row>
    <row r="26" spans="1:8" x14ac:dyDescent="0.3">
      <c r="A26" s="263"/>
      <c r="B26" s="263"/>
      <c r="C26" s="493"/>
      <c r="D26" s="493"/>
      <c r="E26" s="497"/>
      <c r="F26" s="494">
        <f t="shared" si="1"/>
        <v>0</v>
      </c>
      <c r="G26" s="490">
        <f t="shared" si="5"/>
        <v>0</v>
      </c>
      <c r="H26" s="591">
        <f t="shared" si="6"/>
        <v>0</v>
      </c>
    </row>
    <row r="27" spans="1:8" x14ac:dyDescent="0.3">
      <c r="A27" s="263"/>
      <c r="B27" s="263"/>
      <c r="C27" s="493"/>
      <c r="D27" s="493"/>
      <c r="E27" s="497"/>
      <c r="F27" s="494">
        <f t="shared" si="1"/>
        <v>0</v>
      </c>
      <c r="G27" s="490">
        <f t="shared" si="5"/>
        <v>0</v>
      </c>
      <c r="H27" s="591">
        <f t="shared" si="6"/>
        <v>0</v>
      </c>
    </row>
  </sheetData>
  <pageMargins left="0.7" right="0.7" top="0.75" bottom="0.75" header="0.3" footer="0.3"/>
  <pageSetup paperSize="9" scale="5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A1:AQ15"/>
  <sheetViews>
    <sheetView view="pageBreakPreview" topLeftCell="C1" zoomScale="85" zoomScaleNormal="80" zoomScaleSheetLayoutView="85" workbookViewId="0">
      <selection activeCell="A7" sqref="A7"/>
    </sheetView>
  </sheetViews>
  <sheetFormatPr defaultColWidth="8.6640625" defaultRowHeight="12" x14ac:dyDescent="0.25"/>
  <cols>
    <col min="1" max="1" width="36.33203125" style="133" customWidth="1"/>
    <col min="2" max="2" width="34.6640625" style="133" customWidth="1"/>
    <col min="3" max="3" width="3.33203125" style="133" customWidth="1"/>
    <col min="4" max="24" width="3.6640625" style="133" customWidth="1"/>
    <col min="25" max="25" width="4.44140625" style="133" customWidth="1"/>
    <col min="26" max="28" width="16.44140625" style="133" customWidth="1"/>
    <col min="29" max="29" width="18.109375" style="133" customWidth="1"/>
    <col min="30" max="30" width="9" style="133" customWidth="1"/>
    <col min="31" max="31" width="9.109375" style="133" customWidth="1"/>
    <col min="32" max="32" width="9" style="133" customWidth="1"/>
    <col min="33" max="33" width="10.6640625" style="134" customWidth="1"/>
    <col min="34" max="36" width="10.6640625" style="133" customWidth="1"/>
    <col min="37" max="37" width="52.109375" style="133" customWidth="1"/>
    <col min="38" max="38" width="51.6640625" style="133" customWidth="1"/>
    <col min="39" max="42" width="8.6640625" style="133"/>
    <col min="43" max="43" width="18.88671875" style="133" customWidth="1"/>
    <col min="44" max="16384" width="8.6640625" style="133"/>
  </cols>
  <sheetData>
    <row r="1" spans="1:43" ht="26.1" customHeight="1" thickBot="1" x14ac:dyDescent="0.3">
      <c r="A1" s="753" t="s">
        <v>216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753"/>
      <c r="N1" s="753"/>
      <c r="O1" s="753"/>
      <c r="P1" s="753"/>
      <c r="Q1" s="753"/>
      <c r="R1" s="753"/>
      <c r="S1" s="753"/>
      <c r="T1" s="753"/>
      <c r="U1" s="753"/>
      <c r="V1" s="753"/>
      <c r="W1" s="753"/>
      <c r="X1" s="753"/>
      <c r="Y1" s="753"/>
      <c r="Z1" s="498"/>
      <c r="AA1" s="498"/>
      <c r="AB1" s="498"/>
      <c r="AC1" s="498"/>
      <c r="AD1" s="753" t="s">
        <v>214</v>
      </c>
      <c r="AE1" s="753"/>
      <c r="AF1" s="753"/>
      <c r="AG1" s="753"/>
      <c r="AH1" s="753"/>
      <c r="AI1" s="753"/>
      <c r="AJ1" s="753"/>
      <c r="AK1" s="753"/>
    </row>
    <row r="2" spans="1:43" ht="36" customHeight="1" thickBot="1" x14ac:dyDescent="0.3">
      <c r="A2" s="235"/>
      <c r="B2" s="234"/>
      <c r="C2" s="236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7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7"/>
      <c r="Z2" s="754" t="s">
        <v>288</v>
      </c>
      <c r="AA2" s="755"/>
      <c r="AB2" s="755"/>
      <c r="AC2" s="755"/>
      <c r="AD2" s="755"/>
      <c r="AE2" s="755"/>
      <c r="AF2" s="755"/>
      <c r="AG2" s="755"/>
      <c r="AH2" s="755"/>
      <c r="AI2" s="755"/>
      <c r="AJ2" s="755"/>
      <c r="AK2" s="756"/>
      <c r="AL2" s="745" t="s">
        <v>287</v>
      </c>
      <c r="AM2" s="746"/>
      <c r="AN2" s="746"/>
      <c r="AO2" s="746"/>
      <c r="AP2" s="746"/>
      <c r="AQ2" s="747"/>
    </row>
    <row r="3" spans="1:43" ht="36" customHeight="1" thickBot="1" x14ac:dyDescent="0.3">
      <c r="A3" s="309"/>
      <c r="B3" s="307"/>
      <c r="C3" s="308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6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6"/>
      <c r="Z3" s="745" t="s">
        <v>346</v>
      </c>
      <c r="AA3" s="746"/>
      <c r="AB3" s="746"/>
      <c r="AC3" s="746"/>
      <c r="AD3" s="745" t="s">
        <v>347</v>
      </c>
      <c r="AE3" s="746"/>
      <c r="AF3" s="746"/>
      <c r="AG3" s="746"/>
      <c r="AH3" s="746"/>
      <c r="AI3" s="746"/>
      <c r="AJ3" s="746"/>
      <c r="AK3" s="747"/>
      <c r="AL3" s="240"/>
      <c r="AM3" s="241"/>
      <c r="AN3" s="241"/>
      <c r="AO3" s="241"/>
      <c r="AP3" s="241"/>
      <c r="AQ3" s="231"/>
    </row>
    <row r="4" spans="1:43" ht="51" customHeight="1" x14ac:dyDescent="0.25">
      <c r="A4" s="309" t="s">
        <v>217</v>
      </c>
      <c r="B4" s="574" t="s">
        <v>359</v>
      </c>
      <c r="C4" s="308" t="s">
        <v>126</v>
      </c>
      <c r="D4" s="307" t="s">
        <v>127</v>
      </c>
      <c r="E4" s="307" t="s">
        <v>128</v>
      </c>
      <c r="F4" s="307" t="s">
        <v>129</v>
      </c>
      <c r="G4" s="307" t="s">
        <v>130</v>
      </c>
      <c r="H4" s="307" t="s">
        <v>131</v>
      </c>
      <c r="I4" s="307" t="s">
        <v>132</v>
      </c>
      <c r="J4" s="307" t="s">
        <v>133</v>
      </c>
      <c r="K4" s="307" t="s">
        <v>134</v>
      </c>
      <c r="L4" s="307" t="s">
        <v>135</v>
      </c>
      <c r="M4" s="307" t="s">
        <v>136</v>
      </c>
      <c r="N4" s="306" t="s">
        <v>137</v>
      </c>
      <c r="O4" s="307" t="s">
        <v>138</v>
      </c>
      <c r="P4" s="307" t="s">
        <v>139</v>
      </c>
      <c r="Q4" s="307" t="s">
        <v>140</v>
      </c>
      <c r="R4" s="307" t="s">
        <v>141</v>
      </c>
      <c r="S4" s="307" t="s">
        <v>142</v>
      </c>
      <c r="T4" s="307" t="s">
        <v>143</v>
      </c>
      <c r="U4" s="307" t="s">
        <v>144</v>
      </c>
      <c r="V4" s="307" t="s">
        <v>145</v>
      </c>
      <c r="W4" s="307" t="s">
        <v>146</v>
      </c>
      <c r="X4" s="307" t="s">
        <v>147</v>
      </c>
      <c r="Y4" s="306" t="s">
        <v>148</v>
      </c>
      <c r="Z4" s="236" t="s">
        <v>348</v>
      </c>
      <c r="AA4" s="234" t="s">
        <v>349</v>
      </c>
      <c r="AB4" s="234" t="s">
        <v>350</v>
      </c>
      <c r="AC4" s="234" t="s">
        <v>351</v>
      </c>
      <c r="AD4" s="238" t="s">
        <v>208</v>
      </c>
      <c r="AE4" s="239" t="s">
        <v>209</v>
      </c>
      <c r="AF4" s="239" t="s">
        <v>210</v>
      </c>
      <c r="AG4" s="231" t="s">
        <v>213</v>
      </c>
      <c r="AH4" s="231" t="s">
        <v>212</v>
      </c>
      <c r="AI4" s="231" t="s">
        <v>162</v>
      </c>
      <c r="AJ4" s="748" t="s">
        <v>215</v>
      </c>
      <c r="AK4" s="556" t="s">
        <v>218</v>
      </c>
      <c r="AL4" s="556" t="s">
        <v>286</v>
      </c>
      <c r="AM4" s="238" t="s">
        <v>208</v>
      </c>
      <c r="AN4" s="239" t="s">
        <v>209</v>
      </c>
      <c r="AO4" s="239" t="s">
        <v>210</v>
      </c>
      <c r="AP4" s="231" t="s">
        <v>213</v>
      </c>
      <c r="AQ4" s="751" t="s">
        <v>285</v>
      </c>
    </row>
    <row r="5" spans="1:43" ht="8.25" customHeight="1" thickBot="1" x14ac:dyDescent="0.3">
      <c r="A5" s="136"/>
      <c r="B5" s="137"/>
      <c r="C5" s="138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9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9"/>
      <c r="Z5" s="138"/>
      <c r="AA5" s="137"/>
      <c r="AB5" s="137"/>
      <c r="AC5" s="137"/>
      <c r="AD5" s="240"/>
      <c r="AE5" s="241"/>
      <c r="AF5" s="241"/>
      <c r="AG5" s="249"/>
      <c r="AH5" s="249"/>
      <c r="AI5" s="249"/>
      <c r="AJ5" s="749"/>
      <c r="AK5" s="305"/>
      <c r="AL5" s="251"/>
      <c r="AM5" s="240"/>
      <c r="AN5" s="241"/>
      <c r="AO5" s="241"/>
      <c r="AP5" s="249"/>
      <c r="AQ5" s="752"/>
    </row>
    <row r="6" spans="1:43" ht="15" customHeight="1" x14ac:dyDescent="0.25">
      <c r="A6" s="232" t="s">
        <v>211</v>
      </c>
      <c r="B6" s="232"/>
      <c r="C6" s="316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8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8"/>
      <c r="Z6" s="558"/>
      <c r="AA6" s="559"/>
      <c r="AB6" s="559"/>
      <c r="AC6" s="560"/>
      <c r="AD6" s="521"/>
      <c r="AE6" s="259"/>
      <c r="AF6" s="259"/>
      <c r="AG6" s="511">
        <f t="shared" ref="AG6:AG11" si="0">AD6*AF6+AC6</f>
        <v>0</v>
      </c>
      <c r="AH6" s="511">
        <f t="shared" ref="AH6:AH11" si="1">AE6*AF6+AC6</f>
        <v>0</v>
      </c>
      <c r="AI6" s="511">
        <f t="shared" ref="AI6:AI11" si="2">AH6-AG6</f>
        <v>0</v>
      </c>
      <c r="AJ6" s="749"/>
      <c r="AK6" s="523"/>
      <c r="AL6" s="520"/>
      <c r="AM6" s="521"/>
      <c r="AN6" s="259"/>
      <c r="AO6" s="259"/>
      <c r="AP6" s="511">
        <f t="shared" ref="AP6:AP11" si="3">AM6*AO6</f>
        <v>0</v>
      </c>
      <c r="AQ6" s="523"/>
    </row>
    <row r="7" spans="1:43" ht="15" customHeight="1" x14ac:dyDescent="0.25">
      <c r="A7" s="232" t="s">
        <v>166</v>
      </c>
      <c r="B7" s="232"/>
      <c r="C7" s="319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1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1"/>
      <c r="Z7" s="561"/>
      <c r="AA7" s="562"/>
      <c r="AB7" s="562"/>
      <c r="AC7" s="563"/>
      <c r="AD7" s="521"/>
      <c r="AE7" s="259"/>
      <c r="AF7" s="259"/>
      <c r="AG7" s="511">
        <f t="shared" si="0"/>
        <v>0</v>
      </c>
      <c r="AH7" s="511">
        <f t="shared" si="1"/>
        <v>0</v>
      </c>
      <c r="AI7" s="511">
        <f t="shared" si="2"/>
        <v>0</v>
      </c>
      <c r="AJ7" s="749"/>
      <c r="AK7" s="524"/>
      <c r="AL7" s="521"/>
      <c r="AM7" s="521"/>
      <c r="AN7" s="259"/>
      <c r="AO7" s="259"/>
      <c r="AP7" s="511">
        <f t="shared" si="3"/>
        <v>0</v>
      </c>
      <c r="AQ7" s="524"/>
    </row>
    <row r="8" spans="1:43" ht="15" customHeight="1" x14ac:dyDescent="0.25">
      <c r="A8" s="232" t="s">
        <v>167</v>
      </c>
      <c r="B8" s="232"/>
      <c r="C8" s="319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1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1"/>
      <c r="Z8" s="561"/>
      <c r="AA8" s="562"/>
      <c r="AB8" s="562"/>
      <c r="AC8" s="563"/>
      <c r="AD8" s="521"/>
      <c r="AE8" s="259"/>
      <c r="AF8" s="259"/>
      <c r="AG8" s="511">
        <f t="shared" si="0"/>
        <v>0</v>
      </c>
      <c r="AH8" s="511">
        <f t="shared" si="1"/>
        <v>0</v>
      </c>
      <c r="AI8" s="511">
        <f t="shared" si="2"/>
        <v>0</v>
      </c>
      <c r="AJ8" s="749"/>
      <c r="AK8" s="524"/>
      <c r="AL8" s="521"/>
      <c r="AM8" s="521"/>
      <c r="AN8" s="259"/>
      <c r="AO8" s="259"/>
      <c r="AP8" s="511">
        <f t="shared" si="3"/>
        <v>0</v>
      </c>
      <c r="AQ8" s="524"/>
    </row>
    <row r="9" spans="1:43" ht="15" customHeight="1" x14ac:dyDescent="0.25">
      <c r="A9" s="232" t="s">
        <v>168</v>
      </c>
      <c r="B9" s="232"/>
      <c r="C9" s="319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1"/>
      <c r="O9" s="320"/>
      <c r="P9" s="320"/>
      <c r="Q9" s="320"/>
      <c r="R9" s="320"/>
      <c r="S9" s="320"/>
      <c r="T9" s="320"/>
      <c r="U9" s="320"/>
      <c r="V9" s="320"/>
      <c r="W9" s="320"/>
      <c r="X9" s="320"/>
      <c r="Y9" s="321"/>
      <c r="Z9" s="561"/>
      <c r="AA9" s="562"/>
      <c r="AB9" s="562"/>
      <c r="AC9" s="563"/>
      <c r="AD9" s="521"/>
      <c r="AE9" s="259"/>
      <c r="AF9" s="259"/>
      <c r="AG9" s="511">
        <f t="shared" si="0"/>
        <v>0</v>
      </c>
      <c r="AH9" s="511">
        <f t="shared" si="1"/>
        <v>0</v>
      </c>
      <c r="AI9" s="511">
        <f t="shared" si="2"/>
        <v>0</v>
      </c>
      <c r="AJ9" s="749"/>
      <c r="AK9" s="524"/>
      <c r="AL9" s="521"/>
      <c r="AM9" s="521"/>
      <c r="AN9" s="259"/>
      <c r="AO9" s="259"/>
      <c r="AP9" s="511">
        <f t="shared" si="3"/>
        <v>0</v>
      </c>
      <c r="AQ9" s="524"/>
    </row>
    <row r="10" spans="1:43" ht="15" customHeight="1" x14ac:dyDescent="0.25">
      <c r="A10" s="232" t="s">
        <v>169</v>
      </c>
      <c r="B10" s="232"/>
      <c r="C10" s="319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1"/>
      <c r="O10" s="320"/>
      <c r="P10" s="320"/>
      <c r="Q10" s="320"/>
      <c r="R10" s="320"/>
      <c r="S10" s="320"/>
      <c r="T10" s="320"/>
      <c r="U10" s="320"/>
      <c r="V10" s="320"/>
      <c r="W10" s="320"/>
      <c r="X10" s="320"/>
      <c r="Y10" s="321"/>
      <c r="Z10" s="561"/>
      <c r="AA10" s="562"/>
      <c r="AB10" s="562"/>
      <c r="AC10" s="563"/>
      <c r="AD10" s="521"/>
      <c r="AE10" s="259"/>
      <c r="AF10" s="259"/>
      <c r="AG10" s="511">
        <f t="shared" si="0"/>
        <v>0</v>
      </c>
      <c r="AH10" s="511">
        <f t="shared" si="1"/>
        <v>0</v>
      </c>
      <c r="AI10" s="511">
        <f t="shared" si="2"/>
        <v>0</v>
      </c>
      <c r="AJ10" s="749"/>
      <c r="AK10" s="524"/>
      <c r="AL10" s="521"/>
      <c r="AM10" s="521"/>
      <c r="AN10" s="259"/>
      <c r="AO10" s="259"/>
      <c r="AP10" s="511">
        <f t="shared" si="3"/>
        <v>0</v>
      </c>
      <c r="AQ10" s="524"/>
    </row>
    <row r="11" spans="1:43" ht="15.9" customHeight="1" thickBot="1" x14ac:dyDescent="0.3">
      <c r="A11" s="233" t="s">
        <v>160</v>
      </c>
      <c r="B11" s="233"/>
      <c r="C11" s="322"/>
      <c r="D11" s="323"/>
      <c r="E11" s="323"/>
      <c r="F11" s="323"/>
      <c r="G11" s="323"/>
      <c r="H11" s="323"/>
      <c r="I11" s="323"/>
      <c r="J11" s="323"/>
      <c r="K11" s="323"/>
      <c r="L11" s="323"/>
      <c r="M11" s="323"/>
      <c r="N11" s="324"/>
      <c r="O11" s="323"/>
      <c r="P11" s="323"/>
      <c r="Q11" s="323"/>
      <c r="R11" s="323"/>
      <c r="S11" s="323"/>
      <c r="T11" s="323"/>
      <c r="U11" s="323"/>
      <c r="V11" s="323"/>
      <c r="W11" s="323"/>
      <c r="X11" s="323"/>
      <c r="Y11" s="324"/>
      <c r="Z11" s="564"/>
      <c r="AA11" s="565"/>
      <c r="AB11" s="565"/>
      <c r="AC11" s="566"/>
      <c r="AD11" s="522"/>
      <c r="AE11" s="260"/>
      <c r="AF11" s="260"/>
      <c r="AG11" s="557">
        <f t="shared" si="0"/>
        <v>0</v>
      </c>
      <c r="AH11" s="557">
        <f t="shared" si="1"/>
        <v>0</v>
      </c>
      <c r="AI11" s="557">
        <f t="shared" si="2"/>
        <v>0</v>
      </c>
      <c r="AJ11" s="750"/>
      <c r="AK11" s="525"/>
      <c r="AL11" s="522"/>
      <c r="AM11" s="522"/>
      <c r="AN11" s="260"/>
      <c r="AO11" s="260"/>
      <c r="AP11" s="511">
        <f t="shared" si="3"/>
        <v>0</v>
      </c>
      <c r="AQ11" s="525"/>
    </row>
    <row r="12" spans="1:43" ht="12.6" thickBot="1" x14ac:dyDescent="0.3">
      <c r="A12" s="226" t="s">
        <v>161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555"/>
      <c r="AA12" s="555"/>
      <c r="AB12" s="555"/>
      <c r="AC12" s="555">
        <f t="shared" ref="AC12:AI12" si="4">SUM(AC6:AC11)</f>
        <v>0</v>
      </c>
      <c r="AD12" s="245">
        <f t="shared" si="4"/>
        <v>0</v>
      </c>
      <c r="AE12" s="245">
        <f t="shared" si="4"/>
        <v>0</v>
      </c>
      <c r="AF12" s="245">
        <f t="shared" si="4"/>
        <v>0</v>
      </c>
      <c r="AG12" s="250">
        <f t="shared" si="4"/>
        <v>0</v>
      </c>
      <c r="AH12" s="250">
        <f t="shared" si="4"/>
        <v>0</v>
      </c>
      <c r="AI12" s="250">
        <f t="shared" si="4"/>
        <v>0</v>
      </c>
      <c r="AJ12" s="304">
        <v>0</v>
      </c>
      <c r="AK12" s="303"/>
      <c r="AL12" s="245"/>
      <c r="AM12" s="245">
        <f>SUM(AM6:AM11)</f>
        <v>0</v>
      </c>
      <c r="AN12" s="245">
        <f>SUM(AN6:AN11)</f>
        <v>0</v>
      </c>
      <c r="AO12" s="245">
        <f>SUM(AO6:AO11)</f>
        <v>0</v>
      </c>
      <c r="AP12" s="250">
        <f>SUM(AP6:AP11)</f>
        <v>0</v>
      </c>
      <c r="AQ12" s="250"/>
    </row>
    <row r="15" spans="1:43" ht="15.6" x14ac:dyDescent="0.3">
      <c r="AG15" s="144"/>
    </row>
  </sheetData>
  <mergeCells count="8">
    <mergeCell ref="AL2:AQ2"/>
    <mergeCell ref="AJ4:AJ11"/>
    <mergeCell ref="AQ4:AQ5"/>
    <mergeCell ref="A1:Y1"/>
    <mergeCell ref="AD1:AK1"/>
    <mergeCell ref="Z2:AK2"/>
    <mergeCell ref="Z3:AC3"/>
    <mergeCell ref="AD3:AK3"/>
  </mergeCells>
  <conditionalFormatting sqref="C6:AC11">
    <cfRule type="colorScale" priority="1">
      <colorScale>
        <cfvo type="num" val="0"/>
        <cfvo type="num" val="1"/>
        <color theme="0"/>
        <color theme="2" tint="-0.249977111117893"/>
      </colorScale>
    </cfRule>
  </conditionalFormatting>
  <pageMargins left="0.7" right="0.7" top="0.75" bottom="0.75" header="0.3" footer="0.3"/>
  <pageSetup paperSize="9" scale="1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CC"/>
  </sheetPr>
  <dimension ref="A1:D14"/>
  <sheetViews>
    <sheetView view="pageBreakPreview" topLeftCell="A4" zoomScale="115" zoomScaleNormal="80" zoomScaleSheetLayoutView="115" workbookViewId="0">
      <selection activeCell="D10" sqref="D10:D11"/>
    </sheetView>
  </sheetViews>
  <sheetFormatPr defaultColWidth="8.88671875" defaultRowHeight="14.4" x14ac:dyDescent="0.3"/>
  <cols>
    <col min="1" max="1" width="32.33203125" style="4" customWidth="1"/>
    <col min="2" max="2" width="66.6640625" style="4" customWidth="1"/>
    <col min="3" max="3" width="14.33203125" style="6" customWidth="1"/>
    <col min="4" max="4" width="23.44140625" style="4" customWidth="1"/>
    <col min="5" max="16384" width="8.88671875" style="4"/>
  </cols>
  <sheetData>
    <row r="1" spans="1:4" ht="15.6" thickTop="1" thickBot="1" x14ac:dyDescent="0.35">
      <c r="A1" s="1" t="s">
        <v>0</v>
      </c>
      <c r="B1" s="2" t="s">
        <v>1</v>
      </c>
      <c r="C1" s="5" t="s">
        <v>10</v>
      </c>
      <c r="D1" s="3" t="s">
        <v>2</v>
      </c>
    </row>
    <row r="2" spans="1:4" ht="147" customHeight="1" thickTop="1" thickBot="1" x14ac:dyDescent="0.35">
      <c r="A2" s="473" t="s">
        <v>3</v>
      </c>
      <c r="B2" s="474" t="s">
        <v>4</v>
      </c>
      <c r="C2" s="475" t="s">
        <v>11</v>
      </c>
      <c r="D2" s="183">
        <v>10</v>
      </c>
    </row>
    <row r="3" spans="1:4" ht="41.4" customHeight="1" x14ac:dyDescent="0.3">
      <c r="A3" s="765" t="s">
        <v>5</v>
      </c>
      <c r="B3" s="776" t="s">
        <v>14</v>
      </c>
      <c r="C3" s="778" t="s">
        <v>12</v>
      </c>
      <c r="D3" s="767">
        <v>0.04</v>
      </c>
    </row>
    <row r="4" spans="1:4" ht="63" customHeight="1" thickBot="1" x14ac:dyDescent="0.35">
      <c r="A4" s="766"/>
      <c r="B4" s="777"/>
      <c r="C4" s="779"/>
      <c r="D4" s="768"/>
    </row>
    <row r="5" spans="1:4" ht="27.6" x14ac:dyDescent="0.3">
      <c r="A5" s="765" t="s">
        <v>6</v>
      </c>
      <c r="B5" s="476" t="s">
        <v>7</v>
      </c>
      <c r="C5" s="778" t="s">
        <v>12</v>
      </c>
      <c r="D5" s="769">
        <v>0.05</v>
      </c>
    </row>
    <row r="6" spans="1:4" ht="42" thickBot="1" x14ac:dyDescent="0.35">
      <c r="A6" s="766"/>
      <c r="B6" s="474" t="s">
        <v>8</v>
      </c>
      <c r="C6" s="779"/>
      <c r="D6" s="770"/>
    </row>
    <row r="7" spans="1:4" ht="28.2" thickBot="1" x14ac:dyDescent="0.35">
      <c r="A7" s="477" t="s">
        <v>187</v>
      </c>
      <c r="B7" s="478" t="s">
        <v>329</v>
      </c>
      <c r="C7" s="479" t="s">
        <v>13</v>
      </c>
      <c r="D7" s="182">
        <v>1373</v>
      </c>
    </row>
    <row r="8" spans="1:4" ht="15" customHeight="1" x14ac:dyDescent="0.3">
      <c r="A8" s="771" t="s">
        <v>9</v>
      </c>
      <c r="B8" s="761" t="s">
        <v>334</v>
      </c>
      <c r="C8" s="780" t="s">
        <v>15</v>
      </c>
      <c r="D8" s="773">
        <v>10.69</v>
      </c>
    </row>
    <row r="9" spans="1:4" ht="57" customHeight="1" thickBot="1" x14ac:dyDescent="0.35">
      <c r="A9" s="772"/>
      <c r="B9" s="775"/>
      <c r="C9" s="781"/>
      <c r="D9" s="774"/>
    </row>
    <row r="10" spans="1:4" x14ac:dyDescent="0.3">
      <c r="A10" s="759" t="s">
        <v>188</v>
      </c>
      <c r="B10" s="761" t="s">
        <v>330</v>
      </c>
      <c r="C10" s="757" t="s">
        <v>15</v>
      </c>
      <c r="D10" s="763">
        <v>10.67</v>
      </c>
    </row>
    <row r="11" spans="1:4" ht="20.25" customHeight="1" thickBot="1" x14ac:dyDescent="0.35">
      <c r="A11" s="760"/>
      <c r="B11" s="762"/>
      <c r="C11" s="758"/>
      <c r="D11" s="764"/>
    </row>
    <row r="12" spans="1:4" ht="72" customHeight="1" thickBot="1" x14ac:dyDescent="0.35">
      <c r="A12" s="480" t="s">
        <v>331</v>
      </c>
      <c r="B12" s="478" t="s">
        <v>336</v>
      </c>
      <c r="C12" s="481" t="s">
        <v>332</v>
      </c>
      <c r="D12" s="483">
        <v>1957.5</v>
      </c>
    </row>
    <row r="13" spans="1:4" ht="72" customHeight="1" thickBot="1" x14ac:dyDescent="0.35">
      <c r="A13" s="480" t="s">
        <v>333</v>
      </c>
      <c r="B13" s="478" t="s">
        <v>335</v>
      </c>
      <c r="C13" s="481" t="s">
        <v>332</v>
      </c>
      <c r="D13" s="482">
        <v>2088</v>
      </c>
    </row>
    <row r="14" spans="1:4" ht="21" customHeight="1" thickBot="1" x14ac:dyDescent="0.35">
      <c r="A14" s="480" t="s">
        <v>25</v>
      </c>
      <c r="B14" s="480" t="s">
        <v>116</v>
      </c>
      <c r="C14" s="481" t="s">
        <v>11</v>
      </c>
      <c r="D14" s="104">
        <v>2019</v>
      </c>
    </row>
  </sheetData>
  <mergeCells count="15">
    <mergeCell ref="C10:C11"/>
    <mergeCell ref="A10:A11"/>
    <mergeCell ref="B10:B11"/>
    <mergeCell ref="D10:D11"/>
    <mergeCell ref="A3:A4"/>
    <mergeCell ref="D3:D4"/>
    <mergeCell ref="A5:A6"/>
    <mergeCell ref="D5:D6"/>
    <mergeCell ref="A8:A9"/>
    <mergeCell ref="D8:D9"/>
    <mergeCell ref="B8:B9"/>
    <mergeCell ref="B3:B4"/>
    <mergeCell ref="C3:C4"/>
    <mergeCell ref="C8:C9"/>
    <mergeCell ref="C5:C6"/>
  </mergeCells>
  <pageMargins left="0.7" right="0.7" top="0.75" bottom="0.75" header="0.3" footer="0.3"/>
  <pageSetup paperSize="9" scale="6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view="pageBreakPreview" zoomScale="130" zoomScaleNormal="100" zoomScaleSheetLayoutView="130" workbookViewId="0"/>
  </sheetViews>
  <sheetFormatPr defaultColWidth="8.88671875" defaultRowHeight="14.4" x14ac:dyDescent="0.3"/>
  <cols>
    <col min="1" max="1" width="25.44140625" customWidth="1"/>
    <col min="2" max="2" width="79" bestFit="1" customWidth="1"/>
    <col min="3" max="3" width="70" bestFit="1" customWidth="1"/>
  </cols>
  <sheetData>
    <row r="1" spans="1:3" ht="18.600000000000001" thickBot="1" x14ac:dyDescent="0.4">
      <c r="A1" s="302" t="s">
        <v>273</v>
      </c>
    </row>
    <row r="2" spans="1:3" ht="15" thickBot="1" x14ac:dyDescent="0.35">
      <c r="A2" s="310" t="s">
        <v>295</v>
      </c>
      <c r="B2" s="311" t="s">
        <v>296</v>
      </c>
      <c r="C2" s="312" t="s">
        <v>301</v>
      </c>
    </row>
    <row r="3" spans="1:3" x14ac:dyDescent="0.3">
      <c r="A3" s="326" t="s">
        <v>274</v>
      </c>
      <c r="B3" s="313" t="s">
        <v>298</v>
      </c>
      <c r="C3" s="230" t="s">
        <v>297</v>
      </c>
    </row>
    <row r="4" spans="1:3" x14ac:dyDescent="0.3">
      <c r="A4" s="327" t="s">
        <v>275</v>
      </c>
      <c r="B4" s="314" t="s">
        <v>299</v>
      </c>
      <c r="C4" s="315" t="s">
        <v>300</v>
      </c>
    </row>
    <row r="5" spans="1:3" x14ac:dyDescent="0.3">
      <c r="A5" s="327" t="s">
        <v>276</v>
      </c>
      <c r="B5" s="314" t="s">
        <v>302</v>
      </c>
      <c r="C5" s="315" t="s">
        <v>300</v>
      </c>
    </row>
    <row r="6" spans="1:3" x14ac:dyDescent="0.3">
      <c r="A6" s="327" t="s">
        <v>220</v>
      </c>
      <c r="B6" s="314" t="s">
        <v>303</v>
      </c>
      <c r="C6" s="228" t="s">
        <v>305</v>
      </c>
    </row>
    <row r="7" spans="1:3" x14ac:dyDescent="0.3">
      <c r="A7" s="327" t="s">
        <v>277</v>
      </c>
      <c r="B7" s="314" t="s">
        <v>304</v>
      </c>
      <c r="C7" s="315" t="s">
        <v>300</v>
      </c>
    </row>
    <row r="8" spans="1:3" x14ac:dyDescent="0.3">
      <c r="A8" s="327" t="s">
        <v>278</v>
      </c>
      <c r="B8" s="314" t="s">
        <v>306</v>
      </c>
      <c r="C8" s="228" t="s">
        <v>307</v>
      </c>
    </row>
    <row r="9" spans="1:3" x14ac:dyDescent="0.3">
      <c r="A9" s="327" t="s">
        <v>279</v>
      </c>
      <c r="B9" s="314" t="s">
        <v>308</v>
      </c>
      <c r="C9" s="315" t="s">
        <v>300</v>
      </c>
    </row>
    <row r="10" spans="1:3" x14ac:dyDescent="0.3">
      <c r="A10" s="327" t="s">
        <v>280</v>
      </c>
      <c r="B10" s="314" t="s">
        <v>309</v>
      </c>
      <c r="C10" s="228" t="s">
        <v>307</v>
      </c>
    </row>
    <row r="11" spans="1:3" x14ac:dyDescent="0.3">
      <c r="A11" s="327" t="s">
        <v>281</v>
      </c>
      <c r="B11" s="314" t="s">
        <v>310</v>
      </c>
      <c r="C11" s="228" t="s">
        <v>307</v>
      </c>
    </row>
    <row r="12" spans="1:3" x14ac:dyDescent="0.3">
      <c r="A12" s="327" t="s">
        <v>282</v>
      </c>
      <c r="B12" s="314" t="s">
        <v>311</v>
      </c>
      <c r="C12" s="228" t="s">
        <v>307</v>
      </c>
    </row>
    <row r="13" spans="1:3" x14ac:dyDescent="0.3">
      <c r="A13" s="327" t="s">
        <v>283</v>
      </c>
      <c r="B13" s="314" t="s">
        <v>312</v>
      </c>
      <c r="C13" s="228" t="s">
        <v>307</v>
      </c>
    </row>
    <row r="14" spans="1:3" x14ac:dyDescent="0.3">
      <c r="A14" s="327" t="s">
        <v>284</v>
      </c>
      <c r="B14" s="314" t="s">
        <v>344</v>
      </c>
      <c r="C14" s="228" t="s">
        <v>313</v>
      </c>
    </row>
    <row r="15" spans="1:3" x14ac:dyDescent="0.3">
      <c r="A15" s="327" t="s">
        <v>343</v>
      </c>
      <c r="B15" s="314" t="s">
        <v>345</v>
      </c>
      <c r="C15" s="228" t="s">
        <v>307</v>
      </c>
    </row>
    <row r="16" spans="1:3" x14ac:dyDescent="0.3">
      <c r="A16" s="327" t="s">
        <v>289</v>
      </c>
      <c r="B16" s="314" t="s">
        <v>314</v>
      </c>
      <c r="C16" s="228" t="s">
        <v>315</v>
      </c>
    </row>
    <row r="17" spans="1:3" x14ac:dyDescent="0.3">
      <c r="A17" s="327" t="s">
        <v>290</v>
      </c>
      <c r="B17" s="314" t="s">
        <v>316</v>
      </c>
      <c r="C17" s="228" t="s">
        <v>317</v>
      </c>
    </row>
    <row r="18" spans="1:3" ht="28.8" x14ac:dyDescent="0.3">
      <c r="A18" s="327" t="s">
        <v>291</v>
      </c>
      <c r="B18" s="325" t="s">
        <v>318</v>
      </c>
      <c r="C18" s="328" t="s">
        <v>319</v>
      </c>
    </row>
    <row r="19" spans="1:3" x14ac:dyDescent="0.3">
      <c r="A19" s="327" t="s">
        <v>292</v>
      </c>
      <c r="B19" s="314" t="s">
        <v>320</v>
      </c>
      <c r="C19" s="228" t="s">
        <v>321</v>
      </c>
    </row>
    <row r="20" spans="1:3" x14ac:dyDescent="0.3">
      <c r="A20" s="327" t="s">
        <v>293</v>
      </c>
      <c r="B20" s="314" t="s">
        <v>322</v>
      </c>
      <c r="C20" s="228" t="s">
        <v>324</v>
      </c>
    </row>
    <row r="21" spans="1:3" x14ac:dyDescent="0.3">
      <c r="A21" s="327" t="s">
        <v>294</v>
      </c>
      <c r="B21" s="314" t="s">
        <v>323</v>
      </c>
      <c r="C21" s="228" t="s">
        <v>324</v>
      </c>
    </row>
  </sheetData>
  <sheetProtection password="C3D8" sheet="1" objects="1" scenarios="1"/>
  <hyperlinks>
    <hyperlink ref="A3" location="Sumarizácia!R1C1" display="Sumarizácia" xr:uid="{00000000-0004-0000-0100-000000000000}"/>
    <hyperlink ref="A4" location="'CBA - Agendové IS'!R1C1" display="CBA" xr:uid="{00000000-0004-0000-0100-000001000000}"/>
    <hyperlink ref="A5" location="'Analyza citlivosti - AgendovéIS'!R1C1" display="Analyza citlivosti" xr:uid="{00000000-0004-0000-0100-000002000000}"/>
    <hyperlink ref="A6" location="'Prínosy - Agendové IS'!R1C1" display="Prínosy" xr:uid="{00000000-0004-0000-0100-000003000000}"/>
    <hyperlink ref="A7" location="'Výdavky - Agendové IS'!R1C1" display="Výdavky" xr:uid="{00000000-0004-0000-0100-000004000000}"/>
    <hyperlink ref="A8" location="'Parametre - Agendové IS'!R1C1" display="Parametre" xr:uid="{00000000-0004-0000-0100-000005000000}"/>
    <hyperlink ref="A9" location="TCO!R1C1" display="TCO" xr:uid="{00000000-0004-0000-0100-000006000000}"/>
    <hyperlink ref="A10" location="'TCO Alt. 1 - SW'!R1C1" display="TCO Alt. 1 - SW" xr:uid="{00000000-0004-0000-0100-000007000000}"/>
    <hyperlink ref="A11" location="'TCO Alt. 1 - HW'!R1C1" display="TCO Alt. 1 - HW" xr:uid="{00000000-0004-0000-0100-000008000000}"/>
    <hyperlink ref="A12" location="'TCO Alt. 2 - SW'!R1C1" display="TCO Alt. 2 - SW" xr:uid="{00000000-0004-0000-0100-000009000000}"/>
    <hyperlink ref="A13" location="'TCO Alt. 2 - HW'!R1C1" display="TCO Alt. 2 - HW" xr:uid="{00000000-0004-0000-0100-00000A000000}"/>
    <hyperlink ref="A14" location="'Rozpočet - vývoj Aplikácií'!R1C1" display="Rozpočet - vývoj aplikácii" xr:uid="{00000000-0004-0000-0100-00000B000000}"/>
    <hyperlink ref="A16" location="'Slepý rozpočet'!R1C1" display="Slepý rozpočet" xr:uid="{00000000-0004-0000-0100-00000C000000}"/>
    <hyperlink ref="A17" location="Faktory!R1C1" display="Faktory" xr:uid="{00000000-0004-0000-0100-00000D000000}"/>
    <hyperlink ref="A18" location="'Meranie prínosov'!R1C1" display="Meranie prínosov" xr:uid="{00000000-0004-0000-0100-00000E000000}"/>
    <hyperlink ref="A19" location="'Procesné mapy'!R1C1" display="Procesné mapy" xr:uid="{00000000-0004-0000-0100-00000F000000}"/>
    <hyperlink ref="A20" location="'Procesy - AS IS'!R1C1" display="Procesy AS IS" xr:uid="{00000000-0004-0000-0100-000010000000}"/>
    <hyperlink ref="A21" location="'Procesy - TO BE'!R1C1" display="Procesy TO BE" xr:uid="{00000000-0004-0000-0100-000011000000}"/>
    <hyperlink ref="A15" location="'Rozpočet - HW a licencie'!R1C1" display="Rozpočet - HW a licencie" xr:uid="{00000000-0004-0000-0100-000012000000}"/>
  </hyperlinks>
  <pageMargins left="0.7" right="0.7" top="0.75" bottom="0.75" header="0.3" footer="0.3"/>
  <pageSetup paperSize="9" scale="5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CC"/>
  </sheetPr>
  <dimension ref="A1:T3"/>
  <sheetViews>
    <sheetView view="pageBreakPreview" topLeftCell="D1" zoomScale="60" zoomScaleNormal="60" workbookViewId="0">
      <selection sqref="A1:Y1"/>
    </sheetView>
  </sheetViews>
  <sheetFormatPr defaultColWidth="8.88671875" defaultRowHeight="14.4" x14ac:dyDescent="0.3"/>
  <sheetData>
    <row r="1" spans="1:20" x14ac:dyDescent="0.3">
      <c r="A1" t="s">
        <v>231</v>
      </c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</row>
    <row r="2" spans="1:20" x14ac:dyDescent="0.3">
      <c r="A2" t="s">
        <v>232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</row>
    <row r="3" spans="1:20" x14ac:dyDescent="0.3">
      <c r="A3" s="270" t="s">
        <v>233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71" t="s">
        <v>173</v>
      </c>
    </row>
  </sheetData>
  <pageMargins left="0.7" right="0.7" top="0.75" bottom="0.75" header="0.3" footer="0.3"/>
  <pageSetup paperSize="9" scale="33" orientation="portrait" r:id="rId1"/>
  <colBreaks count="1" manualBreakCount="1">
    <brk id="15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A1:AC70"/>
  <sheetViews>
    <sheetView view="pageBreakPreview" topLeftCell="A28" zoomScale="60" zoomScaleNormal="80" workbookViewId="0">
      <selection activeCell="C39" sqref="C39"/>
    </sheetView>
  </sheetViews>
  <sheetFormatPr defaultColWidth="8.88671875" defaultRowHeight="14.4" x14ac:dyDescent="0.3"/>
  <cols>
    <col min="1" max="1" width="21.44140625" customWidth="1"/>
    <col min="2" max="2" width="14.44140625" customWidth="1"/>
    <col min="3" max="3" width="14.33203125" style="269" customWidth="1"/>
    <col min="4" max="4" width="14.109375" style="269" customWidth="1"/>
    <col min="5" max="5" width="14.88671875" style="269" customWidth="1"/>
    <col min="6" max="6" width="11.88671875" style="269" customWidth="1"/>
    <col min="7" max="7" width="15.88671875" style="269" customWidth="1"/>
    <col min="8" max="8" width="13.44140625" style="269" customWidth="1"/>
    <col min="9" max="9" width="10" style="269" customWidth="1"/>
    <col min="10" max="28" width="8.44140625" style="269" customWidth="1"/>
  </cols>
  <sheetData>
    <row r="1" spans="1:29" ht="15" thickBot="1" x14ac:dyDescent="0.35"/>
    <row r="2" spans="1:29" ht="48.75" customHeight="1" thickBot="1" x14ac:dyDescent="0.35">
      <c r="A2" s="272" t="s">
        <v>234</v>
      </c>
      <c r="B2" s="290" t="s">
        <v>235</v>
      </c>
      <c r="C2" s="288" t="s">
        <v>236</v>
      </c>
      <c r="D2" s="273" t="s">
        <v>237</v>
      </c>
      <c r="E2" s="273" t="s">
        <v>238</v>
      </c>
      <c r="F2" s="295" t="s">
        <v>229</v>
      </c>
      <c r="G2" s="290" t="s">
        <v>239</v>
      </c>
      <c r="H2" s="299" t="s">
        <v>236</v>
      </c>
      <c r="I2" s="274" t="s">
        <v>229</v>
      </c>
      <c r="O2" s="275"/>
      <c r="P2" s="276"/>
      <c r="Q2" s="276"/>
      <c r="R2" s="103"/>
      <c r="S2" s="103"/>
      <c r="T2" s="103"/>
      <c r="U2" s="103"/>
      <c r="V2" s="103"/>
      <c r="W2" s="103"/>
      <c r="X2" s="103"/>
      <c r="Y2" s="276"/>
      <c r="Z2" s="276"/>
      <c r="AA2" s="103"/>
      <c r="AB2" s="103"/>
      <c r="AC2" s="103"/>
    </row>
    <row r="3" spans="1:29" x14ac:dyDescent="0.3">
      <c r="A3" s="277" t="s">
        <v>175</v>
      </c>
      <c r="B3" s="291"/>
      <c r="C3" s="289"/>
      <c r="D3" s="285"/>
      <c r="E3" s="285"/>
      <c r="F3" s="296"/>
      <c r="G3" s="300"/>
      <c r="H3" s="289"/>
      <c r="I3" s="285"/>
      <c r="O3" s="278"/>
      <c r="P3"/>
      <c r="AC3" s="269"/>
    </row>
    <row r="4" spans="1:29" x14ac:dyDescent="0.3">
      <c r="A4" s="279" t="s">
        <v>240</v>
      </c>
      <c r="B4" s="292" t="s">
        <v>241</v>
      </c>
      <c r="C4" s="287"/>
      <c r="D4" s="286"/>
      <c r="E4" s="286"/>
      <c r="F4" s="297"/>
      <c r="G4" s="293"/>
      <c r="H4" s="287"/>
      <c r="I4" s="286"/>
      <c r="O4" s="278"/>
      <c r="P4" s="280"/>
      <c r="AC4" s="269"/>
    </row>
    <row r="5" spans="1:29" ht="15.75" customHeight="1" x14ac:dyDescent="0.3">
      <c r="A5" s="281" t="s">
        <v>242</v>
      </c>
      <c r="B5" s="293"/>
      <c r="C5" s="287"/>
      <c r="D5" s="286"/>
      <c r="E5" s="286"/>
      <c r="F5" s="297"/>
      <c r="G5" s="293"/>
      <c r="H5" s="287"/>
      <c r="I5" s="286"/>
      <c r="O5" s="278"/>
      <c r="AC5" s="269"/>
    </row>
    <row r="6" spans="1:29" x14ac:dyDescent="0.3">
      <c r="A6" s="281" t="s">
        <v>243</v>
      </c>
      <c r="B6" s="293"/>
      <c r="C6" s="287"/>
      <c r="D6" s="286"/>
      <c r="E6" s="286"/>
      <c r="F6" s="297"/>
      <c r="G6" s="293"/>
      <c r="H6" s="287"/>
      <c r="I6" s="286"/>
      <c r="O6" s="278"/>
      <c r="AC6" s="269"/>
    </row>
    <row r="7" spans="1:29" x14ac:dyDescent="0.3">
      <c r="A7" s="281" t="s">
        <v>244</v>
      </c>
      <c r="B7" s="293"/>
      <c r="C7" s="287"/>
      <c r="D7" s="286"/>
      <c r="E7" s="286"/>
      <c r="F7" s="297"/>
      <c r="G7" s="293"/>
      <c r="H7" s="287"/>
      <c r="I7" s="286"/>
      <c r="O7" s="278"/>
      <c r="AC7" s="269"/>
    </row>
    <row r="8" spans="1:29" x14ac:dyDescent="0.3">
      <c r="A8" s="281" t="s">
        <v>245</v>
      </c>
      <c r="B8" s="293"/>
      <c r="C8" s="287"/>
      <c r="D8" s="286"/>
      <c r="E8" s="286"/>
      <c r="F8" s="297"/>
      <c r="G8" s="293"/>
      <c r="H8" s="287"/>
      <c r="I8" s="286"/>
      <c r="O8" s="278"/>
      <c r="AC8" s="269"/>
    </row>
    <row r="9" spans="1:29" x14ac:dyDescent="0.3">
      <c r="A9" s="281" t="s">
        <v>246</v>
      </c>
      <c r="B9" s="293"/>
      <c r="C9" s="287"/>
      <c r="D9" s="286"/>
      <c r="E9" s="286"/>
      <c r="F9" s="297"/>
      <c r="G9" s="293"/>
      <c r="H9" s="287"/>
      <c r="I9" s="286"/>
      <c r="O9" s="278"/>
      <c r="AC9" s="269"/>
    </row>
    <row r="10" spans="1:29" x14ac:dyDescent="0.3">
      <c r="A10" s="281" t="s">
        <v>247</v>
      </c>
      <c r="B10" s="293"/>
      <c r="C10" s="287"/>
      <c r="D10" s="286"/>
      <c r="E10" s="286"/>
      <c r="F10" s="297"/>
      <c r="G10" s="293"/>
      <c r="H10" s="287"/>
      <c r="I10" s="286"/>
      <c r="O10" s="278"/>
      <c r="AC10" s="269"/>
    </row>
    <row r="11" spans="1:29" x14ac:dyDescent="0.3">
      <c r="A11" s="281" t="s">
        <v>248</v>
      </c>
      <c r="B11" s="293"/>
      <c r="C11" s="287"/>
      <c r="D11" s="286"/>
      <c r="E11" s="286"/>
      <c r="F11" s="297"/>
      <c r="G11" s="293"/>
      <c r="H11" s="287"/>
      <c r="I11" s="286"/>
      <c r="O11" s="278"/>
      <c r="AC11" s="269"/>
    </row>
    <row r="12" spans="1:29" x14ac:dyDescent="0.3">
      <c r="A12" s="281" t="s">
        <v>249</v>
      </c>
      <c r="B12" s="293"/>
      <c r="C12" s="287"/>
      <c r="D12" s="286"/>
      <c r="E12" s="286"/>
      <c r="F12" s="297"/>
      <c r="G12" s="293"/>
      <c r="H12" s="287"/>
      <c r="I12" s="286"/>
      <c r="O12" s="278"/>
      <c r="AC12" s="269"/>
    </row>
    <row r="13" spans="1:29" x14ac:dyDescent="0.3">
      <c r="A13" s="281" t="s">
        <v>250</v>
      </c>
      <c r="B13" s="293"/>
      <c r="C13" s="287"/>
      <c r="D13" s="286"/>
      <c r="E13" s="286"/>
      <c r="F13" s="297"/>
      <c r="G13" s="293"/>
      <c r="H13" s="287"/>
      <c r="I13" s="286"/>
      <c r="O13" s="278"/>
      <c r="AC13" s="269"/>
    </row>
    <row r="14" spans="1:29" x14ac:dyDescent="0.3">
      <c r="A14" s="281" t="s">
        <v>251</v>
      </c>
      <c r="B14" s="293"/>
      <c r="C14" s="287"/>
      <c r="D14" s="286"/>
      <c r="E14" s="286"/>
      <c r="F14" s="297"/>
      <c r="G14" s="293"/>
      <c r="H14" s="287"/>
      <c r="I14" s="286"/>
      <c r="O14" s="278"/>
      <c r="AC14" s="269"/>
    </row>
    <row r="15" spans="1:29" x14ac:dyDescent="0.3">
      <c r="A15" s="281" t="s">
        <v>252</v>
      </c>
      <c r="B15" s="293"/>
      <c r="C15" s="287"/>
      <c r="D15" s="286"/>
      <c r="E15" s="286"/>
      <c r="F15" s="297"/>
      <c r="G15" s="293"/>
      <c r="H15" s="287"/>
      <c r="I15" s="286"/>
      <c r="O15" s="278"/>
      <c r="AC15" s="269"/>
    </row>
    <row r="16" spans="1:29" x14ac:dyDescent="0.3">
      <c r="A16" s="281" t="s">
        <v>253</v>
      </c>
      <c r="B16" s="293"/>
      <c r="C16" s="287"/>
      <c r="D16" s="286"/>
      <c r="E16" s="286"/>
      <c r="F16" s="297"/>
      <c r="G16" s="293"/>
      <c r="H16" s="287"/>
      <c r="I16" s="286"/>
      <c r="O16" s="278"/>
      <c r="AC16" s="269"/>
    </row>
    <row r="17" spans="1:29" x14ac:dyDescent="0.3">
      <c r="A17" s="281" t="s">
        <v>254</v>
      </c>
      <c r="B17" s="293"/>
      <c r="C17" s="287"/>
      <c r="D17" s="286"/>
      <c r="E17" s="286"/>
      <c r="F17" s="297"/>
      <c r="G17" s="293"/>
      <c r="H17" s="287"/>
      <c r="I17" s="286"/>
      <c r="O17" s="278"/>
      <c r="AC17" s="269"/>
    </row>
    <row r="18" spans="1:29" x14ac:dyDescent="0.3">
      <c r="A18" s="281" t="s">
        <v>255</v>
      </c>
      <c r="B18" s="293"/>
      <c r="C18" s="287"/>
      <c r="D18" s="286"/>
      <c r="E18" s="286"/>
      <c r="F18" s="297"/>
      <c r="G18" s="293"/>
      <c r="H18" s="287"/>
      <c r="I18" s="286"/>
      <c r="O18" s="278"/>
      <c r="AC18" s="269"/>
    </row>
    <row r="19" spans="1:29" x14ac:dyDescent="0.3">
      <c r="A19" s="281" t="s">
        <v>256</v>
      </c>
      <c r="B19" s="293"/>
      <c r="C19" s="287"/>
      <c r="D19" s="286"/>
      <c r="E19" s="286"/>
      <c r="F19" s="297"/>
      <c r="G19" s="293"/>
      <c r="H19" s="287"/>
      <c r="I19" s="286"/>
      <c r="O19" s="278"/>
      <c r="AC19" s="269"/>
    </row>
    <row r="20" spans="1:29" x14ac:dyDescent="0.3">
      <c r="A20" s="281" t="s">
        <v>257</v>
      </c>
      <c r="B20" s="293"/>
      <c r="C20" s="287"/>
      <c r="D20" s="286"/>
      <c r="E20" s="286"/>
      <c r="F20" s="297"/>
      <c r="G20" s="293"/>
      <c r="H20" s="287"/>
      <c r="I20" s="286"/>
      <c r="O20" s="278"/>
      <c r="AC20" s="269"/>
    </row>
    <row r="21" spans="1:29" x14ac:dyDescent="0.3">
      <c r="A21" s="281" t="s">
        <v>258</v>
      </c>
      <c r="B21" s="293"/>
      <c r="C21" s="287"/>
      <c r="D21" s="286"/>
      <c r="E21" s="286"/>
      <c r="F21" s="297"/>
      <c r="G21" s="293"/>
      <c r="H21" s="287"/>
      <c r="I21" s="286"/>
      <c r="O21" s="278"/>
      <c r="AC21" s="269"/>
    </row>
    <row r="22" spans="1:29" x14ac:dyDescent="0.3">
      <c r="A22" s="281" t="s">
        <v>259</v>
      </c>
      <c r="B22" s="293"/>
      <c r="C22" s="287"/>
      <c r="D22" s="286"/>
      <c r="E22" s="286"/>
      <c r="F22" s="297"/>
      <c r="G22" s="293"/>
      <c r="H22" s="287"/>
      <c r="I22" s="286"/>
      <c r="O22" s="278"/>
      <c r="AC22" s="269"/>
    </row>
    <row r="23" spans="1:29" x14ac:dyDescent="0.3">
      <c r="A23" s="281" t="s">
        <v>260</v>
      </c>
      <c r="B23" s="293"/>
      <c r="C23" s="287"/>
      <c r="D23" s="286"/>
      <c r="E23" s="286"/>
      <c r="F23" s="297"/>
      <c r="G23" s="293"/>
      <c r="H23" s="287"/>
      <c r="I23" s="286"/>
      <c r="O23" s="278"/>
      <c r="AC23" s="269"/>
    </row>
    <row r="24" spans="1:29" x14ac:dyDescent="0.3">
      <c r="A24" s="281" t="s">
        <v>261</v>
      </c>
      <c r="B24" s="293"/>
      <c r="C24" s="287"/>
      <c r="D24" s="286"/>
      <c r="E24" s="286"/>
      <c r="F24" s="297"/>
      <c r="G24" s="293"/>
      <c r="H24" s="287"/>
      <c r="I24" s="286"/>
      <c r="O24" s="278"/>
      <c r="AC24" s="269"/>
    </row>
    <row r="25" spans="1:29" x14ac:dyDescent="0.3">
      <c r="A25" s="281" t="s">
        <v>262</v>
      </c>
      <c r="B25" s="293"/>
      <c r="C25" s="287"/>
      <c r="D25" s="286"/>
      <c r="E25" s="286"/>
      <c r="F25" s="297"/>
      <c r="G25" s="293"/>
      <c r="H25" s="287"/>
      <c r="I25" s="286"/>
      <c r="O25" s="278"/>
      <c r="AC25" s="269"/>
    </row>
    <row r="26" spans="1:29" x14ac:dyDescent="0.3">
      <c r="A26" s="281" t="s">
        <v>263</v>
      </c>
      <c r="B26" s="293"/>
      <c r="C26" s="287"/>
      <c r="D26" s="286"/>
      <c r="E26" s="286"/>
      <c r="F26" s="297"/>
      <c r="G26" s="293"/>
      <c r="H26" s="287"/>
      <c r="I26" s="286"/>
      <c r="O26" s="278"/>
      <c r="AC26" s="269"/>
    </row>
    <row r="27" spans="1:29" x14ac:dyDescent="0.3">
      <c r="A27" s="281" t="s">
        <v>264</v>
      </c>
      <c r="B27" s="293"/>
      <c r="C27" s="287"/>
      <c r="D27" s="286"/>
      <c r="E27" s="286"/>
      <c r="F27" s="297"/>
      <c r="G27" s="293"/>
      <c r="H27" s="287"/>
      <c r="I27" s="286"/>
      <c r="O27" s="278"/>
      <c r="AC27" s="269"/>
    </row>
    <row r="28" spans="1:29" x14ac:dyDescent="0.3">
      <c r="A28" s="281" t="s">
        <v>265</v>
      </c>
      <c r="B28" s="293"/>
      <c r="C28" s="287"/>
      <c r="D28" s="286"/>
      <c r="E28" s="286"/>
      <c r="F28" s="297"/>
      <c r="G28" s="293"/>
      <c r="H28" s="287"/>
      <c r="I28" s="286"/>
      <c r="O28" s="278"/>
      <c r="AC28" s="269"/>
    </row>
    <row r="29" spans="1:29" x14ac:dyDescent="0.3">
      <c r="A29" s="281" t="s">
        <v>266</v>
      </c>
      <c r="B29" s="293"/>
      <c r="C29" s="287"/>
      <c r="D29" s="286"/>
      <c r="E29" s="286"/>
      <c r="F29" s="297"/>
      <c r="G29" s="293"/>
      <c r="H29" s="287"/>
      <c r="I29" s="286"/>
      <c r="O29" s="278"/>
      <c r="AC29" s="269"/>
    </row>
    <row r="30" spans="1:29" x14ac:dyDescent="0.3">
      <c r="A30" s="281" t="s">
        <v>267</v>
      </c>
      <c r="B30" s="293"/>
      <c r="C30" s="287"/>
      <c r="D30" s="286"/>
      <c r="E30" s="286"/>
      <c r="F30" s="297"/>
      <c r="G30" s="293"/>
      <c r="H30" s="287"/>
      <c r="I30" s="286"/>
      <c r="O30" s="278"/>
      <c r="AC30" s="269"/>
    </row>
    <row r="31" spans="1:29" x14ac:dyDescent="0.3">
      <c r="A31" s="281" t="s">
        <v>268</v>
      </c>
      <c r="B31" s="293"/>
      <c r="C31" s="287"/>
      <c r="D31" s="286"/>
      <c r="E31" s="286"/>
      <c r="F31" s="297"/>
      <c r="G31" s="293"/>
      <c r="H31" s="287"/>
      <c r="I31" s="286"/>
      <c r="O31" s="278"/>
      <c r="AC31" s="269"/>
    </row>
    <row r="32" spans="1:29" x14ac:dyDescent="0.3">
      <c r="A32" s="281" t="s">
        <v>269</v>
      </c>
      <c r="B32" s="293"/>
      <c r="C32" s="287"/>
      <c r="D32" s="286"/>
      <c r="E32" s="286"/>
      <c r="F32" s="297"/>
      <c r="G32" s="293"/>
      <c r="H32" s="287"/>
      <c r="I32" s="286"/>
      <c r="O32" s="278"/>
      <c r="AC32" s="269"/>
    </row>
    <row r="33" spans="1:29" x14ac:dyDescent="0.3">
      <c r="A33" s="281" t="s">
        <v>270</v>
      </c>
      <c r="B33" s="293"/>
      <c r="C33" s="287"/>
      <c r="D33" s="286"/>
      <c r="E33" s="286"/>
      <c r="F33" s="297"/>
      <c r="G33" s="293"/>
      <c r="H33" s="287"/>
      <c r="I33" s="286"/>
      <c r="O33" s="278"/>
      <c r="AC33" s="269"/>
    </row>
    <row r="34" spans="1:29" ht="15" thickBot="1" x14ac:dyDescent="0.35">
      <c r="A34" s="282" t="s">
        <v>271</v>
      </c>
      <c r="B34" s="294"/>
      <c r="C34" s="283"/>
      <c r="D34" s="228"/>
      <c r="E34" s="228"/>
      <c r="F34" s="298"/>
      <c r="G34" s="294"/>
      <c r="H34" s="283"/>
      <c r="I34" s="228"/>
      <c r="O34" s="278"/>
      <c r="P34"/>
      <c r="Q34"/>
      <c r="R34"/>
      <c r="S34"/>
      <c r="T34"/>
      <c r="U34"/>
      <c r="V34"/>
      <c r="W34"/>
      <c r="X34"/>
      <c r="Y34"/>
      <c r="Z34"/>
      <c r="AA34"/>
      <c r="AB34"/>
    </row>
    <row r="37" spans="1:29" ht="15" thickBot="1" x14ac:dyDescent="0.35"/>
    <row r="38" spans="1:29" ht="43.8" thickBot="1" x14ac:dyDescent="0.35">
      <c r="A38" s="272" t="s">
        <v>272</v>
      </c>
      <c r="B38" s="290" t="s">
        <v>235</v>
      </c>
      <c r="C38" s="288" t="s">
        <v>236</v>
      </c>
      <c r="D38" s="273" t="s">
        <v>237</v>
      </c>
      <c r="E38" s="273" t="s">
        <v>238</v>
      </c>
      <c r="F38" s="295" t="s">
        <v>229</v>
      </c>
      <c r="G38" s="290" t="s">
        <v>239</v>
      </c>
      <c r="H38" s="299" t="s">
        <v>236</v>
      </c>
      <c r="I38" s="274" t="s">
        <v>229</v>
      </c>
    </row>
    <row r="39" spans="1:29" x14ac:dyDescent="0.3">
      <c r="A39" s="277" t="s">
        <v>175</v>
      </c>
      <c r="B39" s="291"/>
      <c r="C39" s="289"/>
      <c r="D39" s="285"/>
      <c r="E39" s="285"/>
      <c r="F39" s="296"/>
      <c r="G39" s="300"/>
      <c r="H39" s="289"/>
      <c r="I39" s="285"/>
    </row>
    <row r="40" spans="1:29" x14ac:dyDescent="0.3">
      <c r="A40" s="279" t="s">
        <v>240</v>
      </c>
      <c r="B40" s="292" t="s">
        <v>241</v>
      </c>
      <c r="C40" s="287"/>
      <c r="D40" s="286"/>
      <c r="E40" s="286"/>
      <c r="F40" s="297"/>
      <c r="G40" s="293"/>
      <c r="H40" s="287"/>
      <c r="I40" s="286"/>
    </row>
    <row r="41" spans="1:29" x14ac:dyDescent="0.3">
      <c r="A41" s="281" t="s">
        <v>242</v>
      </c>
      <c r="B41" s="293"/>
      <c r="C41" s="287"/>
      <c r="D41" s="286"/>
      <c r="E41" s="286"/>
      <c r="F41" s="297"/>
      <c r="G41" s="293"/>
      <c r="H41" s="287"/>
      <c r="I41" s="286"/>
    </row>
    <row r="42" spans="1:29" x14ac:dyDescent="0.3">
      <c r="A42" s="281" t="s">
        <v>243</v>
      </c>
      <c r="B42" s="293"/>
      <c r="C42" s="287"/>
      <c r="D42" s="286"/>
      <c r="E42" s="286"/>
      <c r="F42" s="297"/>
      <c r="G42" s="293"/>
      <c r="H42" s="287"/>
      <c r="I42" s="286"/>
    </row>
    <row r="43" spans="1:29" x14ac:dyDescent="0.3">
      <c r="A43" s="281" t="s">
        <v>244</v>
      </c>
      <c r="B43" s="293"/>
      <c r="C43" s="287"/>
      <c r="D43" s="286"/>
      <c r="E43" s="286"/>
      <c r="F43" s="297"/>
      <c r="G43" s="293"/>
      <c r="H43" s="287"/>
      <c r="I43" s="286"/>
    </row>
    <row r="44" spans="1:29" x14ac:dyDescent="0.3">
      <c r="A44" s="281" t="s">
        <v>245</v>
      </c>
      <c r="B44" s="293"/>
      <c r="C44" s="287"/>
      <c r="D44" s="286"/>
      <c r="E44" s="286"/>
      <c r="F44" s="297"/>
      <c r="G44" s="293"/>
      <c r="H44" s="287"/>
      <c r="I44" s="286"/>
    </row>
    <row r="45" spans="1:29" x14ac:dyDescent="0.3">
      <c r="A45" s="281" t="s">
        <v>246</v>
      </c>
      <c r="B45" s="293"/>
      <c r="C45" s="287"/>
      <c r="D45" s="286"/>
      <c r="E45" s="286"/>
      <c r="F45" s="297"/>
      <c r="G45" s="293"/>
      <c r="H45" s="287"/>
      <c r="I45" s="286"/>
    </row>
    <row r="46" spans="1:29" x14ac:dyDescent="0.3">
      <c r="A46" s="281" t="s">
        <v>247</v>
      </c>
      <c r="B46" s="293"/>
      <c r="C46" s="287"/>
      <c r="D46" s="286"/>
      <c r="E46" s="286"/>
      <c r="F46" s="297"/>
      <c r="G46" s="293"/>
      <c r="H46" s="287"/>
      <c r="I46" s="286"/>
    </row>
    <row r="47" spans="1:29" x14ac:dyDescent="0.3">
      <c r="A47" s="281" t="s">
        <v>248</v>
      </c>
      <c r="B47" s="293"/>
      <c r="C47" s="287"/>
      <c r="D47" s="286"/>
      <c r="E47" s="286"/>
      <c r="F47" s="297"/>
      <c r="G47" s="293"/>
      <c r="H47" s="287"/>
      <c r="I47" s="286"/>
    </row>
    <row r="48" spans="1:29" x14ac:dyDescent="0.3">
      <c r="A48" s="281" t="s">
        <v>249</v>
      </c>
      <c r="B48" s="293"/>
      <c r="C48" s="287"/>
      <c r="D48" s="286"/>
      <c r="E48" s="286"/>
      <c r="F48" s="297"/>
      <c r="G48" s="293"/>
      <c r="H48" s="287"/>
      <c r="I48" s="286"/>
    </row>
    <row r="49" spans="1:9" x14ac:dyDescent="0.3">
      <c r="A49" s="281" t="s">
        <v>250</v>
      </c>
      <c r="B49" s="293"/>
      <c r="C49" s="287"/>
      <c r="D49" s="286"/>
      <c r="E49" s="286"/>
      <c r="F49" s="297"/>
      <c r="G49" s="293"/>
      <c r="H49" s="287"/>
      <c r="I49" s="286"/>
    </row>
    <row r="50" spans="1:9" x14ac:dyDescent="0.3">
      <c r="A50" s="281" t="s">
        <v>251</v>
      </c>
      <c r="B50" s="293"/>
      <c r="C50" s="287"/>
      <c r="D50" s="286"/>
      <c r="E50" s="286"/>
      <c r="F50" s="297"/>
      <c r="G50" s="293"/>
      <c r="H50" s="287"/>
      <c r="I50" s="286"/>
    </row>
    <row r="51" spans="1:9" x14ac:dyDescent="0.3">
      <c r="A51" s="281" t="s">
        <v>252</v>
      </c>
      <c r="B51" s="293"/>
      <c r="C51" s="287"/>
      <c r="D51" s="286"/>
      <c r="E51" s="286"/>
      <c r="F51" s="297"/>
      <c r="G51" s="293"/>
      <c r="H51" s="287"/>
      <c r="I51" s="286"/>
    </row>
    <row r="52" spans="1:9" x14ac:dyDescent="0.3">
      <c r="A52" s="281" t="s">
        <v>253</v>
      </c>
      <c r="B52" s="293"/>
      <c r="C52" s="287"/>
      <c r="D52" s="286"/>
      <c r="E52" s="286"/>
      <c r="F52" s="297"/>
      <c r="G52" s="293"/>
      <c r="H52" s="287"/>
      <c r="I52" s="286"/>
    </row>
    <row r="53" spans="1:9" x14ac:dyDescent="0.3">
      <c r="A53" s="281" t="s">
        <v>254</v>
      </c>
      <c r="B53" s="293"/>
      <c r="C53" s="287"/>
      <c r="D53" s="286"/>
      <c r="E53" s="286"/>
      <c r="F53" s="297"/>
      <c r="G53" s="293"/>
      <c r="H53" s="287"/>
      <c r="I53" s="286"/>
    </row>
    <row r="54" spans="1:9" x14ac:dyDescent="0.3">
      <c r="A54" s="281" t="s">
        <v>255</v>
      </c>
      <c r="B54" s="293"/>
      <c r="C54" s="287"/>
      <c r="D54" s="286"/>
      <c r="E54" s="286"/>
      <c r="F54" s="297"/>
      <c r="G54" s="293"/>
      <c r="H54" s="287"/>
      <c r="I54" s="286"/>
    </row>
    <row r="55" spans="1:9" x14ac:dyDescent="0.3">
      <c r="A55" s="281" t="s">
        <v>256</v>
      </c>
      <c r="B55" s="293"/>
      <c r="C55" s="287"/>
      <c r="D55" s="286"/>
      <c r="E55" s="286"/>
      <c r="F55" s="297"/>
      <c r="G55" s="293"/>
      <c r="H55" s="287"/>
      <c r="I55" s="286"/>
    </row>
    <row r="56" spans="1:9" x14ac:dyDescent="0.3">
      <c r="A56" s="281" t="s">
        <v>257</v>
      </c>
      <c r="B56" s="293"/>
      <c r="C56" s="287"/>
      <c r="D56" s="286"/>
      <c r="E56" s="286"/>
      <c r="F56" s="297"/>
      <c r="G56" s="293"/>
      <c r="H56" s="287"/>
      <c r="I56" s="286"/>
    </row>
    <row r="57" spans="1:9" x14ac:dyDescent="0.3">
      <c r="A57" s="281" t="s">
        <v>258</v>
      </c>
      <c r="B57" s="293"/>
      <c r="C57" s="287"/>
      <c r="D57" s="286"/>
      <c r="E57" s="286"/>
      <c r="F57" s="297"/>
      <c r="G57" s="293"/>
      <c r="H57" s="287"/>
      <c r="I57" s="286"/>
    </row>
    <row r="58" spans="1:9" x14ac:dyDescent="0.3">
      <c r="A58" s="281" t="s">
        <v>259</v>
      </c>
      <c r="B58" s="293"/>
      <c r="C58" s="287"/>
      <c r="D58" s="286"/>
      <c r="E58" s="286"/>
      <c r="F58" s="297"/>
      <c r="G58" s="293"/>
      <c r="H58" s="287"/>
      <c r="I58" s="286"/>
    </row>
    <row r="59" spans="1:9" x14ac:dyDescent="0.3">
      <c r="A59" s="281" t="s">
        <v>260</v>
      </c>
      <c r="B59" s="293"/>
      <c r="C59" s="287"/>
      <c r="D59" s="286"/>
      <c r="E59" s="286"/>
      <c r="F59" s="297"/>
      <c r="G59" s="293"/>
      <c r="H59" s="287"/>
      <c r="I59" s="286"/>
    </row>
    <row r="60" spans="1:9" x14ac:dyDescent="0.3">
      <c r="A60" s="281" t="s">
        <v>261</v>
      </c>
      <c r="B60" s="293"/>
      <c r="C60" s="287"/>
      <c r="D60" s="286"/>
      <c r="E60" s="286"/>
      <c r="F60" s="297"/>
      <c r="G60" s="293"/>
      <c r="H60" s="287"/>
      <c r="I60" s="286"/>
    </row>
    <row r="61" spans="1:9" x14ac:dyDescent="0.3">
      <c r="A61" s="281" t="s">
        <v>262</v>
      </c>
      <c r="B61" s="293"/>
      <c r="C61" s="287"/>
      <c r="D61" s="286"/>
      <c r="E61" s="286"/>
      <c r="F61" s="297"/>
      <c r="G61" s="293"/>
      <c r="H61" s="287"/>
      <c r="I61" s="286"/>
    </row>
    <row r="62" spans="1:9" x14ac:dyDescent="0.3">
      <c r="A62" s="281" t="s">
        <v>263</v>
      </c>
      <c r="B62" s="293"/>
      <c r="C62" s="287"/>
      <c r="D62" s="286"/>
      <c r="E62" s="286"/>
      <c r="F62" s="297"/>
      <c r="G62" s="293"/>
      <c r="H62" s="287"/>
      <c r="I62" s="286"/>
    </row>
    <row r="63" spans="1:9" x14ac:dyDescent="0.3">
      <c r="A63" s="281" t="s">
        <v>264</v>
      </c>
      <c r="B63" s="293"/>
      <c r="C63" s="287"/>
      <c r="D63" s="286"/>
      <c r="E63" s="286"/>
      <c r="F63" s="297"/>
      <c r="G63" s="293"/>
      <c r="H63" s="287"/>
      <c r="I63" s="286"/>
    </row>
    <row r="64" spans="1:9" x14ac:dyDescent="0.3">
      <c r="A64" s="281" t="s">
        <v>265</v>
      </c>
      <c r="B64" s="293"/>
      <c r="C64" s="287"/>
      <c r="D64" s="286"/>
      <c r="E64" s="286"/>
      <c r="F64" s="297"/>
      <c r="G64" s="293"/>
      <c r="H64" s="287"/>
      <c r="I64" s="286"/>
    </row>
    <row r="65" spans="1:9" x14ac:dyDescent="0.3">
      <c r="A65" s="281" t="s">
        <v>266</v>
      </c>
      <c r="B65" s="293"/>
      <c r="C65" s="287"/>
      <c r="D65" s="286"/>
      <c r="E65" s="286"/>
      <c r="F65" s="297"/>
      <c r="G65" s="293"/>
      <c r="H65" s="287"/>
      <c r="I65" s="286"/>
    </row>
    <row r="66" spans="1:9" x14ac:dyDescent="0.3">
      <c r="A66" s="281" t="s">
        <v>267</v>
      </c>
      <c r="B66" s="293"/>
      <c r="C66" s="287"/>
      <c r="D66" s="286"/>
      <c r="E66" s="286"/>
      <c r="F66" s="297"/>
      <c r="G66" s="293"/>
      <c r="H66" s="287"/>
      <c r="I66" s="286"/>
    </row>
    <row r="67" spans="1:9" x14ac:dyDescent="0.3">
      <c r="A67" s="281" t="s">
        <v>268</v>
      </c>
      <c r="B67" s="293"/>
      <c r="C67" s="287"/>
      <c r="D67" s="286"/>
      <c r="E67" s="286"/>
      <c r="F67" s="297"/>
      <c r="G67" s="293"/>
      <c r="H67" s="287"/>
      <c r="I67" s="286"/>
    </row>
    <row r="68" spans="1:9" x14ac:dyDescent="0.3">
      <c r="A68" s="281" t="s">
        <v>269</v>
      </c>
      <c r="B68" s="293"/>
      <c r="C68" s="287"/>
      <c r="D68" s="286"/>
      <c r="E68" s="286"/>
      <c r="F68" s="297"/>
      <c r="G68" s="293"/>
      <c r="H68" s="287"/>
      <c r="I68" s="286"/>
    </row>
    <row r="69" spans="1:9" x14ac:dyDescent="0.3">
      <c r="A69" s="281" t="s">
        <v>270</v>
      </c>
      <c r="B69" s="293"/>
      <c r="C69" s="287"/>
      <c r="D69" s="286"/>
      <c r="E69" s="286"/>
      <c r="F69" s="297"/>
      <c r="G69" s="293"/>
      <c r="H69" s="287"/>
      <c r="I69" s="286"/>
    </row>
    <row r="70" spans="1:9" ht="15" thickBot="1" x14ac:dyDescent="0.35">
      <c r="A70" s="282" t="s">
        <v>271</v>
      </c>
      <c r="B70" s="294"/>
      <c r="C70" s="283"/>
      <c r="D70" s="228"/>
      <c r="E70" s="228"/>
      <c r="F70" s="298"/>
      <c r="G70" s="294"/>
      <c r="H70" s="283"/>
      <c r="I70" s="228"/>
    </row>
  </sheetData>
  <pageMargins left="0.7" right="0.7" top="0.75" bottom="0.75" header="0.3" footer="0.3"/>
  <pageSetup paperSize="9" scale="6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A1:AC70"/>
  <sheetViews>
    <sheetView view="pageBreakPreview" topLeftCell="A52" zoomScale="60" zoomScaleNormal="100" workbookViewId="0">
      <selection activeCell="Q35" sqref="Q35"/>
    </sheetView>
  </sheetViews>
  <sheetFormatPr defaultColWidth="8.88671875" defaultRowHeight="14.4" x14ac:dyDescent="0.3"/>
  <cols>
    <col min="1" max="1" width="21.44140625" customWidth="1"/>
    <col min="2" max="2" width="14.44140625" customWidth="1"/>
    <col min="3" max="3" width="14.33203125" style="269" customWidth="1"/>
    <col min="4" max="4" width="14.109375" style="269" customWidth="1"/>
    <col min="5" max="5" width="14.88671875" style="269" customWidth="1"/>
    <col min="6" max="6" width="11.88671875" style="269" customWidth="1"/>
    <col min="7" max="7" width="15.88671875" style="269" customWidth="1"/>
    <col min="8" max="8" width="13.44140625" style="269" customWidth="1"/>
    <col min="9" max="28" width="8.44140625" style="269" customWidth="1"/>
  </cols>
  <sheetData>
    <row r="1" spans="1:29" ht="15" thickBot="1" x14ac:dyDescent="0.35"/>
    <row r="2" spans="1:29" ht="48.75" customHeight="1" thickBot="1" x14ac:dyDescent="0.35">
      <c r="A2" s="272" t="s">
        <v>234</v>
      </c>
      <c r="B2" s="290" t="s">
        <v>235</v>
      </c>
      <c r="C2" s="288" t="s">
        <v>236</v>
      </c>
      <c r="D2" s="273" t="s">
        <v>237</v>
      </c>
      <c r="E2" s="273" t="s">
        <v>238</v>
      </c>
      <c r="F2" s="295" t="s">
        <v>229</v>
      </c>
      <c r="G2" s="290" t="s">
        <v>239</v>
      </c>
      <c r="H2" s="299" t="s">
        <v>236</v>
      </c>
      <c r="I2" s="274" t="s">
        <v>229</v>
      </c>
      <c r="O2" s="275"/>
      <c r="P2" s="276"/>
      <c r="Q2" s="276"/>
      <c r="R2" s="103"/>
      <c r="S2" s="103"/>
      <c r="T2" s="103"/>
      <c r="U2" s="103"/>
      <c r="V2" s="103"/>
      <c r="W2" s="103"/>
      <c r="X2" s="103"/>
      <c r="Y2" s="276"/>
      <c r="Z2" s="276"/>
      <c r="AA2" s="103"/>
      <c r="AB2" s="103"/>
      <c r="AC2" s="103"/>
    </row>
    <row r="3" spans="1:29" x14ac:dyDescent="0.3">
      <c r="A3" s="277" t="s">
        <v>175</v>
      </c>
      <c r="B3" s="291"/>
      <c r="C3" s="289"/>
      <c r="D3" s="285"/>
      <c r="E3" s="285"/>
      <c r="F3" s="296"/>
      <c r="G3" s="300"/>
      <c r="H3" s="289"/>
      <c r="I3" s="285"/>
      <c r="O3" s="278"/>
      <c r="P3"/>
      <c r="AC3" s="269"/>
    </row>
    <row r="4" spans="1:29" x14ac:dyDescent="0.3">
      <c r="A4" s="279" t="s">
        <v>240</v>
      </c>
      <c r="B4" s="292" t="s">
        <v>241</v>
      </c>
      <c r="C4" s="287"/>
      <c r="D4" s="286"/>
      <c r="E4" s="286"/>
      <c r="F4" s="297"/>
      <c r="G4" s="293"/>
      <c r="H4" s="287"/>
      <c r="I4" s="286"/>
      <c r="O4" s="278"/>
      <c r="P4" s="280"/>
      <c r="AC4" s="269"/>
    </row>
    <row r="5" spans="1:29" ht="15.75" customHeight="1" x14ac:dyDescent="0.3">
      <c r="A5" s="281" t="s">
        <v>242</v>
      </c>
      <c r="B5" s="293"/>
      <c r="C5" s="287"/>
      <c r="D5" s="286"/>
      <c r="E5" s="286"/>
      <c r="F5" s="297"/>
      <c r="G5" s="293"/>
      <c r="H5" s="287"/>
      <c r="I5" s="286"/>
      <c r="O5" s="278"/>
      <c r="AC5" s="269"/>
    </row>
    <row r="6" spans="1:29" x14ac:dyDescent="0.3">
      <c r="A6" s="281" t="s">
        <v>243</v>
      </c>
      <c r="B6" s="293"/>
      <c r="C6" s="287"/>
      <c r="D6" s="286"/>
      <c r="E6" s="286"/>
      <c r="F6" s="297"/>
      <c r="G6" s="293"/>
      <c r="H6" s="287"/>
      <c r="I6" s="286"/>
      <c r="O6" s="278"/>
      <c r="AC6" s="269"/>
    </row>
    <row r="7" spans="1:29" x14ac:dyDescent="0.3">
      <c r="A7" s="281" t="s">
        <v>244</v>
      </c>
      <c r="B7" s="293"/>
      <c r="C7" s="287"/>
      <c r="D7" s="286"/>
      <c r="E7" s="286"/>
      <c r="F7" s="297"/>
      <c r="G7" s="293"/>
      <c r="H7" s="287"/>
      <c r="I7" s="286"/>
      <c r="O7" s="278"/>
      <c r="AC7" s="269"/>
    </row>
    <row r="8" spans="1:29" x14ac:dyDescent="0.3">
      <c r="A8" s="281" t="s">
        <v>245</v>
      </c>
      <c r="B8" s="293"/>
      <c r="C8" s="287"/>
      <c r="D8" s="286"/>
      <c r="E8" s="286"/>
      <c r="F8" s="297"/>
      <c r="G8" s="293"/>
      <c r="H8" s="287"/>
      <c r="I8" s="286"/>
      <c r="O8" s="278"/>
      <c r="AC8" s="269"/>
    </row>
    <row r="9" spans="1:29" x14ac:dyDescent="0.3">
      <c r="A9" s="281" t="s">
        <v>246</v>
      </c>
      <c r="B9" s="293"/>
      <c r="C9" s="287"/>
      <c r="D9" s="286"/>
      <c r="E9" s="286"/>
      <c r="F9" s="297"/>
      <c r="G9" s="293"/>
      <c r="H9" s="287"/>
      <c r="I9" s="286"/>
      <c r="O9" s="278"/>
      <c r="AC9" s="269"/>
    </row>
    <row r="10" spans="1:29" x14ac:dyDescent="0.3">
      <c r="A10" s="281" t="s">
        <v>247</v>
      </c>
      <c r="B10" s="293"/>
      <c r="C10" s="287"/>
      <c r="D10" s="286"/>
      <c r="E10" s="286"/>
      <c r="F10" s="297"/>
      <c r="G10" s="293"/>
      <c r="H10" s="287"/>
      <c r="I10" s="286"/>
      <c r="O10" s="278"/>
      <c r="AC10" s="269"/>
    </row>
    <row r="11" spans="1:29" x14ac:dyDescent="0.3">
      <c r="A11" s="281" t="s">
        <v>248</v>
      </c>
      <c r="B11" s="293"/>
      <c r="C11" s="287"/>
      <c r="D11" s="286"/>
      <c r="E11" s="286"/>
      <c r="F11" s="297"/>
      <c r="G11" s="293"/>
      <c r="H11" s="287"/>
      <c r="I11" s="286"/>
      <c r="O11" s="278"/>
      <c r="AC11" s="269"/>
    </row>
    <row r="12" spans="1:29" x14ac:dyDescent="0.3">
      <c r="A12" s="281" t="s">
        <v>249</v>
      </c>
      <c r="B12" s="293"/>
      <c r="C12" s="287"/>
      <c r="D12" s="286"/>
      <c r="E12" s="286"/>
      <c r="F12" s="297"/>
      <c r="G12" s="293"/>
      <c r="H12" s="287"/>
      <c r="I12" s="286"/>
      <c r="O12" s="278"/>
      <c r="AC12" s="269"/>
    </row>
    <row r="13" spans="1:29" x14ac:dyDescent="0.3">
      <c r="A13" s="281" t="s">
        <v>250</v>
      </c>
      <c r="B13" s="293"/>
      <c r="C13" s="287"/>
      <c r="D13" s="286"/>
      <c r="E13" s="286"/>
      <c r="F13" s="297"/>
      <c r="G13" s="293"/>
      <c r="H13" s="287"/>
      <c r="I13" s="286"/>
      <c r="O13" s="278"/>
      <c r="AC13" s="269"/>
    </row>
    <row r="14" spans="1:29" x14ac:dyDescent="0.3">
      <c r="A14" s="281" t="s">
        <v>251</v>
      </c>
      <c r="B14" s="293"/>
      <c r="C14" s="287"/>
      <c r="D14" s="286"/>
      <c r="E14" s="286"/>
      <c r="F14" s="297"/>
      <c r="G14" s="293"/>
      <c r="H14" s="287"/>
      <c r="I14" s="286"/>
      <c r="O14" s="278"/>
      <c r="AC14" s="269"/>
    </row>
    <row r="15" spans="1:29" x14ac:dyDescent="0.3">
      <c r="A15" s="281" t="s">
        <v>252</v>
      </c>
      <c r="B15" s="293"/>
      <c r="C15" s="287"/>
      <c r="D15" s="286"/>
      <c r="E15" s="286"/>
      <c r="F15" s="297"/>
      <c r="G15" s="293"/>
      <c r="H15" s="287"/>
      <c r="I15" s="286"/>
      <c r="O15" s="278"/>
      <c r="AC15" s="269"/>
    </row>
    <row r="16" spans="1:29" x14ac:dyDescent="0.3">
      <c r="A16" s="281" t="s">
        <v>253</v>
      </c>
      <c r="B16" s="293"/>
      <c r="C16" s="287"/>
      <c r="D16" s="286"/>
      <c r="E16" s="286"/>
      <c r="F16" s="297"/>
      <c r="G16" s="293"/>
      <c r="H16" s="287"/>
      <c r="I16" s="286"/>
      <c r="O16" s="278"/>
      <c r="AC16" s="269"/>
    </row>
    <row r="17" spans="1:29" x14ac:dyDescent="0.3">
      <c r="A17" s="281" t="s">
        <v>254</v>
      </c>
      <c r="B17" s="293"/>
      <c r="C17" s="287"/>
      <c r="D17" s="286"/>
      <c r="E17" s="286"/>
      <c r="F17" s="297"/>
      <c r="G17" s="293"/>
      <c r="H17" s="287"/>
      <c r="I17" s="286"/>
      <c r="O17" s="278"/>
      <c r="AC17" s="269"/>
    </row>
    <row r="18" spans="1:29" x14ac:dyDescent="0.3">
      <c r="A18" s="281" t="s">
        <v>255</v>
      </c>
      <c r="B18" s="293"/>
      <c r="C18" s="287"/>
      <c r="D18" s="286"/>
      <c r="E18" s="286"/>
      <c r="F18" s="297"/>
      <c r="G18" s="293"/>
      <c r="H18" s="287"/>
      <c r="I18" s="286"/>
      <c r="O18" s="278"/>
      <c r="AC18" s="269"/>
    </row>
    <row r="19" spans="1:29" x14ac:dyDescent="0.3">
      <c r="A19" s="281" t="s">
        <v>256</v>
      </c>
      <c r="B19" s="293"/>
      <c r="C19" s="287"/>
      <c r="D19" s="286"/>
      <c r="E19" s="286"/>
      <c r="F19" s="297"/>
      <c r="G19" s="293"/>
      <c r="H19" s="287"/>
      <c r="I19" s="286"/>
      <c r="O19" s="278"/>
      <c r="AC19" s="269"/>
    </row>
    <row r="20" spans="1:29" x14ac:dyDescent="0.3">
      <c r="A20" s="281" t="s">
        <v>257</v>
      </c>
      <c r="B20" s="293"/>
      <c r="C20" s="287"/>
      <c r="D20" s="286"/>
      <c r="E20" s="286"/>
      <c r="F20" s="297"/>
      <c r="G20" s="293"/>
      <c r="H20" s="287"/>
      <c r="I20" s="286"/>
      <c r="O20" s="278"/>
      <c r="AC20" s="269"/>
    </row>
    <row r="21" spans="1:29" x14ac:dyDescent="0.3">
      <c r="A21" s="281" t="s">
        <v>258</v>
      </c>
      <c r="B21" s="293"/>
      <c r="C21" s="287"/>
      <c r="D21" s="286"/>
      <c r="E21" s="286"/>
      <c r="F21" s="297"/>
      <c r="G21" s="293"/>
      <c r="H21" s="287"/>
      <c r="I21" s="286"/>
      <c r="O21" s="278"/>
      <c r="AC21" s="269"/>
    </row>
    <row r="22" spans="1:29" x14ac:dyDescent="0.3">
      <c r="A22" s="281" t="s">
        <v>259</v>
      </c>
      <c r="B22" s="293"/>
      <c r="C22" s="287"/>
      <c r="D22" s="286"/>
      <c r="E22" s="286"/>
      <c r="F22" s="297"/>
      <c r="G22" s="293"/>
      <c r="H22" s="287"/>
      <c r="I22" s="286"/>
      <c r="O22" s="278"/>
      <c r="AC22" s="269"/>
    </row>
    <row r="23" spans="1:29" x14ac:dyDescent="0.3">
      <c r="A23" s="281" t="s">
        <v>260</v>
      </c>
      <c r="B23" s="293"/>
      <c r="C23" s="287"/>
      <c r="D23" s="286"/>
      <c r="E23" s="286"/>
      <c r="F23" s="297"/>
      <c r="G23" s="293"/>
      <c r="H23" s="287"/>
      <c r="I23" s="286"/>
      <c r="O23" s="278"/>
      <c r="AC23" s="269"/>
    </row>
    <row r="24" spans="1:29" x14ac:dyDescent="0.3">
      <c r="A24" s="281" t="s">
        <v>261</v>
      </c>
      <c r="B24" s="293"/>
      <c r="C24" s="287"/>
      <c r="D24" s="286"/>
      <c r="E24" s="286"/>
      <c r="F24" s="297"/>
      <c r="G24" s="293"/>
      <c r="H24" s="287"/>
      <c r="I24" s="286"/>
      <c r="O24" s="278"/>
      <c r="AC24" s="269"/>
    </row>
    <row r="25" spans="1:29" x14ac:dyDescent="0.3">
      <c r="A25" s="281" t="s">
        <v>262</v>
      </c>
      <c r="B25" s="293"/>
      <c r="C25" s="287"/>
      <c r="D25" s="286"/>
      <c r="E25" s="286"/>
      <c r="F25" s="297"/>
      <c r="G25" s="293"/>
      <c r="H25" s="287"/>
      <c r="I25" s="286"/>
      <c r="O25" s="278"/>
      <c r="AC25" s="269"/>
    </row>
    <row r="26" spans="1:29" x14ac:dyDescent="0.3">
      <c r="A26" s="281" t="s">
        <v>263</v>
      </c>
      <c r="B26" s="293"/>
      <c r="C26" s="287"/>
      <c r="D26" s="286"/>
      <c r="E26" s="286"/>
      <c r="F26" s="297"/>
      <c r="G26" s="293"/>
      <c r="H26" s="287"/>
      <c r="I26" s="286"/>
      <c r="O26" s="278"/>
      <c r="AC26" s="269"/>
    </row>
    <row r="27" spans="1:29" x14ac:dyDescent="0.3">
      <c r="A27" s="281" t="s">
        <v>264</v>
      </c>
      <c r="B27" s="293"/>
      <c r="C27" s="287"/>
      <c r="D27" s="286"/>
      <c r="E27" s="286"/>
      <c r="F27" s="297"/>
      <c r="G27" s="293"/>
      <c r="H27" s="287"/>
      <c r="I27" s="286"/>
      <c r="O27" s="278"/>
      <c r="AC27" s="269"/>
    </row>
    <row r="28" spans="1:29" x14ac:dyDescent="0.3">
      <c r="A28" s="281" t="s">
        <v>265</v>
      </c>
      <c r="B28" s="293"/>
      <c r="C28" s="287"/>
      <c r="D28" s="286"/>
      <c r="E28" s="286"/>
      <c r="F28" s="297"/>
      <c r="G28" s="293"/>
      <c r="H28" s="287"/>
      <c r="I28" s="286"/>
      <c r="O28" s="278"/>
      <c r="AC28" s="269"/>
    </row>
    <row r="29" spans="1:29" x14ac:dyDescent="0.3">
      <c r="A29" s="281" t="s">
        <v>266</v>
      </c>
      <c r="B29" s="293"/>
      <c r="C29" s="287"/>
      <c r="D29" s="286"/>
      <c r="E29" s="286"/>
      <c r="F29" s="297"/>
      <c r="G29" s="293"/>
      <c r="H29" s="287"/>
      <c r="I29" s="286"/>
      <c r="O29" s="278"/>
      <c r="AC29" s="269"/>
    </row>
    <row r="30" spans="1:29" x14ac:dyDescent="0.3">
      <c r="A30" s="281" t="s">
        <v>267</v>
      </c>
      <c r="B30" s="293"/>
      <c r="C30" s="287"/>
      <c r="D30" s="286"/>
      <c r="E30" s="286"/>
      <c r="F30" s="297"/>
      <c r="G30" s="293"/>
      <c r="H30" s="287"/>
      <c r="I30" s="286"/>
      <c r="O30" s="278"/>
      <c r="AC30" s="269"/>
    </row>
    <row r="31" spans="1:29" x14ac:dyDescent="0.3">
      <c r="A31" s="281" t="s">
        <v>268</v>
      </c>
      <c r="B31" s="293"/>
      <c r="C31" s="287"/>
      <c r="D31" s="286"/>
      <c r="E31" s="286"/>
      <c r="F31" s="297"/>
      <c r="G31" s="293"/>
      <c r="H31" s="287"/>
      <c r="I31" s="286"/>
      <c r="O31" s="278"/>
      <c r="AC31" s="269"/>
    </row>
    <row r="32" spans="1:29" x14ac:dyDescent="0.3">
      <c r="A32" s="281" t="s">
        <v>269</v>
      </c>
      <c r="B32" s="293"/>
      <c r="C32" s="287"/>
      <c r="D32" s="286"/>
      <c r="E32" s="286"/>
      <c r="F32" s="297"/>
      <c r="G32" s="293"/>
      <c r="H32" s="287"/>
      <c r="I32" s="286"/>
      <c r="O32" s="278"/>
      <c r="AC32" s="269"/>
    </row>
    <row r="33" spans="1:29" x14ac:dyDescent="0.3">
      <c r="A33" s="281" t="s">
        <v>270</v>
      </c>
      <c r="B33" s="293"/>
      <c r="C33" s="287"/>
      <c r="D33" s="286"/>
      <c r="E33" s="286"/>
      <c r="F33" s="297"/>
      <c r="G33" s="293"/>
      <c r="H33" s="287"/>
      <c r="I33" s="286"/>
      <c r="O33" s="278"/>
      <c r="AC33" s="269"/>
    </row>
    <row r="34" spans="1:29" ht="15" thickBot="1" x14ac:dyDescent="0.35">
      <c r="A34" s="282" t="s">
        <v>271</v>
      </c>
      <c r="B34" s="294"/>
      <c r="C34" s="283"/>
      <c r="D34" s="228"/>
      <c r="E34" s="228"/>
      <c r="F34" s="298"/>
      <c r="G34" s="294"/>
      <c r="H34" s="283"/>
      <c r="I34" s="228"/>
      <c r="O34" s="278"/>
      <c r="P34"/>
      <c r="Q34"/>
      <c r="R34"/>
      <c r="S34"/>
      <c r="T34"/>
      <c r="U34"/>
      <c r="V34"/>
      <c r="W34"/>
      <c r="X34"/>
      <c r="Y34"/>
      <c r="Z34"/>
      <c r="AA34"/>
      <c r="AB34"/>
    </row>
    <row r="37" spans="1:29" ht="15" thickBot="1" x14ac:dyDescent="0.35"/>
    <row r="38" spans="1:29" ht="43.8" thickBot="1" x14ac:dyDescent="0.35">
      <c r="A38" s="272" t="s">
        <v>272</v>
      </c>
      <c r="B38" s="290" t="s">
        <v>235</v>
      </c>
      <c r="C38" s="288" t="s">
        <v>236</v>
      </c>
      <c r="D38" s="273" t="s">
        <v>237</v>
      </c>
      <c r="E38" s="273" t="s">
        <v>238</v>
      </c>
      <c r="F38" s="295" t="s">
        <v>229</v>
      </c>
      <c r="G38" s="290" t="s">
        <v>239</v>
      </c>
      <c r="H38" s="299" t="s">
        <v>236</v>
      </c>
      <c r="I38" s="274" t="s">
        <v>229</v>
      </c>
    </row>
    <row r="39" spans="1:29" x14ac:dyDescent="0.3">
      <c r="A39" s="277" t="s">
        <v>175</v>
      </c>
      <c r="B39" s="291"/>
      <c r="C39" s="289"/>
      <c r="D39" s="285"/>
      <c r="E39" s="285"/>
      <c r="F39" s="296"/>
      <c r="G39" s="300"/>
      <c r="H39" s="289"/>
      <c r="I39" s="285"/>
    </row>
    <row r="40" spans="1:29" x14ac:dyDescent="0.3">
      <c r="A40" s="279" t="s">
        <v>240</v>
      </c>
      <c r="B40" s="292" t="s">
        <v>241</v>
      </c>
      <c r="C40" s="287"/>
      <c r="D40" s="286"/>
      <c r="E40" s="286"/>
      <c r="F40" s="297"/>
      <c r="G40" s="293"/>
      <c r="H40" s="287"/>
      <c r="I40" s="286"/>
    </row>
    <row r="41" spans="1:29" x14ac:dyDescent="0.3">
      <c r="A41" s="281" t="s">
        <v>242</v>
      </c>
      <c r="B41" s="293"/>
      <c r="C41" s="287"/>
      <c r="D41" s="286"/>
      <c r="E41" s="286"/>
      <c r="F41" s="297"/>
      <c r="G41" s="293"/>
      <c r="H41" s="287"/>
      <c r="I41" s="286"/>
    </row>
    <row r="42" spans="1:29" x14ac:dyDescent="0.3">
      <c r="A42" s="281" t="s">
        <v>243</v>
      </c>
      <c r="B42" s="293"/>
      <c r="C42" s="287"/>
      <c r="D42" s="286"/>
      <c r="E42" s="286"/>
      <c r="F42" s="297"/>
      <c r="G42" s="293"/>
      <c r="H42" s="287"/>
      <c r="I42" s="286"/>
    </row>
    <row r="43" spans="1:29" x14ac:dyDescent="0.3">
      <c r="A43" s="281" t="s">
        <v>244</v>
      </c>
      <c r="B43" s="293"/>
      <c r="C43" s="287"/>
      <c r="D43" s="286"/>
      <c r="E43" s="286"/>
      <c r="F43" s="297"/>
      <c r="G43" s="293"/>
      <c r="H43" s="287"/>
      <c r="I43" s="286"/>
    </row>
    <row r="44" spans="1:29" x14ac:dyDescent="0.3">
      <c r="A44" s="281" t="s">
        <v>245</v>
      </c>
      <c r="B44" s="293"/>
      <c r="C44" s="287"/>
      <c r="D44" s="286"/>
      <c r="E44" s="286"/>
      <c r="F44" s="297"/>
      <c r="G44" s="293"/>
      <c r="H44" s="287"/>
      <c r="I44" s="286"/>
    </row>
    <row r="45" spans="1:29" x14ac:dyDescent="0.3">
      <c r="A45" s="281" t="s">
        <v>246</v>
      </c>
      <c r="B45" s="293"/>
      <c r="C45" s="287"/>
      <c r="D45" s="286"/>
      <c r="E45" s="286"/>
      <c r="F45" s="297"/>
      <c r="G45" s="293"/>
      <c r="H45" s="287"/>
      <c r="I45" s="286"/>
    </row>
    <row r="46" spans="1:29" x14ac:dyDescent="0.3">
      <c r="A46" s="281" t="s">
        <v>247</v>
      </c>
      <c r="B46" s="293"/>
      <c r="C46" s="287"/>
      <c r="D46" s="286"/>
      <c r="E46" s="286"/>
      <c r="F46" s="297"/>
      <c r="G46" s="293"/>
      <c r="H46" s="287"/>
      <c r="I46" s="286"/>
    </row>
    <row r="47" spans="1:29" x14ac:dyDescent="0.3">
      <c r="A47" s="281" t="s">
        <v>248</v>
      </c>
      <c r="B47" s="293"/>
      <c r="C47" s="287"/>
      <c r="D47" s="286"/>
      <c r="E47" s="286"/>
      <c r="F47" s="297"/>
      <c r="G47" s="293"/>
      <c r="H47" s="287"/>
      <c r="I47" s="286"/>
    </row>
    <row r="48" spans="1:29" x14ac:dyDescent="0.3">
      <c r="A48" s="281" t="s">
        <v>249</v>
      </c>
      <c r="B48" s="293"/>
      <c r="C48" s="287"/>
      <c r="D48" s="286"/>
      <c r="E48" s="286"/>
      <c r="F48" s="297"/>
      <c r="G48" s="293"/>
      <c r="H48" s="287"/>
      <c r="I48" s="286"/>
    </row>
    <row r="49" spans="1:9" x14ac:dyDescent="0.3">
      <c r="A49" s="281" t="s">
        <v>250</v>
      </c>
      <c r="B49" s="293"/>
      <c r="C49" s="287"/>
      <c r="D49" s="286"/>
      <c r="E49" s="286"/>
      <c r="F49" s="297"/>
      <c r="G49" s="293"/>
      <c r="H49" s="287"/>
      <c r="I49" s="286"/>
    </row>
    <row r="50" spans="1:9" x14ac:dyDescent="0.3">
      <c r="A50" s="281" t="s">
        <v>251</v>
      </c>
      <c r="B50" s="293"/>
      <c r="C50" s="287"/>
      <c r="D50" s="286"/>
      <c r="E50" s="286"/>
      <c r="F50" s="297"/>
      <c r="G50" s="293"/>
      <c r="H50" s="287"/>
      <c r="I50" s="286"/>
    </row>
    <row r="51" spans="1:9" x14ac:dyDescent="0.3">
      <c r="A51" s="281" t="s">
        <v>252</v>
      </c>
      <c r="B51" s="293"/>
      <c r="C51" s="287"/>
      <c r="D51" s="286"/>
      <c r="E51" s="286"/>
      <c r="F51" s="297"/>
      <c r="G51" s="293"/>
      <c r="H51" s="287"/>
      <c r="I51" s="286"/>
    </row>
    <row r="52" spans="1:9" x14ac:dyDescent="0.3">
      <c r="A52" s="281" t="s">
        <v>253</v>
      </c>
      <c r="B52" s="293"/>
      <c r="C52" s="287"/>
      <c r="D52" s="286"/>
      <c r="E52" s="286"/>
      <c r="F52" s="297"/>
      <c r="G52" s="293"/>
      <c r="H52" s="287"/>
      <c r="I52" s="286"/>
    </row>
    <row r="53" spans="1:9" x14ac:dyDescent="0.3">
      <c r="A53" s="281" t="s">
        <v>254</v>
      </c>
      <c r="B53" s="293"/>
      <c r="C53" s="287"/>
      <c r="D53" s="286"/>
      <c r="E53" s="286"/>
      <c r="F53" s="297"/>
      <c r="G53" s="293"/>
      <c r="H53" s="287"/>
      <c r="I53" s="286"/>
    </row>
    <row r="54" spans="1:9" x14ac:dyDescent="0.3">
      <c r="A54" s="281" t="s">
        <v>255</v>
      </c>
      <c r="B54" s="293"/>
      <c r="C54" s="287"/>
      <c r="D54" s="286"/>
      <c r="E54" s="286"/>
      <c r="F54" s="297"/>
      <c r="G54" s="293"/>
      <c r="H54" s="287"/>
      <c r="I54" s="286"/>
    </row>
    <row r="55" spans="1:9" x14ac:dyDescent="0.3">
      <c r="A55" s="281" t="s">
        <v>256</v>
      </c>
      <c r="B55" s="293"/>
      <c r="C55" s="287"/>
      <c r="D55" s="286"/>
      <c r="E55" s="286"/>
      <c r="F55" s="297"/>
      <c r="G55" s="293"/>
      <c r="H55" s="287"/>
      <c r="I55" s="286"/>
    </row>
    <row r="56" spans="1:9" x14ac:dyDescent="0.3">
      <c r="A56" s="281" t="s">
        <v>257</v>
      </c>
      <c r="B56" s="293"/>
      <c r="C56" s="287"/>
      <c r="D56" s="286"/>
      <c r="E56" s="286"/>
      <c r="F56" s="297"/>
      <c r="G56" s="293"/>
      <c r="H56" s="287"/>
      <c r="I56" s="286"/>
    </row>
    <row r="57" spans="1:9" x14ac:dyDescent="0.3">
      <c r="A57" s="281" t="s">
        <v>258</v>
      </c>
      <c r="B57" s="293"/>
      <c r="C57" s="287"/>
      <c r="D57" s="286"/>
      <c r="E57" s="286"/>
      <c r="F57" s="297"/>
      <c r="G57" s="293"/>
      <c r="H57" s="287"/>
      <c r="I57" s="286"/>
    </row>
    <row r="58" spans="1:9" x14ac:dyDescent="0.3">
      <c r="A58" s="281" t="s">
        <v>259</v>
      </c>
      <c r="B58" s="293"/>
      <c r="C58" s="287"/>
      <c r="D58" s="286"/>
      <c r="E58" s="286"/>
      <c r="F58" s="297"/>
      <c r="G58" s="293"/>
      <c r="H58" s="287"/>
      <c r="I58" s="286"/>
    </row>
    <row r="59" spans="1:9" x14ac:dyDescent="0.3">
      <c r="A59" s="281" t="s">
        <v>260</v>
      </c>
      <c r="B59" s="293"/>
      <c r="C59" s="287"/>
      <c r="D59" s="286"/>
      <c r="E59" s="286"/>
      <c r="F59" s="297"/>
      <c r="G59" s="293"/>
      <c r="H59" s="287"/>
      <c r="I59" s="286"/>
    </row>
    <row r="60" spans="1:9" x14ac:dyDescent="0.3">
      <c r="A60" s="281" t="s">
        <v>261</v>
      </c>
      <c r="B60" s="293"/>
      <c r="C60" s="287"/>
      <c r="D60" s="286"/>
      <c r="E60" s="286"/>
      <c r="F60" s="297"/>
      <c r="G60" s="293"/>
      <c r="H60" s="287"/>
      <c r="I60" s="286"/>
    </row>
    <row r="61" spans="1:9" x14ac:dyDescent="0.3">
      <c r="A61" s="281" t="s">
        <v>262</v>
      </c>
      <c r="B61" s="293"/>
      <c r="C61" s="287"/>
      <c r="D61" s="286"/>
      <c r="E61" s="286"/>
      <c r="F61" s="297"/>
      <c r="G61" s="293"/>
      <c r="H61" s="287"/>
      <c r="I61" s="286"/>
    </row>
    <row r="62" spans="1:9" x14ac:dyDescent="0.3">
      <c r="A62" s="281" t="s">
        <v>263</v>
      </c>
      <c r="B62" s="293"/>
      <c r="C62" s="287"/>
      <c r="D62" s="286"/>
      <c r="E62" s="286"/>
      <c r="F62" s="297"/>
      <c r="G62" s="293"/>
      <c r="H62" s="287"/>
      <c r="I62" s="286"/>
    </row>
    <row r="63" spans="1:9" x14ac:dyDescent="0.3">
      <c r="A63" s="281" t="s">
        <v>264</v>
      </c>
      <c r="B63" s="293"/>
      <c r="C63" s="287"/>
      <c r="D63" s="286"/>
      <c r="E63" s="286"/>
      <c r="F63" s="297"/>
      <c r="G63" s="293"/>
      <c r="H63" s="287"/>
      <c r="I63" s="286"/>
    </row>
    <row r="64" spans="1:9" x14ac:dyDescent="0.3">
      <c r="A64" s="281" t="s">
        <v>265</v>
      </c>
      <c r="B64" s="293"/>
      <c r="C64" s="287"/>
      <c r="D64" s="286"/>
      <c r="E64" s="286"/>
      <c r="F64" s="297"/>
      <c r="G64" s="293"/>
      <c r="H64" s="287"/>
      <c r="I64" s="286"/>
    </row>
    <row r="65" spans="1:9" x14ac:dyDescent="0.3">
      <c r="A65" s="281" t="s">
        <v>266</v>
      </c>
      <c r="B65" s="293"/>
      <c r="C65" s="287"/>
      <c r="D65" s="286"/>
      <c r="E65" s="286"/>
      <c r="F65" s="297"/>
      <c r="G65" s="293"/>
      <c r="H65" s="287"/>
      <c r="I65" s="286"/>
    </row>
    <row r="66" spans="1:9" x14ac:dyDescent="0.3">
      <c r="A66" s="281" t="s">
        <v>267</v>
      </c>
      <c r="B66" s="293"/>
      <c r="C66" s="287"/>
      <c r="D66" s="286"/>
      <c r="E66" s="286"/>
      <c r="F66" s="297"/>
      <c r="G66" s="293"/>
      <c r="H66" s="287"/>
      <c r="I66" s="286"/>
    </row>
    <row r="67" spans="1:9" x14ac:dyDescent="0.3">
      <c r="A67" s="281" t="s">
        <v>268</v>
      </c>
      <c r="B67" s="293"/>
      <c r="C67" s="287"/>
      <c r="D67" s="286"/>
      <c r="E67" s="286"/>
      <c r="F67" s="297"/>
      <c r="G67" s="293"/>
      <c r="H67" s="287"/>
      <c r="I67" s="286"/>
    </row>
    <row r="68" spans="1:9" x14ac:dyDescent="0.3">
      <c r="A68" s="281" t="s">
        <v>269</v>
      </c>
      <c r="B68" s="293"/>
      <c r="C68" s="287"/>
      <c r="D68" s="286"/>
      <c r="E68" s="286"/>
      <c r="F68" s="297"/>
      <c r="G68" s="293"/>
      <c r="H68" s="287"/>
      <c r="I68" s="286"/>
    </row>
    <row r="69" spans="1:9" x14ac:dyDescent="0.3">
      <c r="A69" s="281" t="s">
        <v>270</v>
      </c>
      <c r="B69" s="293"/>
      <c r="C69" s="287"/>
      <c r="D69" s="286"/>
      <c r="E69" s="286"/>
      <c r="F69" s="297"/>
      <c r="G69" s="293"/>
      <c r="H69" s="287"/>
      <c r="I69" s="286"/>
    </row>
    <row r="70" spans="1:9" ht="15" thickBot="1" x14ac:dyDescent="0.35">
      <c r="A70" s="282" t="s">
        <v>271</v>
      </c>
      <c r="B70" s="294"/>
      <c r="C70" s="283"/>
      <c r="D70" s="228"/>
      <c r="E70" s="228"/>
      <c r="F70" s="298"/>
      <c r="G70" s="294"/>
      <c r="H70" s="283"/>
      <c r="I70" s="228"/>
    </row>
  </sheetData>
  <pageMargins left="0.7" right="0.7" top="0.75" bottom="0.75" header="0.3" footer="0.3"/>
  <pageSetup paperSize="9" scale="6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1:I138"/>
  <sheetViews>
    <sheetView view="pageBreakPreview" topLeftCell="A52" zoomScale="60" zoomScaleNormal="80" workbookViewId="0">
      <selection activeCell="I105" sqref="I105"/>
    </sheetView>
  </sheetViews>
  <sheetFormatPr defaultColWidth="8.88671875" defaultRowHeight="14.4" x14ac:dyDescent="0.3"/>
  <cols>
    <col min="1" max="1" width="26" customWidth="1"/>
    <col min="2" max="2" width="11.44140625" customWidth="1"/>
    <col min="4" max="4" width="20.88671875" customWidth="1"/>
    <col min="6" max="8" width="12.44140625" bestFit="1" customWidth="1"/>
    <col min="9" max="9" width="13.109375" bestFit="1" customWidth="1"/>
  </cols>
  <sheetData>
    <row r="1" spans="1:9" ht="15" thickBot="1" x14ac:dyDescent="0.35"/>
    <row r="2" spans="1:9" x14ac:dyDescent="0.3">
      <c r="A2" s="788" t="str">
        <f>'Parametre - Agendové IS'!G1</f>
        <v>Úspora nádkladov na procesy Prípravné štatistické činnosti</v>
      </c>
      <c r="B2" s="789"/>
      <c r="C2" s="790"/>
      <c r="D2" s="794" t="s">
        <v>109</v>
      </c>
      <c r="E2" s="795"/>
      <c r="F2" s="329" t="s">
        <v>170</v>
      </c>
      <c r="G2" s="329" t="s">
        <v>171</v>
      </c>
      <c r="H2" s="329" t="s">
        <v>172</v>
      </c>
      <c r="I2" s="329" t="s">
        <v>174</v>
      </c>
    </row>
    <row r="3" spans="1:9" ht="15" thickBot="1" x14ac:dyDescent="0.35">
      <c r="A3" s="791"/>
      <c r="B3" s="792"/>
      <c r="C3" s="793"/>
      <c r="D3" s="526" t="s">
        <v>365</v>
      </c>
      <c r="E3" s="527" t="s">
        <v>173</v>
      </c>
      <c r="F3" s="164" t="s">
        <v>173</v>
      </c>
      <c r="G3" s="164" t="s">
        <v>173</v>
      </c>
      <c r="H3" s="164" t="s">
        <v>173</v>
      </c>
      <c r="I3" s="164" t="s">
        <v>173</v>
      </c>
    </row>
    <row r="4" spans="1:9" ht="15" customHeight="1" x14ac:dyDescent="0.3">
      <c r="A4" s="782" t="s">
        <v>43</v>
      </c>
      <c r="B4" s="785" t="s">
        <v>191</v>
      </c>
      <c r="C4" s="165" t="s">
        <v>25</v>
      </c>
      <c r="D4" s="528" t="str">
        <f>IF(E4='Parametre - Agendové IS'!H85,"OK","Chyba počtu FTE")</f>
        <v>Chyba počtu FTE</v>
      </c>
      <c r="E4" s="529">
        <f t="shared" ref="E4:E33" si="0">F4+G4+H4+I4</f>
        <v>0</v>
      </c>
      <c r="F4" s="227"/>
      <c r="G4" s="227"/>
      <c r="H4" s="227"/>
      <c r="I4" s="227"/>
    </row>
    <row r="5" spans="1:9" x14ac:dyDescent="0.3">
      <c r="A5" s="783"/>
      <c r="B5" s="786"/>
      <c r="C5" s="162" t="s">
        <v>26</v>
      </c>
      <c r="D5" s="530" t="str">
        <f>IF(E5='Parametre - Agendové IS'!H86,"OK","Chyba počtu FTE")</f>
        <v>Chyba počtu FTE</v>
      </c>
      <c r="E5" s="531">
        <f t="shared" si="0"/>
        <v>0</v>
      </c>
      <c r="F5" s="228"/>
      <c r="G5" s="228"/>
      <c r="H5" s="228"/>
      <c r="I5" s="228"/>
    </row>
    <row r="6" spans="1:9" x14ac:dyDescent="0.3">
      <c r="A6" s="783"/>
      <c r="B6" s="786"/>
      <c r="C6" s="162" t="s">
        <v>27</v>
      </c>
      <c r="D6" s="530" t="str">
        <f>IF(E6='Parametre - Agendové IS'!H87,"OK","Chyba počtu FTE")</f>
        <v>Chyba počtu FTE</v>
      </c>
      <c r="E6" s="531">
        <f t="shared" si="0"/>
        <v>0</v>
      </c>
      <c r="F6" s="228"/>
      <c r="G6" s="228"/>
      <c r="H6" s="228"/>
      <c r="I6" s="228"/>
    </row>
    <row r="7" spans="1:9" x14ac:dyDescent="0.3">
      <c r="A7" s="783"/>
      <c r="B7" s="786"/>
      <c r="C7" s="162" t="s">
        <v>28</v>
      </c>
      <c r="D7" s="530" t="str">
        <f>IF(E7='Parametre - Agendové IS'!H88,"OK","Chyba počtu FTE")</f>
        <v>Chyba počtu FTE</v>
      </c>
      <c r="E7" s="531">
        <f t="shared" si="0"/>
        <v>0</v>
      </c>
      <c r="F7" s="228"/>
      <c r="G7" s="228"/>
      <c r="H7" s="228"/>
      <c r="I7" s="228"/>
    </row>
    <row r="8" spans="1:9" x14ac:dyDescent="0.3">
      <c r="A8" s="783"/>
      <c r="B8" s="786"/>
      <c r="C8" s="162" t="s">
        <v>29</v>
      </c>
      <c r="D8" s="530" t="str">
        <f>IF(E8='Parametre - Agendové IS'!H89,"OK","Chyba počtu FTE")</f>
        <v>Chyba počtu FTE</v>
      </c>
      <c r="E8" s="531">
        <f t="shared" si="0"/>
        <v>0</v>
      </c>
      <c r="F8" s="228"/>
      <c r="G8" s="228"/>
      <c r="H8" s="228"/>
      <c r="I8" s="228"/>
    </row>
    <row r="9" spans="1:9" x14ac:dyDescent="0.3">
      <c r="A9" s="783"/>
      <c r="B9" s="786"/>
      <c r="C9" s="162" t="s">
        <v>30</v>
      </c>
      <c r="D9" s="530" t="str">
        <f>IF(E9='Parametre - Agendové IS'!H90,"OK","Chyba počtu FTE")</f>
        <v>Chyba počtu FTE</v>
      </c>
      <c r="E9" s="531">
        <f t="shared" si="0"/>
        <v>0</v>
      </c>
      <c r="F9" s="228"/>
      <c r="G9" s="228"/>
      <c r="H9" s="228"/>
      <c r="I9" s="228"/>
    </row>
    <row r="10" spans="1:9" x14ac:dyDescent="0.3">
      <c r="A10" s="783"/>
      <c r="B10" s="786"/>
      <c r="C10" s="162" t="s">
        <v>31</v>
      </c>
      <c r="D10" s="530" t="str">
        <f>IF(E10='Parametre - Agendové IS'!H91,"OK","Chyba počtu FTE")</f>
        <v>Chyba počtu FTE</v>
      </c>
      <c r="E10" s="531">
        <f t="shared" si="0"/>
        <v>0</v>
      </c>
      <c r="F10" s="228"/>
      <c r="G10" s="228"/>
      <c r="H10" s="228"/>
      <c r="I10" s="228"/>
    </row>
    <row r="11" spans="1:9" x14ac:dyDescent="0.3">
      <c r="A11" s="783"/>
      <c r="B11" s="786"/>
      <c r="C11" s="162" t="s">
        <v>32</v>
      </c>
      <c r="D11" s="530" t="str">
        <f>IF(E11='Parametre - Agendové IS'!H92,"OK","Chyba počtu FTE")</f>
        <v>Chyba počtu FTE</v>
      </c>
      <c r="E11" s="531">
        <f t="shared" si="0"/>
        <v>0</v>
      </c>
      <c r="F11" s="228"/>
      <c r="G11" s="228"/>
      <c r="H11" s="228"/>
      <c r="I11" s="228"/>
    </row>
    <row r="12" spans="1:9" x14ac:dyDescent="0.3">
      <c r="A12" s="783"/>
      <c r="B12" s="786"/>
      <c r="C12" s="162" t="s">
        <v>33</v>
      </c>
      <c r="D12" s="530" t="str">
        <f>IF(E12='Parametre - Agendové IS'!H93,"OK","Chyba počtu FTE")</f>
        <v>Chyba počtu FTE</v>
      </c>
      <c r="E12" s="531">
        <f t="shared" si="0"/>
        <v>0</v>
      </c>
      <c r="F12" s="228"/>
      <c r="G12" s="228"/>
      <c r="H12" s="228"/>
      <c r="I12" s="228"/>
    </row>
    <row r="13" spans="1:9" ht="15" thickBot="1" x14ac:dyDescent="0.35">
      <c r="A13" s="783"/>
      <c r="B13" s="786"/>
      <c r="C13" s="162" t="s">
        <v>34</v>
      </c>
      <c r="D13" s="532" t="str">
        <f>IF(E13='Parametre - Agendové IS'!H94,"OK","Chyba počtu FTE")</f>
        <v>Chyba počtu FTE</v>
      </c>
      <c r="E13" s="533">
        <f t="shared" si="0"/>
        <v>0</v>
      </c>
      <c r="F13" s="229"/>
      <c r="G13" s="229"/>
      <c r="H13" s="229"/>
      <c r="I13" s="229"/>
    </row>
    <row r="14" spans="1:9" ht="15" customHeight="1" x14ac:dyDescent="0.3">
      <c r="A14" s="782" t="s">
        <v>41</v>
      </c>
      <c r="B14" s="785" t="s">
        <v>37</v>
      </c>
      <c r="C14" s="165" t="s">
        <v>25</v>
      </c>
      <c r="D14" s="529" t="str">
        <f>IF(E14='Parametre - Agendové IS'!H4,"OK","Chyba počtu podaní")</f>
        <v>Chyba počtu podaní</v>
      </c>
      <c r="E14" s="534">
        <f t="shared" si="0"/>
        <v>0</v>
      </c>
      <c r="F14" s="227"/>
      <c r="G14" s="227"/>
      <c r="H14" s="227"/>
      <c r="I14" s="227"/>
    </row>
    <row r="15" spans="1:9" x14ac:dyDescent="0.3">
      <c r="A15" s="783"/>
      <c r="B15" s="786"/>
      <c r="C15" s="162" t="s">
        <v>26</v>
      </c>
      <c r="D15" s="530" t="str">
        <f>IF(E15='Parametre - Agendové IS'!H5,"OK","Chyba počtu podaní")</f>
        <v>Chyba počtu podaní</v>
      </c>
      <c r="E15" s="531">
        <f t="shared" si="0"/>
        <v>0</v>
      </c>
      <c r="F15" s="228"/>
      <c r="G15" s="228"/>
      <c r="H15" s="228"/>
      <c r="I15" s="228"/>
    </row>
    <row r="16" spans="1:9" x14ac:dyDescent="0.3">
      <c r="A16" s="783"/>
      <c r="B16" s="786"/>
      <c r="C16" s="162" t="s">
        <v>27</v>
      </c>
      <c r="D16" s="530" t="str">
        <f>IF(E16='Parametre - Agendové IS'!H6,"OK","Chyba počtu podaní")</f>
        <v>Chyba počtu podaní</v>
      </c>
      <c r="E16" s="531">
        <f t="shared" si="0"/>
        <v>0</v>
      </c>
      <c r="F16" s="228"/>
      <c r="G16" s="228"/>
      <c r="H16" s="228"/>
      <c r="I16" s="228"/>
    </row>
    <row r="17" spans="1:9" x14ac:dyDescent="0.3">
      <c r="A17" s="783"/>
      <c r="B17" s="786"/>
      <c r="C17" s="162" t="s">
        <v>28</v>
      </c>
      <c r="D17" s="530" t="str">
        <f>IF(E17='Parametre - Agendové IS'!H7,"OK","Chyba počtu podaní")</f>
        <v>Chyba počtu podaní</v>
      </c>
      <c r="E17" s="531">
        <f t="shared" si="0"/>
        <v>0</v>
      </c>
      <c r="F17" s="228"/>
      <c r="G17" s="228"/>
      <c r="H17" s="228"/>
      <c r="I17" s="228"/>
    </row>
    <row r="18" spans="1:9" x14ac:dyDescent="0.3">
      <c r="A18" s="783"/>
      <c r="B18" s="786"/>
      <c r="C18" s="162" t="s">
        <v>29</v>
      </c>
      <c r="D18" s="530" t="str">
        <f>IF(E18='Parametre - Agendové IS'!H8,"OK","Chyba počtu podaní")</f>
        <v>Chyba počtu podaní</v>
      </c>
      <c r="E18" s="531">
        <f t="shared" si="0"/>
        <v>0</v>
      </c>
      <c r="F18" s="228"/>
      <c r="G18" s="228"/>
      <c r="H18" s="228"/>
      <c r="I18" s="228"/>
    </row>
    <row r="19" spans="1:9" x14ac:dyDescent="0.3">
      <c r="A19" s="783"/>
      <c r="B19" s="786"/>
      <c r="C19" s="162" t="s">
        <v>30</v>
      </c>
      <c r="D19" s="530" t="str">
        <f>IF(E19='Parametre - Agendové IS'!H9,"OK","Chyba počtu podaní")</f>
        <v>Chyba počtu podaní</v>
      </c>
      <c r="E19" s="531">
        <f t="shared" si="0"/>
        <v>0</v>
      </c>
      <c r="F19" s="228"/>
      <c r="G19" s="228"/>
      <c r="H19" s="228"/>
      <c r="I19" s="228"/>
    </row>
    <row r="20" spans="1:9" x14ac:dyDescent="0.3">
      <c r="A20" s="783"/>
      <c r="B20" s="786"/>
      <c r="C20" s="162" t="s">
        <v>31</v>
      </c>
      <c r="D20" s="530" t="str">
        <f>IF(E20='Parametre - Agendové IS'!H10,"OK","Chyba počtu podaní")</f>
        <v>Chyba počtu podaní</v>
      </c>
      <c r="E20" s="531">
        <f t="shared" si="0"/>
        <v>0</v>
      </c>
      <c r="F20" s="228"/>
      <c r="G20" s="228"/>
      <c r="H20" s="228"/>
      <c r="I20" s="228"/>
    </row>
    <row r="21" spans="1:9" x14ac:dyDescent="0.3">
      <c r="A21" s="783"/>
      <c r="B21" s="786"/>
      <c r="C21" s="162" t="s">
        <v>32</v>
      </c>
      <c r="D21" s="530" t="str">
        <f>IF(E21='Parametre - Agendové IS'!H11,"OK","Chyba počtu podaní")</f>
        <v>Chyba počtu podaní</v>
      </c>
      <c r="E21" s="531">
        <f t="shared" si="0"/>
        <v>0</v>
      </c>
      <c r="F21" s="228"/>
      <c r="G21" s="228"/>
      <c r="H21" s="228"/>
      <c r="I21" s="228"/>
    </row>
    <row r="22" spans="1:9" x14ac:dyDescent="0.3">
      <c r="A22" s="783"/>
      <c r="B22" s="786"/>
      <c r="C22" s="162" t="s">
        <v>33</v>
      </c>
      <c r="D22" s="530" t="str">
        <f>IF(E22='Parametre - Agendové IS'!H12,"OK","Chyba počtu podaní")</f>
        <v>Chyba počtu podaní</v>
      </c>
      <c r="E22" s="531">
        <f t="shared" si="0"/>
        <v>0</v>
      </c>
      <c r="F22" s="228"/>
      <c r="G22" s="228"/>
      <c r="H22" s="228"/>
      <c r="I22" s="228"/>
    </row>
    <row r="23" spans="1:9" ht="15" thickBot="1" x14ac:dyDescent="0.35">
      <c r="A23" s="784"/>
      <c r="B23" s="787"/>
      <c r="C23" s="163" t="s">
        <v>34</v>
      </c>
      <c r="D23" s="530" t="str">
        <f>IF(E23='Parametre - Agendové IS'!H13,"OK","Chyba počtu podaní")</f>
        <v>Chyba počtu podaní</v>
      </c>
      <c r="E23" s="531">
        <f t="shared" si="0"/>
        <v>0</v>
      </c>
      <c r="F23" s="228"/>
      <c r="G23" s="228"/>
      <c r="H23" s="228"/>
      <c r="I23" s="228"/>
    </row>
    <row r="24" spans="1:9" x14ac:dyDescent="0.3">
      <c r="A24" s="782" t="s">
        <v>39</v>
      </c>
      <c r="B24" s="785" t="s">
        <v>13</v>
      </c>
      <c r="C24" s="165" t="s">
        <v>25</v>
      </c>
      <c r="D24" s="529" t="str">
        <f>IF(E24='Parametre - Agendové IS'!H125,"OK","Chyba")</f>
        <v>OK</v>
      </c>
      <c r="E24" s="534">
        <f t="shared" si="0"/>
        <v>0</v>
      </c>
      <c r="F24" s="227"/>
      <c r="G24" s="227"/>
      <c r="H24" s="227"/>
      <c r="I24" s="227"/>
    </row>
    <row r="25" spans="1:9" x14ac:dyDescent="0.3">
      <c r="A25" s="783"/>
      <c r="B25" s="786"/>
      <c r="C25" s="162" t="s">
        <v>26</v>
      </c>
      <c r="D25" s="530" t="str">
        <f>IF(E25='Parametre - Agendové IS'!H126,"OK","Chyba")</f>
        <v>OK</v>
      </c>
      <c r="E25" s="531">
        <f t="shared" si="0"/>
        <v>0</v>
      </c>
      <c r="F25" s="228"/>
      <c r="G25" s="228"/>
      <c r="H25" s="228"/>
      <c r="I25" s="228"/>
    </row>
    <row r="26" spans="1:9" x14ac:dyDescent="0.3">
      <c r="A26" s="783"/>
      <c r="B26" s="786"/>
      <c r="C26" s="162" t="s">
        <v>27</v>
      </c>
      <c r="D26" s="530" t="str">
        <f>IF(E26='Parametre - Agendové IS'!H127,"OK","Chyba")</f>
        <v>OK</v>
      </c>
      <c r="E26" s="531">
        <f t="shared" si="0"/>
        <v>0</v>
      </c>
      <c r="F26" s="228"/>
      <c r="G26" s="228"/>
      <c r="H26" s="228"/>
      <c r="I26" s="228"/>
    </row>
    <row r="27" spans="1:9" x14ac:dyDescent="0.3">
      <c r="A27" s="783"/>
      <c r="B27" s="786"/>
      <c r="C27" s="162" t="s">
        <v>28</v>
      </c>
      <c r="D27" s="530" t="str">
        <f>IF(E27='Parametre - Agendové IS'!H128,"OK","Chyba")</f>
        <v>OK</v>
      </c>
      <c r="E27" s="531">
        <f t="shared" si="0"/>
        <v>0</v>
      </c>
      <c r="F27" s="228"/>
      <c r="G27" s="228"/>
      <c r="H27" s="228"/>
      <c r="I27" s="228"/>
    </row>
    <row r="28" spans="1:9" x14ac:dyDescent="0.3">
      <c r="A28" s="783"/>
      <c r="B28" s="786"/>
      <c r="C28" s="162" t="s">
        <v>29</v>
      </c>
      <c r="D28" s="530" t="str">
        <f>IF(E28='Parametre - Agendové IS'!H129,"OK","Chyba")</f>
        <v>OK</v>
      </c>
      <c r="E28" s="531">
        <f t="shared" si="0"/>
        <v>0</v>
      </c>
      <c r="F28" s="228"/>
      <c r="G28" s="228"/>
      <c r="H28" s="228"/>
      <c r="I28" s="228"/>
    </row>
    <row r="29" spans="1:9" x14ac:dyDescent="0.3">
      <c r="A29" s="783"/>
      <c r="B29" s="786"/>
      <c r="C29" s="162" t="s">
        <v>30</v>
      </c>
      <c r="D29" s="530" t="str">
        <f>IF(E29='Parametre - Agendové IS'!H130,"OK","Chyba")</f>
        <v>OK</v>
      </c>
      <c r="E29" s="531">
        <f t="shared" si="0"/>
        <v>0</v>
      </c>
      <c r="F29" s="228"/>
      <c r="G29" s="228"/>
      <c r="H29" s="228"/>
      <c r="I29" s="228"/>
    </row>
    <row r="30" spans="1:9" x14ac:dyDescent="0.3">
      <c r="A30" s="783"/>
      <c r="B30" s="786"/>
      <c r="C30" s="162" t="s">
        <v>31</v>
      </c>
      <c r="D30" s="530" t="str">
        <f>IF(E30='Parametre - Agendové IS'!H131,"OK","Chyba")</f>
        <v>OK</v>
      </c>
      <c r="E30" s="531">
        <f t="shared" si="0"/>
        <v>0</v>
      </c>
      <c r="F30" s="228"/>
      <c r="G30" s="228"/>
      <c r="H30" s="228"/>
      <c r="I30" s="228"/>
    </row>
    <row r="31" spans="1:9" x14ac:dyDescent="0.3">
      <c r="A31" s="783"/>
      <c r="B31" s="786"/>
      <c r="C31" s="162" t="s">
        <v>32</v>
      </c>
      <c r="D31" s="530" t="str">
        <f>IF(E31='Parametre - Agendové IS'!H132,"OK","Chyba")</f>
        <v>OK</v>
      </c>
      <c r="E31" s="531">
        <f t="shared" si="0"/>
        <v>0</v>
      </c>
      <c r="F31" s="228"/>
      <c r="G31" s="228"/>
      <c r="H31" s="228"/>
      <c r="I31" s="228"/>
    </row>
    <row r="32" spans="1:9" x14ac:dyDescent="0.3">
      <c r="A32" s="783"/>
      <c r="B32" s="786"/>
      <c r="C32" s="162" t="s">
        <v>33</v>
      </c>
      <c r="D32" s="530" t="str">
        <f>IF(E32='Parametre - Agendové IS'!H133,"OK","Chyba")</f>
        <v>OK</v>
      </c>
      <c r="E32" s="531">
        <f t="shared" si="0"/>
        <v>0</v>
      </c>
      <c r="F32" s="228"/>
      <c r="G32" s="228"/>
      <c r="H32" s="228"/>
      <c r="I32" s="228"/>
    </row>
    <row r="33" spans="1:9" ht="15" thickBot="1" x14ac:dyDescent="0.35">
      <c r="A33" s="784"/>
      <c r="B33" s="787"/>
      <c r="C33" s="163" t="s">
        <v>34</v>
      </c>
      <c r="D33" s="530" t="str">
        <f>IF(E33='Parametre - Agendové IS'!H134,"OK","Chyba")</f>
        <v>OK</v>
      </c>
      <c r="E33" s="531">
        <f t="shared" si="0"/>
        <v>0</v>
      </c>
      <c r="F33" s="228"/>
      <c r="G33" s="228"/>
      <c r="H33" s="228"/>
      <c r="I33" s="228"/>
    </row>
    <row r="34" spans="1:9" x14ac:dyDescent="0.3">
      <c r="A34" s="160"/>
      <c r="B34" s="161"/>
    </row>
    <row r="35" spans="1:9" x14ac:dyDescent="0.3">
      <c r="A35" s="160"/>
      <c r="B35" s="161"/>
    </row>
    <row r="36" spans="1:9" ht="15" thickBot="1" x14ac:dyDescent="0.35">
      <c r="A36" s="160"/>
      <c r="B36" s="161"/>
    </row>
    <row r="37" spans="1:9" x14ac:dyDescent="0.3">
      <c r="A37" s="788" t="str">
        <f>'Parametre - Agendové IS'!J1</f>
        <v>Úspora nádkladov na procesy Zber a spracovanie štatistických údajov a informácií</v>
      </c>
      <c r="B37" s="789"/>
      <c r="C37" s="790"/>
      <c r="D37" s="794" t="s">
        <v>109</v>
      </c>
      <c r="E37" s="795"/>
      <c r="F37" s="329" t="s">
        <v>170</v>
      </c>
      <c r="G37" s="329" t="s">
        <v>171</v>
      </c>
      <c r="H37" s="329" t="s">
        <v>172</v>
      </c>
      <c r="I37" s="329" t="s">
        <v>174</v>
      </c>
    </row>
    <row r="38" spans="1:9" ht="15" thickBot="1" x14ac:dyDescent="0.35">
      <c r="A38" s="791"/>
      <c r="B38" s="792"/>
      <c r="C38" s="793"/>
      <c r="D38" s="526" t="s">
        <v>365</v>
      </c>
      <c r="E38" s="527" t="s">
        <v>173</v>
      </c>
      <c r="F38" s="164" t="s">
        <v>173</v>
      </c>
      <c r="G38" s="164" t="s">
        <v>173</v>
      </c>
      <c r="H38" s="164" t="s">
        <v>173</v>
      </c>
      <c r="I38" s="164" t="s">
        <v>173</v>
      </c>
    </row>
    <row r="39" spans="1:9" x14ac:dyDescent="0.3">
      <c r="A39" s="782" t="s">
        <v>43</v>
      </c>
      <c r="B39" s="785" t="s">
        <v>191</v>
      </c>
      <c r="C39" s="165" t="s">
        <v>25</v>
      </c>
      <c r="D39" s="528" t="str">
        <f>IF(E39='Parametre - Agendové IS'!K85,"OK","Chyba počtu FTE")</f>
        <v>Chyba počtu FTE</v>
      </c>
      <c r="E39" s="529">
        <f t="shared" ref="E39:E68" si="1">F39+G39+H39+I39</f>
        <v>0</v>
      </c>
      <c r="F39" s="227"/>
      <c r="G39" s="227"/>
      <c r="H39" s="227"/>
      <c r="I39" s="227"/>
    </row>
    <row r="40" spans="1:9" x14ac:dyDescent="0.3">
      <c r="A40" s="783"/>
      <c r="B40" s="786"/>
      <c r="C40" s="162" t="s">
        <v>26</v>
      </c>
      <c r="D40" s="530" t="str">
        <f>IF(E40='Parametre - Agendové IS'!K86,"OK","Chyba počtu FTE")</f>
        <v>Chyba počtu FTE</v>
      </c>
      <c r="E40" s="531">
        <f t="shared" si="1"/>
        <v>0</v>
      </c>
      <c r="F40" s="228"/>
      <c r="G40" s="228"/>
      <c r="H40" s="228"/>
      <c r="I40" s="228"/>
    </row>
    <row r="41" spans="1:9" x14ac:dyDescent="0.3">
      <c r="A41" s="783"/>
      <c r="B41" s="786"/>
      <c r="C41" s="162" t="s">
        <v>27</v>
      </c>
      <c r="D41" s="530" t="str">
        <f>IF(E41='Parametre - Agendové IS'!K87,"OK","Chyba počtu FTE")</f>
        <v>Chyba počtu FTE</v>
      </c>
      <c r="E41" s="531">
        <f t="shared" si="1"/>
        <v>0</v>
      </c>
      <c r="F41" s="228"/>
      <c r="G41" s="228"/>
      <c r="H41" s="228"/>
      <c r="I41" s="228"/>
    </row>
    <row r="42" spans="1:9" x14ac:dyDescent="0.3">
      <c r="A42" s="783"/>
      <c r="B42" s="786"/>
      <c r="C42" s="162" t="s">
        <v>28</v>
      </c>
      <c r="D42" s="530" t="str">
        <f>IF(E42='Parametre - Agendové IS'!K88,"OK","Chyba počtu FTE")</f>
        <v>Chyba počtu FTE</v>
      </c>
      <c r="E42" s="531">
        <f t="shared" si="1"/>
        <v>0</v>
      </c>
      <c r="F42" s="228"/>
      <c r="G42" s="228"/>
      <c r="H42" s="228"/>
      <c r="I42" s="228"/>
    </row>
    <row r="43" spans="1:9" x14ac:dyDescent="0.3">
      <c r="A43" s="783"/>
      <c r="B43" s="786"/>
      <c r="C43" s="162" t="s">
        <v>29</v>
      </c>
      <c r="D43" s="530" t="str">
        <f>IF(E43='Parametre - Agendové IS'!K89,"OK","Chyba počtu FTE")</f>
        <v>Chyba počtu FTE</v>
      </c>
      <c r="E43" s="531">
        <f t="shared" si="1"/>
        <v>0</v>
      </c>
      <c r="F43" s="228"/>
      <c r="G43" s="228"/>
      <c r="H43" s="228"/>
      <c r="I43" s="228"/>
    </row>
    <row r="44" spans="1:9" ht="15" customHeight="1" x14ac:dyDescent="0.3">
      <c r="A44" s="783"/>
      <c r="B44" s="786"/>
      <c r="C44" s="162" t="s">
        <v>30</v>
      </c>
      <c r="D44" s="530" t="str">
        <f>IF(E44='Parametre - Agendové IS'!K90,"OK","Chyba počtu FTE")</f>
        <v>Chyba počtu FTE</v>
      </c>
      <c r="E44" s="531">
        <f t="shared" si="1"/>
        <v>0</v>
      </c>
      <c r="F44" s="228"/>
      <c r="G44" s="228"/>
      <c r="H44" s="228"/>
      <c r="I44" s="228"/>
    </row>
    <row r="45" spans="1:9" x14ac:dyDescent="0.3">
      <c r="A45" s="783"/>
      <c r="B45" s="786"/>
      <c r="C45" s="162" t="s">
        <v>31</v>
      </c>
      <c r="D45" s="530" t="str">
        <f>IF(E45='Parametre - Agendové IS'!K91,"OK","Chyba počtu FTE")</f>
        <v>Chyba počtu FTE</v>
      </c>
      <c r="E45" s="531">
        <f t="shared" si="1"/>
        <v>0</v>
      </c>
      <c r="F45" s="228"/>
      <c r="G45" s="228"/>
      <c r="H45" s="228"/>
      <c r="I45" s="228"/>
    </row>
    <row r="46" spans="1:9" x14ac:dyDescent="0.3">
      <c r="A46" s="783"/>
      <c r="B46" s="786"/>
      <c r="C46" s="162" t="s">
        <v>32</v>
      </c>
      <c r="D46" s="530" t="str">
        <f>IF(E46='Parametre - Agendové IS'!K92,"OK","Chyba počtu FTE")</f>
        <v>Chyba počtu FTE</v>
      </c>
      <c r="E46" s="531">
        <f t="shared" si="1"/>
        <v>0</v>
      </c>
      <c r="F46" s="228"/>
      <c r="G46" s="228"/>
      <c r="H46" s="228"/>
      <c r="I46" s="228"/>
    </row>
    <row r="47" spans="1:9" x14ac:dyDescent="0.3">
      <c r="A47" s="783"/>
      <c r="B47" s="786"/>
      <c r="C47" s="162" t="s">
        <v>33</v>
      </c>
      <c r="D47" s="530" t="str">
        <f>IF(E47='Parametre - Agendové IS'!K93,"OK","Chyba počtu FTE")</f>
        <v>Chyba počtu FTE</v>
      </c>
      <c r="E47" s="531">
        <f t="shared" si="1"/>
        <v>0</v>
      </c>
      <c r="F47" s="228"/>
      <c r="G47" s="228"/>
      <c r="H47" s="228"/>
      <c r="I47" s="228"/>
    </row>
    <row r="48" spans="1:9" ht="15" thickBot="1" x14ac:dyDescent="0.35">
      <c r="A48" s="783"/>
      <c r="B48" s="786"/>
      <c r="C48" s="162" t="s">
        <v>34</v>
      </c>
      <c r="D48" s="532" t="str">
        <f>IF(E48='Parametre - Agendové IS'!K94,"OK","Chyba počtu FTE")</f>
        <v>Chyba počtu FTE</v>
      </c>
      <c r="E48" s="533">
        <f t="shared" si="1"/>
        <v>0</v>
      </c>
      <c r="F48" s="229"/>
      <c r="G48" s="229"/>
      <c r="H48" s="229"/>
      <c r="I48" s="229"/>
    </row>
    <row r="49" spans="1:9" x14ac:dyDescent="0.3">
      <c r="A49" s="782" t="s">
        <v>41</v>
      </c>
      <c r="B49" s="785" t="s">
        <v>37</v>
      </c>
      <c r="C49" s="165" t="s">
        <v>25</v>
      </c>
      <c r="D49" s="529" t="str">
        <f>IF(E49='Parametre - Agendové IS'!K4,"OK","Chyba počtu podaní")</f>
        <v>Chyba počtu podaní</v>
      </c>
      <c r="E49" s="534">
        <f t="shared" si="1"/>
        <v>0</v>
      </c>
      <c r="F49" s="227"/>
      <c r="G49" s="227"/>
      <c r="H49" s="227"/>
      <c r="I49" s="227"/>
    </row>
    <row r="50" spans="1:9" x14ac:dyDescent="0.3">
      <c r="A50" s="783"/>
      <c r="B50" s="786"/>
      <c r="C50" s="162" t="s">
        <v>26</v>
      </c>
      <c r="D50" s="530" t="str">
        <f>IF(E50='Parametre - Agendové IS'!K5,"OK","Chyba počtu podaní")</f>
        <v>Chyba počtu podaní</v>
      </c>
      <c r="E50" s="531">
        <f t="shared" si="1"/>
        <v>0</v>
      </c>
      <c r="F50" s="228"/>
      <c r="G50" s="228"/>
      <c r="H50" s="228"/>
      <c r="I50" s="228"/>
    </row>
    <row r="51" spans="1:9" x14ac:dyDescent="0.3">
      <c r="A51" s="783"/>
      <c r="B51" s="786"/>
      <c r="C51" s="162" t="s">
        <v>27</v>
      </c>
      <c r="D51" s="530" t="str">
        <f>IF(E51='Parametre - Agendové IS'!K6,"OK","Chyba počtu podaní")</f>
        <v>Chyba počtu podaní</v>
      </c>
      <c r="E51" s="531">
        <f t="shared" si="1"/>
        <v>0</v>
      </c>
      <c r="F51" s="228"/>
      <c r="G51" s="228"/>
      <c r="H51" s="228"/>
      <c r="I51" s="228"/>
    </row>
    <row r="52" spans="1:9" x14ac:dyDescent="0.3">
      <c r="A52" s="783"/>
      <c r="B52" s="786"/>
      <c r="C52" s="162" t="s">
        <v>28</v>
      </c>
      <c r="D52" s="530" t="str">
        <f>IF(E52='Parametre - Agendové IS'!K7,"OK","Chyba počtu podaní")</f>
        <v>Chyba počtu podaní</v>
      </c>
      <c r="E52" s="531">
        <f t="shared" si="1"/>
        <v>0</v>
      </c>
      <c r="F52" s="228"/>
      <c r="G52" s="228"/>
      <c r="H52" s="228"/>
      <c r="I52" s="228"/>
    </row>
    <row r="53" spans="1:9" x14ac:dyDescent="0.3">
      <c r="A53" s="783"/>
      <c r="B53" s="786"/>
      <c r="C53" s="162" t="s">
        <v>29</v>
      </c>
      <c r="D53" s="530" t="str">
        <f>IF(E53='Parametre - Agendové IS'!K8,"OK","Chyba počtu podaní")</f>
        <v>Chyba počtu podaní</v>
      </c>
      <c r="E53" s="531">
        <f t="shared" si="1"/>
        <v>0</v>
      </c>
      <c r="F53" s="228"/>
      <c r="G53" s="228"/>
      <c r="H53" s="228"/>
      <c r="I53" s="228"/>
    </row>
    <row r="54" spans="1:9" x14ac:dyDescent="0.3">
      <c r="A54" s="783"/>
      <c r="B54" s="786"/>
      <c r="C54" s="162" t="s">
        <v>30</v>
      </c>
      <c r="D54" s="530" t="str">
        <f>IF(E54='Parametre - Agendové IS'!K9,"OK","Chyba počtu podaní")</f>
        <v>Chyba počtu podaní</v>
      </c>
      <c r="E54" s="531">
        <f t="shared" si="1"/>
        <v>0</v>
      </c>
      <c r="F54" s="228"/>
      <c r="G54" s="228"/>
      <c r="H54" s="228"/>
      <c r="I54" s="228"/>
    </row>
    <row r="55" spans="1:9" x14ac:dyDescent="0.3">
      <c r="A55" s="783"/>
      <c r="B55" s="786"/>
      <c r="C55" s="162" t="s">
        <v>31</v>
      </c>
      <c r="D55" s="530" t="str">
        <f>IF(E55='Parametre - Agendové IS'!K10,"OK","Chyba počtu podaní")</f>
        <v>Chyba počtu podaní</v>
      </c>
      <c r="E55" s="531">
        <f t="shared" si="1"/>
        <v>0</v>
      </c>
      <c r="F55" s="228"/>
      <c r="G55" s="228"/>
      <c r="H55" s="228"/>
      <c r="I55" s="228"/>
    </row>
    <row r="56" spans="1:9" x14ac:dyDescent="0.3">
      <c r="A56" s="783"/>
      <c r="B56" s="786"/>
      <c r="C56" s="162" t="s">
        <v>32</v>
      </c>
      <c r="D56" s="530" t="str">
        <f>IF(E56='Parametre - Agendové IS'!K11,"OK","Chyba počtu podaní")</f>
        <v>Chyba počtu podaní</v>
      </c>
      <c r="E56" s="531">
        <f t="shared" si="1"/>
        <v>0</v>
      </c>
      <c r="F56" s="228"/>
      <c r="G56" s="228"/>
      <c r="H56" s="228"/>
      <c r="I56" s="228"/>
    </row>
    <row r="57" spans="1:9" x14ac:dyDescent="0.3">
      <c r="A57" s="783"/>
      <c r="B57" s="786"/>
      <c r="C57" s="162" t="s">
        <v>33</v>
      </c>
      <c r="D57" s="530" t="str">
        <f>IF(E57='Parametre - Agendové IS'!K12,"OK","Chyba počtu podaní")</f>
        <v>Chyba počtu podaní</v>
      </c>
      <c r="E57" s="531">
        <f t="shared" si="1"/>
        <v>0</v>
      </c>
      <c r="F57" s="228"/>
      <c r="G57" s="228"/>
      <c r="H57" s="228"/>
      <c r="I57" s="228"/>
    </row>
    <row r="58" spans="1:9" ht="15" thickBot="1" x14ac:dyDescent="0.35">
      <c r="A58" s="784"/>
      <c r="B58" s="787"/>
      <c r="C58" s="163" t="s">
        <v>34</v>
      </c>
      <c r="D58" s="530" t="str">
        <f>IF(E58='Parametre - Agendové IS'!K13,"OK","Chyba počtu podaní")</f>
        <v>Chyba počtu podaní</v>
      </c>
      <c r="E58" s="531">
        <f t="shared" si="1"/>
        <v>0</v>
      </c>
      <c r="F58" s="228"/>
      <c r="G58" s="228"/>
      <c r="H58" s="228"/>
      <c r="I58" s="228"/>
    </row>
    <row r="59" spans="1:9" x14ac:dyDescent="0.3">
      <c r="A59" s="782" t="s">
        <v>39</v>
      </c>
      <c r="B59" s="785" t="s">
        <v>13</v>
      </c>
      <c r="C59" s="165" t="s">
        <v>25</v>
      </c>
      <c r="D59" s="529" t="str">
        <f>IF(E59='Parametre - Agendové IS'!K125,"OK","Chyba")</f>
        <v>OK</v>
      </c>
      <c r="E59" s="534">
        <f t="shared" si="1"/>
        <v>0</v>
      </c>
      <c r="F59" s="227"/>
      <c r="G59" s="227"/>
      <c r="H59" s="227"/>
      <c r="I59" s="227"/>
    </row>
    <row r="60" spans="1:9" x14ac:dyDescent="0.3">
      <c r="A60" s="783"/>
      <c r="B60" s="786"/>
      <c r="C60" s="162" t="s">
        <v>26</v>
      </c>
      <c r="D60" s="530" t="str">
        <f>IF(E60='Parametre - Agendové IS'!K126,"OK","Chyba")</f>
        <v>OK</v>
      </c>
      <c r="E60" s="531">
        <f t="shared" si="1"/>
        <v>0</v>
      </c>
      <c r="F60" s="228"/>
      <c r="G60" s="228"/>
      <c r="H60" s="228"/>
      <c r="I60" s="228"/>
    </row>
    <row r="61" spans="1:9" x14ac:dyDescent="0.3">
      <c r="A61" s="783"/>
      <c r="B61" s="786"/>
      <c r="C61" s="162" t="s">
        <v>27</v>
      </c>
      <c r="D61" s="530" t="str">
        <f>IF(E61='Parametre - Agendové IS'!K127,"OK","Chyba")</f>
        <v>OK</v>
      </c>
      <c r="E61" s="531">
        <f t="shared" si="1"/>
        <v>0</v>
      </c>
      <c r="F61" s="228"/>
      <c r="G61" s="228"/>
      <c r="H61" s="228"/>
      <c r="I61" s="228"/>
    </row>
    <row r="62" spans="1:9" x14ac:dyDescent="0.3">
      <c r="A62" s="783"/>
      <c r="B62" s="786"/>
      <c r="C62" s="162" t="s">
        <v>28</v>
      </c>
      <c r="D62" s="530" t="str">
        <f>IF(E62='Parametre - Agendové IS'!K128,"OK","Chyba")</f>
        <v>OK</v>
      </c>
      <c r="E62" s="531">
        <f t="shared" si="1"/>
        <v>0</v>
      </c>
      <c r="F62" s="228"/>
      <c r="G62" s="228"/>
      <c r="H62" s="228"/>
      <c r="I62" s="228"/>
    </row>
    <row r="63" spans="1:9" x14ac:dyDescent="0.3">
      <c r="A63" s="783"/>
      <c r="B63" s="786"/>
      <c r="C63" s="162" t="s">
        <v>29</v>
      </c>
      <c r="D63" s="530" t="str">
        <f>IF(E63='Parametre - Agendové IS'!K129,"OK","Chyba")</f>
        <v>OK</v>
      </c>
      <c r="E63" s="531">
        <f t="shared" si="1"/>
        <v>0</v>
      </c>
      <c r="F63" s="228"/>
      <c r="G63" s="228"/>
      <c r="H63" s="228"/>
      <c r="I63" s="228"/>
    </row>
    <row r="64" spans="1:9" x14ac:dyDescent="0.3">
      <c r="A64" s="783"/>
      <c r="B64" s="786"/>
      <c r="C64" s="162" t="s">
        <v>30</v>
      </c>
      <c r="D64" s="530" t="str">
        <f>IF(E64='Parametre - Agendové IS'!K130,"OK","Chyba")</f>
        <v>OK</v>
      </c>
      <c r="E64" s="531">
        <f t="shared" si="1"/>
        <v>0</v>
      </c>
      <c r="F64" s="228"/>
      <c r="G64" s="228"/>
      <c r="H64" s="228"/>
      <c r="I64" s="228"/>
    </row>
    <row r="65" spans="1:9" x14ac:dyDescent="0.3">
      <c r="A65" s="783"/>
      <c r="B65" s="786"/>
      <c r="C65" s="162" t="s">
        <v>31</v>
      </c>
      <c r="D65" s="530" t="str">
        <f>IF(E65='Parametre - Agendové IS'!K131,"OK","Chyba")</f>
        <v>OK</v>
      </c>
      <c r="E65" s="531">
        <f t="shared" si="1"/>
        <v>0</v>
      </c>
      <c r="F65" s="228"/>
      <c r="G65" s="228"/>
      <c r="H65" s="228"/>
      <c r="I65" s="228"/>
    </row>
    <row r="66" spans="1:9" x14ac:dyDescent="0.3">
      <c r="A66" s="783"/>
      <c r="B66" s="786"/>
      <c r="C66" s="162" t="s">
        <v>32</v>
      </c>
      <c r="D66" s="530" t="str">
        <f>IF(E66='Parametre - Agendové IS'!K132,"OK","Chyba")</f>
        <v>OK</v>
      </c>
      <c r="E66" s="531">
        <f t="shared" si="1"/>
        <v>0</v>
      </c>
      <c r="F66" s="228"/>
      <c r="G66" s="228"/>
      <c r="H66" s="228"/>
      <c r="I66" s="228"/>
    </row>
    <row r="67" spans="1:9" x14ac:dyDescent="0.3">
      <c r="A67" s="783"/>
      <c r="B67" s="786"/>
      <c r="C67" s="162" t="s">
        <v>33</v>
      </c>
      <c r="D67" s="530" t="str">
        <f>IF(E67='Parametre - Agendové IS'!K133,"OK","Chyba")</f>
        <v>OK</v>
      </c>
      <c r="E67" s="531">
        <f t="shared" si="1"/>
        <v>0</v>
      </c>
      <c r="F67" s="228"/>
      <c r="G67" s="228"/>
      <c r="H67" s="228"/>
      <c r="I67" s="228"/>
    </row>
    <row r="68" spans="1:9" ht="15" thickBot="1" x14ac:dyDescent="0.35">
      <c r="A68" s="784"/>
      <c r="B68" s="787"/>
      <c r="C68" s="163" t="s">
        <v>34</v>
      </c>
      <c r="D68" s="530" t="str">
        <f>IF(E68='Parametre - Agendové IS'!K134,"OK","Chyba")</f>
        <v>OK</v>
      </c>
      <c r="E68" s="531">
        <f t="shared" si="1"/>
        <v>0</v>
      </c>
      <c r="F68" s="228"/>
      <c r="G68" s="228"/>
      <c r="H68" s="228"/>
      <c r="I68" s="228"/>
    </row>
    <row r="71" spans="1:9" ht="15" thickBot="1" x14ac:dyDescent="0.35"/>
    <row r="72" spans="1:9" x14ac:dyDescent="0.3">
      <c r="A72" s="788" t="e">
        <f>'Parametre - Agendové IS'!#REF!</f>
        <v>#REF!</v>
      </c>
      <c r="B72" s="789"/>
      <c r="C72" s="790"/>
      <c r="D72" s="794" t="s">
        <v>109</v>
      </c>
      <c r="E72" s="795"/>
      <c r="F72" s="329" t="s">
        <v>170</v>
      </c>
      <c r="G72" s="329" t="s">
        <v>171</v>
      </c>
      <c r="H72" s="329" t="s">
        <v>172</v>
      </c>
      <c r="I72" s="329" t="s">
        <v>174</v>
      </c>
    </row>
    <row r="73" spans="1:9" ht="15" thickBot="1" x14ac:dyDescent="0.35">
      <c r="A73" s="791"/>
      <c r="B73" s="792"/>
      <c r="C73" s="793"/>
      <c r="D73" s="526" t="s">
        <v>365</v>
      </c>
      <c r="E73" s="527" t="s">
        <v>173</v>
      </c>
      <c r="F73" s="164" t="s">
        <v>173</v>
      </c>
      <c r="G73" s="164" t="s">
        <v>173</v>
      </c>
      <c r="H73" s="164" t="s">
        <v>173</v>
      </c>
      <c r="I73" s="164" t="s">
        <v>173</v>
      </c>
    </row>
    <row r="74" spans="1:9" x14ac:dyDescent="0.3">
      <c r="A74" s="782" t="s">
        <v>43</v>
      </c>
      <c r="B74" s="785" t="s">
        <v>191</v>
      </c>
      <c r="C74" s="165" t="s">
        <v>25</v>
      </c>
      <c r="D74" s="528" t="e">
        <f>IF(E74='Parametre - Agendové IS'!#REF!,"OK","Chyba počtu FTE")</f>
        <v>#REF!</v>
      </c>
      <c r="E74" s="529">
        <f t="shared" ref="E74:E103" si="2">F74+G74+H74+I74</f>
        <v>0</v>
      </c>
      <c r="F74" s="227"/>
      <c r="G74" s="227"/>
      <c r="H74" s="227"/>
      <c r="I74" s="227"/>
    </row>
    <row r="75" spans="1:9" x14ac:dyDescent="0.3">
      <c r="A75" s="783"/>
      <c r="B75" s="786"/>
      <c r="C75" s="162" t="s">
        <v>26</v>
      </c>
      <c r="D75" s="530" t="e">
        <f>IF(E75='Parametre - Agendové IS'!#REF!,"OK","Chyba počtu FTE")</f>
        <v>#REF!</v>
      </c>
      <c r="E75" s="531">
        <f t="shared" si="2"/>
        <v>0</v>
      </c>
      <c r="F75" s="228"/>
      <c r="G75" s="228"/>
      <c r="H75" s="228"/>
      <c r="I75" s="228"/>
    </row>
    <row r="76" spans="1:9" x14ac:dyDescent="0.3">
      <c r="A76" s="783"/>
      <c r="B76" s="786"/>
      <c r="C76" s="162" t="s">
        <v>27</v>
      </c>
      <c r="D76" s="530" t="e">
        <f>IF(E76='Parametre - Agendové IS'!#REF!,"OK","Chyba počtu FTE")</f>
        <v>#REF!</v>
      </c>
      <c r="E76" s="531">
        <f t="shared" si="2"/>
        <v>0</v>
      </c>
      <c r="F76" s="228"/>
      <c r="G76" s="228"/>
      <c r="H76" s="228"/>
      <c r="I76" s="228"/>
    </row>
    <row r="77" spans="1:9" x14ac:dyDescent="0.3">
      <c r="A77" s="783"/>
      <c r="B77" s="786"/>
      <c r="C77" s="162" t="s">
        <v>28</v>
      </c>
      <c r="D77" s="530" t="e">
        <f>IF(E77='Parametre - Agendové IS'!#REF!,"OK","Chyba počtu FTE")</f>
        <v>#REF!</v>
      </c>
      <c r="E77" s="531">
        <f t="shared" si="2"/>
        <v>0</v>
      </c>
      <c r="F77" s="228"/>
      <c r="G77" s="228"/>
      <c r="H77" s="228"/>
      <c r="I77" s="228"/>
    </row>
    <row r="78" spans="1:9" x14ac:dyDescent="0.3">
      <c r="A78" s="783"/>
      <c r="B78" s="786"/>
      <c r="C78" s="162" t="s">
        <v>29</v>
      </c>
      <c r="D78" s="530" t="e">
        <f>IF(E78='Parametre - Agendové IS'!#REF!,"OK","Chyba počtu FTE")</f>
        <v>#REF!</v>
      </c>
      <c r="E78" s="531">
        <f t="shared" si="2"/>
        <v>0</v>
      </c>
      <c r="F78" s="228"/>
      <c r="G78" s="228"/>
      <c r="H78" s="228"/>
      <c r="I78" s="228"/>
    </row>
    <row r="79" spans="1:9" x14ac:dyDescent="0.3">
      <c r="A79" s="783"/>
      <c r="B79" s="786"/>
      <c r="C79" s="162" t="s">
        <v>30</v>
      </c>
      <c r="D79" s="530" t="e">
        <f>IF(E79='Parametre - Agendové IS'!#REF!,"OK","Chyba počtu FTE")</f>
        <v>#REF!</v>
      </c>
      <c r="E79" s="531">
        <f t="shared" si="2"/>
        <v>0</v>
      </c>
      <c r="F79" s="228"/>
      <c r="G79" s="228"/>
      <c r="H79" s="228"/>
      <c r="I79" s="228"/>
    </row>
    <row r="80" spans="1:9" x14ac:dyDescent="0.3">
      <c r="A80" s="783"/>
      <c r="B80" s="786"/>
      <c r="C80" s="162" t="s">
        <v>31</v>
      </c>
      <c r="D80" s="530" t="e">
        <f>IF(E80='Parametre - Agendové IS'!#REF!,"OK","Chyba počtu FTE")</f>
        <v>#REF!</v>
      </c>
      <c r="E80" s="531">
        <f t="shared" si="2"/>
        <v>0</v>
      </c>
      <c r="F80" s="228"/>
      <c r="G80" s="228"/>
      <c r="H80" s="228"/>
      <c r="I80" s="228"/>
    </row>
    <row r="81" spans="1:9" x14ac:dyDescent="0.3">
      <c r="A81" s="783"/>
      <c r="B81" s="786"/>
      <c r="C81" s="162" t="s">
        <v>32</v>
      </c>
      <c r="D81" s="530" t="e">
        <f>IF(E81='Parametre - Agendové IS'!#REF!,"OK","Chyba počtu FTE")</f>
        <v>#REF!</v>
      </c>
      <c r="E81" s="531">
        <f t="shared" si="2"/>
        <v>0</v>
      </c>
      <c r="F81" s="228"/>
      <c r="G81" s="228"/>
      <c r="H81" s="228"/>
      <c r="I81" s="228"/>
    </row>
    <row r="82" spans="1:9" x14ac:dyDescent="0.3">
      <c r="A82" s="783"/>
      <c r="B82" s="786"/>
      <c r="C82" s="162" t="s">
        <v>33</v>
      </c>
      <c r="D82" s="530" t="e">
        <f>IF(E82='Parametre - Agendové IS'!#REF!,"OK","Chyba počtu FTE")</f>
        <v>#REF!</v>
      </c>
      <c r="E82" s="531">
        <f t="shared" si="2"/>
        <v>0</v>
      </c>
      <c r="F82" s="228"/>
      <c r="G82" s="228"/>
      <c r="H82" s="228"/>
      <c r="I82" s="228"/>
    </row>
    <row r="83" spans="1:9" ht="15" thickBot="1" x14ac:dyDescent="0.35">
      <c r="A83" s="783"/>
      <c r="B83" s="786"/>
      <c r="C83" s="162" t="s">
        <v>34</v>
      </c>
      <c r="D83" s="532" t="e">
        <f>IF(E83='Parametre - Agendové IS'!#REF!,"OK","Chyba počtu FTE")</f>
        <v>#REF!</v>
      </c>
      <c r="E83" s="533">
        <f t="shared" si="2"/>
        <v>0</v>
      </c>
      <c r="F83" s="229"/>
      <c r="G83" s="229"/>
      <c r="H83" s="229"/>
      <c r="I83" s="229"/>
    </row>
    <row r="84" spans="1:9" x14ac:dyDescent="0.3">
      <c r="A84" s="782" t="s">
        <v>41</v>
      </c>
      <c r="B84" s="785" t="s">
        <v>37</v>
      </c>
      <c r="C84" s="165" t="s">
        <v>25</v>
      </c>
      <c r="D84" s="529" t="e">
        <f>IF(E84='Parametre - Agendové IS'!#REF!,"OK","Chyba počtu podaní")</f>
        <v>#REF!</v>
      </c>
      <c r="E84" s="534">
        <f t="shared" si="2"/>
        <v>0</v>
      </c>
      <c r="F84" s="227"/>
      <c r="G84" s="227"/>
      <c r="H84" s="227"/>
      <c r="I84" s="227"/>
    </row>
    <row r="85" spans="1:9" x14ac:dyDescent="0.3">
      <c r="A85" s="783"/>
      <c r="B85" s="786"/>
      <c r="C85" s="162" t="s">
        <v>26</v>
      </c>
      <c r="D85" s="530" t="e">
        <f>IF(E85='Parametre - Agendové IS'!#REF!,"OK","Chyba počtu podaní")</f>
        <v>#REF!</v>
      </c>
      <c r="E85" s="531">
        <f t="shared" si="2"/>
        <v>0</v>
      </c>
      <c r="F85" s="228"/>
      <c r="G85" s="228"/>
      <c r="H85" s="228"/>
      <c r="I85" s="228"/>
    </row>
    <row r="86" spans="1:9" x14ac:dyDescent="0.3">
      <c r="A86" s="783"/>
      <c r="B86" s="786"/>
      <c r="C86" s="162" t="s">
        <v>27</v>
      </c>
      <c r="D86" s="530" t="e">
        <f>IF(E86='Parametre - Agendové IS'!#REF!,"OK","Chyba počtu podaní")</f>
        <v>#REF!</v>
      </c>
      <c r="E86" s="531">
        <f t="shared" si="2"/>
        <v>0</v>
      </c>
      <c r="F86" s="228"/>
      <c r="G86" s="228"/>
      <c r="H86" s="228"/>
      <c r="I86" s="228"/>
    </row>
    <row r="87" spans="1:9" x14ac:dyDescent="0.3">
      <c r="A87" s="783"/>
      <c r="B87" s="786"/>
      <c r="C87" s="162" t="s">
        <v>28</v>
      </c>
      <c r="D87" s="530" t="e">
        <f>IF(E87='Parametre - Agendové IS'!#REF!,"OK","Chyba počtu podaní")</f>
        <v>#REF!</v>
      </c>
      <c r="E87" s="531">
        <f t="shared" si="2"/>
        <v>0</v>
      </c>
      <c r="F87" s="228"/>
      <c r="G87" s="228"/>
      <c r="H87" s="228"/>
      <c r="I87" s="228"/>
    </row>
    <row r="88" spans="1:9" x14ac:dyDescent="0.3">
      <c r="A88" s="783"/>
      <c r="B88" s="786"/>
      <c r="C88" s="162" t="s">
        <v>29</v>
      </c>
      <c r="D88" s="530" t="e">
        <f>IF(E88='Parametre - Agendové IS'!#REF!,"OK","Chyba počtu podaní")</f>
        <v>#REF!</v>
      </c>
      <c r="E88" s="531">
        <f t="shared" si="2"/>
        <v>0</v>
      </c>
      <c r="F88" s="228"/>
      <c r="G88" s="228"/>
      <c r="H88" s="228"/>
      <c r="I88" s="228"/>
    </row>
    <row r="89" spans="1:9" x14ac:dyDescent="0.3">
      <c r="A89" s="783"/>
      <c r="B89" s="786"/>
      <c r="C89" s="162" t="s">
        <v>30</v>
      </c>
      <c r="D89" s="530" t="e">
        <f>IF(E89='Parametre - Agendové IS'!#REF!,"OK","Chyba počtu podaní")</f>
        <v>#REF!</v>
      </c>
      <c r="E89" s="531">
        <f t="shared" si="2"/>
        <v>0</v>
      </c>
      <c r="F89" s="228"/>
      <c r="G89" s="228"/>
      <c r="H89" s="228"/>
      <c r="I89" s="228"/>
    </row>
    <row r="90" spans="1:9" x14ac:dyDescent="0.3">
      <c r="A90" s="783"/>
      <c r="B90" s="786"/>
      <c r="C90" s="162" t="s">
        <v>31</v>
      </c>
      <c r="D90" s="530" t="e">
        <f>IF(E90='Parametre - Agendové IS'!#REF!,"OK","Chyba počtu podaní")</f>
        <v>#REF!</v>
      </c>
      <c r="E90" s="531">
        <f t="shared" si="2"/>
        <v>0</v>
      </c>
      <c r="F90" s="228"/>
      <c r="G90" s="228"/>
      <c r="H90" s="228"/>
      <c r="I90" s="228"/>
    </row>
    <row r="91" spans="1:9" x14ac:dyDescent="0.3">
      <c r="A91" s="783"/>
      <c r="B91" s="786"/>
      <c r="C91" s="162" t="s">
        <v>32</v>
      </c>
      <c r="D91" s="530" t="e">
        <f>IF(E91='Parametre - Agendové IS'!#REF!,"OK","Chyba počtu podaní")</f>
        <v>#REF!</v>
      </c>
      <c r="E91" s="531">
        <f t="shared" si="2"/>
        <v>0</v>
      </c>
      <c r="F91" s="228"/>
      <c r="G91" s="228"/>
      <c r="H91" s="228"/>
      <c r="I91" s="228"/>
    </row>
    <row r="92" spans="1:9" x14ac:dyDescent="0.3">
      <c r="A92" s="783"/>
      <c r="B92" s="786"/>
      <c r="C92" s="162" t="s">
        <v>33</v>
      </c>
      <c r="D92" s="530" t="e">
        <f>IF(E92='Parametre - Agendové IS'!#REF!,"OK","Chyba počtu podaní")</f>
        <v>#REF!</v>
      </c>
      <c r="E92" s="531">
        <f t="shared" si="2"/>
        <v>0</v>
      </c>
      <c r="F92" s="228"/>
      <c r="G92" s="228"/>
      <c r="H92" s="228"/>
      <c r="I92" s="228"/>
    </row>
    <row r="93" spans="1:9" ht="15" thickBot="1" x14ac:dyDescent="0.35">
      <c r="A93" s="784"/>
      <c r="B93" s="787"/>
      <c r="C93" s="163" t="s">
        <v>34</v>
      </c>
      <c r="D93" s="530" t="e">
        <f>IF(E93='Parametre - Agendové IS'!#REF!,"OK","Chyba počtu podaní")</f>
        <v>#REF!</v>
      </c>
      <c r="E93" s="531">
        <f t="shared" si="2"/>
        <v>0</v>
      </c>
      <c r="F93" s="228"/>
      <c r="G93" s="228"/>
      <c r="H93" s="228"/>
      <c r="I93" s="228"/>
    </row>
    <row r="94" spans="1:9" x14ac:dyDescent="0.3">
      <c r="A94" s="782" t="s">
        <v>39</v>
      </c>
      <c r="B94" s="785" t="s">
        <v>13</v>
      </c>
      <c r="C94" s="165" t="s">
        <v>25</v>
      </c>
      <c r="D94" s="529" t="e">
        <f>IF(E94='Parametre - Agendové IS'!#REF!,"OK","Chyba")</f>
        <v>#REF!</v>
      </c>
      <c r="E94" s="534">
        <f t="shared" si="2"/>
        <v>0</v>
      </c>
      <c r="F94" s="227"/>
      <c r="G94" s="227"/>
      <c r="H94" s="227"/>
      <c r="I94" s="227"/>
    </row>
    <row r="95" spans="1:9" x14ac:dyDescent="0.3">
      <c r="A95" s="783"/>
      <c r="B95" s="786"/>
      <c r="C95" s="162" t="s">
        <v>26</v>
      </c>
      <c r="D95" s="530" t="e">
        <f>IF(E95='Parametre - Agendové IS'!#REF!,"OK","Chyba")</f>
        <v>#REF!</v>
      </c>
      <c r="E95" s="531">
        <f t="shared" si="2"/>
        <v>0</v>
      </c>
      <c r="F95" s="228"/>
      <c r="G95" s="228"/>
      <c r="H95" s="228"/>
      <c r="I95" s="228"/>
    </row>
    <row r="96" spans="1:9" x14ac:dyDescent="0.3">
      <c r="A96" s="783"/>
      <c r="B96" s="786"/>
      <c r="C96" s="162" t="s">
        <v>27</v>
      </c>
      <c r="D96" s="530" t="e">
        <f>IF(E96='Parametre - Agendové IS'!#REF!,"OK","Chyba")</f>
        <v>#REF!</v>
      </c>
      <c r="E96" s="531">
        <f t="shared" si="2"/>
        <v>0</v>
      </c>
      <c r="F96" s="228"/>
      <c r="G96" s="228"/>
      <c r="H96" s="228"/>
      <c r="I96" s="228"/>
    </row>
    <row r="97" spans="1:9" x14ac:dyDescent="0.3">
      <c r="A97" s="783"/>
      <c r="B97" s="786"/>
      <c r="C97" s="162" t="s">
        <v>28</v>
      </c>
      <c r="D97" s="530" t="e">
        <f>IF(E97='Parametre - Agendové IS'!#REF!,"OK","Chyba")</f>
        <v>#REF!</v>
      </c>
      <c r="E97" s="531">
        <f t="shared" si="2"/>
        <v>0</v>
      </c>
      <c r="F97" s="228"/>
      <c r="G97" s="228"/>
      <c r="H97" s="228"/>
      <c r="I97" s="228"/>
    </row>
    <row r="98" spans="1:9" x14ac:dyDescent="0.3">
      <c r="A98" s="783"/>
      <c r="B98" s="786"/>
      <c r="C98" s="162" t="s">
        <v>29</v>
      </c>
      <c r="D98" s="530" t="e">
        <f>IF(E98='Parametre - Agendové IS'!#REF!,"OK","Chyba")</f>
        <v>#REF!</v>
      </c>
      <c r="E98" s="531">
        <f t="shared" si="2"/>
        <v>0</v>
      </c>
      <c r="F98" s="228"/>
      <c r="G98" s="228"/>
      <c r="H98" s="228"/>
      <c r="I98" s="228"/>
    </row>
    <row r="99" spans="1:9" x14ac:dyDescent="0.3">
      <c r="A99" s="783"/>
      <c r="B99" s="786"/>
      <c r="C99" s="162" t="s">
        <v>30</v>
      </c>
      <c r="D99" s="530" t="e">
        <f>IF(E99='Parametre - Agendové IS'!#REF!,"OK","Chyba")</f>
        <v>#REF!</v>
      </c>
      <c r="E99" s="531">
        <f t="shared" si="2"/>
        <v>0</v>
      </c>
      <c r="F99" s="228"/>
      <c r="G99" s="228"/>
      <c r="H99" s="228"/>
      <c r="I99" s="228"/>
    </row>
    <row r="100" spans="1:9" x14ac:dyDescent="0.3">
      <c r="A100" s="783"/>
      <c r="B100" s="786"/>
      <c r="C100" s="162" t="s">
        <v>31</v>
      </c>
      <c r="D100" s="530" t="e">
        <f>IF(E100='Parametre - Agendové IS'!#REF!,"OK","Chyba")</f>
        <v>#REF!</v>
      </c>
      <c r="E100" s="531">
        <f t="shared" si="2"/>
        <v>0</v>
      </c>
      <c r="F100" s="228"/>
      <c r="G100" s="228"/>
      <c r="H100" s="228"/>
      <c r="I100" s="228"/>
    </row>
    <row r="101" spans="1:9" x14ac:dyDescent="0.3">
      <c r="A101" s="783"/>
      <c r="B101" s="786"/>
      <c r="C101" s="162" t="s">
        <v>32</v>
      </c>
      <c r="D101" s="530" t="e">
        <f>IF(E101='Parametre - Agendové IS'!#REF!,"OK","Chyba")</f>
        <v>#REF!</v>
      </c>
      <c r="E101" s="531">
        <f t="shared" si="2"/>
        <v>0</v>
      </c>
      <c r="F101" s="228"/>
      <c r="G101" s="228"/>
      <c r="H101" s="228"/>
      <c r="I101" s="228"/>
    </row>
    <row r="102" spans="1:9" x14ac:dyDescent="0.3">
      <c r="A102" s="783"/>
      <c r="B102" s="786"/>
      <c r="C102" s="162" t="s">
        <v>33</v>
      </c>
      <c r="D102" s="530" t="e">
        <f>IF(E102='Parametre - Agendové IS'!#REF!,"OK","Chyba")</f>
        <v>#REF!</v>
      </c>
      <c r="E102" s="531">
        <f t="shared" si="2"/>
        <v>0</v>
      </c>
      <c r="F102" s="228"/>
      <c r="G102" s="228"/>
      <c r="H102" s="228"/>
      <c r="I102" s="228"/>
    </row>
    <row r="103" spans="1:9" ht="15" thickBot="1" x14ac:dyDescent="0.35">
      <c r="A103" s="784"/>
      <c r="B103" s="787"/>
      <c r="C103" s="163" t="s">
        <v>34</v>
      </c>
      <c r="D103" s="530" t="e">
        <f>IF(E103='Parametre - Agendové IS'!#REF!,"OK","Chyba")</f>
        <v>#REF!</v>
      </c>
      <c r="E103" s="531">
        <f t="shared" si="2"/>
        <v>0</v>
      </c>
      <c r="F103" s="228"/>
      <c r="G103" s="228"/>
      <c r="H103" s="228"/>
      <c r="I103" s="228"/>
    </row>
    <row r="106" spans="1:9" ht="15" thickBot="1" x14ac:dyDescent="0.35"/>
    <row r="107" spans="1:9" x14ac:dyDescent="0.3">
      <c r="A107" s="788" t="str">
        <f>'Parametre - Agendové IS'!S1</f>
        <v>Úspora nákladov na strane podnikateľov</v>
      </c>
      <c r="B107" s="789"/>
      <c r="C107" s="790"/>
      <c r="D107" s="794" t="s">
        <v>109</v>
      </c>
      <c r="E107" s="795"/>
      <c r="F107" s="329" t="s">
        <v>170</v>
      </c>
      <c r="G107" s="329" t="s">
        <v>171</v>
      </c>
      <c r="H107" s="329" t="s">
        <v>172</v>
      </c>
      <c r="I107" s="329" t="s">
        <v>174</v>
      </c>
    </row>
    <row r="108" spans="1:9" ht="15" thickBot="1" x14ac:dyDescent="0.35">
      <c r="A108" s="791"/>
      <c r="B108" s="792"/>
      <c r="C108" s="793"/>
      <c r="D108" s="526" t="s">
        <v>365</v>
      </c>
      <c r="E108" s="527" t="s">
        <v>173</v>
      </c>
      <c r="F108" s="164" t="s">
        <v>173</v>
      </c>
      <c r="G108" s="164" t="s">
        <v>173</v>
      </c>
      <c r="H108" s="164" t="s">
        <v>173</v>
      </c>
      <c r="I108" s="164" t="s">
        <v>173</v>
      </c>
    </row>
    <row r="109" spans="1:9" x14ac:dyDescent="0.3">
      <c r="A109" s="782" t="s">
        <v>43</v>
      </c>
      <c r="B109" s="785" t="s">
        <v>191</v>
      </c>
      <c r="C109" s="165" t="s">
        <v>25</v>
      </c>
      <c r="D109" s="528" t="str">
        <f>IF(E109='Parametre - Agendové IS'!T85,"OK","Chyba počtu FTE")</f>
        <v>OK</v>
      </c>
      <c r="E109" s="529">
        <f t="shared" ref="E109:E138" si="3">F109+G109+H109+I109</f>
        <v>0</v>
      </c>
      <c r="F109" s="227"/>
      <c r="G109" s="227"/>
      <c r="H109" s="227"/>
      <c r="I109" s="227"/>
    </row>
    <row r="110" spans="1:9" x14ac:dyDescent="0.3">
      <c r="A110" s="783"/>
      <c r="B110" s="786"/>
      <c r="C110" s="162" t="s">
        <v>26</v>
      </c>
      <c r="D110" s="530" t="str">
        <f>IF(E110='Parametre - Agendové IS'!T86,"OK","Chyba počtu FTE")</f>
        <v>OK</v>
      </c>
      <c r="E110" s="531">
        <f t="shared" si="3"/>
        <v>0</v>
      </c>
      <c r="F110" s="228"/>
      <c r="G110" s="228"/>
      <c r="H110" s="228"/>
      <c r="I110" s="228"/>
    </row>
    <row r="111" spans="1:9" x14ac:dyDescent="0.3">
      <c r="A111" s="783"/>
      <c r="B111" s="786"/>
      <c r="C111" s="162" t="s">
        <v>27</v>
      </c>
      <c r="D111" s="530" t="str">
        <f>IF(E111='Parametre - Agendové IS'!T87,"OK","Chyba počtu FTE")</f>
        <v>OK</v>
      </c>
      <c r="E111" s="531">
        <f t="shared" si="3"/>
        <v>0</v>
      </c>
      <c r="F111" s="228"/>
      <c r="G111" s="228"/>
      <c r="H111" s="228"/>
      <c r="I111" s="228"/>
    </row>
    <row r="112" spans="1:9" x14ac:dyDescent="0.3">
      <c r="A112" s="783"/>
      <c r="B112" s="786"/>
      <c r="C112" s="162" t="s">
        <v>28</v>
      </c>
      <c r="D112" s="530" t="str">
        <f>IF(E112='Parametre - Agendové IS'!T88,"OK","Chyba počtu FTE")</f>
        <v>OK</v>
      </c>
      <c r="E112" s="531">
        <f t="shared" si="3"/>
        <v>0</v>
      </c>
      <c r="F112" s="228"/>
      <c r="G112" s="228"/>
      <c r="H112" s="228"/>
      <c r="I112" s="228"/>
    </row>
    <row r="113" spans="1:9" x14ac:dyDescent="0.3">
      <c r="A113" s="783"/>
      <c r="B113" s="786"/>
      <c r="C113" s="162" t="s">
        <v>29</v>
      </c>
      <c r="D113" s="530" t="str">
        <f>IF(E113='Parametre - Agendové IS'!T89,"OK","Chyba počtu FTE")</f>
        <v>OK</v>
      </c>
      <c r="E113" s="531">
        <f t="shared" si="3"/>
        <v>0</v>
      </c>
      <c r="F113" s="228"/>
      <c r="G113" s="228"/>
      <c r="H113" s="228"/>
      <c r="I113" s="228"/>
    </row>
    <row r="114" spans="1:9" x14ac:dyDescent="0.3">
      <c r="A114" s="783"/>
      <c r="B114" s="786"/>
      <c r="C114" s="162" t="s">
        <v>30</v>
      </c>
      <c r="D114" s="530" t="str">
        <f>IF(E114='Parametre - Agendové IS'!T90,"OK","Chyba počtu FTE")</f>
        <v>OK</v>
      </c>
      <c r="E114" s="531">
        <f t="shared" si="3"/>
        <v>0</v>
      </c>
      <c r="F114" s="228"/>
      <c r="G114" s="228"/>
      <c r="H114" s="228"/>
      <c r="I114" s="228"/>
    </row>
    <row r="115" spans="1:9" x14ac:dyDescent="0.3">
      <c r="A115" s="783"/>
      <c r="B115" s="786"/>
      <c r="C115" s="162" t="s">
        <v>31</v>
      </c>
      <c r="D115" s="530" t="str">
        <f>IF(E115='Parametre - Agendové IS'!T91,"OK","Chyba počtu FTE")</f>
        <v>OK</v>
      </c>
      <c r="E115" s="531">
        <f t="shared" si="3"/>
        <v>0</v>
      </c>
      <c r="F115" s="228"/>
      <c r="G115" s="228"/>
      <c r="H115" s="228"/>
      <c r="I115" s="228"/>
    </row>
    <row r="116" spans="1:9" x14ac:dyDescent="0.3">
      <c r="A116" s="783"/>
      <c r="B116" s="786"/>
      <c r="C116" s="162" t="s">
        <v>32</v>
      </c>
      <c r="D116" s="530" t="str">
        <f>IF(E116='Parametre - Agendové IS'!T92,"OK","Chyba počtu FTE")</f>
        <v>OK</v>
      </c>
      <c r="E116" s="531">
        <f t="shared" si="3"/>
        <v>0</v>
      </c>
      <c r="F116" s="228"/>
      <c r="G116" s="228"/>
      <c r="H116" s="228"/>
      <c r="I116" s="228"/>
    </row>
    <row r="117" spans="1:9" x14ac:dyDescent="0.3">
      <c r="A117" s="783"/>
      <c r="B117" s="786"/>
      <c r="C117" s="162" t="s">
        <v>33</v>
      </c>
      <c r="D117" s="530" t="str">
        <f>IF(E117='Parametre - Agendové IS'!T93,"OK","Chyba počtu FTE")</f>
        <v>OK</v>
      </c>
      <c r="E117" s="531">
        <f t="shared" si="3"/>
        <v>0</v>
      </c>
      <c r="F117" s="228"/>
      <c r="G117" s="228"/>
      <c r="H117" s="228"/>
      <c r="I117" s="228"/>
    </row>
    <row r="118" spans="1:9" ht="15" thickBot="1" x14ac:dyDescent="0.35">
      <c r="A118" s="783"/>
      <c r="B118" s="786"/>
      <c r="C118" s="162" t="s">
        <v>34</v>
      </c>
      <c r="D118" s="532" t="str">
        <f>IF(E118='Parametre - Agendové IS'!T94,"OK","Chyba počtu FTE")</f>
        <v>OK</v>
      </c>
      <c r="E118" s="533">
        <f t="shared" si="3"/>
        <v>0</v>
      </c>
      <c r="F118" s="229"/>
      <c r="G118" s="229"/>
      <c r="H118" s="229"/>
      <c r="I118" s="229"/>
    </row>
    <row r="119" spans="1:9" x14ac:dyDescent="0.3">
      <c r="A119" s="782" t="s">
        <v>41</v>
      </c>
      <c r="B119" s="785" t="s">
        <v>37</v>
      </c>
      <c r="C119" s="165" t="s">
        <v>25</v>
      </c>
      <c r="D119" s="529" t="str">
        <f>IF(E119='Parametre - Agendové IS'!T4,"OK","Chyba počtu podaní")</f>
        <v>Chyba počtu podaní</v>
      </c>
      <c r="E119" s="534">
        <f t="shared" si="3"/>
        <v>0</v>
      </c>
      <c r="F119" s="227"/>
      <c r="G119" s="227"/>
      <c r="H119" s="227"/>
      <c r="I119" s="227"/>
    </row>
    <row r="120" spans="1:9" x14ac:dyDescent="0.3">
      <c r="A120" s="783"/>
      <c r="B120" s="786"/>
      <c r="C120" s="162" t="s">
        <v>26</v>
      </c>
      <c r="D120" s="530" t="str">
        <f>IF(E120='Parametre - Agendové IS'!T5,"OK","Chyba počtu podaní")</f>
        <v>Chyba počtu podaní</v>
      </c>
      <c r="E120" s="531">
        <f t="shared" si="3"/>
        <v>0</v>
      </c>
      <c r="F120" s="228"/>
      <c r="G120" s="228"/>
      <c r="H120" s="228"/>
      <c r="I120" s="228"/>
    </row>
    <row r="121" spans="1:9" x14ac:dyDescent="0.3">
      <c r="A121" s="783"/>
      <c r="B121" s="786"/>
      <c r="C121" s="162" t="s">
        <v>27</v>
      </c>
      <c r="D121" s="530" t="str">
        <f>IF(E121='Parametre - Agendové IS'!T6,"OK","Chyba počtu podaní")</f>
        <v>Chyba počtu podaní</v>
      </c>
      <c r="E121" s="531">
        <f t="shared" si="3"/>
        <v>0</v>
      </c>
      <c r="F121" s="228"/>
      <c r="G121" s="228"/>
      <c r="H121" s="228"/>
      <c r="I121" s="228"/>
    </row>
    <row r="122" spans="1:9" x14ac:dyDescent="0.3">
      <c r="A122" s="783"/>
      <c r="B122" s="786"/>
      <c r="C122" s="162" t="s">
        <v>28</v>
      </c>
      <c r="D122" s="530" t="str">
        <f>IF(E122='Parametre - Agendové IS'!T7,"OK","Chyba počtu podaní")</f>
        <v>Chyba počtu podaní</v>
      </c>
      <c r="E122" s="531">
        <f t="shared" si="3"/>
        <v>0</v>
      </c>
      <c r="F122" s="228"/>
      <c r="G122" s="228"/>
      <c r="H122" s="228"/>
      <c r="I122" s="228"/>
    </row>
    <row r="123" spans="1:9" x14ac:dyDescent="0.3">
      <c r="A123" s="783"/>
      <c r="B123" s="786"/>
      <c r="C123" s="162" t="s">
        <v>29</v>
      </c>
      <c r="D123" s="530" t="str">
        <f>IF(E123='Parametre - Agendové IS'!T8,"OK","Chyba počtu podaní")</f>
        <v>Chyba počtu podaní</v>
      </c>
      <c r="E123" s="531">
        <f t="shared" si="3"/>
        <v>0</v>
      </c>
      <c r="F123" s="228"/>
      <c r="G123" s="228"/>
      <c r="H123" s="228"/>
      <c r="I123" s="228"/>
    </row>
    <row r="124" spans="1:9" x14ac:dyDescent="0.3">
      <c r="A124" s="783"/>
      <c r="B124" s="786"/>
      <c r="C124" s="162" t="s">
        <v>30</v>
      </c>
      <c r="D124" s="530" t="str">
        <f>IF(E124='Parametre - Agendové IS'!T9,"OK","Chyba počtu podaní")</f>
        <v>Chyba počtu podaní</v>
      </c>
      <c r="E124" s="531">
        <f t="shared" si="3"/>
        <v>0</v>
      </c>
      <c r="F124" s="228"/>
      <c r="G124" s="228"/>
      <c r="H124" s="228"/>
      <c r="I124" s="228"/>
    </row>
    <row r="125" spans="1:9" x14ac:dyDescent="0.3">
      <c r="A125" s="783"/>
      <c r="B125" s="786"/>
      <c r="C125" s="162" t="s">
        <v>31</v>
      </c>
      <c r="D125" s="530" t="str">
        <f>IF(E125='Parametre - Agendové IS'!T10,"OK","Chyba počtu podaní")</f>
        <v>Chyba počtu podaní</v>
      </c>
      <c r="E125" s="531">
        <f t="shared" si="3"/>
        <v>0</v>
      </c>
      <c r="F125" s="228"/>
      <c r="G125" s="228"/>
      <c r="H125" s="228"/>
      <c r="I125" s="228"/>
    </row>
    <row r="126" spans="1:9" x14ac:dyDescent="0.3">
      <c r="A126" s="783"/>
      <c r="B126" s="786"/>
      <c r="C126" s="162" t="s">
        <v>32</v>
      </c>
      <c r="D126" s="530" t="str">
        <f>IF(E126='Parametre - Agendové IS'!T11,"OK","Chyba počtu podaní")</f>
        <v>Chyba počtu podaní</v>
      </c>
      <c r="E126" s="531">
        <f t="shared" si="3"/>
        <v>0</v>
      </c>
      <c r="F126" s="228"/>
      <c r="G126" s="228"/>
      <c r="H126" s="228"/>
      <c r="I126" s="228"/>
    </row>
    <row r="127" spans="1:9" x14ac:dyDescent="0.3">
      <c r="A127" s="783"/>
      <c r="B127" s="786"/>
      <c r="C127" s="162" t="s">
        <v>33</v>
      </c>
      <c r="D127" s="530" t="str">
        <f>IF(E127='Parametre - Agendové IS'!T12,"OK","Chyba počtu podaní")</f>
        <v>Chyba počtu podaní</v>
      </c>
      <c r="E127" s="531">
        <f t="shared" si="3"/>
        <v>0</v>
      </c>
      <c r="F127" s="228"/>
      <c r="G127" s="228"/>
      <c r="H127" s="228"/>
      <c r="I127" s="228"/>
    </row>
    <row r="128" spans="1:9" ht="15" thickBot="1" x14ac:dyDescent="0.35">
      <c r="A128" s="784"/>
      <c r="B128" s="787"/>
      <c r="C128" s="163" t="s">
        <v>34</v>
      </c>
      <c r="D128" s="530" t="str">
        <f>IF(E128='Parametre - Agendové IS'!T13,"OK","Chyba počtu podaní")</f>
        <v>Chyba počtu podaní</v>
      </c>
      <c r="E128" s="531">
        <f t="shared" si="3"/>
        <v>0</v>
      </c>
      <c r="F128" s="228"/>
      <c r="G128" s="228"/>
      <c r="H128" s="228"/>
      <c r="I128" s="228"/>
    </row>
    <row r="129" spans="1:9" x14ac:dyDescent="0.3">
      <c r="A129" s="782" t="s">
        <v>39</v>
      </c>
      <c r="B129" s="785" t="s">
        <v>13</v>
      </c>
      <c r="C129" s="165" t="s">
        <v>25</v>
      </c>
      <c r="D129" s="529" t="str">
        <f>IF(E129='Parametre - Agendové IS'!T125,"OK","Chyba")</f>
        <v>OK</v>
      </c>
      <c r="E129" s="534">
        <f t="shared" si="3"/>
        <v>0</v>
      </c>
      <c r="F129" s="227"/>
      <c r="G129" s="227"/>
      <c r="H129" s="227"/>
      <c r="I129" s="227"/>
    </row>
    <row r="130" spans="1:9" x14ac:dyDescent="0.3">
      <c r="A130" s="783"/>
      <c r="B130" s="786"/>
      <c r="C130" s="162" t="s">
        <v>26</v>
      </c>
      <c r="D130" s="530" t="str">
        <f>IF(E130='Parametre - Agendové IS'!T126,"OK","Chyba")</f>
        <v>OK</v>
      </c>
      <c r="E130" s="531">
        <f t="shared" si="3"/>
        <v>0</v>
      </c>
      <c r="F130" s="228"/>
      <c r="G130" s="228"/>
      <c r="H130" s="228"/>
      <c r="I130" s="228"/>
    </row>
    <row r="131" spans="1:9" x14ac:dyDescent="0.3">
      <c r="A131" s="783"/>
      <c r="B131" s="786"/>
      <c r="C131" s="162" t="s">
        <v>27</v>
      </c>
      <c r="D131" s="530" t="str">
        <f>IF(E131='Parametre - Agendové IS'!T127,"OK","Chyba")</f>
        <v>OK</v>
      </c>
      <c r="E131" s="531">
        <f t="shared" si="3"/>
        <v>0</v>
      </c>
      <c r="F131" s="228"/>
      <c r="G131" s="228"/>
      <c r="H131" s="228"/>
      <c r="I131" s="228"/>
    </row>
    <row r="132" spans="1:9" x14ac:dyDescent="0.3">
      <c r="A132" s="783"/>
      <c r="B132" s="786"/>
      <c r="C132" s="162" t="s">
        <v>28</v>
      </c>
      <c r="D132" s="530" t="str">
        <f>IF(E132='Parametre - Agendové IS'!T128,"OK","Chyba")</f>
        <v>OK</v>
      </c>
      <c r="E132" s="531">
        <f t="shared" si="3"/>
        <v>0</v>
      </c>
      <c r="F132" s="228"/>
      <c r="G132" s="228"/>
      <c r="H132" s="228"/>
      <c r="I132" s="228"/>
    </row>
    <row r="133" spans="1:9" x14ac:dyDescent="0.3">
      <c r="A133" s="783"/>
      <c r="B133" s="786"/>
      <c r="C133" s="162" t="s">
        <v>29</v>
      </c>
      <c r="D133" s="530" t="str">
        <f>IF(E133='Parametre - Agendové IS'!T129,"OK","Chyba")</f>
        <v>OK</v>
      </c>
      <c r="E133" s="531">
        <f t="shared" si="3"/>
        <v>0</v>
      </c>
      <c r="F133" s="228"/>
      <c r="G133" s="228"/>
      <c r="H133" s="228"/>
      <c r="I133" s="228"/>
    </row>
    <row r="134" spans="1:9" x14ac:dyDescent="0.3">
      <c r="A134" s="783"/>
      <c r="B134" s="786"/>
      <c r="C134" s="162" t="s">
        <v>30</v>
      </c>
      <c r="D134" s="530" t="str">
        <f>IF(E134='Parametre - Agendové IS'!T130,"OK","Chyba")</f>
        <v>OK</v>
      </c>
      <c r="E134" s="531">
        <f t="shared" si="3"/>
        <v>0</v>
      </c>
      <c r="F134" s="228"/>
      <c r="G134" s="228"/>
      <c r="H134" s="228"/>
      <c r="I134" s="228"/>
    </row>
    <row r="135" spans="1:9" x14ac:dyDescent="0.3">
      <c r="A135" s="783"/>
      <c r="B135" s="786"/>
      <c r="C135" s="162" t="s">
        <v>31</v>
      </c>
      <c r="D135" s="530" t="str">
        <f>IF(E135='Parametre - Agendové IS'!T131,"OK","Chyba")</f>
        <v>OK</v>
      </c>
      <c r="E135" s="531">
        <f t="shared" si="3"/>
        <v>0</v>
      </c>
      <c r="F135" s="228"/>
      <c r="G135" s="228"/>
      <c r="H135" s="228"/>
      <c r="I135" s="228"/>
    </row>
    <row r="136" spans="1:9" x14ac:dyDescent="0.3">
      <c r="A136" s="783"/>
      <c r="B136" s="786"/>
      <c r="C136" s="162" t="s">
        <v>32</v>
      </c>
      <c r="D136" s="530" t="str">
        <f>IF(E136='Parametre - Agendové IS'!T132,"OK","Chyba")</f>
        <v>OK</v>
      </c>
      <c r="E136" s="531">
        <f t="shared" si="3"/>
        <v>0</v>
      </c>
      <c r="F136" s="228"/>
      <c r="G136" s="228"/>
      <c r="H136" s="228"/>
      <c r="I136" s="228"/>
    </row>
    <row r="137" spans="1:9" x14ac:dyDescent="0.3">
      <c r="A137" s="783"/>
      <c r="B137" s="786"/>
      <c r="C137" s="162" t="s">
        <v>33</v>
      </c>
      <c r="D137" s="530" t="str">
        <f>IF(E137='Parametre - Agendové IS'!T133,"OK","Chyba")</f>
        <v>OK</v>
      </c>
      <c r="E137" s="531">
        <f t="shared" si="3"/>
        <v>0</v>
      </c>
      <c r="F137" s="228"/>
      <c r="G137" s="228"/>
      <c r="H137" s="228"/>
      <c r="I137" s="228"/>
    </row>
    <row r="138" spans="1:9" ht="15" thickBot="1" x14ac:dyDescent="0.35">
      <c r="A138" s="784"/>
      <c r="B138" s="787"/>
      <c r="C138" s="163" t="s">
        <v>34</v>
      </c>
      <c r="D138" s="530" t="str">
        <f>IF(E138='Parametre - Agendové IS'!T134,"OK","Chyba")</f>
        <v>OK</v>
      </c>
      <c r="E138" s="531">
        <f t="shared" si="3"/>
        <v>0</v>
      </c>
      <c r="F138" s="228"/>
      <c r="G138" s="228"/>
      <c r="H138" s="228"/>
      <c r="I138" s="228"/>
    </row>
  </sheetData>
  <mergeCells count="32">
    <mergeCell ref="A119:A128"/>
    <mergeCell ref="B119:B128"/>
    <mergeCell ref="A109:A118"/>
    <mergeCell ref="B109:B118"/>
    <mergeCell ref="A84:A93"/>
    <mergeCell ref="B84:B93"/>
    <mergeCell ref="A107:C108"/>
    <mergeCell ref="D107:E107"/>
    <mergeCell ref="D72:E72"/>
    <mergeCell ref="D37:E37"/>
    <mergeCell ref="D2:E2"/>
    <mergeCell ref="A2:C3"/>
    <mergeCell ref="B4:B13"/>
    <mergeCell ref="A14:A23"/>
    <mergeCell ref="B14:B23"/>
    <mergeCell ref="A4:A13"/>
    <mergeCell ref="A129:A138"/>
    <mergeCell ref="B129:B138"/>
    <mergeCell ref="A24:A33"/>
    <mergeCell ref="B24:B33"/>
    <mergeCell ref="A59:A68"/>
    <mergeCell ref="B59:B68"/>
    <mergeCell ref="A94:A103"/>
    <mergeCell ref="B94:B103"/>
    <mergeCell ref="A37:C38"/>
    <mergeCell ref="A39:A48"/>
    <mergeCell ref="B39:B48"/>
    <mergeCell ref="A49:A58"/>
    <mergeCell ref="B49:B58"/>
    <mergeCell ref="A72:C73"/>
    <mergeCell ref="A74:A83"/>
    <mergeCell ref="B74:B83"/>
  </mergeCells>
  <pageMargins left="0.7" right="0.7" top="0.75" bottom="0.75" header="0.3" footer="0.3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CC"/>
  </sheetPr>
  <dimension ref="A1:AD27"/>
  <sheetViews>
    <sheetView zoomScaleNormal="100" workbookViewId="0">
      <selection activeCell="T5" sqref="T5"/>
    </sheetView>
  </sheetViews>
  <sheetFormatPr defaultColWidth="9.109375" defaultRowHeight="14.4" x14ac:dyDescent="0.3"/>
  <cols>
    <col min="2" max="2" width="9.109375" customWidth="1"/>
    <col min="3" max="3" width="32" customWidth="1"/>
    <col min="4" max="13" width="24.77734375" customWidth="1"/>
    <col min="19" max="19" width="32.33203125" customWidth="1"/>
    <col min="20" max="28" width="14.44140625" style="61" customWidth="1"/>
    <col min="29" max="29" width="15.44140625" bestFit="1" customWidth="1"/>
  </cols>
  <sheetData>
    <row r="1" spans="1:29" ht="21.6" customHeight="1" thickBot="1" x14ac:dyDescent="0.35">
      <c r="A1" s="665" t="s">
        <v>363</v>
      </c>
      <c r="B1" s="665"/>
      <c r="C1" s="665"/>
      <c r="D1" s="597"/>
      <c r="E1" s="597"/>
      <c r="F1" s="597"/>
      <c r="G1" s="597"/>
      <c r="H1" s="597"/>
      <c r="I1" s="597"/>
      <c r="J1" s="597">
        <v>9</v>
      </c>
      <c r="K1" s="597"/>
      <c r="L1" s="597" t="s">
        <v>448</v>
      </c>
      <c r="M1" s="484"/>
      <c r="N1" s="484"/>
      <c r="O1" s="484"/>
      <c r="P1" s="484"/>
      <c r="Q1" s="665" t="s">
        <v>364</v>
      </c>
      <c r="R1" s="665"/>
      <c r="S1" s="665"/>
    </row>
    <row r="2" spans="1:29" ht="28.8" x14ac:dyDescent="0.3">
      <c r="A2" s="666"/>
      <c r="B2" s="667"/>
      <c r="C2" s="668"/>
      <c r="D2" s="568" t="str">
        <f>'TCO TO BE- SW'!F1</f>
        <v>Špecifikácia potrieb</v>
      </c>
      <c r="E2" s="568" t="str">
        <f>'TCO TO BE- SW'!G1</f>
        <v>Návrh</v>
      </c>
      <c r="F2" s="568" t="str">
        <f>'TCO TO BE- SW'!H1</f>
        <v>Vytvorenie a testovanie</v>
      </c>
      <c r="G2" s="568" t="str">
        <f>'TCO TO BE- SW'!I1</f>
        <v>Zber údajov</v>
      </c>
      <c r="H2" s="568" t="str">
        <f>'TCO TO BE- SW'!J1</f>
        <v>Spracovanie</v>
      </c>
      <c r="I2" s="568" t="str">
        <f>'TCO TO BE- SW'!K1</f>
        <v>Zverejňovanie a poskytovanie</v>
      </c>
      <c r="J2" s="568" t="str">
        <f>'TCO TO BE- SW'!L1</f>
        <v>Hodnotenie</v>
      </c>
      <c r="K2" s="568" t="str">
        <f>'TCO TO BE- SW'!M1</f>
        <v>Súčasné riešenie</v>
      </c>
      <c r="L2" s="568" t="str">
        <f>'TCO TO BE- SW'!N1</f>
        <v>GSBPM</v>
      </c>
      <c r="M2" s="567" t="s">
        <v>109</v>
      </c>
      <c r="Q2" s="666"/>
      <c r="R2" s="667"/>
      <c r="S2" s="668"/>
      <c r="T2" s="568" t="str">
        <f>D2</f>
        <v>Špecifikácia potrieb</v>
      </c>
      <c r="U2" s="568" t="str">
        <f t="shared" ref="U2:Y2" si="0">E2</f>
        <v>Návrh</v>
      </c>
      <c r="V2" s="568" t="str">
        <f t="shared" si="0"/>
        <v>Vytvorenie a testovanie</v>
      </c>
      <c r="W2" s="568" t="str">
        <f t="shared" si="0"/>
        <v>Zber údajov</v>
      </c>
      <c r="X2" s="568" t="str">
        <f t="shared" si="0"/>
        <v>Spracovanie</v>
      </c>
      <c r="Y2" s="568" t="str">
        <f t="shared" si="0"/>
        <v>Zverejňovanie a poskytovanie</v>
      </c>
      <c r="Z2" s="568" t="str">
        <f t="shared" ref="Z2" si="1">J2</f>
        <v>Hodnotenie</v>
      </c>
      <c r="AA2" s="568" t="str">
        <f t="shared" ref="AA2" si="2">K2</f>
        <v>Súčasné riešenie</v>
      </c>
      <c r="AB2" s="568" t="str">
        <f t="shared" ref="AB2" si="3">L2</f>
        <v>GSBPM</v>
      </c>
      <c r="AC2" s="567" t="s">
        <v>109</v>
      </c>
    </row>
    <row r="3" spans="1:29" x14ac:dyDescent="0.3">
      <c r="A3" s="332" t="s">
        <v>368</v>
      </c>
      <c r="B3" s="333"/>
      <c r="C3" s="334"/>
      <c r="D3" s="335">
        <f>D4+D5+D9+D13+D14</f>
        <v>2364414.4898406467</v>
      </c>
      <c r="E3" s="335">
        <f t="shared" ref="E3:L3" si="4">E4+E5+E9+E13+E14</f>
        <v>2679669.7551527326</v>
      </c>
      <c r="F3" s="335">
        <f t="shared" si="4"/>
        <v>2127973.0408565812</v>
      </c>
      <c r="G3" s="335">
        <f t="shared" si="4"/>
        <v>1056748.6316233336</v>
      </c>
      <c r="H3" s="335">
        <f t="shared" si="4"/>
        <v>1434158.8572030955</v>
      </c>
      <c r="I3" s="335">
        <f t="shared" si="4"/>
        <v>641597.38348559523</v>
      </c>
      <c r="J3" s="335">
        <f t="shared" si="4"/>
        <v>945765.79593625863</v>
      </c>
      <c r="K3" s="335">
        <f t="shared" si="4"/>
        <v>0</v>
      </c>
      <c r="L3" s="335">
        <f t="shared" si="4"/>
        <v>1103393.4285923017</v>
      </c>
      <c r="M3" s="485">
        <f>SUM(D3:L3)</f>
        <v>12353721.382690545</v>
      </c>
      <c r="Q3" s="332" t="s">
        <v>368</v>
      </c>
      <c r="R3" s="333"/>
      <c r="S3" s="334"/>
      <c r="T3" s="598">
        <f>T4+T5+T9+T13+T14</f>
        <v>2835043.7685000002</v>
      </c>
      <c r="U3" s="598">
        <f>U4+U5+U9+U13+U14</f>
        <v>3213049.6042999993</v>
      </c>
      <c r="V3" s="598"/>
      <c r="W3" s="598"/>
      <c r="X3" s="598"/>
      <c r="Y3" s="598">
        <f>Y4+Y5+Y9+Y13+Y14</f>
        <v>1606524.8021499997</v>
      </c>
      <c r="Z3" s="599"/>
      <c r="AA3" s="599">
        <f>AA4+AA5+AA9+AA13+AA14</f>
        <v>11214720</v>
      </c>
      <c r="AB3" s="598">
        <f>AB5+AB9+AB13+AB14</f>
        <v>1323020.4253000002</v>
      </c>
      <c r="AC3" s="485">
        <f>SUM(T3:AB3)</f>
        <v>20192358.600249998</v>
      </c>
    </row>
    <row r="4" spans="1:29" x14ac:dyDescent="0.3">
      <c r="A4" s="336"/>
      <c r="B4" s="337" t="s">
        <v>70</v>
      </c>
      <c r="C4" s="338"/>
      <c r="D4" s="501">
        <f>'Parametre - Agendové IS'!I105+NPV(Faktory!$D$5,'Parametre - Agendové IS'!I106:I114)</f>
        <v>0</v>
      </c>
      <c r="E4" s="501">
        <f>'Parametre - Agendové IS'!J105+NPV(Faktory!$D$5,'Parametre - Agendové IS'!J106:J114)</f>
        <v>0</v>
      </c>
      <c r="F4" s="501">
        <f>'Parametre - Agendové IS'!M105+NPV(Faktory!$D$5,'Parametre - Agendové IS'!M106:M114)</f>
        <v>0</v>
      </c>
      <c r="G4" s="501">
        <f>'Parametre - Agendové IS'!N105+NPV(Faktory!$D$5,'Parametre - Agendové IS'!N106:N114)</f>
        <v>0</v>
      </c>
      <c r="H4" s="501">
        <f>'Parametre - Agendové IS'!O105+NPV(Faktory!$D$5,'Parametre - Agendové IS'!O106:O114)</f>
        <v>0</v>
      </c>
      <c r="I4" s="501">
        <f>'Parametre - Agendové IS'!P105+NPV(Faktory!$D$5,'Parametre - Agendové IS'!P106:P114)</f>
        <v>0</v>
      </c>
      <c r="J4" s="501">
        <f>'Parametre - Agendové IS'!Q105+NPV(Faktory!$D$5,'Parametre - Agendové IS'!Q106:Q114)</f>
        <v>0</v>
      </c>
      <c r="K4" s="501">
        <f>'Parametre - Agendové IS'!R105+NPV(Faktory!$D$5,'Parametre - Agendové IS'!R106:R114)</f>
        <v>0</v>
      </c>
      <c r="L4" s="501">
        <f>'Parametre - Agendové IS'!S105+NPV(Faktory!$D$5,'Parametre - Agendové IS'!S106:S114)</f>
        <v>0</v>
      </c>
      <c r="M4" s="503">
        <f>SUM(D4:L4)</f>
        <v>0</v>
      </c>
      <c r="Q4" s="336"/>
      <c r="R4" s="337" t="s">
        <v>70</v>
      </c>
      <c r="S4" s="338"/>
      <c r="T4" s="600">
        <v>0</v>
      </c>
      <c r="U4" s="600">
        <v>0</v>
      </c>
      <c r="V4" s="600">
        <v>0</v>
      </c>
      <c r="W4" s="600">
        <v>0</v>
      </c>
      <c r="X4" s="600">
        <v>0</v>
      </c>
      <c r="Y4" s="600">
        <v>0</v>
      </c>
      <c r="Z4" s="600">
        <v>0</v>
      </c>
      <c r="AA4" s="600">
        <v>0</v>
      </c>
      <c r="AB4" s="600">
        <v>0</v>
      </c>
      <c r="AC4" s="503">
        <f>SUM(T4:AB4)</f>
        <v>0</v>
      </c>
    </row>
    <row r="5" spans="1:29" x14ac:dyDescent="0.3">
      <c r="A5" s="336"/>
      <c r="B5" s="337" t="s">
        <v>225</v>
      </c>
      <c r="C5" s="338"/>
      <c r="D5" s="501">
        <f>SUM(D6:D8)</f>
        <v>1059343.4057142858</v>
      </c>
      <c r="E5" s="501">
        <f t="shared" ref="E5:L5" si="5">SUM(E6:E8)</f>
        <v>1200589.1931428572</v>
      </c>
      <c r="F5" s="501">
        <f t="shared" si="5"/>
        <v>953409.06514285691</v>
      </c>
      <c r="G5" s="501">
        <f t="shared" si="5"/>
        <v>988720.5120000001</v>
      </c>
      <c r="H5" s="501">
        <f t="shared" si="5"/>
        <v>1341834.9805714288</v>
      </c>
      <c r="I5" s="501">
        <f t="shared" si="5"/>
        <v>600294.59657142858</v>
      </c>
      <c r="J5" s="501">
        <f t="shared" si="5"/>
        <v>423737.36228571431</v>
      </c>
      <c r="K5" s="501">
        <f t="shared" si="5"/>
        <v>0</v>
      </c>
      <c r="L5" s="501">
        <f t="shared" si="5"/>
        <v>494360.25600000005</v>
      </c>
      <c r="M5" s="503">
        <f>SUM(D5:L5)</f>
        <v>7062289.3714285726</v>
      </c>
      <c r="Q5" s="336"/>
      <c r="R5" s="337" t="s">
        <v>225</v>
      </c>
      <c r="S5" s="338"/>
      <c r="T5" s="600">
        <f>SUM(T6:T8)</f>
        <v>1159497.1200000001</v>
      </c>
      <c r="U5" s="600">
        <f t="shared" ref="U5:AB5" si="6">SUM(U6:U8)</f>
        <v>1314096.736</v>
      </c>
      <c r="V5" s="600">
        <f t="shared" si="6"/>
        <v>1043547.4079999998</v>
      </c>
      <c r="W5" s="600">
        <f t="shared" si="6"/>
        <v>1082197.3120000002</v>
      </c>
      <c r="X5" s="600">
        <f t="shared" si="6"/>
        <v>1468696.3520000002</v>
      </c>
      <c r="Y5" s="600">
        <f t="shared" si="6"/>
        <v>657048.36800000002</v>
      </c>
      <c r="Z5" s="600">
        <f t="shared" si="6"/>
        <v>463798.84800000006</v>
      </c>
      <c r="AA5" s="600">
        <f t="shared" si="6"/>
        <v>0</v>
      </c>
      <c r="AB5" s="600">
        <f t="shared" si="6"/>
        <v>541098.65600000008</v>
      </c>
      <c r="AC5" s="503">
        <f>SUM(T5:AB5)</f>
        <v>7729980.8000000007</v>
      </c>
    </row>
    <row r="6" spans="1:29" x14ac:dyDescent="0.3">
      <c r="A6" s="339"/>
      <c r="B6" s="340"/>
      <c r="C6" s="341" t="s">
        <v>111</v>
      </c>
      <c r="D6" s="504">
        <f>('TCO TO BE- SW'!F36+NPV(Faktory!$D$5,'TCO TO BE- SW'!F37:F45)+'TCO TO BE- SW'!F46+NPV(Faktory!$D$5,'TCO TO BE- SW'!F47:F55)+'TCO TO BE- SW'!F66+NPV(Faktory!$D$5,'TCO TO BE- SW'!F67:F75))</f>
        <v>1059343.4057142858</v>
      </c>
      <c r="E6" s="504">
        <f>('TCO TO BE- SW'!G36+NPV(Faktory!$D$5,'TCO TO BE- SW'!G37:G45)+'TCO TO BE- SW'!G46+NPV(Faktory!$D$5,'TCO TO BE- SW'!G47:G55)+'TCO TO BE- SW'!G66+NPV(Faktory!$D$5,'TCO TO BE- SW'!G67:G75))</f>
        <v>1200589.1931428572</v>
      </c>
      <c r="F6" s="504">
        <f>('TCO TO BE- SW'!H36+NPV(Faktory!$D$5,'TCO TO BE- SW'!H37:H45)+'TCO TO BE- SW'!H46+NPV(Faktory!$D$5,'TCO TO BE- SW'!H47:H55)+'TCO TO BE- SW'!H66+NPV(Faktory!$D$5,'TCO TO BE- SW'!H67:H75))</f>
        <v>953409.06514285691</v>
      </c>
      <c r="G6" s="504">
        <f>('TCO TO BE- SW'!I36+NPV(Faktory!$D$5,'TCO TO BE- SW'!I37:I45)+'TCO TO BE- SW'!I46+NPV(Faktory!$D$5,'TCO TO BE- SW'!I47:I55)+'TCO TO BE- SW'!I66+NPV(Faktory!$D$5,'TCO TO BE- SW'!I67:I75))</f>
        <v>988720.5120000001</v>
      </c>
      <c r="H6" s="504">
        <f>('TCO TO BE- SW'!J36+NPV(Faktory!$D$5,'TCO TO BE- SW'!J37:J45)+'TCO TO BE- SW'!J46+NPV(Faktory!$D$5,'TCO TO BE- SW'!J47:J55)+'TCO TO BE- SW'!J66+NPV(Faktory!$D$5,'TCO TO BE- SW'!J67:J75))</f>
        <v>1341834.9805714288</v>
      </c>
      <c r="I6" s="504">
        <f>('TCO TO BE- SW'!K36+NPV(Faktory!$D$5,'TCO TO BE- SW'!K37:K45)+'TCO TO BE- SW'!K46+NPV(Faktory!$D$5,'TCO TO BE- SW'!K47:K55)+'TCO TO BE- SW'!K66+NPV(Faktory!$D$5,'TCO TO BE- SW'!K67:K75))</f>
        <v>600294.59657142858</v>
      </c>
      <c r="J6" s="504">
        <f>('TCO TO BE- SW'!L36+NPV(Faktory!$D$5,'TCO TO BE- SW'!L37:L45)+'TCO TO BE- SW'!L46+NPV(Faktory!$D$5,'TCO TO BE- SW'!L47:L55)+'TCO TO BE- SW'!L66+NPV(Faktory!$D$5,'TCO TO BE- SW'!L67:L75))</f>
        <v>423737.36228571431</v>
      </c>
      <c r="K6" s="504">
        <f>('TCO TO BE- SW'!M36+NPV(Faktory!$D$5,'TCO TO BE- SW'!M37:M45)+'TCO TO BE- SW'!M46+NPV(Faktory!$D$5,'TCO TO BE- SW'!M47:M55)+'TCO TO BE- SW'!M66+NPV(Faktory!$D$5,'TCO TO BE- SW'!M67:M75))</f>
        <v>0</v>
      </c>
      <c r="L6" s="504">
        <f>('TCO TO BE- SW'!N36+NPV(Faktory!$D$5,'TCO TO BE- SW'!N37:N45)+'TCO TO BE- SW'!N46+NPV(Faktory!$D$5,'TCO TO BE- SW'!N47:N55)+'TCO TO BE- SW'!N66+NPV(Faktory!$D$5,'TCO TO BE- SW'!N67:N75))</f>
        <v>494360.25600000005</v>
      </c>
      <c r="M6" s="506">
        <f>SUM(D6:L6)</f>
        <v>7062289.3714285726</v>
      </c>
      <c r="Q6" s="339"/>
      <c r="R6" s="340"/>
      <c r="S6" s="341" t="s">
        <v>111</v>
      </c>
      <c r="T6" s="603">
        <f>'TCO TO BE- SW'!F35</f>
        <v>1159497.1200000001</v>
      </c>
      <c r="U6" s="603">
        <f>'TCO TO BE- SW'!G35</f>
        <v>1314096.736</v>
      </c>
      <c r="V6" s="603">
        <f>'TCO TO BE- SW'!H35</f>
        <v>1043547.4079999998</v>
      </c>
      <c r="W6" s="603">
        <f>'TCO TO BE- SW'!I35</f>
        <v>1082197.3120000002</v>
      </c>
      <c r="X6" s="603">
        <f>'TCO TO BE- SW'!J35</f>
        <v>1468696.3520000002</v>
      </c>
      <c r="Y6" s="603">
        <f>'TCO TO BE- SW'!K35</f>
        <v>657048.36800000002</v>
      </c>
      <c r="Z6" s="603">
        <f>'TCO TO BE- SW'!L35</f>
        <v>463798.84800000006</v>
      </c>
      <c r="AA6" s="603">
        <f>'TCO TO BE- SW'!M35</f>
        <v>0</v>
      </c>
      <c r="AB6" s="603">
        <f>'TCO TO BE- SW'!N35</f>
        <v>541098.65600000008</v>
      </c>
      <c r="AC6" s="506">
        <f>SUM(T6:AB6)</f>
        <v>7729980.8000000007</v>
      </c>
    </row>
    <row r="7" spans="1:29" x14ac:dyDescent="0.3">
      <c r="A7" s="339"/>
      <c r="B7" s="340"/>
      <c r="C7" s="341" t="s">
        <v>69</v>
      </c>
      <c r="D7" s="504">
        <v>0</v>
      </c>
      <c r="E7" s="504">
        <v>0</v>
      </c>
      <c r="F7" s="504">
        <v>0</v>
      </c>
      <c r="G7" s="504"/>
      <c r="H7" s="504"/>
      <c r="I7" s="504"/>
      <c r="J7" s="504">
        <v>0</v>
      </c>
      <c r="K7" s="504"/>
      <c r="L7" s="504">
        <v>0</v>
      </c>
      <c r="M7" s="506">
        <f>SUM(D7:L7)</f>
        <v>0</v>
      </c>
      <c r="Q7" s="339"/>
      <c r="R7" s="340"/>
      <c r="S7" s="341" t="s">
        <v>69</v>
      </c>
      <c r="T7" s="603">
        <f>'TCO TO BE- SW'!F4</f>
        <v>0</v>
      </c>
      <c r="U7" s="603">
        <f>'TCO TO BE- SW'!G4</f>
        <v>0</v>
      </c>
      <c r="V7" s="603">
        <f>'TCO TO BE- SW'!H4</f>
        <v>0</v>
      </c>
      <c r="W7" s="603">
        <f>'TCO TO BE- SW'!I4</f>
        <v>0</v>
      </c>
      <c r="X7" s="603">
        <f>'TCO TO BE- SW'!J4</f>
        <v>0</v>
      </c>
      <c r="Y7" s="603">
        <f>'TCO TO BE- SW'!K4</f>
        <v>0</v>
      </c>
      <c r="Z7" s="603">
        <f>'TCO TO BE- SW'!L4</f>
        <v>0</v>
      </c>
      <c r="AA7" s="603">
        <f>'TCO TO BE- SW'!M4</f>
        <v>0</v>
      </c>
      <c r="AB7" s="603">
        <f>'TCO TO BE- SW'!N4</f>
        <v>0</v>
      </c>
      <c r="AC7" s="506">
        <f>SUM(T7:AB7)</f>
        <v>0</v>
      </c>
    </row>
    <row r="8" spans="1:29" x14ac:dyDescent="0.3">
      <c r="A8" s="339"/>
      <c r="B8" s="340"/>
      <c r="C8" s="341" t="s">
        <v>68</v>
      </c>
      <c r="D8" s="504">
        <v>0</v>
      </c>
      <c r="E8" s="504">
        <v>0</v>
      </c>
      <c r="F8" s="504">
        <v>0</v>
      </c>
      <c r="G8" s="504"/>
      <c r="H8" s="504"/>
      <c r="I8" s="504"/>
      <c r="J8" s="504">
        <v>0</v>
      </c>
      <c r="K8" s="504"/>
      <c r="L8" s="504">
        <v>0</v>
      </c>
      <c r="M8" s="506">
        <f t="shared" ref="M8:M17" si="7">SUM(D8:J8)</f>
        <v>0</v>
      </c>
      <c r="Q8" s="339"/>
      <c r="R8" s="340"/>
      <c r="S8" s="341" t="s">
        <v>68</v>
      </c>
      <c r="T8" s="603">
        <f>'TCO TO BE- SW'!F5</f>
        <v>0</v>
      </c>
      <c r="U8" s="603">
        <f>'TCO TO BE- SW'!G5</f>
        <v>0</v>
      </c>
      <c r="V8" s="603">
        <f>'TCO TO BE- SW'!H5</f>
        <v>0</v>
      </c>
      <c r="W8" s="603">
        <f>'TCO TO BE- SW'!I5</f>
        <v>0</v>
      </c>
      <c r="X8" s="603">
        <f>'TCO TO BE- SW'!J5</f>
        <v>0</v>
      </c>
      <c r="Y8" s="603">
        <f>'TCO TO BE- SW'!K5</f>
        <v>0</v>
      </c>
      <c r="Z8" s="603">
        <f>'TCO TO BE- SW'!L5</f>
        <v>0</v>
      </c>
      <c r="AA8" s="603">
        <f>'TCO TO BE- SW'!M5</f>
        <v>0</v>
      </c>
      <c r="AB8" s="603">
        <f>'TCO TO BE- SW'!N5</f>
        <v>0</v>
      </c>
      <c r="AC8" s="506">
        <f t="shared" ref="AC8:AC22" si="8">SUM(T8:AA8)</f>
        <v>0</v>
      </c>
    </row>
    <row r="9" spans="1:29" x14ac:dyDescent="0.3">
      <c r="A9" s="336"/>
      <c r="B9" s="337" t="s">
        <v>226</v>
      </c>
      <c r="C9" s="338"/>
      <c r="D9" s="501">
        <f>SUM(D10:D12)</f>
        <v>1232183.8131013608</v>
      </c>
      <c r="E9" s="501">
        <f>SUM(E10:E12)</f>
        <v>1396474.9881815421</v>
      </c>
      <c r="F9" s="501">
        <f>SUM(F10:F12)</f>
        <v>1108965.4317912245</v>
      </c>
      <c r="G9" s="502"/>
      <c r="H9" s="502"/>
      <c r="I9" s="502"/>
      <c r="J9" s="502">
        <f>SUM(J10:J12)</f>
        <v>492873.52524054435</v>
      </c>
      <c r="K9" s="502"/>
      <c r="L9" s="501">
        <f>SUM(L10:L12)</f>
        <v>575019.11278063501</v>
      </c>
      <c r="M9" s="503">
        <f>SUM(D9:L9)</f>
        <v>4805516.8710953072</v>
      </c>
      <c r="Q9" s="336"/>
      <c r="R9" s="337" t="s">
        <v>226</v>
      </c>
      <c r="S9" s="338"/>
      <c r="T9" s="600">
        <f>SUM(T10:T12)</f>
        <v>1601424.0000000002</v>
      </c>
      <c r="U9" s="600">
        <f t="shared" ref="U9:AB9" si="9">SUM(U10:U12)</f>
        <v>1814947.1999999993</v>
      </c>
      <c r="V9" s="600">
        <f t="shared" si="9"/>
        <v>1441281.5999999994</v>
      </c>
      <c r="W9" s="600">
        <f t="shared" si="9"/>
        <v>1494662.4000000004</v>
      </c>
      <c r="X9" s="600">
        <f t="shared" si="9"/>
        <v>2028470.4000000006</v>
      </c>
      <c r="Y9" s="600">
        <f t="shared" si="9"/>
        <v>907473.59999999963</v>
      </c>
      <c r="Z9" s="600">
        <f t="shared" si="9"/>
        <v>640569.59999999963</v>
      </c>
      <c r="AA9" s="600">
        <f t="shared" si="9"/>
        <v>11214720</v>
      </c>
      <c r="AB9" s="600">
        <f t="shared" si="9"/>
        <v>747331.20000000019</v>
      </c>
      <c r="AC9" s="503">
        <f>SUM(T9:AB9)</f>
        <v>21890879.999999996</v>
      </c>
    </row>
    <row r="10" spans="1:29" x14ac:dyDescent="0.3">
      <c r="A10" s="339"/>
      <c r="B10" s="340"/>
      <c r="C10" s="341" t="s">
        <v>111</v>
      </c>
      <c r="D10" s="504">
        <f>('TCO TO BE- SW'!F99+NPV(Faktory!$D$5,'TCO TO BE- SW'!F100:F108)+'TCO TO BE- SW'!F109+NPV(Faktory!$D$5,'TCO TO BE- SW'!F110:F118)+'TCO TO BE- SW'!F119+NPV(Faktory!$D$5,'TCO TO BE- SW'!F120:F128)+'TCO TO BE- SW'!F129+NPV(Faktory!$D$5,'TCO TO BE- SW'!F130:F138)+'TCO TO BE- SW'!F139+NPV(Faktory!$D$5,'TCO TO BE- SW'!F140:F148))</f>
        <v>1232183.8131013608</v>
      </c>
      <c r="E10" s="504">
        <f>('TCO TO BE- SW'!G99+NPV(Faktory!$D$5,'TCO TO BE- SW'!G100:G108)+'TCO TO BE- SW'!G109+NPV(Faktory!$D$5,'TCO TO BE- SW'!G110:G118)+'TCO TO BE- SW'!G119+NPV(Faktory!$D$5,'TCO TO BE- SW'!G120:G128)+'TCO TO BE- SW'!G129+NPV(Faktory!$D$5,'TCO TO BE- SW'!G130:G138)+'TCO TO BE- SW'!G139+NPV(Faktory!$D$5,'TCO TO BE- SW'!G140:G148))</f>
        <v>1396474.9881815421</v>
      </c>
      <c r="F10" s="504">
        <f>('TCO TO BE- SW'!H99+NPV(Faktory!$D$5,'TCO TO BE- SW'!H100:H108)+'TCO TO BE- SW'!H109+NPV(Faktory!$D$5,'TCO TO BE- SW'!H110:H118)+'TCO TO BE- SW'!H119+NPV(Faktory!$D$5,'TCO TO BE- SW'!H120:H128)+'TCO TO BE- SW'!H129+NPV(Faktory!$D$5,'TCO TO BE- SW'!H130:H138)+'TCO TO BE- SW'!H139+NPV(Faktory!$D$5,'TCO TO BE- SW'!H140:H148))</f>
        <v>1108965.4317912245</v>
      </c>
      <c r="G10" s="504">
        <f>('TCO TO BE- SW'!I99+NPV(Faktory!$D$5,'TCO TO BE- SW'!I100:I108)+'TCO TO BE- SW'!I109+NPV(Faktory!$D$5,'TCO TO BE- SW'!I110:I118)+'TCO TO BE- SW'!I119+NPV(Faktory!$D$5,'TCO TO BE- SW'!I120:I128)+'TCO TO BE- SW'!I129+NPV(Faktory!$D$5,'TCO TO BE- SW'!I130:I138)+'TCO TO BE- SW'!I139+NPV(Faktory!$D$5,'TCO TO BE- SW'!I140:I148))</f>
        <v>1150038.22556127</v>
      </c>
      <c r="H10" s="504">
        <f>('TCO TO BE- SW'!J99+NPV(Faktory!$D$5,'TCO TO BE- SW'!J100:J108)+'TCO TO BE- SW'!J109+NPV(Faktory!$D$5,'TCO TO BE- SW'!J110:J118)+'TCO TO BE- SW'!J119+NPV(Faktory!$D$5,'TCO TO BE- SW'!J120:J128)+'TCO TO BE- SW'!J129+NPV(Faktory!$D$5,'TCO TO BE- SW'!J130:J138)+'TCO TO BE- SW'!J139+NPV(Faktory!$D$5,'TCO TO BE- SW'!J140:J148))</f>
        <v>1560766.1632617237</v>
      </c>
      <c r="I10" s="504">
        <f>('TCO TO BE- SW'!K99+NPV(Faktory!$D$5,'TCO TO BE- SW'!K100:K108)+'TCO TO BE- SW'!K109+NPV(Faktory!$D$5,'TCO TO BE- SW'!K110:K118)+'TCO TO BE- SW'!K119+NPV(Faktory!$D$5,'TCO TO BE- SW'!K120:K128)+'TCO TO BE- SW'!K129+NPV(Faktory!$D$5,'TCO TO BE- SW'!K130:K138)+'TCO TO BE- SW'!K139+NPV(Faktory!$D$5,'TCO TO BE- SW'!K140:K148))</f>
        <v>698237.49409077107</v>
      </c>
      <c r="J10" s="504">
        <f>('TCO TO BE- SW'!L99+NPV(Faktory!$D$5,'TCO TO BE- SW'!L100:L108)+'TCO TO BE- SW'!L109+NPV(Faktory!$D$5,'TCO TO BE- SW'!L110:L118)+'TCO TO BE- SW'!L119+NPV(Faktory!$D$5,'TCO TO BE- SW'!L120:L128)+'TCO TO BE- SW'!L129+NPV(Faktory!$D$5,'TCO TO BE- SW'!L130:L138)+'TCO TO BE- SW'!L139+NPV(Faktory!$D$5,'TCO TO BE- SW'!L140:L148))</f>
        <v>492873.52524054435</v>
      </c>
      <c r="K10" s="504">
        <f>('TCO TO BE- SW'!M99+NPV(Faktory!$D$5,'TCO TO BE- SW'!M100:M108)+'TCO TO BE- SW'!M109+NPV(Faktory!$D$5,'TCO TO BE- SW'!M110:M118)+'TCO TO BE- SW'!M119+NPV(Faktory!$D$5,'TCO TO BE- SW'!M120:M128)+'TCO TO BE- SW'!M129+NPV(Faktory!$D$5,'TCO TO BE- SW'!M130:M138)+'TCO TO BE- SW'!M139+NPV(Faktory!$D$5,'TCO TO BE- SW'!M140:M148))</f>
        <v>9419330.0854379591</v>
      </c>
      <c r="L10" s="504">
        <f>('TCO TO BE- SW'!N99+NPV(Faktory!$D$5,'TCO TO BE- SW'!N100:N108)+'TCO TO BE- SW'!N109+NPV(Faktory!$D$5,'TCO TO BE- SW'!N110:N118)+'TCO TO BE- SW'!N119+NPV(Faktory!$D$5,'TCO TO BE- SW'!N120:N128)+'TCO TO BE- SW'!N129+NPV(Faktory!$D$5,'TCO TO BE- SW'!N130:N138)+'TCO TO BE- SW'!N139+NPV(Faktory!$D$5,'TCO TO BE- SW'!N140:N148))</f>
        <v>575019.11278063501</v>
      </c>
      <c r="M10" s="506">
        <f>SUM(D10:L10)</f>
        <v>17633888.839447029</v>
      </c>
      <c r="Q10" s="339"/>
      <c r="R10" s="340"/>
      <c r="S10" s="341" t="s">
        <v>111</v>
      </c>
      <c r="T10" s="603">
        <f>'TCO TO BE- SW'!F98</f>
        <v>1601424.0000000002</v>
      </c>
      <c r="U10" s="603">
        <f>'TCO TO BE- SW'!G98</f>
        <v>1814947.1999999993</v>
      </c>
      <c r="V10" s="603">
        <f>'TCO TO BE- SW'!H98</f>
        <v>1441281.5999999994</v>
      </c>
      <c r="W10" s="603">
        <f>'TCO TO BE- SW'!I98</f>
        <v>1494662.4000000004</v>
      </c>
      <c r="X10" s="603">
        <f>'TCO TO BE- SW'!J98</f>
        <v>2028470.4000000006</v>
      </c>
      <c r="Y10" s="603">
        <f>'TCO TO BE- SW'!K98</f>
        <v>907473.59999999963</v>
      </c>
      <c r="Z10" s="603">
        <f>'TCO TO BE- SW'!L98</f>
        <v>640569.59999999963</v>
      </c>
      <c r="AA10" s="603">
        <f>'TCO TO BE- SW'!M98</f>
        <v>11214720</v>
      </c>
      <c r="AB10" s="603">
        <f>'TCO TO BE- SW'!N98</f>
        <v>747331.20000000019</v>
      </c>
      <c r="AC10" s="506">
        <f>SUM(T10:AB10)</f>
        <v>21890879.999999996</v>
      </c>
    </row>
    <row r="11" spans="1:29" x14ac:dyDescent="0.3">
      <c r="A11" s="339"/>
      <c r="B11" s="340"/>
      <c r="C11" s="341" t="s">
        <v>69</v>
      </c>
      <c r="D11" s="504">
        <v>0</v>
      </c>
      <c r="E11" s="504">
        <v>0</v>
      </c>
      <c r="F11" s="504">
        <v>0</v>
      </c>
      <c r="G11" s="504"/>
      <c r="H11" s="504"/>
      <c r="I11" s="504"/>
      <c r="J11" s="504">
        <v>0</v>
      </c>
      <c r="K11" s="504"/>
      <c r="L11" s="504">
        <v>0</v>
      </c>
      <c r="M11" s="506">
        <f>SUM(D11:L11)</f>
        <v>0</v>
      </c>
      <c r="Q11" s="339"/>
      <c r="R11" s="340"/>
      <c r="S11" s="341" t="s">
        <v>69</v>
      </c>
      <c r="T11" s="603">
        <f>'TCO TO BE- SW'!F77</f>
        <v>0</v>
      </c>
      <c r="U11" s="603">
        <f>'TCO TO BE- SW'!G77</f>
        <v>0</v>
      </c>
      <c r="V11" s="603">
        <f>'TCO TO BE- SW'!H77</f>
        <v>0</v>
      </c>
      <c r="W11" s="603">
        <f>'TCO TO BE- SW'!I77</f>
        <v>0</v>
      </c>
      <c r="X11" s="603">
        <f>'TCO TO BE- SW'!J77</f>
        <v>0</v>
      </c>
      <c r="Y11" s="603">
        <f>'TCO TO BE- SW'!K77</f>
        <v>0</v>
      </c>
      <c r="Z11" s="603">
        <f>'TCO TO BE- SW'!L77</f>
        <v>0</v>
      </c>
      <c r="AA11" s="603">
        <f>'TCO TO BE- SW'!M77</f>
        <v>0</v>
      </c>
      <c r="AB11" s="603">
        <f>'TCO TO BE- SW'!N77</f>
        <v>0</v>
      </c>
      <c r="AC11" s="506">
        <f>SUM(T11:AB11)</f>
        <v>0</v>
      </c>
    </row>
    <row r="12" spans="1:29" x14ac:dyDescent="0.3">
      <c r="A12" s="339"/>
      <c r="B12" s="340"/>
      <c r="C12" s="341" t="s">
        <v>68</v>
      </c>
      <c r="D12" s="504">
        <v>0</v>
      </c>
      <c r="E12" s="504">
        <v>0</v>
      </c>
      <c r="F12" s="504">
        <v>0</v>
      </c>
      <c r="G12" s="504"/>
      <c r="H12" s="504"/>
      <c r="I12" s="504"/>
      <c r="J12" s="504">
        <v>0</v>
      </c>
      <c r="K12" s="504"/>
      <c r="L12" s="504">
        <v>0</v>
      </c>
      <c r="M12" s="506">
        <f t="shared" si="7"/>
        <v>0</v>
      </c>
      <c r="Q12" s="339"/>
      <c r="R12" s="340"/>
      <c r="S12" s="341" t="s">
        <v>68</v>
      </c>
      <c r="T12" s="603">
        <f>'TCO TO BE - HW'!F34</f>
        <v>0</v>
      </c>
      <c r="U12" s="603">
        <f>'TCO TO BE - HW'!G34</f>
        <v>0</v>
      </c>
      <c r="V12" s="603">
        <f>'TCO TO BE - HW'!H34</f>
        <v>0</v>
      </c>
      <c r="W12" s="603">
        <f>'TCO TO BE - HW'!I34</f>
        <v>0</v>
      </c>
      <c r="X12" s="603">
        <f>'TCO TO BE - HW'!J34</f>
        <v>0</v>
      </c>
      <c r="Y12" s="603">
        <f>'TCO TO BE - HW'!K34</f>
        <v>0</v>
      </c>
      <c r="Z12" s="603">
        <f>'TCO TO BE - HW'!L34</f>
        <v>0</v>
      </c>
      <c r="AA12" s="603">
        <f>'TCO TO BE - HW'!M34</f>
        <v>0</v>
      </c>
      <c r="AB12" s="603">
        <f>'TCO TO BE - HW'!N34</f>
        <v>0</v>
      </c>
      <c r="AC12" s="506">
        <f t="shared" si="8"/>
        <v>0</v>
      </c>
    </row>
    <row r="13" spans="1:29" x14ac:dyDescent="0.3">
      <c r="A13" s="339"/>
      <c r="B13" s="337" t="s">
        <v>325</v>
      </c>
      <c r="C13" s="338"/>
      <c r="D13" s="571">
        <f>'TCO TO BE- SW'!F150+NPV(0.05,'TCO TO BE- SW'!F151:F159)+'TCO TO BE- SW'!F160+NPV(0.05,'TCO TO BE- SW'!F161:F169)</f>
        <v>72887.271024999995</v>
      </c>
      <c r="E13" s="571">
        <f>'TCO TO BE- SW'!G150+NPV(0.05,'TCO TO BE- SW'!G151:G159)+'TCO TO BE- SW'!G160+NPV(0.05,'TCO TO BE- SW'!G161:G169)</f>
        <v>82605.573828333319</v>
      </c>
      <c r="F13" s="571">
        <f>'TCO TO BE- SW'!H150+NPV(0.05,'TCO TO BE- SW'!H151:H159)+'TCO TO BE- SW'!H160+NPV(0.05,'TCO TO BE- SW'!H161:H169)</f>
        <v>65598.543922499972</v>
      </c>
      <c r="G13" s="571">
        <f>'TCO TO BE- SW'!I150+NPV(0.05,'TCO TO BE- SW'!I151:I159)+'TCO TO BE- SW'!I160+NPV(0.05,'TCO TO BE- SW'!I161:I169)</f>
        <v>68028.119623333347</v>
      </c>
      <c r="H13" s="571">
        <f>'TCO TO BE- SW'!J150+NPV(0.05,'TCO TO BE- SW'!J151:J159)+'TCO TO BE- SW'!J160+NPV(0.05,'TCO TO BE- SW'!J161:J169)</f>
        <v>92323.876631666673</v>
      </c>
      <c r="I13" s="571">
        <f>'TCO TO BE- SW'!K150+NPV(0.05,'TCO TO BE- SW'!K151:K159)+'TCO TO BE- SW'!K160+NPV(0.05,'TCO TO BE- SW'!K161:K169)</f>
        <v>41302.78691416666</v>
      </c>
      <c r="J13" s="571">
        <f>'TCO TO BE- SW'!L150+NPV(0.05,'TCO TO BE- SW'!L151:L159)+'TCO TO BE- SW'!L160+NPV(0.05,'TCO TO BE- SW'!L161:L169)</f>
        <v>29154.90841</v>
      </c>
      <c r="K13" s="571">
        <f>'TCO TO BE- SW'!M150+NPV(0.05,'TCO TO BE- SW'!M151:M159)+'TCO TO BE- SW'!M160+NPV(0.05,'TCO TO BE- SW'!M161:M169)</f>
        <v>0</v>
      </c>
      <c r="L13" s="571">
        <f>'TCO TO BE- SW'!N150+NPV(0.05,'TCO TO BE- SW'!N151:N159)+'TCO TO BE- SW'!N160+NPV(0.05,'TCO TO BE- SW'!N161:N169)</f>
        <v>34014.059811666673</v>
      </c>
      <c r="M13" s="503">
        <f>SUM(D13:L13)</f>
        <v>485915.14016666659</v>
      </c>
      <c r="Q13" s="339"/>
      <c r="R13" s="337" t="s">
        <v>325</v>
      </c>
      <c r="S13" s="338"/>
      <c r="T13" s="605">
        <f>'TCO TO BE- SW'!F149</f>
        <v>74122.64850000001</v>
      </c>
      <c r="U13" s="605">
        <f>'TCO TO BE- SW'!G149</f>
        <v>84005.66829999999</v>
      </c>
      <c r="V13" s="605">
        <f>'TCO TO BE- SW'!H149</f>
        <v>66710.383649999974</v>
      </c>
      <c r="W13" s="605">
        <f>'TCO TO BE- SW'!I149</f>
        <v>69181.138600000006</v>
      </c>
      <c r="X13" s="605">
        <f>'TCO TO BE- SW'!J149</f>
        <v>93888.688100000014</v>
      </c>
      <c r="Y13" s="605">
        <f>'TCO TO BE- SW'!K149</f>
        <v>42002.834149999995</v>
      </c>
      <c r="Z13" s="605">
        <f>'TCO TO BE- SW'!L149</f>
        <v>29649.059400000002</v>
      </c>
      <c r="AA13" s="605">
        <f>'TCO TO BE- SW'!M149</f>
        <v>0</v>
      </c>
      <c r="AB13" s="605">
        <f>'TCO TO BE- SW'!N149</f>
        <v>34590.569300000003</v>
      </c>
      <c r="AC13" s="503">
        <f>SUM(T13:AB13)</f>
        <v>494150.99</v>
      </c>
    </row>
    <row r="14" spans="1:29" x14ac:dyDescent="0.3">
      <c r="A14" s="339"/>
      <c r="B14" s="337" t="s">
        <v>354</v>
      </c>
      <c r="C14" s="338"/>
      <c r="D14" s="571">
        <f>'TCO TO BE- SW'!F171+NPV(0.05,'TCO TO BE- SW'!F172:F180)+'TCO TO BE- SW'!F181+NPV(0.05,'TCO TO BE- SW'!F182:F190)</f>
        <v>0</v>
      </c>
      <c r="E14" s="571">
        <f>'TCO TO BE- SW'!G171+NPV(0.05,'TCO TO BE- SW'!G172:G180)+'TCO TO BE- SW'!G181+NPV(0.05,'TCO TO BE- SW'!G182:G190)</f>
        <v>0</v>
      </c>
      <c r="F14" s="571">
        <f>'TCO TO BE- SW'!H171+NPV(0.05,'TCO TO BE- SW'!H172:H180)+'TCO TO BE- SW'!H181+NPV(0.05,'TCO TO BE- SW'!H182:H190)</f>
        <v>0</v>
      </c>
      <c r="G14" s="571">
        <f>'TCO TO BE- SW'!I171+NPV(0.05,'TCO TO BE- SW'!I172:I180)+'TCO TO BE- SW'!I181+NPV(0.05,'TCO TO BE- SW'!I182:I190)</f>
        <v>0</v>
      </c>
      <c r="H14" s="571">
        <f>'TCO TO BE- SW'!J171+NPV(0.05,'TCO TO BE- SW'!J172:J180)+'TCO TO BE- SW'!J181+NPV(0.05,'TCO TO BE- SW'!J182:J190)</f>
        <v>0</v>
      </c>
      <c r="I14" s="571">
        <f>'TCO TO BE- SW'!K171+NPV(0.05,'TCO TO BE- SW'!K172:K180)+'TCO TO BE- SW'!K181+NPV(0.05,'TCO TO BE- SW'!K182:K190)</f>
        <v>0</v>
      </c>
      <c r="J14" s="571">
        <f>'TCO TO BE- SW'!L171+NPV(0.05,'TCO TO BE- SW'!L172:L180)+'TCO TO BE- SW'!L181+NPV(0.05,'TCO TO BE- SW'!L182:L190)</f>
        <v>0</v>
      </c>
      <c r="K14" s="571">
        <f>'TCO TO BE- SW'!M171+NPV(0.05,'TCO TO BE- SW'!M172:M180)+'TCO TO BE- SW'!M181+NPV(0.05,'TCO TO BE- SW'!M182:M190)</f>
        <v>0</v>
      </c>
      <c r="L14" s="571">
        <f>'TCO TO BE- SW'!N171+NPV(0.05,'TCO TO BE- SW'!N172:N180)+'TCO TO BE- SW'!N181+NPV(0.05,'TCO TO BE- SW'!N182:N190)</f>
        <v>0</v>
      </c>
      <c r="M14" s="503">
        <f>SUM(D14:L14)</f>
        <v>0</v>
      </c>
      <c r="Q14" s="339"/>
      <c r="R14" s="337" t="s">
        <v>354</v>
      </c>
      <c r="S14" s="338"/>
      <c r="T14" s="605">
        <f>'TCO TO BE- SW'!F170</f>
        <v>0</v>
      </c>
      <c r="U14" s="605">
        <f>'TCO TO BE- SW'!G170</f>
        <v>0</v>
      </c>
      <c r="V14" s="605">
        <f>'TCO TO BE- SW'!H170</f>
        <v>0</v>
      </c>
      <c r="W14" s="605">
        <f>'TCO TO BE- SW'!I170</f>
        <v>0</v>
      </c>
      <c r="X14" s="605">
        <f>'TCO TO BE- SW'!J170</f>
        <v>0</v>
      </c>
      <c r="Y14" s="605">
        <f>'TCO TO BE- SW'!K170</f>
        <v>0</v>
      </c>
      <c r="Z14" s="605">
        <f>'TCO TO BE- SW'!L170</f>
        <v>0</v>
      </c>
      <c r="AA14" s="605">
        <f>'TCO TO BE- SW'!M170</f>
        <v>0</v>
      </c>
      <c r="AB14" s="605">
        <f>'TCO TO BE- SW'!N170</f>
        <v>0</v>
      </c>
      <c r="AC14" s="503">
        <f>SUM(T14:AB14)</f>
        <v>0</v>
      </c>
    </row>
    <row r="15" spans="1:29" x14ac:dyDescent="0.3">
      <c r="A15" s="332" t="s">
        <v>220</v>
      </c>
      <c r="B15" s="333"/>
      <c r="C15" s="334"/>
      <c r="D15" s="499">
        <f>D16+D19</f>
        <v>2012516.8639606</v>
      </c>
      <c r="E15" s="499">
        <f t="shared" ref="E15:L15" si="10">E16+E19</f>
        <v>84610.493485858868</v>
      </c>
      <c r="F15" s="499">
        <f t="shared" si="10"/>
        <v>5356004.358372895</v>
      </c>
      <c r="G15" s="499">
        <f t="shared" si="10"/>
        <v>5271393.8648870364</v>
      </c>
      <c r="H15" s="499">
        <f t="shared" si="10"/>
        <v>6395290.8623006744</v>
      </c>
      <c r="I15" s="499">
        <f t="shared" si="10"/>
        <v>6649.4132928207582</v>
      </c>
      <c r="J15" s="499">
        <f t="shared" si="10"/>
        <v>6649.4132928207582</v>
      </c>
      <c r="K15" s="499">
        <f t="shared" si="10"/>
        <v>0</v>
      </c>
      <c r="L15" s="499">
        <f t="shared" si="10"/>
        <v>711664.23742968764</v>
      </c>
      <c r="M15" s="500">
        <f t="shared" si="7"/>
        <v>19133115.26959271</v>
      </c>
      <c r="Q15" s="332" t="s">
        <v>220</v>
      </c>
      <c r="R15" s="333"/>
      <c r="S15" s="334"/>
      <c r="T15" s="598">
        <f>T16+T19</f>
        <v>2615594.17684553</v>
      </c>
      <c r="U15" s="598">
        <f>U16+U19</f>
        <v>109965.14763414762</v>
      </c>
      <c r="V15" s="598"/>
      <c r="W15" s="598"/>
      <c r="X15" s="598"/>
      <c r="Y15" s="598">
        <f>Y16+Y19</f>
        <v>8641.99798749201</v>
      </c>
      <c r="Z15" s="599"/>
      <c r="AA15" s="599">
        <f>AA16+AA19</f>
        <v>0</v>
      </c>
      <c r="AB15" s="606" t="s">
        <v>227</v>
      </c>
      <c r="AC15" s="485">
        <f t="shared" si="8"/>
        <v>2734201.3224671697</v>
      </c>
    </row>
    <row r="16" spans="1:29" x14ac:dyDescent="0.3">
      <c r="A16" s="336"/>
      <c r="B16" s="337" t="s">
        <v>17</v>
      </c>
      <c r="C16" s="338"/>
      <c r="D16" s="501">
        <f>D17+D18</f>
        <v>0</v>
      </c>
      <c r="E16" s="501">
        <f>E17+E18</f>
        <v>0</v>
      </c>
      <c r="F16" s="501">
        <f>F17+F18</f>
        <v>0</v>
      </c>
      <c r="G16" s="502"/>
      <c r="H16" s="502"/>
      <c r="I16" s="502"/>
      <c r="J16" s="502">
        <f>J17+J18</f>
        <v>0</v>
      </c>
      <c r="K16" s="502">
        <f>K17+K18</f>
        <v>0</v>
      </c>
      <c r="L16" s="502">
        <f>L17+L18</f>
        <v>0</v>
      </c>
      <c r="M16" s="503">
        <f t="shared" si="7"/>
        <v>0</v>
      </c>
      <c r="Q16" s="336"/>
      <c r="R16" s="337" t="s">
        <v>17</v>
      </c>
      <c r="S16" s="338"/>
      <c r="T16" s="600">
        <f>T17+T18</f>
        <v>0</v>
      </c>
      <c r="U16" s="600">
        <f>U17+U18</f>
        <v>0</v>
      </c>
      <c r="V16" s="600"/>
      <c r="W16" s="600"/>
      <c r="X16" s="600"/>
      <c r="Y16" s="600">
        <f>Y17+Y18</f>
        <v>0</v>
      </c>
      <c r="Z16" s="601"/>
      <c r="AA16" s="601">
        <f>AA17+AA18</f>
        <v>0</v>
      </c>
      <c r="AB16" s="602" t="s">
        <v>227</v>
      </c>
      <c r="AC16" s="503">
        <f t="shared" si="8"/>
        <v>0</v>
      </c>
    </row>
    <row r="17" spans="1:30" x14ac:dyDescent="0.3">
      <c r="A17" s="339"/>
      <c r="B17" s="340"/>
      <c r="C17" s="341" t="s">
        <v>47</v>
      </c>
      <c r="D17" s="509">
        <v>0</v>
      </c>
      <c r="E17" s="509">
        <v>0</v>
      </c>
      <c r="F17" s="509">
        <v>0</v>
      </c>
      <c r="G17" s="509">
        <v>0</v>
      </c>
      <c r="H17" s="509">
        <v>0</v>
      </c>
      <c r="I17" s="509">
        <v>0</v>
      </c>
      <c r="J17" s="509">
        <v>0</v>
      </c>
      <c r="K17" s="509">
        <v>0</v>
      </c>
      <c r="L17" s="509">
        <v>0</v>
      </c>
      <c r="M17" s="506">
        <f t="shared" si="7"/>
        <v>0</v>
      </c>
      <c r="Q17" s="339"/>
      <c r="R17" s="340"/>
      <c r="S17" s="341" t="s">
        <v>47</v>
      </c>
      <c r="T17" s="603">
        <v>0</v>
      </c>
      <c r="U17" s="603">
        <v>0</v>
      </c>
      <c r="V17" s="603">
        <v>0</v>
      </c>
      <c r="W17" s="603">
        <v>0</v>
      </c>
      <c r="X17" s="603">
        <v>0</v>
      </c>
      <c r="Y17" s="603">
        <v>0</v>
      </c>
      <c r="Z17" s="603">
        <v>0</v>
      </c>
      <c r="AA17" s="603">
        <v>0</v>
      </c>
      <c r="AB17" s="603">
        <v>0</v>
      </c>
      <c r="AC17" s="506">
        <f t="shared" si="8"/>
        <v>0</v>
      </c>
    </row>
    <row r="18" spans="1:30" x14ac:dyDescent="0.3">
      <c r="A18" s="339"/>
      <c r="B18" s="340"/>
      <c r="C18" s="341" t="s">
        <v>48</v>
      </c>
      <c r="D18" s="509">
        <v>0</v>
      </c>
      <c r="E18" s="509">
        <v>0</v>
      </c>
      <c r="F18" s="509">
        <v>0</v>
      </c>
      <c r="G18" s="509">
        <v>0</v>
      </c>
      <c r="H18" s="509">
        <v>0</v>
      </c>
      <c r="I18" s="509">
        <v>0</v>
      </c>
      <c r="J18" s="509">
        <v>0</v>
      </c>
      <c r="K18" s="509">
        <v>0</v>
      </c>
      <c r="L18" s="509">
        <v>0</v>
      </c>
      <c r="M18" s="506">
        <f>'Prínosy - Agendové IS'!G15</f>
        <v>0</v>
      </c>
      <c r="N18" s="486"/>
      <c r="Q18" s="339"/>
      <c r="R18" s="340"/>
      <c r="S18" s="341" t="s">
        <v>48</v>
      </c>
      <c r="T18" s="603">
        <v>0</v>
      </c>
      <c r="U18" s="603">
        <v>0</v>
      </c>
      <c r="V18" s="603">
        <v>0</v>
      </c>
      <c r="W18" s="603">
        <v>0</v>
      </c>
      <c r="X18" s="603">
        <v>0</v>
      </c>
      <c r="Y18" s="603">
        <v>0</v>
      </c>
      <c r="Z18" s="603">
        <v>0</v>
      </c>
      <c r="AA18" s="603">
        <v>0</v>
      </c>
      <c r="AB18" s="603">
        <v>0</v>
      </c>
      <c r="AC18" s="506">
        <f>'Prínosy - Agendové IS'!G14</f>
        <v>0</v>
      </c>
      <c r="AD18" s="486"/>
    </row>
    <row r="19" spans="1:30" x14ac:dyDescent="0.3">
      <c r="A19" s="336"/>
      <c r="B19" s="337" t="s">
        <v>18</v>
      </c>
      <c r="C19" s="338"/>
      <c r="D19" s="501">
        <f t="shared" ref="D19:L19" si="11">D20+D21+D23</f>
        <v>2012516.8639606</v>
      </c>
      <c r="E19" s="501">
        <f t="shared" si="11"/>
        <v>84610.493485858868</v>
      </c>
      <c r="F19" s="501">
        <f t="shared" si="11"/>
        <v>5356004.358372895</v>
      </c>
      <c r="G19" s="501">
        <f t="shared" si="11"/>
        <v>5271393.8648870364</v>
      </c>
      <c r="H19" s="501">
        <f t="shared" si="11"/>
        <v>6395290.8623006744</v>
      </c>
      <c r="I19" s="501">
        <f t="shared" si="11"/>
        <v>6649.4132928207582</v>
      </c>
      <c r="J19" s="502">
        <f t="shared" si="11"/>
        <v>6649.4132928207582</v>
      </c>
      <c r="K19" s="501">
        <f t="shared" si="11"/>
        <v>0</v>
      </c>
      <c r="L19" s="501">
        <f t="shared" si="11"/>
        <v>711664.23742968764</v>
      </c>
      <c r="M19" s="503">
        <f>SUM(D19:J19)</f>
        <v>19133115.26959271</v>
      </c>
      <c r="Q19" s="336"/>
      <c r="R19" s="337" t="s">
        <v>18</v>
      </c>
      <c r="S19" s="338"/>
      <c r="T19" s="600">
        <f>T20+T21+T23</f>
        <v>2615594.17684553</v>
      </c>
      <c r="U19" s="600">
        <f t="shared" ref="U19:AB19" si="12">U20+U21+U23</f>
        <v>109965.14763414762</v>
      </c>
      <c r="V19" s="600">
        <f t="shared" si="12"/>
        <v>6961001.9482518416</v>
      </c>
      <c r="W19" s="600">
        <f t="shared" si="12"/>
        <v>6851036.800617693</v>
      </c>
      <c r="X19" s="600">
        <f t="shared" si="12"/>
        <v>8311724.407490259</v>
      </c>
      <c r="Y19" s="600">
        <f t="shared" si="12"/>
        <v>8641.99798749201</v>
      </c>
      <c r="Z19" s="600">
        <f t="shared" si="12"/>
        <v>8641.99798749201</v>
      </c>
      <c r="AA19" s="600">
        <f t="shared" si="12"/>
        <v>0</v>
      </c>
      <c r="AB19" s="600">
        <f t="shared" si="12"/>
        <v>924923.84467628878</v>
      </c>
      <c r="AC19" s="503">
        <f t="shared" si="8"/>
        <v>24866606.476814456</v>
      </c>
    </row>
    <row r="20" spans="1:30" x14ac:dyDescent="0.3">
      <c r="A20" s="339"/>
      <c r="B20" s="340"/>
      <c r="C20" s="341" t="s">
        <v>222</v>
      </c>
      <c r="D20" s="504">
        <f>+'Parametre - Agendové IS'!U95+NPV(Faktory!$D$5,'Parametre - Agendové IS'!U96:U104)*0.25</f>
        <v>1899702.8726461215</v>
      </c>
      <c r="E20" s="504">
        <f>'Parametre - Agendové IS'!L95+NPV(Faktory!$D$5,'Parametre - Agendové IS'!L96:L104)</f>
        <v>0</v>
      </c>
      <c r="F20" s="504">
        <f>+'Parametre - Agendové IS'!U95+NPV(Faktory!$D$5,'Parametre - Agendové IS'!U96:U104)*0.25</f>
        <v>1899702.8726461215</v>
      </c>
      <c r="G20" s="505">
        <f>+'Parametre - Agendové IS'!U95+NPV(Faktory!$D$5,'Parametre - Agendové IS'!U96:U104)*0.25</f>
        <v>1899702.8726461215</v>
      </c>
      <c r="H20" s="505">
        <f>+'Parametre - Agendové IS'!U95+NPV(Faktory!$D$5,'Parametre - Agendové IS'!U96:U104)*0.25</f>
        <v>1899702.8726461215</v>
      </c>
      <c r="I20" s="505">
        <v>0</v>
      </c>
      <c r="J20" s="505">
        <v>0</v>
      </c>
      <c r="K20" s="505"/>
      <c r="L20" s="507">
        <v>0</v>
      </c>
      <c r="M20" s="506">
        <f>SUM(D20:J20)</f>
        <v>7598811.4905844862</v>
      </c>
      <c r="Q20" s="339"/>
      <c r="R20" s="340"/>
      <c r="S20" s="341" t="s">
        <v>222</v>
      </c>
      <c r="T20" s="603">
        <f>SUM('Parametre - Agendové IS'!U95:U104)*0.25</f>
        <v>2468973.98</v>
      </c>
      <c r="U20" s="603">
        <f>SUM('Parametre - Agendové IS'!L95:L104)</f>
        <v>0</v>
      </c>
      <c r="V20" s="603">
        <f>SUM('Parametre - Agendové IS'!U95:U104)*0.25</f>
        <v>2468973.98</v>
      </c>
      <c r="W20" s="603">
        <f>SUM('Parametre - Agendové IS'!U95:U104)*0.25</f>
        <v>2468973.98</v>
      </c>
      <c r="X20" s="603">
        <f>SUM('Parametre - Agendové IS'!U95:U104)*0.25</f>
        <v>2468973.98</v>
      </c>
      <c r="Y20" s="603">
        <v>0</v>
      </c>
      <c r="Z20" s="603">
        <v>0</v>
      </c>
      <c r="AA20" s="603">
        <v>0</v>
      </c>
      <c r="AB20" s="603">
        <v>0</v>
      </c>
      <c r="AC20" s="506">
        <f>SUM(T20:AB20)</f>
        <v>9875895.9199999999</v>
      </c>
    </row>
    <row r="21" spans="1:30" x14ac:dyDescent="0.3">
      <c r="A21" s="339"/>
      <c r="B21" s="340"/>
      <c r="C21" s="341" t="s">
        <v>221</v>
      </c>
      <c r="D21" s="504">
        <f>-('Parametre - Agendové IS'!I75+NPV(Faktory!$D$5,'Parametre - Agendové IS'!I76:I84))*0.4</f>
        <v>112813.99131447851</v>
      </c>
      <c r="E21" s="504">
        <f>-('Parametre - Agendové IS'!I75+NPV(Faktory!$D$5,'Parametre - Agendové IS'!I76:I84))*0.3</f>
        <v>84610.493485858868</v>
      </c>
      <c r="F21" s="504">
        <f>-('Parametre - Agendové IS'!I75+NPV(Faktory!$D$5,'Parametre - Agendové IS'!I76:I84))*0.3+-('Parametre - Agendové IS'!L75+NPV(Faktory!$D$5,'Parametre - Agendové IS'!L76:L84))*0.3</f>
        <v>3456301.4857267733</v>
      </c>
      <c r="G21" s="505">
        <f>-('Parametre - Agendové IS'!L75+NPV(Faktory!$D$5,'Parametre - Agendové IS'!L76:L84))*0.3</f>
        <v>3371690.9922409146</v>
      </c>
      <c r="H21" s="505">
        <f>-('Parametre - Agendové IS'!L75+NPV(Faktory!$D$5,'Parametre - Agendové IS'!L76:L84))*0.4</f>
        <v>4495587.9896545531</v>
      </c>
      <c r="I21" s="505">
        <f>-('Parametre - Agendové IS'!O75+NPV(Faktory!$D$5,'Parametre - Agendové IS'!O76:O84))*0.5</f>
        <v>6649.4132928207582</v>
      </c>
      <c r="J21" s="505">
        <f>-('Parametre - Agendové IS'!O75+NPV(Faktory!$D$5,'Parametre - Agendové IS'!O76:O84))*0.5</f>
        <v>6649.4132928207582</v>
      </c>
      <c r="K21" s="505"/>
      <c r="L21" s="507">
        <f>-('Parametre - Agendové IS'!R75+NPV(Faktory!$D$5,'Parametre - Agendové IS'!R76:R84))</f>
        <v>711664.23742968764</v>
      </c>
      <c r="M21" s="506">
        <f>SUM(D21:J21)</f>
        <v>11534303.779008221</v>
      </c>
      <c r="Q21" s="339"/>
      <c r="R21" s="340"/>
      <c r="S21" s="341" t="s">
        <v>221</v>
      </c>
      <c r="T21" s="603">
        <f>-(SUM('Parametre - Agendové IS'!I75:I84))*0.4</f>
        <v>146620.19684553015</v>
      </c>
      <c r="U21" s="603">
        <f>-(SUM('Parametre - Agendové IS'!I75:I84))*0.3</f>
        <v>109965.14763414762</v>
      </c>
      <c r="V21" s="603">
        <f>-(SUM('Parametre - Agendové IS'!I75:I84))*0.3+-(SUM('Parametre - Agendové IS'!L75:L84))*0.3</f>
        <v>4492027.9682518411</v>
      </c>
      <c r="W21" s="603">
        <f>-(SUM('Parametre - Agendové IS'!L75:L84))*0.3</f>
        <v>4382062.8206176935</v>
      </c>
      <c r="X21" s="603">
        <f>-(SUM('Parametre - Agendové IS'!L75:L84))*0.4</f>
        <v>5842750.4274902586</v>
      </c>
      <c r="Y21" s="603">
        <f>-(SUM('Parametre - Agendové IS'!O75:O84))*0.5</f>
        <v>8641.99798749201</v>
      </c>
      <c r="Z21" s="607">
        <f>-(SUM('Parametre - Agendové IS'!O75:O84))*0.5</f>
        <v>8641.99798749201</v>
      </c>
      <c r="AA21" s="607">
        <v>0</v>
      </c>
      <c r="AB21" s="604">
        <f>-(SUM('Parametre - Agendové IS'!R75:R84))</f>
        <v>924923.84467628878</v>
      </c>
      <c r="AC21" s="506">
        <f>SUM(T21:AB21)</f>
        <v>15915634.401490744</v>
      </c>
    </row>
    <row r="22" spans="1:30" ht="14.4" customHeight="1" x14ac:dyDescent="0.3">
      <c r="A22" s="339"/>
      <c r="B22" s="340"/>
      <c r="C22" s="341" t="s">
        <v>223</v>
      </c>
      <c r="D22" s="507" t="s">
        <v>227</v>
      </c>
      <c r="E22" s="507" t="s">
        <v>227</v>
      </c>
      <c r="F22" s="507" t="s">
        <v>227</v>
      </c>
      <c r="G22" s="507" t="s">
        <v>227</v>
      </c>
      <c r="H22" s="507" t="s">
        <v>227</v>
      </c>
      <c r="I22" s="507" t="s">
        <v>227</v>
      </c>
      <c r="J22" s="507" t="s">
        <v>227</v>
      </c>
      <c r="K22" s="507" t="s">
        <v>227</v>
      </c>
      <c r="L22" s="507" t="s">
        <v>227</v>
      </c>
      <c r="M22" s="508" t="s">
        <v>227</v>
      </c>
      <c r="Q22" s="339"/>
      <c r="R22" s="340"/>
      <c r="S22" s="341" t="s">
        <v>223</v>
      </c>
      <c r="T22" s="603">
        <f>SUM('Parametre - Agendové IS'!I85:I94)*0.4</f>
        <v>-7.2569526405793923</v>
      </c>
      <c r="U22" s="603">
        <f>SUM('Parametre - Agendové IS'!I85:I94)*0.3</f>
        <v>-5.4427144804345442</v>
      </c>
      <c r="V22" s="603">
        <f>SUM('Parametre - Agendové IS'!I85:I94)*0.3+SUM('Parametre - Agendové IS'!L85:L94)*0.3</f>
        <v>-222.33249529807489</v>
      </c>
      <c r="W22" s="603">
        <f>SUM('Parametre - Agendové IS'!L85:L94)*0.3</f>
        <v>-216.88978081764034</v>
      </c>
      <c r="X22" s="603">
        <f>SUM('Parametre - Agendové IS'!L85:L94)*0.4</f>
        <v>-289.18637442352048</v>
      </c>
      <c r="Y22" s="603">
        <f>SUM('Parametre - Agendové IS'!O85:O94)*0.5</f>
        <v>-0.42773486507650205</v>
      </c>
      <c r="Z22" s="603">
        <f>SUM('Parametre - Agendové IS'!O85:O94)*0.5</f>
        <v>-0.42773486507650205</v>
      </c>
      <c r="AA22" s="607">
        <f>SUM('Parametre - Agendové IS'!U85:U94)</f>
        <v>0</v>
      </c>
      <c r="AB22" s="604">
        <f>SUM('Parametre - Agendové IS'!R85:R94)</f>
        <v>-45.779017361638864</v>
      </c>
      <c r="AC22" s="506">
        <f t="shared" si="8"/>
        <v>-741.96378739040256</v>
      </c>
    </row>
    <row r="23" spans="1:30" ht="15" thickBot="1" x14ac:dyDescent="0.35">
      <c r="A23" s="342"/>
      <c r="B23" s="343"/>
      <c r="C23" s="344" t="s">
        <v>39</v>
      </c>
      <c r="D23" s="509">
        <v>0</v>
      </c>
      <c r="E23" s="509">
        <v>0</v>
      </c>
      <c r="F23" s="509">
        <v>0</v>
      </c>
      <c r="G23" s="509">
        <v>0</v>
      </c>
      <c r="H23" s="509">
        <v>0</v>
      </c>
      <c r="I23" s="509">
        <v>0</v>
      </c>
      <c r="J23" s="509">
        <v>0</v>
      </c>
      <c r="K23" s="509">
        <v>0</v>
      </c>
      <c r="L23" s="509">
        <v>0</v>
      </c>
      <c r="M23" s="510">
        <f>SUM(D23:J23)</f>
        <v>0</v>
      </c>
      <c r="Q23" s="339"/>
      <c r="R23" s="340"/>
      <c r="S23" s="341" t="s">
        <v>39</v>
      </c>
      <c r="T23" s="603">
        <v>0</v>
      </c>
      <c r="U23" s="603">
        <v>0</v>
      </c>
      <c r="V23" s="603">
        <v>0</v>
      </c>
      <c r="W23" s="603">
        <v>0</v>
      </c>
      <c r="X23" s="603">
        <v>0</v>
      </c>
      <c r="Y23" s="603">
        <v>0</v>
      </c>
      <c r="Z23" s="603">
        <v>0</v>
      </c>
      <c r="AA23" s="603">
        <v>0</v>
      </c>
      <c r="AB23" s="603">
        <v>0</v>
      </c>
      <c r="AC23" s="506">
        <f>SUM(T23:AB23)</f>
        <v>0</v>
      </c>
    </row>
    <row r="24" spans="1:30" x14ac:dyDescent="0.3">
      <c r="A24" s="336"/>
      <c r="B24" s="337" t="s">
        <v>228</v>
      </c>
      <c r="C24" s="338"/>
      <c r="D24" s="569"/>
      <c r="E24" s="570"/>
      <c r="F24" s="570"/>
      <c r="G24" s="570"/>
      <c r="H24" s="570"/>
      <c r="I24" s="570"/>
      <c r="J24" s="570"/>
      <c r="K24" s="570"/>
      <c r="L24" s="572"/>
      <c r="M24" s="573"/>
      <c r="Q24" s="336"/>
      <c r="R24" s="337" t="s">
        <v>228</v>
      </c>
      <c r="S24" s="338"/>
      <c r="T24" s="608"/>
      <c r="U24" s="609"/>
      <c r="V24" s="609"/>
      <c r="W24" s="609"/>
      <c r="X24" s="609"/>
      <c r="Y24" s="609"/>
      <c r="Z24" s="609"/>
      <c r="AA24" s="609"/>
      <c r="AB24" s="610"/>
      <c r="AC24" s="573"/>
    </row>
    <row r="25" spans="1:30" x14ac:dyDescent="0.3">
      <c r="A25" s="487"/>
      <c r="B25" s="488"/>
      <c r="C25" s="283" t="s">
        <v>230</v>
      </c>
      <c r="Q25" s="487"/>
      <c r="R25" s="488"/>
      <c r="S25" s="283" t="s">
        <v>230</v>
      </c>
    </row>
    <row r="26" spans="1:30" x14ac:dyDescent="0.3">
      <c r="A26" s="487"/>
      <c r="B26" s="488"/>
      <c r="C26" s="283" t="s">
        <v>229</v>
      </c>
      <c r="Q26" s="487"/>
      <c r="R26" s="488"/>
      <c r="S26" s="283" t="s">
        <v>229</v>
      </c>
    </row>
    <row r="27" spans="1:30" x14ac:dyDescent="0.3">
      <c r="A27" s="487"/>
      <c r="B27" s="488"/>
      <c r="C27" s="283" t="s">
        <v>229</v>
      </c>
      <c r="Q27" s="487"/>
      <c r="R27" s="488"/>
      <c r="S27" s="283" t="s">
        <v>229</v>
      </c>
    </row>
  </sheetData>
  <sheetProtection insertColumns="0" insertRows="0" deleteColumns="0" deleteRows="0"/>
  <mergeCells count="4">
    <mergeCell ref="Q1:S1"/>
    <mergeCell ref="A1:C1"/>
    <mergeCell ref="Q2:S2"/>
    <mergeCell ref="A2:C2"/>
  </mergeCells>
  <pageMargins left="0.7" right="0.7" top="0.75" bottom="0.75" header="0.3" footer="0.3"/>
  <pageSetup paperSize="9" scale="53" orientation="portrait" r:id="rId1"/>
  <colBreaks count="1" manualBreakCount="1">
    <brk id="14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view="pageBreakPreview" zoomScaleNormal="100" zoomScaleSheetLayoutView="100" workbookViewId="0">
      <selection activeCell="I8" sqref="I8"/>
    </sheetView>
  </sheetViews>
  <sheetFormatPr defaultColWidth="8.88671875" defaultRowHeight="14.4" x14ac:dyDescent="0.3"/>
  <cols>
    <col min="1" max="1" width="9.33203125" customWidth="1"/>
    <col min="2" max="2" width="15" customWidth="1"/>
    <col min="3" max="3" width="15.109375" customWidth="1"/>
    <col min="4" max="4" width="14.109375" customWidth="1"/>
    <col min="5" max="5" width="14.44140625" customWidth="1"/>
    <col min="6" max="6" width="15.109375" customWidth="1"/>
    <col min="7" max="7" width="17.88671875" customWidth="1"/>
    <col min="8" max="8" width="9.88671875" customWidth="1"/>
    <col min="9" max="9" width="22.6640625" customWidth="1"/>
    <col min="10" max="10" width="22.109375" customWidth="1"/>
    <col min="11" max="11" width="20.44140625" customWidth="1"/>
    <col min="12" max="12" width="23.109375" customWidth="1"/>
  </cols>
  <sheetData>
    <row r="1" spans="1:12" ht="15" thickBot="1" x14ac:dyDescent="0.35">
      <c r="A1" s="9"/>
      <c r="B1" s="671" t="s">
        <v>36</v>
      </c>
      <c r="C1" s="672"/>
      <c r="D1" s="672"/>
      <c r="E1" s="672"/>
      <c r="F1" s="672"/>
      <c r="G1" s="673"/>
      <c r="H1" s="674" t="s">
        <v>16</v>
      </c>
      <c r="I1" s="675"/>
      <c r="J1" s="675"/>
      <c r="K1" s="675"/>
      <c r="L1" s="676"/>
    </row>
    <row r="2" spans="1:12" ht="28.8" x14ac:dyDescent="0.3">
      <c r="A2" s="10"/>
      <c r="B2" s="674" t="s">
        <v>366</v>
      </c>
      <c r="C2" s="675"/>
      <c r="D2" s="676"/>
      <c r="E2" s="674" t="s">
        <v>367</v>
      </c>
      <c r="F2" s="675"/>
      <c r="G2" s="676"/>
      <c r="H2" s="54" t="s">
        <v>19</v>
      </c>
      <c r="I2" s="49" t="s">
        <v>20</v>
      </c>
      <c r="J2" s="12" t="s">
        <v>21</v>
      </c>
      <c r="K2" s="677" t="s">
        <v>22</v>
      </c>
      <c r="L2" s="678"/>
    </row>
    <row r="3" spans="1:12" ht="15" thickBot="1" x14ac:dyDescent="0.35">
      <c r="A3" s="11" t="s">
        <v>23</v>
      </c>
      <c r="B3" s="14" t="s">
        <v>233</v>
      </c>
      <c r="C3" s="15" t="s">
        <v>173</v>
      </c>
      <c r="D3" s="16" t="s">
        <v>24</v>
      </c>
      <c r="E3" s="14" t="s">
        <v>233</v>
      </c>
      <c r="F3" s="15" t="s">
        <v>173</v>
      </c>
      <c r="G3" s="16" t="s">
        <v>24</v>
      </c>
      <c r="H3" s="55"/>
      <c r="I3" s="50"/>
      <c r="J3" s="13"/>
      <c r="K3" s="669"/>
      <c r="L3" s="670"/>
    </row>
    <row r="4" spans="1:12" x14ac:dyDescent="0.3">
      <c r="A4" s="48" t="s">
        <v>25</v>
      </c>
      <c r="B4" s="27">
        <f>'Prínosy - Agendové IS'!Q4-'Výdavky - Agendové IS'!T4</f>
        <v>-1911360</v>
      </c>
      <c r="C4" s="26">
        <f>'Prínosy - Agendové IS'!R4-'Výdavky - Agendové IS'!U4</f>
        <v>-3953152.8635</v>
      </c>
      <c r="D4" s="34">
        <f>C4-B4</f>
        <v>-2041792.8635</v>
      </c>
      <c r="E4" s="27">
        <f>'Prínosy - Agendové IS'!T4-('Výdavky - Agendové IS'!T4/1.2)</f>
        <v>-13473748.045506636</v>
      </c>
      <c r="F4" s="27">
        <f>'Prínosy - Agendové IS'!U4-('Výdavky - Agendové IS'!U4/1.2)</f>
        <v>-15175242.098423302</v>
      </c>
      <c r="G4" s="34">
        <f t="shared" ref="G4:G13" si="0">F4-E4</f>
        <v>-1701494.0529166665</v>
      </c>
      <c r="H4" s="56">
        <v>0</v>
      </c>
      <c r="I4" s="51">
        <f>D4*(1/(1+Faktory!$D$3)^H4)</f>
        <v>-2041792.8635</v>
      </c>
      <c r="J4" s="58">
        <f>G4*(1/(1+Faktory!$D$5)^H4)</f>
        <v>-1701494.0529166665</v>
      </c>
      <c r="K4" s="57">
        <f>J4</f>
        <v>-1701494.0529166665</v>
      </c>
      <c r="L4" s="31" t="str">
        <f>IF(K4&gt;0,"Rok návratu investície","&lt;")</f>
        <v>&lt;</v>
      </c>
    </row>
    <row r="5" spans="1:12" x14ac:dyDescent="0.3">
      <c r="A5" s="33" t="s">
        <v>26</v>
      </c>
      <c r="B5" s="27">
        <f>'Prínosy - Agendové IS'!Q5-'Výdavky - Agendové IS'!T5</f>
        <v>-1911360</v>
      </c>
      <c r="C5" s="26">
        <f>'Prínosy - Agendové IS'!R5-'Výdavky - Agendové IS'!U5</f>
        <v>-8093698.9265000001</v>
      </c>
      <c r="D5" s="29">
        <f t="shared" ref="D5:D13" si="1">C5-B5</f>
        <v>-6182338.9265000001</v>
      </c>
      <c r="E5" s="27">
        <f>'Prínosy - Agendové IS'!T5-('Výdavky - Agendové IS'!T5/1.2)</f>
        <v>-13473748.045506636</v>
      </c>
      <c r="F5" s="27">
        <f>'Prínosy - Agendové IS'!U5-('Výdavky - Agendové IS'!U5/1.2)</f>
        <v>-18625697.150923304</v>
      </c>
      <c r="G5" s="29">
        <f t="shared" si="0"/>
        <v>-5151949.1054166686</v>
      </c>
      <c r="H5" s="56">
        <v>1</v>
      </c>
      <c r="I5" s="52">
        <f>D5*(1/(1+Faktory!$D$3)^H5)</f>
        <v>-5944556.6600961536</v>
      </c>
      <c r="J5" s="59">
        <f>G5*(1/(1+Faktory!$D$5)^H5)</f>
        <v>-4906618.195634922</v>
      </c>
      <c r="K5" s="57">
        <f>J5+K4</f>
        <v>-6608112.2485515885</v>
      </c>
      <c r="L5" s="31" t="str">
        <f>IF(L4="&lt;",IF(K5&gt;0,"Rok návratu investície","&lt;"),"&gt;")</f>
        <v>&lt;</v>
      </c>
    </row>
    <row r="6" spans="1:12" x14ac:dyDescent="0.3">
      <c r="A6" s="33" t="s">
        <v>27</v>
      </c>
      <c r="B6" s="27">
        <f>'Prínosy - Agendové IS'!Q6-'Výdavky - Agendové IS'!T6</f>
        <v>-1911360</v>
      </c>
      <c r="C6" s="26">
        <f>'Prínosy - Agendové IS'!R6-'Výdavky - Agendové IS'!U6</f>
        <v>-2258520</v>
      </c>
      <c r="D6" s="29">
        <f t="shared" si="1"/>
        <v>-347160</v>
      </c>
      <c r="E6" s="27">
        <f>'Prínosy - Agendové IS'!T6-('Výdavky - Agendové IS'!T6/1.2)</f>
        <v>-13473748.045506636</v>
      </c>
      <c r="F6" s="27">
        <f>'Prínosy - Agendové IS'!U6-('Výdavky - Agendové IS'!U6/1.2)</f>
        <v>-10539106.755320294</v>
      </c>
      <c r="G6" s="29">
        <f t="shared" si="0"/>
        <v>2934641.2901863419</v>
      </c>
      <c r="H6" s="56">
        <v>2</v>
      </c>
      <c r="I6" s="52">
        <f>D6*(1/(1+Faktory!$D$3)^H6)</f>
        <v>-320968.93491124257</v>
      </c>
      <c r="J6" s="59">
        <f>G6*(1/(1+Faktory!$D$5)^H6)</f>
        <v>2661806.1588991759</v>
      </c>
      <c r="K6" s="57">
        <f t="shared" ref="K6:K13" si="2">J6+K5</f>
        <v>-3946306.0896524126</v>
      </c>
      <c r="L6" s="31" t="str">
        <f t="shared" ref="L6:L13" si="3">IF(L5="&lt;",IF(K6&gt;0,"Rok návratu investície","&lt;"),"&gt;")</f>
        <v>&lt;</v>
      </c>
    </row>
    <row r="7" spans="1:12" x14ac:dyDescent="0.3">
      <c r="A7" s="33" t="s">
        <v>28</v>
      </c>
      <c r="B7" s="27">
        <f>'Prínosy - Agendové IS'!Q7-'Výdavky - Agendové IS'!T7</f>
        <v>-1911360</v>
      </c>
      <c r="C7" s="26">
        <f>'Prínosy - Agendové IS'!R7-'Výdavky - Agendové IS'!U7</f>
        <v>-2258520</v>
      </c>
      <c r="D7" s="29">
        <f t="shared" si="1"/>
        <v>-347160</v>
      </c>
      <c r="E7" s="27">
        <f>'Prínosy - Agendové IS'!T7-('Výdavky - Agendové IS'!T7/1.2)</f>
        <v>-13473748.045506636</v>
      </c>
      <c r="F7" s="27">
        <f>'Prínosy - Agendové IS'!U7-('Výdavky - Agendové IS'!U7/1.2)</f>
        <v>-10539106.755320294</v>
      </c>
      <c r="G7" s="29">
        <f t="shared" si="0"/>
        <v>2934641.2901863419</v>
      </c>
      <c r="H7" s="56">
        <v>3</v>
      </c>
      <c r="I7" s="52">
        <f>D7*(1/(1+Faktory!$D$3)^H7)</f>
        <v>-308623.97587619483</v>
      </c>
      <c r="J7" s="59">
        <f>G7*(1/(1+Faktory!$D$5)^H7)</f>
        <v>2535053.4846658818</v>
      </c>
      <c r="K7" s="57">
        <f t="shared" si="2"/>
        <v>-1411252.6049865307</v>
      </c>
      <c r="L7" s="31" t="str">
        <f t="shared" si="3"/>
        <v>&lt;</v>
      </c>
    </row>
    <row r="8" spans="1:12" x14ac:dyDescent="0.3">
      <c r="A8" s="33" t="s">
        <v>29</v>
      </c>
      <c r="B8" s="27">
        <f>'Prínosy - Agendové IS'!Q8-'Výdavky - Agendové IS'!T8</f>
        <v>-1911360</v>
      </c>
      <c r="C8" s="26">
        <f>'Prínosy - Agendové IS'!R8-'Výdavky - Agendové IS'!U8</f>
        <v>-2258520</v>
      </c>
      <c r="D8" s="29">
        <f t="shared" si="1"/>
        <v>-347160</v>
      </c>
      <c r="E8" s="27">
        <f>'Prínosy - Agendové IS'!T8-('Výdavky - Agendové IS'!T8/1.2)</f>
        <v>-13473748.045506636</v>
      </c>
      <c r="F8" s="27">
        <f>'Prínosy - Agendové IS'!U8-('Výdavky - Agendové IS'!U8/1.2)</f>
        <v>-10539106.755320294</v>
      </c>
      <c r="G8" s="29">
        <f t="shared" si="0"/>
        <v>2934641.2901863419</v>
      </c>
      <c r="H8" s="56">
        <v>4</v>
      </c>
      <c r="I8" s="52">
        <f>D8*(1/(1+Faktory!$D$3)^H8)</f>
        <v>-296753.82295787957</v>
      </c>
      <c r="J8" s="59">
        <f>G8*(1/(1+Faktory!$D$5)^H8)</f>
        <v>2414336.6520627448</v>
      </c>
      <c r="K8" s="57">
        <f t="shared" si="2"/>
        <v>1003084.0470762141</v>
      </c>
      <c r="L8" s="31" t="str">
        <f t="shared" si="3"/>
        <v>Rok návratu investície</v>
      </c>
    </row>
    <row r="9" spans="1:12" x14ac:dyDescent="0.3">
      <c r="A9" s="33" t="s">
        <v>30</v>
      </c>
      <c r="B9" s="27">
        <f>'Prínosy - Agendové IS'!Q9-'Výdavky - Agendové IS'!T9</f>
        <v>-1911360</v>
      </c>
      <c r="C9" s="26">
        <f>'Prínosy - Agendové IS'!R9-'Výdavky - Agendové IS'!U9</f>
        <v>-2258520</v>
      </c>
      <c r="D9" s="29">
        <f t="shared" si="1"/>
        <v>-347160</v>
      </c>
      <c r="E9" s="27">
        <f>'Prínosy - Agendové IS'!T9-('Výdavky - Agendové IS'!T9/1.2)</f>
        <v>-13473748.045506636</v>
      </c>
      <c r="F9" s="27">
        <f>'Prínosy - Agendové IS'!U9-('Výdavky - Agendové IS'!U9/1.2)</f>
        <v>-10539106.755320294</v>
      </c>
      <c r="G9" s="29">
        <f t="shared" si="0"/>
        <v>2934641.2901863419</v>
      </c>
      <c r="H9" s="56">
        <v>5</v>
      </c>
      <c r="I9" s="52">
        <f>D9*(1/(1+Faktory!$D$3)^H9)</f>
        <v>-285340.21438257647</v>
      </c>
      <c r="J9" s="59">
        <f>G9*(1/(1+Faktory!$D$5)^H9)</f>
        <v>2299368.2400597567</v>
      </c>
      <c r="K9" s="57">
        <f t="shared" si="2"/>
        <v>3302452.2871359708</v>
      </c>
      <c r="L9" s="31" t="str">
        <f t="shared" si="3"/>
        <v>&gt;</v>
      </c>
    </row>
    <row r="10" spans="1:12" x14ac:dyDescent="0.3">
      <c r="A10" s="33" t="s">
        <v>31</v>
      </c>
      <c r="B10" s="27">
        <f>'Prínosy - Agendové IS'!Q10-'Výdavky - Agendové IS'!T10</f>
        <v>-1911360</v>
      </c>
      <c r="C10" s="26">
        <f>'Prínosy - Agendové IS'!R10-'Výdavky - Agendové IS'!U10</f>
        <v>-2258520</v>
      </c>
      <c r="D10" s="29">
        <f t="shared" si="1"/>
        <v>-347160</v>
      </c>
      <c r="E10" s="27">
        <f>'Prínosy - Agendové IS'!T10-('Výdavky - Agendové IS'!T10/1.2)</f>
        <v>-13473748.045506636</v>
      </c>
      <c r="F10" s="27">
        <f>'Prínosy - Agendové IS'!U10-('Výdavky - Agendové IS'!U10/1.2)</f>
        <v>-10539106.755320294</v>
      </c>
      <c r="G10" s="29">
        <f t="shared" si="0"/>
        <v>2934641.2901863419</v>
      </c>
      <c r="H10" s="56">
        <v>6</v>
      </c>
      <c r="I10" s="52">
        <f>D10*(1/(1+Faktory!$D$3)^H10)</f>
        <v>-274365.59075247741</v>
      </c>
      <c r="J10" s="59">
        <f>G10*(1/(1+Faktory!$D$5)^H10)</f>
        <v>2189874.5143426256</v>
      </c>
      <c r="K10" s="57">
        <f t="shared" si="2"/>
        <v>5492326.8014785964</v>
      </c>
      <c r="L10" s="31" t="str">
        <f t="shared" si="3"/>
        <v>&gt;</v>
      </c>
    </row>
    <row r="11" spans="1:12" x14ac:dyDescent="0.3">
      <c r="A11" s="33" t="s">
        <v>32</v>
      </c>
      <c r="B11" s="27">
        <f>'Prínosy - Agendové IS'!Q11-'Výdavky - Agendové IS'!T11</f>
        <v>-1911360</v>
      </c>
      <c r="C11" s="26">
        <f>'Prínosy - Agendové IS'!R11-'Výdavky - Agendové IS'!U11</f>
        <v>-2258520</v>
      </c>
      <c r="D11" s="29">
        <f t="shared" si="1"/>
        <v>-347160</v>
      </c>
      <c r="E11" s="27">
        <f>'Prínosy - Agendové IS'!T11-('Výdavky - Agendové IS'!T11/1.2)</f>
        <v>-13473748.045506636</v>
      </c>
      <c r="F11" s="27">
        <f>'Prínosy - Agendové IS'!U11-('Výdavky - Agendové IS'!U11/1.2)</f>
        <v>-10539106.755320294</v>
      </c>
      <c r="G11" s="29">
        <f t="shared" si="0"/>
        <v>2934641.2901863419</v>
      </c>
      <c r="H11" s="56">
        <v>7</v>
      </c>
      <c r="I11" s="52">
        <f>D11*(1/(1+Faktory!$D$3)^H11)</f>
        <v>-263813.06803122832</v>
      </c>
      <c r="J11" s="59">
        <f>G11*(1/(1+Faktory!$D$5)^H11)</f>
        <v>2085594.7755644051</v>
      </c>
      <c r="K11" s="57">
        <f t="shared" si="2"/>
        <v>7577921.5770430015</v>
      </c>
      <c r="L11" s="31" t="str">
        <f t="shared" si="3"/>
        <v>&gt;</v>
      </c>
    </row>
    <row r="12" spans="1:12" x14ac:dyDescent="0.3">
      <c r="A12" s="33" t="s">
        <v>33</v>
      </c>
      <c r="B12" s="27">
        <f>'Prínosy - Agendové IS'!Q12-'Výdavky - Agendové IS'!T12</f>
        <v>-1911360</v>
      </c>
      <c r="C12" s="26">
        <f>'Prínosy - Agendové IS'!R12-'Výdavky - Agendové IS'!U12</f>
        <v>-2258520</v>
      </c>
      <c r="D12" s="29">
        <f t="shared" si="1"/>
        <v>-347160</v>
      </c>
      <c r="E12" s="27">
        <f>'Prínosy - Agendové IS'!T12-('Výdavky - Agendové IS'!T12/1.2)</f>
        <v>-13473748.045506636</v>
      </c>
      <c r="F12" s="27">
        <f>'Prínosy - Agendové IS'!U12-('Výdavky - Agendové IS'!U12/1.2)</f>
        <v>-10539106.755320294</v>
      </c>
      <c r="G12" s="29">
        <f t="shared" si="0"/>
        <v>2934641.2901863419</v>
      </c>
      <c r="H12" s="56">
        <v>8</v>
      </c>
      <c r="I12" s="52">
        <f>D12*(1/(1+Faktory!$D$3)^H12)</f>
        <v>-253666.41156848869</v>
      </c>
      <c r="J12" s="59">
        <f>G12*(1/(1+Faktory!$D$5)^H12)</f>
        <v>1986280.7386327672</v>
      </c>
      <c r="K12" s="57">
        <f t="shared" si="2"/>
        <v>9564202.315675769</v>
      </c>
      <c r="L12" s="31" t="str">
        <f t="shared" si="3"/>
        <v>&gt;</v>
      </c>
    </row>
    <row r="13" spans="1:12" ht="15" thickBot="1" x14ac:dyDescent="0.35">
      <c r="A13" s="33" t="s">
        <v>34</v>
      </c>
      <c r="B13" s="47">
        <f>'Prínosy - Agendové IS'!Q13-'Výdavky - Agendové IS'!T13</f>
        <v>-1911360</v>
      </c>
      <c r="C13" s="43">
        <f>'Prínosy - Agendové IS'!R13-'Výdavky - Agendové IS'!U13</f>
        <v>-2258520</v>
      </c>
      <c r="D13" s="35">
        <f t="shared" si="1"/>
        <v>-347160</v>
      </c>
      <c r="E13" s="27">
        <f>'Prínosy - Agendové IS'!T13-('Výdavky - Agendové IS'!T13/1.2)</f>
        <v>-13473748.045506636</v>
      </c>
      <c r="F13" s="27">
        <f>'Prínosy - Agendové IS'!U13-('Výdavky - Agendové IS'!U13/1.2)</f>
        <v>-10539106.755320294</v>
      </c>
      <c r="G13" s="35">
        <f t="shared" si="0"/>
        <v>2934641.2901863419</v>
      </c>
      <c r="H13" s="56">
        <v>9</v>
      </c>
      <c r="I13" s="53">
        <f>D13*(1/(1+Faktory!$D$3)^H13)</f>
        <v>-243910.01112354678</v>
      </c>
      <c r="J13" s="60">
        <f>G13*(1/(1+Faktory!$D$5)^H13)</f>
        <v>1891695.941555016</v>
      </c>
      <c r="K13" s="57">
        <f t="shared" si="2"/>
        <v>11455898.257230785</v>
      </c>
      <c r="L13" s="31" t="str">
        <f t="shared" si="3"/>
        <v>&gt;</v>
      </c>
    </row>
    <row r="14" spans="1:12" ht="15" thickBot="1" x14ac:dyDescent="0.35">
      <c r="A14" s="62" t="s">
        <v>35</v>
      </c>
      <c r="B14" s="44">
        <f t="shared" ref="B14:G14" si="4">SUM(B4:B13)</f>
        <v>-19113600</v>
      </c>
      <c r="C14" s="45">
        <f t="shared" si="4"/>
        <v>-30115011.789999999</v>
      </c>
      <c r="D14" s="45">
        <f t="shared" si="4"/>
        <v>-11001411.789999999</v>
      </c>
      <c r="E14" s="45">
        <f t="shared" si="4"/>
        <v>-134737480.45506638</v>
      </c>
      <c r="F14" s="45">
        <f t="shared" si="4"/>
        <v>-118113793.29190896</v>
      </c>
      <c r="G14" s="46">
        <f t="shared" si="4"/>
        <v>16623687.1631574</v>
      </c>
      <c r="H14" s="63" t="s">
        <v>35</v>
      </c>
      <c r="I14" s="166">
        <f>SUM(I4:I13)</f>
        <v>-10233791.553199789</v>
      </c>
      <c r="J14" s="167">
        <f>SUM(J4:J13)</f>
        <v>11455898.257230785</v>
      </c>
      <c r="K14" s="7"/>
      <c r="L14" s="7"/>
    </row>
    <row r="16" spans="1:12" ht="15" thickBot="1" x14ac:dyDescent="0.35">
      <c r="H16" s="103" t="s">
        <v>186</v>
      </c>
      <c r="J16" s="177" t="s">
        <v>175</v>
      </c>
      <c r="K16" s="177" t="s">
        <v>184</v>
      </c>
    </row>
    <row r="17" spans="5:11" s="133" customFormat="1" ht="15" thickBot="1" x14ac:dyDescent="0.3">
      <c r="H17" s="171" t="s">
        <v>124</v>
      </c>
      <c r="I17" s="173" t="s">
        <v>181</v>
      </c>
      <c r="J17" s="174">
        <f>'Prínosy - Agendové IS'!V15/('Výdavky - Agendové IS'!V15/1.2)</f>
        <v>2.3656050093110301</v>
      </c>
      <c r="K17" s="178">
        <v>1</v>
      </c>
    </row>
    <row r="18" spans="5:11" s="133" customFormat="1" ht="21" thickBot="1" x14ac:dyDescent="0.3">
      <c r="F18" s="579"/>
      <c r="G18" s="579"/>
      <c r="H18" s="172" t="s">
        <v>178</v>
      </c>
      <c r="I18" s="173" t="s">
        <v>182</v>
      </c>
      <c r="J18" s="175" t="s">
        <v>361</v>
      </c>
      <c r="K18" s="179" t="s">
        <v>185</v>
      </c>
    </row>
    <row r="19" spans="5:11" s="133" customFormat="1" ht="21" thickBot="1" x14ac:dyDescent="0.3">
      <c r="E19" s="168"/>
      <c r="H19" s="172" t="s">
        <v>179</v>
      </c>
      <c r="I19" s="173" t="s">
        <v>183</v>
      </c>
      <c r="J19" s="175">
        <f>IRR($G$4:$G$13,0.01)</f>
        <v>0.35941459012989641</v>
      </c>
      <c r="K19" s="179">
        <v>0.05</v>
      </c>
    </row>
    <row r="20" spans="5:11" ht="15" thickBot="1" x14ac:dyDescent="0.35">
      <c r="H20" s="169"/>
      <c r="I20" s="170"/>
      <c r="J20" s="169"/>
      <c r="K20" s="180"/>
    </row>
    <row r="21" spans="5:11" s="133" customFormat="1" ht="21" thickBot="1" x14ac:dyDescent="0.3">
      <c r="H21" s="172" t="s">
        <v>180</v>
      </c>
      <c r="I21" s="173" t="s">
        <v>370</v>
      </c>
      <c r="J21" s="176">
        <f>I14</f>
        <v>-10233791.553199789</v>
      </c>
      <c r="K21" s="181" t="s">
        <v>185</v>
      </c>
    </row>
    <row r="22" spans="5:11" s="133" customFormat="1" ht="21" thickBot="1" x14ac:dyDescent="0.3">
      <c r="H22" s="172" t="s">
        <v>73</v>
      </c>
      <c r="I22" s="173" t="s">
        <v>369</v>
      </c>
      <c r="J22" s="176">
        <f>J14</f>
        <v>11455898.257230785</v>
      </c>
      <c r="K22" s="181">
        <v>0</v>
      </c>
    </row>
  </sheetData>
  <mergeCells count="6">
    <mergeCell ref="K3:L3"/>
    <mergeCell ref="B1:G1"/>
    <mergeCell ref="H1:L1"/>
    <mergeCell ref="B2:D2"/>
    <mergeCell ref="E2:G2"/>
    <mergeCell ref="K2:L2"/>
  </mergeCells>
  <conditionalFormatting sqref="L4:L13">
    <cfRule type="cellIs" dxfId="0" priority="1" stopIfTrue="1" operator="equal">
      <formula>"Rok návratu investície"</formula>
    </cfRule>
  </conditionalFormatting>
  <pageMargins left="0.7" right="0.7" top="0.75" bottom="0.75" header="0.3" footer="0.3"/>
  <pageSetup paperSize="9" scale="4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3"/>
  <sheetViews>
    <sheetView view="pageBreakPreview" topLeftCell="A43" zoomScale="115" zoomScaleNormal="80" zoomScaleSheetLayoutView="115" workbookViewId="0"/>
  </sheetViews>
  <sheetFormatPr defaultColWidth="8.88671875" defaultRowHeight="14.4" x14ac:dyDescent="0.3"/>
  <cols>
    <col min="1" max="1" width="7.88671875" style="61" customWidth="1"/>
    <col min="2" max="2" width="12.6640625" style="61" customWidth="1"/>
    <col min="3" max="3" width="14" style="61" customWidth="1"/>
    <col min="4" max="4" width="9.44140625" style="61" customWidth="1"/>
    <col min="5" max="5" width="11.88671875" style="61" customWidth="1"/>
    <col min="6" max="6" width="11.6640625" style="61" customWidth="1"/>
    <col min="7" max="7" width="9.6640625" customWidth="1"/>
    <col min="8" max="8" width="11.44140625" customWidth="1"/>
    <col min="9" max="9" width="10.88671875" customWidth="1"/>
    <col min="10" max="10" width="9.44140625" customWidth="1"/>
    <col min="11" max="11" width="12.6640625" customWidth="1"/>
    <col min="12" max="12" width="11.44140625" customWidth="1"/>
    <col min="13" max="13" width="10.44140625" customWidth="1"/>
    <col min="14" max="14" width="13.33203125" customWidth="1"/>
    <col min="15" max="15" width="11.33203125" customWidth="1"/>
    <col min="16" max="16" width="9.6640625" customWidth="1"/>
    <col min="17" max="17" width="14.6640625" customWidth="1"/>
    <col min="18" max="18" width="15.6640625" customWidth="1"/>
  </cols>
  <sheetData>
    <row r="2" spans="1:18" x14ac:dyDescent="0.3">
      <c r="A2" s="207" t="s">
        <v>124</v>
      </c>
      <c r="B2" s="208">
        <f>'CBA - Agendové IS'!J17</f>
        <v>2.3656050093110301</v>
      </c>
    </row>
    <row r="5" spans="1:18" ht="30" customHeight="1" x14ac:dyDescent="0.3">
      <c r="B5" s="687" t="s">
        <v>205</v>
      </c>
      <c r="C5" s="688"/>
      <c r="D5" s="215"/>
      <c r="E5" s="687" t="s">
        <v>206</v>
      </c>
      <c r="F5" s="688"/>
      <c r="H5" s="685" t="s">
        <v>201</v>
      </c>
      <c r="I5" s="686"/>
      <c r="J5" s="61"/>
      <c r="K5" s="687" t="s">
        <v>204</v>
      </c>
      <c r="L5" s="688"/>
      <c r="N5" s="685" t="s">
        <v>202</v>
      </c>
      <c r="O5" s="686"/>
      <c r="Q5" s="685" t="s">
        <v>203</v>
      </c>
      <c r="R5" s="686"/>
    </row>
    <row r="6" spans="1:18" x14ac:dyDescent="0.3">
      <c r="B6" s="210" t="s">
        <v>12</v>
      </c>
      <c r="C6" s="209" t="s">
        <v>124</v>
      </c>
      <c r="D6" s="216"/>
      <c r="E6" s="210" t="s">
        <v>12</v>
      </c>
      <c r="F6" s="209" t="s">
        <v>124</v>
      </c>
      <c r="H6" s="210" t="s">
        <v>12</v>
      </c>
      <c r="I6" s="209" t="s">
        <v>124</v>
      </c>
      <c r="J6" s="61"/>
      <c r="K6" s="210" t="s">
        <v>12</v>
      </c>
      <c r="L6" s="209" t="s">
        <v>124</v>
      </c>
      <c r="N6" s="211" t="s">
        <v>12</v>
      </c>
      <c r="O6" s="212" t="s">
        <v>124</v>
      </c>
      <c r="Q6" s="211" t="s">
        <v>12</v>
      </c>
      <c r="R6" s="212" t="s">
        <v>124</v>
      </c>
    </row>
    <row r="7" spans="1:18" ht="15" customHeight="1" x14ac:dyDescent="0.3">
      <c r="B7" s="203">
        <v>0</v>
      </c>
      <c r="C7" s="195">
        <f>B2</f>
        <v>2.3656050093110301</v>
      </c>
      <c r="D7" s="213"/>
      <c r="E7" s="203">
        <v>0</v>
      </c>
      <c r="F7" s="195">
        <f>B2</f>
        <v>2.3656050093110301</v>
      </c>
      <c r="H7" s="203">
        <v>0</v>
      </c>
      <c r="I7" s="195">
        <f>B2</f>
        <v>2.3656050093110301</v>
      </c>
      <c r="J7" s="61"/>
      <c r="K7" s="203">
        <v>0</v>
      </c>
      <c r="L7" s="195">
        <f>B2</f>
        <v>2.3656050093110301</v>
      </c>
      <c r="N7" s="205">
        <v>0</v>
      </c>
      <c r="O7" s="197">
        <f>B2</f>
        <v>2.3656050093110301</v>
      </c>
      <c r="Q7" s="205">
        <v>0</v>
      </c>
      <c r="R7" s="197">
        <f>B2</f>
        <v>2.3656050093110301</v>
      </c>
    </row>
    <row r="8" spans="1:18" x14ac:dyDescent="0.3">
      <c r="B8" s="203">
        <v>0.1</v>
      </c>
      <c r="C8" s="199">
        <f t="dataTable" ref="C8:C17" dt2D="0" dtr="0" r1="B7" ca="1"/>
        <v>1.8865323579273885</v>
      </c>
      <c r="D8" s="214"/>
      <c r="E8" s="203">
        <v>0.1</v>
      </c>
      <c r="F8" s="199">
        <f t="dataTable" ref="F8:F17" dt2D="0" dtr="0" r1="E7"/>
        <v>2.2027239384628219</v>
      </c>
      <c r="H8" s="203">
        <v>-0.1</v>
      </c>
      <c r="I8" s="199">
        <f t="dataTable" ref="I8:I17" dt2D="0" dtr="0" r1="H7" ca="1"/>
        <v>2.3656050093110301</v>
      </c>
      <c r="J8" s="61"/>
      <c r="K8" s="203">
        <v>-0.1</v>
      </c>
      <c r="L8" s="199">
        <f t="dataTable" ref="L8:L17" dt2D="0" dtr="0" r1="K7" ca="1"/>
        <v>3.3226245681565398</v>
      </c>
      <c r="N8" s="205">
        <v>-0.1</v>
      </c>
      <c r="O8" s="201">
        <f t="dataTable" ref="O8:O17" dt2D="0" dtr="0" r1="N7" ca="1"/>
        <v>2.2196264496938909</v>
      </c>
      <c r="Q8" s="205">
        <v>-0.1</v>
      </c>
      <c r="R8" s="201">
        <f t="dataTable" ref="R8:R17" dt2D="0" dtr="0" r1="Q7" ca="1"/>
        <v>2.2750230679970636</v>
      </c>
    </row>
    <row r="9" spans="1:18" x14ac:dyDescent="0.3">
      <c r="A9" s="198"/>
      <c r="B9" s="203">
        <v>0.2</v>
      </c>
      <c r="C9" s="199">
        <v>1.5688211208613934</v>
      </c>
      <c r="D9" s="214"/>
      <c r="E9" s="203">
        <v>0.2</v>
      </c>
      <c r="F9" s="199">
        <v>2.0608279491215589</v>
      </c>
      <c r="H9" s="203">
        <v>-0.2</v>
      </c>
      <c r="I9" s="199">
        <v>2.3656050093110301</v>
      </c>
      <c r="J9" s="61"/>
      <c r="K9" s="203">
        <v>-0.2</v>
      </c>
      <c r="L9" s="199">
        <v>4.2796441270020527</v>
      </c>
      <c r="N9" s="205">
        <v>-0.2</v>
      </c>
      <c r="O9" s="201">
        <v>2.0736478900767548</v>
      </c>
      <c r="Q9" s="205">
        <v>-0.2</v>
      </c>
      <c r="R9" s="201">
        <v>2.1844411266830988</v>
      </c>
    </row>
    <row r="10" spans="1:18" x14ac:dyDescent="0.3">
      <c r="A10" s="198"/>
      <c r="B10" s="203">
        <v>0.3</v>
      </c>
      <c r="C10" s="199">
        <v>1.3426972477213051</v>
      </c>
      <c r="D10" s="214"/>
      <c r="E10" s="203">
        <v>0.3</v>
      </c>
      <c r="F10" s="199">
        <v>1.9361070008625352</v>
      </c>
      <c r="H10" s="203">
        <v>-0.3</v>
      </c>
      <c r="I10" s="199">
        <v>2.3656050093110301</v>
      </c>
      <c r="J10" s="61"/>
      <c r="K10" s="203">
        <v>-0.3</v>
      </c>
      <c r="L10" s="199">
        <v>5.2366636858475619</v>
      </c>
      <c r="N10" s="205">
        <v>-0.3</v>
      </c>
      <c r="O10" s="201">
        <v>1.9276693304596157</v>
      </c>
      <c r="Q10" s="205">
        <v>-0.3</v>
      </c>
      <c r="R10" s="201">
        <v>2.0938591853691326</v>
      </c>
    </row>
    <row r="11" spans="1:18" x14ac:dyDescent="0.3">
      <c r="A11" s="198"/>
      <c r="B11" s="203">
        <v>0.4</v>
      </c>
      <c r="C11" s="199">
        <v>1.1735467149061327</v>
      </c>
      <c r="D11" s="214"/>
      <c r="E11" s="203">
        <v>0.4</v>
      </c>
      <c r="F11" s="199">
        <v>1.8256207512215776</v>
      </c>
      <c r="H11" s="203">
        <v>-0.4</v>
      </c>
      <c r="I11" s="199">
        <v>2.3656050093110301</v>
      </c>
      <c r="J11" s="61"/>
      <c r="K11" s="203">
        <v>-0.4</v>
      </c>
      <c r="L11" s="199">
        <v>6.1936832446930739</v>
      </c>
      <c r="N11" s="205">
        <v>-0.4</v>
      </c>
      <c r="O11" s="201">
        <v>1.7816907708424805</v>
      </c>
      <c r="Q11" s="205">
        <v>-0.4</v>
      </c>
      <c r="R11" s="201">
        <v>2.0032772440551674</v>
      </c>
    </row>
    <row r="12" spans="1:18" x14ac:dyDescent="0.3">
      <c r="A12" s="198"/>
      <c r="B12" s="203">
        <v>0.5</v>
      </c>
      <c r="C12" s="199">
        <v>1.0422464248468857</v>
      </c>
      <c r="D12" s="214"/>
      <c r="E12" s="203">
        <v>0.5</v>
      </c>
      <c r="F12" s="199">
        <v>1.7270638005331318</v>
      </c>
      <c r="H12" s="203">
        <v>-0.5</v>
      </c>
      <c r="I12" s="199">
        <v>2.3656050093110301</v>
      </c>
      <c r="J12" s="61"/>
      <c r="K12" s="203">
        <v>-0.5</v>
      </c>
      <c r="L12" s="199">
        <v>7.1507028035385858</v>
      </c>
      <c r="N12" s="205">
        <v>-0.5</v>
      </c>
      <c r="O12" s="201">
        <v>1.6357122112253433</v>
      </c>
      <c r="Q12" s="205">
        <v>-0.5</v>
      </c>
      <c r="R12" s="201">
        <v>1.9126953027412015</v>
      </c>
    </row>
    <row r="13" spans="1:18" x14ac:dyDescent="0.3">
      <c r="A13" s="198"/>
      <c r="B13" s="203">
        <v>0.6</v>
      </c>
      <c r="C13" s="199">
        <v>0.93737033027422001</v>
      </c>
      <c r="D13" s="214"/>
      <c r="E13" s="203">
        <v>0.6</v>
      </c>
      <c r="F13" s="199">
        <v>1.6386030821410718</v>
      </c>
      <c r="H13" s="203">
        <v>-0.6</v>
      </c>
      <c r="I13" s="199">
        <v>2.3656050093110301</v>
      </c>
      <c r="J13" s="61"/>
      <c r="K13" s="203">
        <v>-0.6</v>
      </c>
      <c r="L13" s="199">
        <v>8.107722362384095</v>
      </c>
      <c r="N13" s="205">
        <v>-0.6</v>
      </c>
      <c r="O13" s="201">
        <v>1.4897336516082036</v>
      </c>
      <c r="Q13" s="205">
        <v>-0.6</v>
      </c>
      <c r="R13" s="201">
        <v>1.8221133614272367</v>
      </c>
    </row>
    <row r="14" spans="1:18" x14ac:dyDescent="0.3">
      <c r="A14" s="194"/>
      <c r="B14" s="203">
        <v>0.7</v>
      </c>
      <c r="C14" s="199">
        <v>0.851670906068692</v>
      </c>
      <c r="D14" s="214"/>
      <c r="E14" s="203">
        <v>0.7</v>
      </c>
      <c r="F14" s="199">
        <v>1.5587627911977933</v>
      </c>
      <c r="H14" s="203">
        <v>-0.7</v>
      </c>
      <c r="I14" s="199">
        <v>2.3656050093110301</v>
      </c>
      <c r="J14" s="61"/>
      <c r="K14" s="203">
        <v>-0.7</v>
      </c>
      <c r="L14" s="199">
        <v>9.0647419212296061</v>
      </c>
      <c r="N14" s="205">
        <v>-0.7</v>
      </c>
      <c r="O14" s="201">
        <v>1.3437550919910666</v>
      </c>
      <c r="Q14" s="205">
        <v>-0.7</v>
      </c>
      <c r="R14" s="201">
        <v>1.7315314201132705</v>
      </c>
    </row>
    <row r="15" spans="1:18" x14ac:dyDescent="0.3">
      <c r="A15" s="194"/>
      <c r="B15" s="203">
        <v>0.8</v>
      </c>
      <c r="C15" s="199">
        <v>0.7803290391597214</v>
      </c>
      <c r="D15" s="214"/>
      <c r="E15" s="203">
        <v>0.8</v>
      </c>
      <c r="F15" s="199">
        <v>1.4863413912785071</v>
      </c>
      <c r="H15" s="203">
        <v>-0.8</v>
      </c>
      <c r="I15" s="199">
        <v>2.3656050093110301</v>
      </c>
      <c r="J15" s="61"/>
      <c r="K15" s="203">
        <v>-0.8</v>
      </c>
      <c r="L15" s="199">
        <v>10.021761480075119</v>
      </c>
      <c r="N15" s="205">
        <v>-0.8</v>
      </c>
      <c r="O15" s="201">
        <v>1.1977765323739296</v>
      </c>
      <c r="Q15" s="205">
        <v>-0.8</v>
      </c>
      <c r="R15" s="201">
        <v>1.6409494787993055</v>
      </c>
    </row>
    <row r="16" spans="1:18" x14ac:dyDescent="0.3">
      <c r="A16" s="194"/>
      <c r="B16" s="203">
        <v>0.9</v>
      </c>
      <c r="C16" s="199">
        <v>0.72001553962130826</v>
      </c>
      <c r="D16" s="214"/>
      <c r="E16" s="203">
        <v>0.9</v>
      </c>
      <c r="F16" s="199">
        <v>1.4203507294632693</v>
      </c>
      <c r="H16" s="203">
        <v>-0.9</v>
      </c>
      <c r="I16" s="199">
        <v>2.3656050093110301</v>
      </c>
      <c r="J16" s="61"/>
      <c r="K16" s="203">
        <v>-0.9</v>
      </c>
      <c r="L16" s="199">
        <v>10.97878103892063</v>
      </c>
      <c r="N16" s="205">
        <v>-0.9</v>
      </c>
      <c r="O16" s="201">
        <v>1.051797972756791</v>
      </c>
      <c r="Q16" s="205">
        <v>-0.9</v>
      </c>
      <c r="R16" s="201">
        <v>1.5503675374853396</v>
      </c>
    </row>
    <row r="17" spans="1:18" x14ac:dyDescent="0.3">
      <c r="A17" s="194"/>
      <c r="B17" s="204">
        <v>1</v>
      </c>
      <c r="C17" s="200">
        <v>0.66835665380778186</v>
      </c>
      <c r="D17" s="214"/>
      <c r="E17" s="204">
        <v>1</v>
      </c>
      <c r="F17" s="200">
        <v>1.3599706809676939</v>
      </c>
      <c r="H17" s="204">
        <v>-1</v>
      </c>
      <c r="I17" s="200">
        <v>2.3656050093110301</v>
      </c>
      <c r="J17" s="61"/>
      <c r="K17" s="204">
        <v>-1</v>
      </c>
      <c r="L17" s="200">
        <v>11.935800597766141</v>
      </c>
      <c r="N17" s="206">
        <v>-1</v>
      </c>
      <c r="O17" s="202">
        <v>0.90581941313965519</v>
      </c>
      <c r="Q17" s="206">
        <v>-1</v>
      </c>
      <c r="R17" s="202">
        <v>1.4597855961713746</v>
      </c>
    </row>
    <row r="18" spans="1:18" x14ac:dyDescent="0.3">
      <c r="A18" s="198"/>
      <c r="N18" s="103"/>
    </row>
    <row r="19" spans="1:18" x14ac:dyDescent="0.3">
      <c r="A19" s="198"/>
    </row>
    <row r="25" spans="1:18" ht="18.75" customHeight="1" x14ac:dyDescent="0.3">
      <c r="D25" s="679" t="s">
        <v>203</v>
      </c>
      <c r="E25" s="680"/>
      <c r="F25" s="680"/>
      <c r="G25" s="680"/>
      <c r="H25" s="680"/>
      <c r="I25" s="680"/>
      <c r="J25" s="680"/>
      <c r="K25" s="680"/>
      <c r="L25" s="680"/>
      <c r="M25" s="680"/>
      <c r="N25" s="681"/>
    </row>
    <row r="26" spans="1:18" x14ac:dyDescent="0.3">
      <c r="C26" s="217">
        <f>B2</f>
        <v>2.3656050093110301</v>
      </c>
      <c r="D26" s="223">
        <v>0</v>
      </c>
      <c r="E26" s="220">
        <v>-0.1</v>
      </c>
      <c r="F26" s="220">
        <v>-0.2</v>
      </c>
      <c r="G26" s="220">
        <v>-0.3</v>
      </c>
      <c r="H26" s="220">
        <v>-0.4</v>
      </c>
      <c r="I26" s="220">
        <v>-0.5</v>
      </c>
      <c r="J26" s="220">
        <v>-0.6</v>
      </c>
      <c r="K26" s="220">
        <v>-0.7</v>
      </c>
      <c r="L26" s="220">
        <v>-0.8</v>
      </c>
      <c r="M26" s="220">
        <v>-0.9</v>
      </c>
      <c r="N26" s="224">
        <v>-1</v>
      </c>
    </row>
    <row r="27" spans="1:18" ht="14.25" customHeight="1" x14ac:dyDescent="0.3">
      <c r="B27" s="682" t="s">
        <v>202</v>
      </c>
      <c r="C27" s="225">
        <v>0</v>
      </c>
      <c r="D27" s="214">
        <f t="dataTable" ref="D27:N37" dt2D="1" dtr="1" r1="Q7" r2="N7" ca="1"/>
        <v>2.3656050093110301</v>
      </c>
      <c r="E27" s="214">
        <v>2.2750230679970636</v>
      </c>
      <c r="F27" s="214">
        <v>2.1844411266830988</v>
      </c>
      <c r="G27" s="219">
        <v>2.0938591853691326</v>
      </c>
      <c r="H27" s="219">
        <v>2.0032772440551674</v>
      </c>
      <c r="I27" s="219">
        <v>1.9126953027412015</v>
      </c>
      <c r="J27" s="219">
        <v>1.8221133614272367</v>
      </c>
      <c r="K27" s="219">
        <v>1.7315314201132705</v>
      </c>
      <c r="L27" s="219">
        <v>1.6409494787993055</v>
      </c>
      <c r="M27" s="219">
        <v>1.5503675374853396</v>
      </c>
      <c r="N27" s="201">
        <v>1.4597855961713746</v>
      </c>
    </row>
    <row r="28" spans="1:18" x14ac:dyDescent="0.3">
      <c r="B28" s="683"/>
      <c r="C28" s="218">
        <v>-0.1</v>
      </c>
      <c r="D28" s="214">
        <v>2.2196264496938909</v>
      </c>
      <c r="E28" s="214">
        <v>2.1290445083799252</v>
      </c>
      <c r="F28" s="214">
        <v>2.0384625670659604</v>
      </c>
      <c r="G28" s="219">
        <v>1.9478806257519943</v>
      </c>
      <c r="H28" s="219">
        <v>1.8572986844380295</v>
      </c>
      <c r="I28" s="219">
        <v>1.7667167431240631</v>
      </c>
      <c r="J28" s="219">
        <v>1.6761348018100981</v>
      </c>
      <c r="K28" s="219">
        <v>1.5855528604961335</v>
      </c>
      <c r="L28" s="219">
        <v>1.4949709191821672</v>
      </c>
      <c r="M28" s="219">
        <v>1.4043889778682008</v>
      </c>
      <c r="N28" s="201">
        <v>1.3138070365542363</v>
      </c>
    </row>
    <row r="29" spans="1:18" x14ac:dyDescent="0.3">
      <c r="B29" s="683"/>
      <c r="C29" s="218">
        <v>-0.2</v>
      </c>
      <c r="D29" s="214">
        <v>2.0736478900767548</v>
      </c>
      <c r="E29" s="214">
        <v>1.983065948762788</v>
      </c>
      <c r="F29" s="214">
        <v>1.8924840074488232</v>
      </c>
      <c r="G29" s="219">
        <v>1.801902066134857</v>
      </c>
      <c r="H29" s="219">
        <v>1.7113201248208925</v>
      </c>
      <c r="I29" s="219">
        <v>1.6207381835069259</v>
      </c>
      <c r="J29" s="219">
        <v>1.5301562421929613</v>
      </c>
      <c r="K29" s="219">
        <v>1.4395743008789963</v>
      </c>
      <c r="L29" s="219">
        <v>1.3489923595650299</v>
      </c>
      <c r="M29" s="219">
        <v>1.2584104182510636</v>
      </c>
      <c r="N29" s="201">
        <v>1.1678284769370988</v>
      </c>
    </row>
    <row r="30" spans="1:18" x14ac:dyDescent="0.3">
      <c r="B30" s="683"/>
      <c r="C30" s="218">
        <v>-0.3</v>
      </c>
      <c r="D30" s="214">
        <v>1.9276693304596157</v>
      </c>
      <c r="E30" s="214">
        <v>1.8370873891456498</v>
      </c>
      <c r="F30" s="214">
        <v>1.7465054478316848</v>
      </c>
      <c r="G30" s="219">
        <v>1.6559235065177187</v>
      </c>
      <c r="H30" s="219">
        <v>1.5653415652037537</v>
      </c>
      <c r="I30" s="219">
        <v>1.4747596238897878</v>
      </c>
      <c r="J30" s="219">
        <v>1.3841776825758227</v>
      </c>
      <c r="K30" s="219">
        <v>1.2935957412618566</v>
      </c>
      <c r="L30" s="219">
        <v>1.2030137999478918</v>
      </c>
      <c r="M30" s="219">
        <v>1.1124318586339257</v>
      </c>
      <c r="N30" s="201">
        <v>1.0218499173199607</v>
      </c>
    </row>
    <row r="31" spans="1:18" x14ac:dyDescent="0.3">
      <c r="B31" s="683"/>
      <c r="C31" s="218">
        <v>-0.4</v>
      </c>
      <c r="D31" s="214">
        <v>1.7816907708424805</v>
      </c>
      <c r="E31" s="214">
        <v>1.6911088295285144</v>
      </c>
      <c r="F31" s="214">
        <v>1.6005268882145494</v>
      </c>
      <c r="G31" s="219">
        <v>1.509944946900583</v>
      </c>
      <c r="H31" s="219">
        <v>1.4193630055866182</v>
      </c>
      <c r="I31" s="219">
        <v>1.3287810642726519</v>
      </c>
      <c r="J31" s="219">
        <v>1.2381991229586871</v>
      </c>
      <c r="K31" s="219">
        <v>1.1476171816447223</v>
      </c>
      <c r="L31" s="219">
        <v>1.0570352403307561</v>
      </c>
      <c r="M31" s="219">
        <v>0.96645329901678956</v>
      </c>
      <c r="N31" s="201">
        <v>0.87587135770282498</v>
      </c>
    </row>
    <row r="32" spans="1:18" x14ac:dyDescent="0.3">
      <c r="B32" s="683"/>
      <c r="C32" s="218">
        <v>-0.5</v>
      </c>
      <c r="D32" s="214">
        <v>1.6357122112253433</v>
      </c>
      <c r="E32" s="214">
        <v>1.5451302699113769</v>
      </c>
      <c r="F32" s="214">
        <v>1.4545483285974121</v>
      </c>
      <c r="G32" s="219">
        <v>1.3639663872834462</v>
      </c>
      <c r="H32" s="219">
        <v>1.273384445969481</v>
      </c>
      <c r="I32" s="219">
        <v>1.1828025046555151</v>
      </c>
      <c r="J32" s="219">
        <v>1.09222056334155</v>
      </c>
      <c r="K32" s="219">
        <v>1.0016386220275852</v>
      </c>
      <c r="L32" s="219">
        <v>0.91105668071361912</v>
      </c>
      <c r="M32" s="219">
        <v>0.82047473939965276</v>
      </c>
      <c r="N32" s="201">
        <v>0.72989279808568786</v>
      </c>
    </row>
    <row r="33" spans="2:14" x14ac:dyDescent="0.3">
      <c r="B33" s="683"/>
      <c r="C33" s="218">
        <v>-0.6</v>
      </c>
      <c r="D33" s="214">
        <v>1.4897336516082036</v>
      </c>
      <c r="E33" s="214">
        <v>1.3991517102942375</v>
      </c>
      <c r="F33" s="214">
        <v>1.3085697689802722</v>
      </c>
      <c r="G33" s="219">
        <v>1.2179878276663063</v>
      </c>
      <c r="H33" s="219">
        <v>1.1274058863523415</v>
      </c>
      <c r="I33" s="219">
        <v>1.0368239450383749</v>
      </c>
      <c r="J33" s="219">
        <v>0.94624200372441036</v>
      </c>
      <c r="K33" s="219">
        <v>0.85566006241044545</v>
      </c>
      <c r="L33" s="219">
        <v>0.7650781210964791</v>
      </c>
      <c r="M33" s="219">
        <v>0.67449617978251286</v>
      </c>
      <c r="N33" s="201">
        <v>0.58391423846854817</v>
      </c>
    </row>
    <row r="34" spans="2:14" x14ac:dyDescent="0.3">
      <c r="B34" s="683"/>
      <c r="C34" s="218">
        <v>-0.7</v>
      </c>
      <c r="D34" s="214">
        <v>1.3437550919910666</v>
      </c>
      <c r="E34" s="214">
        <v>1.2531731506771002</v>
      </c>
      <c r="F34" s="214">
        <v>1.1625912093631352</v>
      </c>
      <c r="G34" s="219">
        <v>1.0720092680491691</v>
      </c>
      <c r="H34" s="219">
        <v>0.98142732673520439</v>
      </c>
      <c r="I34" s="219">
        <v>0.89084538542123815</v>
      </c>
      <c r="J34" s="219">
        <v>0.80026344410727335</v>
      </c>
      <c r="K34" s="219">
        <v>0.70968150279330833</v>
      </c>
      <c r="L34" s="219">
        <v>0.61909956147934209</v>
      </c>
      <c r="M34" s="219">
        <v>0.52851762016537596</v>
      </c>
      <c r="N34" s="201">
        <v>0.4379356788514111</v>
      </c>
    </row>
    <row r="35" spans="2:14" x14ac:dyDescent="0.3">
      <c r="B35" s="683"/>
      <c r="C35" s="218">
        <v>-0.8</v>
      </c>
      <c r="D35" s="214">
        <v>1.1977765323739296</v>
      </c>
      <c r="E35" s="214">
        <v>1.1071945910599634</v>
      </c>
      <c r="F35" s="214">
        <v>1.0166126497459984</v>
      </c>
      <c r="G35" s="219">
        <v>0.92603070843203217</v>
      </c>
      <c r="H35" s="219">
        <v>0.83544876711806737</v>
      </c>
      <c r="I35" s="219">
        <v>0.74486682580410124</v>
      </c>
      <c r="J35" s="219">
        <v>0.65428488449013611</v>
      </c>
      <c r="K35" s="219">
        <v>0.56370294317617153</v>
      </c>
      <c r="L35" s="219">
        <v>0.47312100186220518</v>
      </c>
      <c r="M35" s="219">
        <v>0.38253906054823894</v>
      </c>
      <c r="N35" s="201">
        <v>0.29195711923427409</v>
      </c>
    </row>
    <row r="36" spans="2:14" x14ac:dyDescent="0.3">
      <c r="B36" s="683"/>
      <c r="C36" s="218">
        <v>-0.9</v>
      </c>
      <c r="D36" s="214">
        <v>1.051797972756791</v>
      </c>
      <c r="E36" s="214">
        <v>0.96121603144282486</v>
      </c>
      <c r="F36" s="214">
        <v>0.87063409012885995</v>
      </c>
      <c r="G36" s="219">
        <v>0.78005214881489382</v>
      </c>
      <c r="H36" s="219">
        <v>0.68947020750092891</v>
      </c>
      <c r="I36" s="219">
        <v>0.59888826618696267</v>
      </c>
      <c r="J36" s="219">
        <v>0.50830632487299787</v>
      </c>
      <c r="K36" s="219">
        <v>0.41772438355903163</v>
      </c>
      <c r="L36" s="219">
        <v>0.32714244224506678</v>
      </c>
      <c r="M36" s="219">
        <v>0.23656050093110048</v>
      </c>
      <c r="N36" s="201">
        <v>0.14597855961713568</v>
      </c>
    </row>
    <row r="37" spans="2:14" x14ac:dyDescent="0.3">
      <c r="B37" s="684"/>
      <c r="C37" s="224">
        <v>-1</v>
      </c>
      <c r="D37" s="221">
        <v>0.90581941313965519</v>
      </c>
      <c r="E37" s="221">
        <v>0.81523747182568906</v>
      </c>
      <c r="F37" s="221">
        <v>0.72465553051172438</v>
      </c>
      <c r="G37" s="222">
        <v>0.63407358919775803</v>
      </c>
      <c r="H37" s="222">
        <v>0.54349164788379323</v>
      </c>
      <c r="I37" s="222">
        <v>0.45290970656982704</v>
      </c>
      <c r="J37" s="222">
        <v>0.36232776525586219</v>
      </c>
      <c r="K37" s="222">
        <v>0.27174582394189728</v>
      </c>
      <c r="L37" s="222">
        <v>0.18116388262793109</v>
      </c>
      <c r="M37" s="222">
        <v>9.0581941313964867E-2</v>
      </c>
      <c r="N37" s="202">
        <v>0</v>
      </c>
    </row>
    <row r="41" spans="2:14" x14ac:dyDescent="0.3">
      <c r="D41" s="679" t="s">
        <v>204</v>
      </c>
      <c r="E41" s="680"/>
      <c r="F41" s="680"/>
      <c r="G41" s="680"/>
      <c r="H41" s="680"/>
      <c r="I41" s="680"/>
      <c r="J41" s="680"/>
      <c r="K41" s="680"/>
      <c r="L41" s="680"/>
      <c r="M41" s="680"/>
      <c r="N41" s="681"/>
    </row>
    <row r="42" spans="2:14" x14ac:dyDescent="0.3">
      <c r="C42" s="217">
        <f>B2</f>
        <v>2.3656050093110301</v>
      </c>
      <c r="D42" s="223">
        <v>0</v>
      </c>
      <c r="E42" s="220">
        <v>-0.1</v>
      </c>
      <c r="F42" s="220">
        <v>-0.2</v>
      </c>
      <c r="G42" s="220">
        <v>-0.3</v>
      </c>
      <c r="H42" s="220">
        <v>-0.4</v>
      </c>
      <c r="I42" s="220">
        <v>-0.5</v>
      </c>
      <c r="J42" s="220">
        <v>-0.6</v>
      </c>
      <c r="K42" s="220">
        <v>-0.7</v>
      </c>
      <c r="L42" s="220">
        <v>-0.8</v>
      </c>
      <c r="M42" s="220">
        <v>-0.9</v>
      </c>
      <c r="N42" s="224">
        <v>-1</v>
      </c>
    </row>
    <row r="43" spans="2:14" x14ac:dyDescent="0.3">
      <c r="B43" s="682" t="s">
        <v>206</v>
      </c>
      <c r="C43" s="225">
        <v>0</v>
      </c>
      <c r="D43" s="214">
        <f t="dataTable" ref="D43:N53" dt2D="1" dtr="1" r1="K7" r2="E7" ca="1"/>
        <v>2.3656050093110301</v>
      </c>
      <c r="E43" s="214">
        <v>3.3226245681565398</v>
      </c>
      <c r="F43" s="214">
        <v>4.2796441270020527</v>
      </c>
      <c r="G43" s="219">
        <v>5.2366636858475619</v>
      </c>
      <c r="H43" s="219">
        <v>6.1936832446930739</v>
      </c>
      <c r="I43" s="219">
        <v>7.1507028035385858</v>
      </c>
      <c r="J43" s="219">
        <v>8.107722362384095</v>
      </c>
      <c r="K43" s="219">
        <v>9.0647419212296061</v>
      </c>
      <c r="L43" s="219">
        <v>10.021761480075119</v>
      </c>
      <c r="M43" s="219">
        <v>10.97878103892063</v>
      </c>
      <c r="N43" s="201">
        <v>11.935800597766141</v>
      </c>
    </row>
    <row r="44" spans="2:14" x14ac:dyDescent="0.3">
      <c r="B44" s="683"/>
      <c r="C44" s="218">
        <v>0.1</v>
      </c>
      <c r="D44" s="214">
        <v>2.2027239384628219</v>
      </c>
      <c r="E44" s="214">
        <v>3.0938489925394075</v>
      </c>
      <c r="F44" s="214">
        <v>3.9849740466159953</v>
      </c>
      <c r="G44" s="219">
        <v>4.8760991006925813</v>
      </c>
      <c r="H44" s="219">
        <v>5.7672241547691678</v>
      </c>
      <c r="I44" s="219">
        <v>6.6583492088457561</v>
      </c>
      <c r="J44" s="219">
        <v>7.5494742629223408</v>
      </c>
      <c r="K44" s="219">
        <v>8.4405993169989273</v>
      </c>
      <c r="L44" s="219">
        <v>9.3317243710755147</v>
      </c>
      <c r="M44" s="219">
        <v>10.222849425152104</v>
      </c>
      <c r="N44" s="201">
        <v>11.113974479228689</v>
      </c>
    </row>
    <row r="45" spans="2:14" x14ac:dyDescent="0.3">
      <c r="B45" s="683"/>
      <c r="C45" s="218">
        <v>0.2</v>
      </c>
      <c r="D45" s="214">
        <v>2.0608279491215589</v>
      </c>
      <c r="E45" s="214">
        <v>2.8945481378098723</v>
      </c>
      <c r="F45" s="214">
        <v>3.7282683264981875</v>
      </c>
      <c r="G45" s="219">
        <v>4.5619885151865009</v>
      </c>
      <c r="H45" s="219">
        <v>5.3957087038748162</v>
      </c>
      <c r="I45" s="219">
        <v>6.2294288925631314</v>
      </c>
      <c r="J45" s="219">
        <v>7.0631490812514439</v>
      </c>
      <c r="K45" s="219">
        <v>7.8968692699397574</v>
      </c>
      <c r="L45" s="219">
        <v>8.7305894586280726</v>
      </c>
      <c r="M45" s="219">
        <v>9.5643096473163887</v>
      </c>
      <c r="N45" s="201">
        <v>10.398029836004703</v>
      </c>
    </row>
    <row r="46" spans="2:14" x14ac:dyDescent="0.3">
      <c r="B46" s="683"/>
      <c r="C46" s="218">
        <v>0.3</v>
      </c>
      <c r="D46" s="214">
        <v>1.9361070008625352</v>
      </c>
      <c r="E46" s="214">
        <v>2.7193705890567501</v>
      </c>
      <c r="F46" s="214">
        <v>3.5026341772509673</v>
      </c>
      <c r="G46" s="219">
        <v>4.2858977654451822</v>
      </c>
      <c r="H46" s="219">
        <v>5.069161353639398</v>
      </c>
      <c r="I46" s="219">
        <v>5.8524249418336156</v>
      </c>
      <c r="J46" s="219">
        <v>6.6356885300278297</v>
      </c>
      <c r="K46" s="219">
        <v>7.4189521182220446</v>
      </c>
      <c r="L46" s="219">
        <v>8.2022157064162613</v>
      </c>
      <c r="M46" s="219">
        <v>8.9854792946104798</v>
      </c>
      <c r="N46" s="201">
        <v>9.7687428828046947</v>
      </c>
    </row>
    <row r="47" spans="2:14" x14ac:dyDescent="0.3">
      <c r="B47" s="683"/>
      <c r="C47" s="218">
        <v>0.4</v>
      </c>
      <c r="D47" s="214">
        <v>1.8256207512215776</v>
      </c>
      <c r="E47" s="214">
        <v>2.5641864708055637</v>
      </c>
      <c r="F47" s="214">
        <v>3.3027521903895516</v>
      </c>
      <c r="G47" s="219">
        <v>4.0413179099735368</v>
      </c>
      <c r="H47" s="219">
        <v>4.7798836295575242</v>
      </c>
      <c r="I47" s="219">
        <v>5.5184493491415125</v>
      </c>
      <c r="J47" s="219">
        <v>6.2570150687254973</v>
      </c>
      <c r="K47" s="219">
        <v>6.9955807883094838</v>
      </c>
      <c r="L47" s="219">
        <v>7.7341465078934721</v>
      </c>
      <c r="M47" s="219">
        <v>8.4727122274774604</v>
      </c>
      <c r="N47" s="201">
        <v>9.211277947061447</v>
      </c>
    </row>
    <row r="48" spans="2:14" x14ac:dyDescent="0.3">
      <c r="B48" s="683"/>
      <c r="C48" s="218">
        <v>0.5</v>
      </c>
      <c r="D48" s="214">
        <v>1.7270638005331318</v>
      </c>
      <c r="E48" s="214">
        <v>2.4257577202613652</v>
      </c>
      <c r="F48" s="214">
        <v>3.1244516399896001</v>
      </c>
      <c r="G48" s="219">
        <v>3.8231455597178332</v>
      </c>
      <c r="H48" s="219">
        <v>4.5218394794460677</v>
      </c>
      <c r="I48" s="219">
        <v>5.220533399174303</v>
      </c>
      <c r="J48" s="219">
        <v>5.9192273189025357</v>
      </c>
      <c r="K48" s="219">
        <v>6.6179212386307693</v>
      </c>
      <c r="L48" s="219">
        <v>7.3166151583590047</v>
      </c>
      <c r="M48" s="219">
        <v>8.01530907808724</v>
      </c>
      <c r="N48" s="201">
        <v>8.7140029978154736</v>
      </c>
    </row>
    <row r="49" spans="2:14" x14ac:dyDescent="0.3">
      <c r="B49" s="683"/>
      <c r="C49" s="218">
        <v>0.6</v>
      </c>
      <c r="D49" s="214">
        <v>1.6386030821410718</v>
      </c>
      <c r="E49" s="214">
        <v>2.3015096927633851</v>
      </c>
      <c r="F49" s="214">
        <v>2.9644163033857001</v>
      </c>
      <c r="G49" s="219">
        <v>3.6273229140080137</v>
      </c>
      <c r="H49" s="219">
        <v>4.2902295246303286</v>
      </c>
      <c r="I49" s="219">
        <v>4.9531361352526435</v>
      </c>
      <c r="J49" s="219">
        <v>5.6160427458749558</v>
      </c>
      <c r="K49" s="219">
        <v>6.2789493564972698</v>
      </c>
      <c r="L49" s="219">
        <v>6.9418559671195856</v>
      </c>
      <c r="M49" s="219">
        <v>7.6047625777419006</v>
      </c>
      <c r="N49" s="201">
        <v>8.2676691883642146</v>
      </c>
    </row>
    <row r="50" spans="2:14" x14ac:dyDescent="0.3">
      <c r="B50" s="683"/>
      <c r="C50" s="218">
        <v>0.7</v>
      </c>
      <c r="D50" s="214">
        <v>1.5587627911977933</v>
      </c>
      <c r="E50" s="214">
        <v>2.1893695378462441</v>
      </c>
      <c r="F50" s="214">
        <v>2.8199762844946972</v>
      </c>
      <c r="G50" s="219">
        <v>3.450583031143148</v>
      </c>
      <c r="H50" s="219">
        <v>4.0811897777916002</v>
      </c>
      <c r="I50" s="219">
        <v>4.7117965244400528</v>
      </c>
      <c r="J50" s="219">
        <v>5.3424032710885037</v>
      </c>
      <c r="K50" s="219">
        <v>5.9730100177369554</v>
      </c>
      <c r="L50" s="219">
        <v>6.603616764385408</v>
      </c>
      <c r="M50" s="219">
        <v>7.2342235110338606</v>
      </c>
      <c r="N50" s="201">
        <v>7.8648302576823124</v>
      </c>
    </row>
    <row r="51" spans="2:14" x14ac:dyDescent="0.3">
      <c r="B51" s="683"/>
      <c r="C51" s="218">
        <v>0.8</v>
      </c>
      <c r="D51" s="214">
        <v>1.4863413912785071</v>
      </c>
      <c r="E51" s="214">
        <v>2.0876496303870562</v>
      </c>
      <c r="F51" s="214">
        <v>2.6889578694956064</v>
      </c>
      <c r="G51" s="219">
        <v>3.2902661086041558</v>
      </c>
      <c r="H51" s="219">
        <v>3.8915743477127056</v>
      </c>
      <c r="I51" s="219">
        <v>4.4928825868212563</v>
      </c>
      <c r="J51" s="219">
        <v>5.0941908259298048</v>
      </c>
      <c r="K51" s="219">
        <v>5.6954990650383541</v>
      </c>
      <c r="L51" s="219">
        <v>6.2968073041469044</v>
      </c>
      <c r="M51" s="219">
        <v>6.8981155432554555</v>
      </c>
      <c r="N51" s="201">
        <v>7.4994237823640049</v>
      </c>
    </row>
    <row r="52" spans="2:14" x14ac:dyDescent="0.3">
      <c r="B52" s="683"/>
      <c r="C52" s="218">
        <v>0.9</v>
      </c>
      <c r="D52" s="214">
        <v>1.4203507294632693</v>
      </c>
      <c r="E52" s="214">
        <v>1.9949620543322195</v>
      </c>
      <c r="F52" s="214">
        <v>2.5695733792011715</v>
      </c>
      <c r="G52" s="219">
        <v>3.1441847040701214</v>
      </c>
      <c r="H52" s="219">
        <v>3.7187960289390727</v>
      </c>
      <c r="I52" s="219">
        <v>4.293407353808024</v>
      </c>
      <c r="J52" s="219">
        <v>4.8680186786769735</v>
      </c>
      <c r="K52" s="219">
        <v>5.4426300035459247</v>
      </c>
      <c r="L52" s="219">
        <v>6.017241328414876</v>
      </c>
      <c r="M52" s="219">
        <v>6.5918526532838282</v>
      </c>
      <c r="N52" s="201">
        <v>7.1664639781527786</v>
      </c>
    </row>
    <row r="53" spans="2:14" x14ac:dyDescent="0.3">
      <c r="B53" s="684"/>
      <c r="C53" s="224">
        <v>1</v>
      </c>
      <c r="D53" s="221">
        <v>1.3599706809676939</v>
      </c>
      <c r="E53" s="221">
        <v>1.9101548985440637</v>
      </c>
      <c r="F53" s="221">
        <v>2.4603391161204349</v>
      </c>
      <c r="G53" s="222">
        <v>3.0105233336968049</v>
      </c>
      <c r="H53" s="222">
        <v>3.5607075512731758</v>
      </c>
      <c r="I53" s="222">
        <v>4.1108917688495472</v>
      </c>
      <c r="J53" s="222">
        <v>4.6610759864259164</v>
      </c>
      <c r="K53" s="222">
        <v>5.2112602040022864</v>
      </c>
      <c r="L53" s="222">
        <v>5.7614444215786573</v>
      </c>
      <c r="M53" s="222">
        <v>6.3116286391550291</v>
      </c>
      <c r="N53" s="202">
        <v>6.8618128567313992</v>
      </c>
    </row>
  </sheetData>
  <sheetProtection algorithmName="SHA-512" hashValue="dqd+ettbIsAQzamG7hohEAWj7LYgqtK4GHeDrc5QXa4Nl9dV9iy4G95/67sKKPulFay1zzDhIR6amoURKm9xxg==" saltValue="Jdn/cjq3bnIHWs2UgDdX4Q==" spinCount="100000" sheet="1" objects="1" scenarios="1"/>
  <mergeCells count="10">
    <mergeCell ref="D25:N25"/>
    <mergeCell ref="B27:B37"/>
    <mergeCell ref="D41:N41"/>
    <mergeCell ref="B43:B53"/>
    <mergeCell ref="Q5:R5"/>
    <mergeCell ref="N5:O5"/>
    <mergeCell ref="K5:L5"/>
    <mergeCell ref="B5:C5"/>
    <mergeCell ref="H5:I5"/>
    <mergeCell ref="E5:F5"/>
  </mergeCells>
  <conditionalFormatting sqref="D27:N37">
    <cfRule type="colorScale" priority="2">
      <colorScale>
        <cfvo type="min"/>
        <cfvo type="num" val="1"/>
        <cfvo type="max"/>
        <color rgb="FFF8696B"/>
        <color rgb="FFFFEB84"/>
        <color rgb="FF63BE7B"/>
      </colorScale>
    </cfRule>
  </conditionalFormatting>
  <conditionalFormatting sqref="D43:N53">
    <cfRule type="colorScale" priority="1">
      <colorScale>
        <cfvo type="min"/>
        <cfvo type="num" val="1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CC"/>
  </sheetPr>
  <dimension ref="A1:V38"/>
  <sheetViews>
    <sheetView view="pageBreakPreview" topLeftCell="I1" zoomScale="115" zoomScaleNormal="85" zoomScaleSheetLayoutView="115" workbookViewId="0">
      <selection activeCell="N14" sqref="N14"/>
    </sheetView>
  </sheetViews>
  <sheetFormatPr defaultColWidth="8.88671875" defaultRowHeight="14.4" x14ac:dyDescent="0.3"/>
  <cols>
    <col min="1" max="1" width="9.44140625" customWidth="1"/>
    <col min="2" max="3" width="14.33203125" bestFit="1" customWidth="1"/>
    <col min="4" max="4" width="13.44140625" customWidth="1"/>
    <col min="5" max="5" width="11.109375" customWidth="1"/>
    <col min="6" max="6" width="12" customWidth="1"/>
    <col min="8" max="8" width="12" customWidth="1"/>
    <col min="9" max="9" width="14" customWidth="1"/>
    <col min="10" max="10" width="14.88671875" customWidth="1"/>
    <col min="11" max="12" width="16.5546875" customWidth="1"/>
    <col min="13" max="13" width="13.88671875" customWidth="1"/>
    <col min="14" max="14" width="20.33203125" customWidth="1"/>
    <col min="15" max="15" width="19.6640625" customWidth="1"/>
    <col min="16" max="16" width="13.88671875" customWidth="1"/>
    <col min="17" max="17" width="14.6640625" customWidth="1"/>
    <col min="18" max="18" width="14" customWidth="1"/>
    <col min="19" max="19" width="14.44140625" customWidth="1"/>
    <col min="20" max="21" width="17.33203125" customWidth="1"/>
    <col min="22" max="22" width="15.44140625" customWidth="1"/>
  </cols>
  <sheetData>
    <row r="1" spans="1:22" ht="15.75" customHeight="1" thickBot="1" x14ac:dyDescent="0.35">
      <c r="A1" s="18"/>
      <c r="B1" s="671" t="s">
        <v>44</v>
      </c>
      <c r="C1" s="672"/>
      <c r="D1" s="673"/>
      <c r="E1" s="671" t="s">
        <v>45</v>
      </c>
      <c r="F1" s="672"/>
      <c r="G1" s="672"/>
      <c r="H1" s="672"/>
      <c r="I1" s="672"/>
      <c r="J1" s="672"/>
      <c r="K1" s="672"/>
      <c r="L1" s="672"/>
      <c r="M1" s="672"/>
      <c r="N1" s="672"/>
      <c r="O1" s="672"/>
      <c r="P1" s="673"/>
      <c r="Q1" s="674" t="s">
        <v>46</v>
      </c>
      <c r="R1" s="675"/>
      <c r="S1" s="675"/>
      <c r="T1" s="675"/>
      <c r="U1" s="675"/>
      <c r="V1" s="676"/>
    </row>
    <row r="2" spans="1:22" ht="24" customHeight="1" x14ac:dyDescent="0.3">
      <c r="A2" s="8"/>
      <c r="B2" s="674" t="s">
        <v>47</v>
      </c>
      <c r="C2" s="675"/>
      <c r="D2" s="676"/>
      <c r="E2" s="689" t="s">
        <v>48</v>
      </c>
      <c r="F2" s="690"/>
      <c r="G2" s="691"/>
      <c r="H2" s="692" t="s">
        <v>49</v>
      </c>
      <c r="I2" s="690"/>
      <c r="J2" s="691"/>
      <c r="K2" s="692" t="s">
        <v>50</v>
      </c>
      <c r="L2" s="690"/>
      <c r="M2" s="691"/>
      <c r="N2" s="692" t="s">
        <v>195</v>
      </c>
      <c r="O2" s="690"/>
      <c r="P2" s="693"/>
      <c r="Q2" s="675" t="s">
        <v>17</v>
      </c>
      <c r="R2" s="675"/>
      <c r="S2" s="676"/>
      <c r="T2" s="675" t="s">
        <v>18</v>
      </c>
      <c r="U2" s="675"/>
      <c r="V2" s="676"/>
    </row>
    <row r="3" spans="1:22" ht="18.600000000000001" customHeight="1" thickBot="1" x14ac:dyDescent="0.35">
      <c r="A3" s="19" t="s">
        <v>23</v>
      </c>
      <c r="B3" s="23" t="s">
        <v>233</v>
      </c>
      <c r="C3" s="20" t="s">
        <v>173</v>
      </c>
      <c r="D3" s="24" t="s">
        <v>24</v>
      </c>
      <c r="E3" s="14" t="s">
        <v>233</v>
      </c>
      <c r="F3" s="15" t="s">
        <v>173</v>
      </c>
      <c r="G3" s="22" t="s">
        <v>24</v>
      </c>
      <c r="H3" s="21" t="s">
        <v>233</v>
      </c>
      <c r="I3" s="15" t="s">
        <v>173</v>
      </c>
      <c r="J3" s="22" t="s">
        <v>24</v>
      </c>
      <c r="K3" s="21" t="s">
        <v>233</v>
      </c>
      <c r="L3" s="15" t="s">
        <v>173</v>
      </c>
      <c r="M3" s="22" t="s">
        <v>24</v>
      </c>
      <c r="N3" s="21" t="s">
        <v>233</v>
      </c>
      <c r="O3" s="15" t="s">
        <v>173</v>
      </c>
      <c r="P3" s="16" t="s">
        <v>24</v>
      </c>
      <c r="Q3" s="15" t="s">
        <v>233</v>
      </c>
      <c r="R3" s="15" t="s">
        <v>173</v>
      </c>
      <c r="S3" s="16" t="s">
        <v>24</v>
      </c>
      <c r="T3" s="15" t="s">
        <v>233</v>
      </c>
      <c r="U3" s="15" t="s">
        <v>173</v>
      </c>
      <c r="V3" s="16" t="s">
        <v>24</v>
      </c>
    </row>
    <row r="4" spans="1:22" x14ac:dyDescent="0.3">
      <c r="A4" s="32" t="s">
        <v>25</v>
      </c>
      <c r="B4" s="27">
        <f>'Parametre - Agendové IS'!D115</f>
        <v>0</v>
      </c>
      <c r="C4" s="27">
        <f>'Parametre - Agendové IS'!E115</f>
        <v>0</v>
      </c>
      <c r="D4" s="29">
        <f>IF(ISERR(C4-B4),"-",C4-B4)</f>
        <v>0</v>
      </c>
      <c r="E4" s="345"/>
      <c r="F4" s="346"/>
      <c r="G4" s="34">
        <f t="shared" ref="G4:G13" si="0">IF(ISERR(F4-E4),"-",F4-E4)</f>
        <v>0</v>
      </c>
      <c r="H4" s="30">
        <v>0</v>
      </c>
      <c r="I4" s="26">
        <f>'Parametre - Agendové IS'!E95</f>
        <v>0</v>
      </c>
      <c r="J4" s="34">
        <f>IF(ISERR(I4-H4),"-",I4-H4)</f>
        <v>0</v>
      </c>
      <c r="K4" s="27">
        <f>'Parametre - Agendové IS'!D125</f>
        <v>0</v>
      </c>
      <c r="L4" s="27">
        <f>'Parametre - Agendové IS'!E125</f>
        <v>0</v>
      </c>
      <c r="M4" s="29">
        <f>IF(ISERR(L4-K4),"-",L4-K4)</f>
        <v>0</v>
      </c>
      <c r="N4" s="26">
        <f>-'Parametre - Agendové IS'!D75</f>
        <v>-11880948.045506636</v>
      </c>
      <c r="O4" s="26">
        <f>-'Parametre - Agendové IS'!E75</f>
        <v>-11880948.045506636</v>
      </c>
      <c r="P4" s="34">
        <f t="shared" ref="P4:P13" si="1">IF(ISERR(O4-N4),"-",O4-N4)</f>
        <v>0</v>
      </c>
      <c r="Q4" s="27">
        <f>SUM(B4,E4)</f>
        <v>0</v>
      </c>
      <c r="R4" s="26">
        <f t="shared" ref="R4:R13" si="2">SUM(C4,F4)</f>
        <v>0</v>
      </c>
      <c r="S4" s="29">
        <f>R4-Q4</f>
        <v>0</v>
      </c>
      <c r="T4" s="27">
        <f>SUM(H4,K4,N4)</f>
        <v>-11880948.045506636</v>
      </c>
      <c r="U4" s="26">
        <f>SUM(I4,L4,O4)</f>
        <v>-11880948.045506636</v>
      </c>
      <c r="V4" s="29">
        <f>U4-T4</f>
        <v>0</v>
      </c>
    </row>
    <row r="5" spans="1:22" x14ac:dyDescent="0.3">
      <c r="A5" s="33" t="s">
        <v>26</v>
      </c>
      <c r="B5" s="27">
        <f>'Parametre - Agendové IS'!D116</f>
        <v>0</v>
      </c>
      <c r="C5" s="27">
        <f>'Parametre - Agendové IS'!E116</f>
        <v>0</v>
      </c>
      <c r="D5" s="29">
        <f t="shared" ref="D5:D13" si="3">IF(ISERR(C5-B5),"-",C5-B5)</f>
        <v>0</v>
      </c>
      <c r="E5" s="345"/>
      <c r="F5" s="346"/>
      <c r="G5" s="29">
        <f t="shared" si="0"/>
        <v>0</v>
      </c>
      <c r="H5" s="30">
        <v>0</v>
      </c>
      <c r="I5" s="26">
        <f>'Parametre - Agendové IS'!E96</f>
        <v>0</v>
      </c>
      <c r="J5" s="145">
        <f>IF(ISERR(I5-H5),"-",I5-H5)</f>
        <v>0</v>
      </c>
      <c r="K5" s="27">
        <f>'Parametre - Agendové IS'!D126</f>
        <v>0</v>
      </c>
      <c r="L5" s="27">
        <f>'Parametre - Agendové IS'!E126</f>
        <v>0</v>
      </c>
      <c r="M5" s="29">
        <f t="shared" ref="M5:M13" si="4">IF(ISERR(L5-K5),"-",L5-K5)</f>
        <v>0</v>
      </c>
      <c r="N5" s="26">
        <f>-'Parametre - Agendové IS'!D76</f>
        <v>-11880948.045506636</v>
      </c>
      <c r="O5" s="26">
        <f>-'Parametre - Agendové IS'!E76</f>
        <v>-11880948.045506636</v>
      </c>
      <c r="P5" s="29">
        <f t="shared" si="1"/>
        <v>0</v>
      </c>
      <c r="Q5" s="27">
        <f t="shared" ref="Q5:Q13" si="5">SUM(B5,E5)</f>
        <v>0</v>
      </c>
      <c r="R5" s="26">
        <f t="shared" si="2"/>
        <v>0</v>
      </c>
      <c r="S5" s="29">
        <f t="shared" ref="S5:S12" si="6">R5-Q5</f>
        <v>0</v>
      </c>
      <c r="T5" s="27">
        <f t="shared" ref="T5:U13" si="7">SUM(H5,K5,N5)</f>
        <v>-11880948.045506636</v>
      </c>
      <c r="U5" s="26">
        <f t="shared" si="7"/>
        <v>-11880948.045506636</v>
      </c>
      <c r="V5" s="29">
        <f t="shared" ref="V5:V13" si="8">U5-T5</f>
        <v>0</v>
      </c>
    </row>
    <row r="6" spans="1:22" x14ac:dyDescent="0.3">
      <c r="A6" s="33" t="s">
        <v>27</v>
      </c>
      <c r="B6" s="27">
        <f>'Parametre - Agendové IS'!D117</f>
        <v>0</v>
      </c>
      <c r="C6" s="27">
        <f>'Parametre - Agendové IS'!E117</f>
        <v>0</v>
      </c>
      <c r="D6" s="29">
        <f t="shared" si="3"/>
        <v>0</v>
      </c>
      <c r="E6" s="345"/>
      <c r="F6" s="346"/>
      <c r="G6" s="29">
        <f t="shared" si="0"/>
        <v>0</v>
      </c>
      <c r="H6" s="30">
        <v>0</v>
      </c>
      <c r="I6" s="26">
        <f>'Parametre - Agendové IS'!E97</f>
        <v>1234486.99</v>
      </c>
      <c r="J6" s="29">
        <f t="shared" ref="J6:J13" si="9">IF(ISERR(I6-H6),"-",I6-H6)</f>
        <v>1234486.99</v>
      </c>
      <c r="K6" s="27">
        <f>'Parametre - Agendové IS'!D127</f>
        <v>0</v>
      </c>
      <c r="L6" s="27">
        <f>'Parametre - Agendové IS'!E127</f>
        <v>0</v>
      </c>
      <c r="M6" s="29">
        <f t="shared" si="4"/>
        <v>0</v>
      </c>
      <c r="N6" s="26">
        <f>-'Parametre - Agendové IS'!D77</f>
        <v>-11880948.045506636</v>
      </c>
      <c r="O6" s="26">
        <f>-'Parametre - Agendové IS'!E77</f>
        <v>-9891493.7453202941</v>
      </c>
      <c r="P6" s="29">
        <f t="shared" si="1"/>
        <v>1989454.3001863416</v>
      </c>
      <c r="Q6" s="27">
        <f t="shared" si="5"/>
        <v>0</v>
      </c>
      <c r="R6" s="26">
        <f t="shared" si="2"/>
        <v>0</v>
      </c>
      <c r="S6" s="29">
        <f t="shared" si="6"/>
        <v>0</v>
      </c>
      <c r="T6" s="27">
        <f t="shared" si="7"/>
        <v>-11880948.045506636</v>
      </c>
      <c r="U6" s="26">
        <f t="shared" si="7"/>
        <v>-8657006.7553202938</v>
      </c>
      <c r="V6" s="29">
        <f t="shared" si="8"/>
        <v>3223941.2901863419</v>
      </c>
    </row>
    <row r="7" spans="1:22" x14ac:dyDescent="0.3">
      <c r="A7" s="33" t="s">
        <v>28</v>
      </c>
      <c r="B7" s="27">
        <f>'Parametre - Agendové IS'!D118</f>
        <v>0</v>
      </c>
      <c r="C7" s="27">
        <f>'Parametre - Agendové IS'!E118</f>
        <v>0</v>
      </c>
      <c r="D7" s="29">
        <f t="shared" si="3"/>
        <v>0</v>
      </c>
      <c r="E7" s="345"/>
      <c r="F7" s="346"/>
      <c r="G7" s="29">
        <f t="shared" si="0"/>
        <v>0</v>
      </c>
      <c r="H7" s="30">
        <v>0</v>
      </c>
      <c r="I7" s="26">
        <f>'Parametre - Agendové IS'!E98</f>
        <v>1234486.99</v>
      </c>
      <c r="J7" s="29">
        <f t="shared" si="9"/>
        <v>1234486.99</v>
      </c>
      <c r="K7" s="27">
        <f>'Parametre - Agendové IS'!D128</f>
        <v>0</v>
      </c>
      <c r="L7" s="27">
        <f>'Parametre - Agendové IS'!E128</f>
        <v>0</v>
      </c>
      <c r="M7" s="29">
        <f t="shared" si="4"/>
        <v>0</v>
      </c>
      <c r="N7" s="26">
        <f>-'Parametre - Agendové IS'!D78</f>
        <v>-11880948.045506636</v>
      </c>
      <c r="O7" s="26">
        <f>-'Parametre - Agendové IS'!E78</f>
        <v>-9891493.7453202941</v>
      </c>
      <c r="P7" s="29">
        <f t="shared" si="1"/>
        <v>1989454.3001863416</v>
      </c>
      <c r="Q7" s="27">
        <f t="shared" si="5"/>
        <v>0</v>
      </c>
      <c r="R7" s="26">
        <f t="shared" si="2"/>
        <v>0</v>
      </c>
      <c r="S7" s="29">
        <f t="shared" si="6"/>
        <v>0</v>
      </c>
      <c r="T7" s="27">
        <f t="shared" si="7"/>
        <v>-11880948.045506636</v>
      </c>
      <c r="U7" s="26">
        <f t="shared" si="7"/>
        <v>-8657006.7553202938</v>
      </c>
      <c r="V7" s="29">
        <f t="shared" si="8"/>
        <v>3223941.2901863419</v>
      </c>
    </row>
    <row r="8" spans="1:22" x14ac:dyDescent="0.3">
      <c r="A8" s="33" t="s">
        <v>29</v>
      </c>
      <c r="B8" s="27">
        <f>'Parametre - Agendové IS'!D119</f>
        <v>0</v>
      </c>
      <c r="C8" s="27">
        <f>'Parametre - Agendové IS'!E119</f>
        <v>0</v>
      </c>
      <c r="D8" s="29">
        <f t="shared" si="3"/>
        <v>0</v>
      </c>
      <c r="E8" s="345"/>
      <c r="F8" s="346"/>
      <c r="G8" s="29">
        <f t="shared" si="0"/>
        <v>0</v>
      </c>
      <c r="H8" s="30">
        <v>0</v>
      </c>
      <c r="I8" s="26">
        <f>'Parametre - Agendové IS'!E99</f>
        <v>1234486.99</v>
      </c>
      <c r="J8" s="29">
        <f t="shared" si="9"/>
        <v>1234486.99</v>
      </c>
      <c r="K8" s="27">
        <f>'Parametre - Agendové IS'!D129</f>
        <v>0</v>
      </c>
      <c r="L8" s="27">
        <f>'Parametre - Agendové IS'!E129</f>
        <v>0</v>
      </c>
      <c r="M8" s="29">
        <f t="shared" si="4"/>
        <v>0</v>
      </c>
      <c r="N8" s="26">
        <f>-'Parametre - Agendové IS'!D79</f>
        <v>-11880948.045506636</v>
      </c>
      <c r="O8" s="26">
        <f>-'Parametre - Agendové IS'!E79</f>
        <v>-9891493.7453202941</v>
      </c>
      <c r="P8" s="29">
        <f t="shared" si="1"/>
        <v>1989454.3001863416</v>
      </c>
      <c r="Q8" s="27">
        <f t="shared" si="5"/>
        <v>0</v>
      </c>
      <c r="R8" s="26">
        <f t="shared" si="2"/>
        <v>0</v>
      </c>
      <c r="S8" s="29">
        <f t="shared" si="6"/>
        <v>0</v>
      </c>
      <c r="T8" s="27">
        <f t="shared" si="7"/>
        <v>-11880948.045506636</v>
      </c>
      <c r="U8" s="26">
        <f t="shared" si="7"/>
        <v>-8657006.7553202938</v>
      </c>
      <c r="V8" s="29">
        <f t="shared" si="8"/>
        <v>3223941.2901863419</v>
      </c>
    </row>
    <row r="9" spans="1:22" x14ac:dyDescent="0.3">
      <c r="A9" s="33" t="s">
        <v>30</v>
      </c>
      <c r="B9" s="27">
        <f>'Parametre - Agendové IS'!D120</f>
        <v>0</v>
      </c>
      <c r="C9" s="27">
        <f>'Parametre - Agendové IS'!E120</f>
        <v>0</v>
      </c>
      <c r="D9" s="29">
        <f t="shared" si="3"/>
        <v>0</v>
      </c>
      <c r="E9" s="345"/>
      <c r="F9" s="346"/>
      <c r="G9" s="29">
        <f t="shared" si="0"/>
        <v>0</v>
      </c>
      <c r="H9" s="30">
        <v>0</v>
      </c>
      <c r="I9" s="26">
        <f>'Parametre - Agendové IS'!E100</f>
        <v>1234486.99</v>
      </c>
      <c r="J9" s="29">
        <f t="shared" si="9"/>
        <v>1234486.99</v>
      </c>
      <c r="K9" s="27">
        <f>'Parametre - Agendové IS'!D130</f>
        <v>0</v>
      </c>
      <c r="L9" s="27">
        <f>'Parametre - Agendové IS'!E130</f>
        <v>0</v>
      </c>
      <c r="M9" s="29">
        <f t="shared" si="4"/>
        <v>0</v>
      </c>
      <c r="N9" s="26">
        <f>-'Parametre - Agendové IS'!D80</f>
        <v>-11880948.045506636</v>
      </c>
      <c r="O9" s="26">
        <f>-'Parametre - Agendové IS'!E80</f>
        <v>-9891493.7453202941</v>
      </c>
      <c r="P9" s="29">
        <f t="shared" si="1"/>
        <v>1989454.3001863416</v>
      </c>
      <c r="Q9" s="27">
        <f t="shared" si="5"/>
        <v>0</v>
      </c>
      <c r="R9" s="26">
        <f t="shared" si="2"/>
        <v>0</v>
      </c>
      <c r="S9" s="29">
        <f t="shared" si="6"/>
        <v>0</v>
      </c>
      <c r="T9" s="27">
        <f t="shared" si="7"/>
        <v>-11880948.045506636</v>
      </c>
      <c r="U9" s="26">
        <f t="shared" si="7"/>
        <v>-8657006.7553202938</v>
      </c>
      <c r="V9" s="29">
        <f t="shared" si="8"/>
        <v>3223941.2901863419</v>
      </c>
    </row>
    <row r="10" spans="1:22" x14ac:dyDescent="0.3">
      <c r="A10" s="33" t="s">
        <v>31</v>
      </c>
      <c r="B10" s="27">
        <f>'Parametre - Agendové IS'!D121</f>
        <v>0</v>
      </c>
      <c r="C10" s="27">
        <f>'Parametre - Agendové IS'!E121</f>
        <v>0</v>
      </c>
      <c r="D10" s="29">
        <f t="shared" si="3"/>
        <v>0</v>
      </c>
      <c r="E10" s="345"/>
      <c r="F10" s="346"/>
      <c r="G10" s="29">
        <f t="shared" si="0"/>
        <v>0</v>
      </c>
      <c r="H10" s="30">
        <v>0</v>
      </c>
      <c r="I10" s="26">
        <f>'Parametre - Agendové IS'!E101</f>
        <v>1234486.99</v>
      </c>
      <c r="J10" s="29">
        <f t="shared" si="9"/>
        <v>1234486.99</v>
      </c>
      <c r="K10" s="27">
        <f>'Parametre - Agendové IS'!D131</f>
        <v>0</v>
      </c>
      <c r="L10" s="27">
        <f>'Parametre - Agendové IS'!E131</f>
        <v>0</v>
      </c>
      <c r="M10" s="29">
        <f t="shared" si="4"/>
        <v>0</v>
      </c>
      <c r="N10" s="26">
        <f>-'Parametre - Agendové IS'!D81</f>
        <v>-11880948.045506636</v>
      </c>
      <c r="O10" s="26">
        <f>-'Parametre - Agendové IS'!E81</f>
        <v>-9891493.7453202941</v>
      </c>
      <c r="P10" s="29">
        <f t="shared" si="1"/>
        <v>1989454.3001863416</v>
      </c>
      <c r="Q10" s="27">
        <f t="shared" si="5"/>
        <v>0</v>
      </c>
      <c r="R10" s="26">
        <f t="shared" si="2"/>
        <v>0</v>
      </c>
      <c r="S10" s="29">
        <f t="shared" si="6"/>
        <v>0</v>
      </c>
      <c r="T10" s="27">
        <f t="shared" si="7"/>
        <v>-11880948.045506636</v>
      </c>
      <c r="U10" s="26">
        <f t="shared" si="7"/>
        <v>-8657006.7553202938</v>
      </c>
      <c r="V10" s="29">
        <f t="shared" si="8"/>
        <v>3223941.2901863419</v>
      </c>
    </row>
    <row r="11" spans="1:22" x14ac:dyDescent="0.3">
      <c r="A11" s="33" t="s">
        <v>32</v>
      </c>
      <c r="B11" s="27">
        <f>'Parametre - Agendové IS'!D122</f>
        <v>0</v>
      </c>
      <c r="C11" s="27">
        <f>'Parametre - Agendové IS'!E122</f>
        <v>0</v>
      </c>
      <c r="D11" s="29">
        <f t="shared" si="3"/>
        <v>0</v>
      </c>
      <c r="E11" s="345"/>
      <c r="F11" s="346"/>
      <c r="G11" s="29">
        <f t="shared" si="0"/>
        <v>0</v>
      </c>
      <c r="H11" s="30">
        <v>0</v>
      </c>
      <c r="I11" s="26">
        <f>'Parametre - Agendové IS'!E102</f>
        <v>1234486.99</v>
      </c>
      <c r="J11" s="29">
        <f t="shared" si="9"/>
        <v>1234486.99</v>
      </c>
      <c r="K11" s="27">
        <f>'Parametre - Agendové IS'!D132</f>
        <v>0</v>
      </c>
      <c r="L11" s="27">
        <f>'Parametre - Agendové IS'!E132</f>
        <v>0</v>
      </c>
      <c r="M11" s="29">
        <f t="shared" si="4"/>
        <v>0</v>
      </c>
      <c r="N11" s="26">
        <f>-'Parametre - Agendové IS'!D82</f>
        <v>-11880948.045506636</v>
      </c>
      <c r="O11" s="26">
        <f>-'Parametre - Agendové IS'!E82</f>
        <v>-9891493.7453202941</v>
      </c>
      <c r="P11" s="29">
        <f t="shared" si="1"/>
        <v>1989454.3001863416</v>
      </c>
      <c r="Q11" s="27">
        <f t="shared" si="5"/>
        <v>0</v>
      </c>
      <c r="R11" s="26">
        <f t="shared" si="2"/>
        <v>0</v>
      </c>
      <c r="S11" s="29">
        <f t="shared" si="6"/>
        <v>0</v>
      </c>
      <c r="T11" s="27">
        <f t="shared" si="7"/>
        <v>-11880948.045506636</v>
      </c>
      <c r="U11" s="26">
        <f t="shared" si="7"/>
        <v>-8657006.7553202938</v>
      </c>
      <c r="V11" s="29">
        <f t="shared" si="8"/>
        <v>3223941.2901863419</v>
      </c>
    </row>
    <row r="12" spans="1:22" x14ac:dyDescent="0.3">
      <c r="A12" s="33" t="s">
        <v>33</v>
      </c>
      <c r="B12" s="27">
        <f>'Parametre - Agendové IS'!D123</f>
        <v>0</v>
      </c>
      <c r="C12" s="27">
        <f>'Parametre - Agendové IS'!E123</f>
        <v>0</v>
      </c>
      <c r="D12" s="29">
        <f t="shared" si="3"/>
        <v>0</v>
      </c>
      <c r="E12" s="345"/>
      <c r="F12" s="346"/>
      <c r="G12" s="29">
        <f t="shared" si="0"/>
        <v>0</v>
      </c>
      <c r="H12" s="30">
        <v>0</v>
      </c>
      <c r="I12" s="26">
        <f>'Parametre - Agendové IS'!E103</f>
        <v>1234486.99</v>
      </c>
      <c r="J12" s="29">
        <f t="shared" si="9"/>
        <v>1234486.99</v>
      </c>
      <c r="K12" s="27">
        <f>'Parametre - Agendové IS'!D133</f>
        <v>0</v>
      </c>
      <c r="L12" s="27">
        <f>'Parametre - Agendové IS'!E133</f>
        <v>0</v>
      </c>
      <c r="M12" s="29">
        <f t="shared" si="4"/>
        <v>0</v>
      </c>
      <c r="N12" s="26">
        <f>-'Parametre - Agendové IS'!D83</f>
        <v>-11880948.045506636</v>
      </c>
      <c r="O12" s="26">
        <f>-'Parametre - Agendové IS'!E83</f>
        <v>-9891493.7453202941</v>
      </c>
      <c r="P12" s="29">
        <f t="shared" si="1"/>
        <v>1989454.3001863416</v>
      </c>
      <c r="Q12" s="27">
        <f t="shared" si="5"/>
        <v>0</v>
      </c>
      <c r="R12" s="26">
        <f t="shared" si="2"/>
        <v>0</v>
      </c>
      <c r="S12" s="29">
        <f t="shared" si="6"/>
        <v>0</v>
      </c>
      <c r="T12" s="27">
        <f t="shared" si="7"/>
        <v>-11880948.045506636</v>
      </c>
      <c r="U12" s="26">
        <f t="shared" si="7"/>
        <v>-8657006.7553202938</v>
      </c>
      <c r="V12" s="29">
        <f t="shared" si="8"/>
        <v>3223941.2901863419</v>
      </c>
    </row>
    <row r="13" spans="1:22" ht="15.6" customHeight="1" thickBot="1" x14ac:dyDescent="0.35">
      <c r="A13" s="33" t="s">
        <v>34</v>
      </c>
      <c r="B13" s="47">
        <f>'Parametre - Agendové IS'!D124</f>
        <v>0</v>
      </c>
      <c r="C13" s="47">
        <f>'Parametre - Agendové IS'!E124</f>
        <v>0</v>
      </c>
      <c r="D13" s="154">
        <f t="shared" si="3"/>
        <v>0</v>
      </c>
      <c r="E13" s="347"/>
      <c r="F13" s="348"/>
      <c r="G13" s="154">
        <f t="shared" si="0"/>
        <v>0</v>
      </c>
      <c r="H13" s="30">
        <v>0</v>
      </c>
      <c r="I13" s="43">
        <f>'Parametre - Agendové IS'!E104</f>
        <v>1234486.99</v>
      </c>
      <c r="J13" s="154">
        <f t="shared" si="9"/>
        <v>1234486.99</v>
      </c>
      <c r="K13" s="47">
        <f>'Parametre - Agendové IS'!D134</f>
        <v>0</v>
      </c>
      <c r="L13" s="47">
        <f>'Parametre - Agendové IS'!E134</f>
        <v>0</v>
      </c>
      <c r="M13" s="154">
        <f t="shared" si="4"/>
        <v>0</v>
      </c>
      <c r="N13" s="43">
        <f>-'Parametre - Agendové IS'!D84</f>
        <v>-11880948.045506636</v>
      </c>
      <c r="O13" s="43">
        <f>-'Parametre - Agendové IS'!E84</f>
        <v>-9891493.7453202941</v>
      </c>
      <c r="P13" s="43">
        <f t="shared" si="1"/>
        <v>1989454.3001863416</v>
      </c>
      <c r="Q13" s="157">
        <f t="shared" si="5"/>
        <v>0</v>
      </c>
      <c r="R13" s="43">
        <f t="shared" si="2"/>
        <v>0</v>
      </c>
      <c r="S13" s="154">
        <f>R13-Q13</f>
        <v>0</v>
      </c>
      <c r="T13" s="47">
        <f t="shared" si="7"/>
        <v>-11880948.045506636</v>
      </c>
      <c r="U13" s="43">
        <f t="shared" si="7"/>
        <v>-8657006.7553202938</v>
      </c>
      <c r="V13" s="154">
        <f t="shared" si="8"/>
        <v>3223941.2901863419</v>
      </c>
    </row>
    <row r="14" spans="1:22" x14ac:dyDescent="0.3">
      <c r="A14" s="158" t="s">
        <v>109</v>
      </c>
      <c r="B14" s="535">
        <f>SUM(B4:B13)</f>
        <v>0</v>
      </c>
      <c r="C14" s="535">
        <f t="shared" ref="C14:P14" si="10">SUM(C4:C13)</f>
        <v>0</v>
      </c>
      <c r="D14" s="536">
        <f t="shared" si="10"/>
        <v>0</v>
      </c>
      <c r="E14" s="535">
        <f t="shared" si="10"/>
        <v>0</v>
      </c>
      <c r="F14" s="537">
        <f t="shared" si="10"/>
        <v>0</v>
      </c>
      <c r="G14" s="536">
        <f t="shared" si="10"/>
        <v>0</v>
      </c>
      <c r="H14" s="535">
        <f t="shared" si="10"/>
        <v>0</v>
      </c>
      <c r="I14" s="537">
        <f t="shared" si="10"/>
        <v>9875895.9199999999</v>
      </c>
      <c r="J14" s="536">
        <f t="shared" si="10"/>
        <v>9875895.9199999999</v>
      </c>
      <c r="K14" s="535">
        <f t="shared" si="10"/>
        <v>0</v>
      </c>
      <c r="L14" s="535">
        <f t="shared" si="10"/>
        <v>0</v>
      </c>
      <c r="M14" s="536">
        <f t="shared" si="10"/>
        <v>0</v>
      </c>
      <c r="N14" s="537">
        <f t="shared" si="10"/>
        <v>-118809480.45506638</v>
      </c>
      <c r="O14" s="537">
        <f t="shared" si="10"/>
        <v>-102893846.05357561</v>
      </c>
      <c r="P14" s="538">
        <f t="shared" si="10"/>
        <v>15915634.401490733</v>
      </c>
      <c r="Q14" s="539">
        <f t="shared" ref="Q14:V14" si="11">SUM(Q4:Q13)</f>
        <v>0</v>
      </c>
      <c r="R14" s="537">
        <f t="shared" si="11"/>
        <v>0</v>
      </c>
      <c r="S14" s="540">
        <f t="shared" si="11"/>
        <v>0</v>
      </c>
      <c r="T14" s="539">
        <f t="shared" si="11"/>
        <v>-118809480.45506638</v>
      </c>
      <c r="U14" s="537">
        <f t="shared" si="11"/>
        <v>-93017950.133575633</v>
      </c>
      <c r="V14" s="541">
        <f t="shared" si="11"/>
        <v>25791530.321490735</v>
      </c>
    </row>
    <row r="15" spans="1:22" ht="15" thickBot="1" x14ac:dyDescent="0.35">
      <c r="A15" s="159" t="s">
        <v>163</v>
      </c>
      <c r="B15" s="542"/>
      <c r="C15" s="542"/>
      <c r="D15" s="543">
        <f>D4+NPV(Faktory!$D$5,'Prínosy - Agendové IS'!D5:D13)</f>
        <v>0</v>
      </c>
      <c r="E15" s="544"/>
      <c r="F15" s="545"/>
      <c r="G15" s="543">
        <f>G4+NPV(Faktory!$D$3,'Prínosy - Agendové IS'!G5:G13)</f>
        <v>0</v>
      </c>
      <c r="H15" s="544"/>
      <c r="I15" s="545"/>
      <c r="J15" s="543">
        <f>J4+NPV(Faktory!$D$5,'Prínosy - Agendové IS'!J5:J13)</f>
        <v>7598811.4905844862</v>
      </c>
      <c r="K15" s="542"/>
      <c r="L15" s="542"/>
      <c r="M15" s="543">
        <f>M4+NPV(Faktory!$D$5,'Prínosy - Agendové IS'!M5:M13)</f>
        <v>0</v>
      </c>
      <c r="N15" s="545"/>
      <c r="O15" s="545"/>
      <c r="P15" s="546">
        <f>P4+NPV(Faktory!$D$5,'Prínosy - Agendové IS'!P5:P13)</f>
        <v>12245968.016437899</v>
      </c>
      <c r="Q15" s="547"/>
      <c r="R15" s="545"/>
      <c r="S15" s="543">
        <f>S4+NPV(Faktory!$D$5,'Prínosy - Agendové IS'!S5:S13)</f>
        <v>0</v>
      </c>
      <c r="T15" s="547"/>
      <c r="U15" s="545"/>
      <c r="V15" s="543">
        <f>V4+NPV(Faktory!$D$5,'Prínosy - Agendové IS'!V5:V13)</f>
        <v>19844779.507022388</v>
      </c>
    </row>
    <row r="17" spans="2:2" x14ac:dyDescent="0.3">
      <c r="B17" s="103" t="s">
        <v>176</v>
      </c>
    </row>
    <row r="38" spans="15:15" x14ac:dyDescent="0.3">
      <c r="O38" s="156"/>
    </row>
  </sheetData>
  <protectedRanges>
    <protectedRange algorithmName="SHA-512" hashValue="f4ycvS5NMakRYlpexdvZE7kc5B00PVZgCpNS64jzUJaJceYSE+aleudxwPGxr22CZo/5IZ2uTHVQQMolnN60/A==" saltValue="c0KVc6r/LTYq/uhy9236YA==" spinCount="100000" sqref="E2:G15" name="Rozsah1"/>
  </protectedRanges>
  <mergeCells count="10">
    <mergeCell ref="B1:D1"/>
    <mergeCell ref="Q1:V1"/>
    <mergeCell ref="B2:D2"/>
    <mergeCell ref="E2:G2"/>
    <mergeCell ref="H2:J2"/>
    <mergeCell ref="K2:M2"/>
    <mergeCell ref="Q2:S2"/>
    <mergeCell ref="T2:V2"/>
    <mergeCell ref="N2:P2"/>
    <mergeCell ref="E1:P1"/>
  </mergeCells>
  <pageMargins left="0.7" right="0.7" top="0.75" bottom="0.75" header="0.3" footer="0.3"/>
  <pageSetup paperSize="9" scale="2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2"/>
  <sheetViews>
    <sheetView view="pageBreakPreview" zoomScaleNormal="80" zoomScaleSheetLayoutView="100" workbookViewId="0">
      <selection activeCell="H4" sqref="H4"/>
    </sheetView>
  </sheetViews>
  <sheetFormatPr defaultColWidth="8.88671875" defaultRowHeight="14.4" x14ac:dyDescent="0.3"/>
  <cols>
    <col min="2" max="2" width="14.33203125" customWidth="1"/>
    <col min="3" max="3" width="15.88671875" bestFit="1" customWidth="1"/>
    <col min="4" max="4" width="16.6640625" bestFit="1" customWidth="1"/>
    <col min="5" max="6" width="13.44140625" bestFit="1" customWidth="1"/>
    <col min="7" max="7" width="16.6640625" bestFit="1" customWidth="1"/>
    <col min="8" max="8" width="14.44140625" bestFit="1" customWidth="1"/>
    <col min="9" max="9" width="13.44140625" bestFit="1" customWidth="1"/>
    <col min="10" max="10" width="16.6640625" bestFit="1" customWidth="1"/>
    <col min="11" max="16" width="16.6640625" customWidth="1"/>
    <col min="17" max="17" width="13.44140625" bestFit="1" customWidth="1"/>
    <col min="18" max="18" width="15.88671875" bestFit="1" customWidth="1"/>
    <col min="19" max="19" width="15.33203125" customWidth="1"/>
    <col min="20" max="21" width="17" bestFit="1" customWidth="1"/>
    <col min="22" max="22" width="14.33203125" bestFit="1" customWidth="1"/>
  </cols>
  <sheetData>
    <row r="1" spans="1:23" ht="15.75" customHeight="1" thickBot="1" x14ac:dyDescent="0.35">
      <c r="A1" s="37"/>
      <c r="B1" s="695" t="s">
        <v>189</v>
      </c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7"/>
      <c r="N1" s="695" t="s">
        <v>325</v>
      </c>
      <c r="O1" s="696"/>
      <c r="P1" s="697"/>
      <c r="Q1" s="694" t="s">
        <v>71</v>
      </c>
      <c r="R1" s="694"/>
      <c r="S1" s="694"/>
      <c r="T1" s="671" t="s">
        <v>72</v>
      </c>
      <c r="U1" s="672"/>
      <c r="V1" s="673"/>
    </row>
    <row r="2" spans="1:23" ht="15.75" customHeight="1" thickBot="1" x14ac:dyDescent="0.35">
      <c r="A2" s="8"/>
      <c r="B2" s="672" t="s">
        <v>68</v>
      </c>
      <c r="C2" s="672"/>
      <c r="D2" s="673"/>
      <c r="E2" s="672" t="s">
        <v>69</v>
      </c>
      <c r="F2" s="672"/>
      <c r="G2" s="673"/>
      <c r="H2" s="672" t="s">
        <v>111</v>
      </c>
      <c r="I2" s="672"/>
      <c r="J2" s="673"/>
      <c r="K2" s="672" t="s">
        <v>358</v>
      </c>
      <c r="L2" s="672"/>
      <c r="M2" s="673"/>
      <c r="N2" s="672"/>
      <c r="O2" s="672"/>
      <c r="P2" s="673"/>
      <c r="Q2" s="672" t="s">
        <v>70</v>
      </c>
      <c r="R2" s="672"/>
      <c r="S2" s="673"/>
      <c r="T2" s="8"/>
      <c r="U2" s="8"/>
      <c r="V2" s="38"/>
    </row>
    <row r="3" spans="1:23" ht="19.350000000000001" customHeight="1" thickBot="1" x14ac:dyDescent="0.35">
      <c r="A3" s="40" t="s">
        <v>23</v>
      </c>
      <c r="B3" s="41" t="s">
        <v>233</v>
      </c>
      <c r="C3" s="41" t="s">
        <v>173</v>
      </c>
      <c r="D3" s="42" t="s">
        <v>24</v>
      </c>
      <c r="E3" s="41" t="s">
        <v>233</v>
      </c>
      <c r="F3" s="41" t="s">
        <v>173</v>
      </c>
      <c r="G3" s="42" t="s">
        <v>24</v>
      </c>
      <c r="H3" s="41" t="s">
        <v>233</v>
      </c>
      <c r="I3" s="41" t="s">
        <v>173</v>
      </c>
      <c r="J3" s="42" t="s">
        <v>24</v>
      </c>
      <c r="K3" s="41" t="s">
        <v>233</v>
      </c>
      <c r="L3" s="41" t="s">
        <v>173</v>
      </c>
      <c r="M3" s="42" t="s">
        <v>24</v>
      </c>
      <c r="N3" s="41" t="s">
        <v>233</v>
      </c>
      <c r="O3" s="41" t="s">
        <v>173</v>
      </c>
      <c r="P3" s="42" t="s">
        <v>24</v>
      </c>
      <c r="Q3" s="41" t="s">
        <v>233</v>
      </c>
      <c r="R3" s="41" t="s">
        <v>173</v>
      </c>
      <c r="S3" s="42" t="s">
        <v>24</v>
      </c>
      <c r="T3" s="41" t="s">
        <v>233</v>
      </c>
      <c r="U3" s="41" t="s">
        <v>173</v>
      </c>
      <c r="V3" s="42" t="s">
        <v>24</v>
      </c>
    </row>
    <row r="4" spans="1:23" x14ac:dyDescent="0.3">
      <c r="A4" s="25" t="s">
        <v>25</v>
      </c>
      <c r="B4" s="26">
        <f>TCO!D26+TCO!D27</f>
        <v>0</v>
      </c>
      <c r="C4" s="26">
        <f>(TCO!D$12*(1+$W$5))+TCO!D$13</f>
        <v>0</v>
      </c>
      <c r="D4" s="34">
        <f>C4-B4</f>
        <v>0</v>
      </c>
      <c r="E4" s="27">
        <f>TCO!D22+TCO!D23</f>
        <v>0</v>
      </c>
      <c r="F4" s="26">
        <f>(TCO!D$7*(1+$W$5))+TCO!D$8</f>
        <v>0</v>
      </c>
      <c r="G4" s="34">
        <f>F4-E4</f>
        <v>0</v>
      </c>
      <c r="H4" s="26">
        <f>TCO!D24+TCO!D25</f>
        <v>1911360</v>
      </c>
      <c r="I4" s="26">
        <f>(TCO!D$9*(1+$W$5))+TCO!D$10</f>
        <v>3631954.72</v>
      </c>
      <c r="J4" s="34">
        <f>I4-H4</f>
        <v>1720594.7200000002</v>
      </c>
      <c r="K4" s="27">
        <v>0</v>
      </c>
      <c r="L4" s="27">
        <f>TCO!D11</f>
        <v>0</v>
      </c>
      <c r="M4" s="34">
        <f>L4-K4</f>
        <v>0</v>
      </c>
      <c r="N4" s="27">
        <v>0</v>
      </c>
      <c r="O4" s="27">
        <f>TCO!D14</f>
        <v>321198.14349999995</v>
      </c>
      <c r="P4" s="34">
        <f>O4-N4</f>
        <v>321198.14349999995</v>
      </c>
      <c r="Q4" s="27">
        <f>'Parametre - Agendové IS'!D105</f>
        <v>0</v>
      </c>
      <c r="R4" s="27">
        <f>'Parametre - Agendové IS'!E105</f>
        <v>0</v>
      </c>
      <c r="S4" s="34">
        <f t="shared" ref="S4:S13" si="0">IF(ISERR(R4-Q4),"-",R4-Q4)</f>
        <v>0</v>
      </c>
      <c r="T4" s="26">
        <f>SUM(B4,E4,H4,K4,N4,Q4)</f>
        <v>1911360</v>
      </c>
      <c r="U4" s="26">
        <f>((C4+F4+L4+O4+I4)*(1+$W$4))+R4</f>
        <v>3953152.8635</v>
      </c>
      <c r="V4" s="34">
        <f>U4-T4</f>
        <v>2041792.8635</v>
      </c>
      <c r="W4" s="196">
        <f>'Analyza citlivosti - AgendovéIS'!B7</f>
        <v>0</v>
      </c>
    </row>
    <row r="5" spans="1:23" x14ac:dyDescent="0.3">
      <c r="A5" s="25" t="s">
        <v>26</v>
      </c>
      <c r="B5" s="26">
        <f>TCO!E26+TCO!E27</f>
        <v>0</v>
      </c>
      <c r="C5" s="26">
        <f>(TCO!E$12*(1+$W$5))+TCO!E$13</f>
        <v>0</v>
      </c>
      <c r="D5" s="29">
        <f t="shared" ref="D5:D13" si="1">C5-B5</f>
        <v>0</v>
      </c>
      <c r="E5" s="27">
        <f>TCO!E22+TCO!E23</f>
        <v>0</v>
      </c>
      <c r="F5" s="26">
        <f>(TCO!E$7*(1+$W$5))+TCO!E$8</f>
        <v>0</v>
      </c>
      <c r="G5" s="29">
        <f t="shared" ref="G5:G13" si="2">F5-E5</f>
        <v>0</v>
      </c>
      <c r="H5" s="26">
        <f>TCO!E24+TCO!E25</f>
        <v>1911360</v>
      </c>
      <c r="I5" s="26">
        <f>(TCO!E$9*(1+$W$5))+TCO!E$10</f>
        <v>7920746.0800000001</v>
      </c>
      <c r="J5" s="29">
        <f t="shared" ref="J5:J13" si="3">I5-H5</f>
        <v>6009386.0800000001</v>
      </c>
      <c r="K5" s="27">
        <v>0</v>
      </c>
      <c r="L5" s="27">
        <f>TCO!E11</f>
        <v>0</v>
      </c>
      <c r="M5" s="29">
        <f t="shared" ref="M5:M13" si="4">L5-K5</f>
        <v>0</v>
      </c>
      <c r="N5" s="27">
        <v>0</v>
      </c>
      <c r="O5" s="27">
        <f>TCO!E14</f>
        <v>172952.84649999999</v>
      </c>
      <c r="P5" s="29">
        <f t="shared" ref="P5:P13" si="5">O5-N5</f>
        <v>172952.84649999999</v>
      </c>
      <c r="Q5" s="27">
        <f>'Parametre - Agendové IS'!D106</f>
        <v>0</v>
      </c>
      <c r="R5" s="27">
        <f>'Parametre - Agendové IS'!E106</f>
        <v>0</v>
      </c>
      <c r="S5" s="29">
        <f t="shared" si="0"/>
        <v>0</v>
      </c>
      <c r="T5" s="26">
        <f t="shared" ref="T5:T13" si="6">SUM(B5,E5,H5,K5,N5,Q5)</f>
        <v>1911360</v>
      </c>
      <c r="U5" s="26">
        <f t="shared" ref="U5:U13" si="7">((C5+F5+L5+O5+I5)*(1+$W$4))+R5</f>
        <v>8093698.9265000001</v>
      </c>
      <c r="V5" s="29">
        <f t="shared" ref="V5:V13" si="8">U5-T5</f>
        <v>6182338.9265000001</v>
      </c>
      <c r="W5" s="196">
        <f>'Analyza citlivosti - AgendovéIS'!E7</f>
        <v>0</v>
      </c>
    </row>
    <row r="6" spans="1:23" x14ac:dyDescent="0.3">
      <c r="A6" s="25" t="s">
        <v>27</v>
      </c>
      <c r="B6" s="26">
        <f>TCO!F26+TCO!F27</f>
        <v>0</v>
      </c>
      <c r="C6" s="26">
        <f>(TCO!F$12*(1+$W$5))+TCO!F$13</f>
        <v>0</v>
      </c>
      <c r="D6" s="29">
        <f t="shared" si="1"/>
        <v>0</v>
      </c>
      <c r="E6" s="27">
        <f>TCO!F22+TCO!F23</f>
        <v>0</v>
      </c>
      <c r="F6" s="26">
        <f>(TCO!F$7*(1+$W$5))+TCO!F$8</f>
        <v>0</v>
      </c>
      <c r="G6" s="29">
        <f t="shared" si="2"/>
        <v>0</v>
      </c>
      <c r="H6" s="26">
        <f>TCO!F24+TCO!F25</f>
        <v>1911360</v>
      </c>
      <c r="I6" s="26">
        <f>(TCO!F$9*(1+$W$5))+TCO!F$10</f>
        <v>2258520</v>
      </c>
      <c r="J6" s="29">
        <f t="shared" si="3"/>
        <v>347160</v>
      </c>
      <c r="K6" s="27">
        <v>0</v>
      </c>
      <c r="L6" s="27">
        <f>TCO!F11</f>
        <v>0</v>
      </c>
      <c r="M6" s="29">
        <f t="shared" si="4"/>
        <v>0</v>
      </c>
      <c r="N6" s="27">
        <v>0</v>
      </c>
      <c r="O6" s="27">
        <f>TCO!F14</f>
        <v>0</v>
      </c>
      <c r="P6" s="29">
        <f t="shared" si="5"/>
        <v>0</v>
      </c>
      <c r="Q6" s="27">
        <f>'Parametre - Agendové IS'!D107</f>
        <v>0</v>
      </c>
      <c r="R6" s="27">
        <f>'Parametre - Agendové IS'!E107</f>
        <v>0</v>
      </c>
      <c r="S6" s="29">
        <f t="shared" si="0"/>
        <v>0</v>
      </c>
      <c r="T6" s="26">
        <f t="shared" si="6"/>
        <v>1911360</v>
      </c>
      <c r="U6" s="26">
        <f t="shared" si="7"/>
        <v>2258520</v>
      </c>
      <c r="V6" s="29">
        <f t="shared" si="8"/>
        <v>347160</v>
      </c>
    </row>
    <row r="7" spans="1:23" x14ac:dyDescent="0.3">
      <c r="A7" s="25" t="s">
        <v>28</v>
      </c>
      <c r="B7" s="26">
        <f>TCO!G26+TCO!G27</f>
        <v>0</v>
      </c>
      <c r="C7" s="26">
        <f>(TCO!G$12*(1+$W$5))+TCO!G$13</f>
        <v>0</v>
      </c>
      <c r="D7" s="29">
        <f t="shared" si="1"/>
        <v>0</v>
      </c>
      <c r="E7" s="27">
        <f>TCO!G22+TCO!G23</f>
        <v>0</v>
      </c>
      <c r="F7" s="26">
        <f>(TCO!G$7*(1+$W$5))+TCO!G$8</f>
        <v>0</v>
      </c>
      <c r="G7" s="29">
        <f t="shared" si="2"/>
        <v>0</v>
      </c>
      <c r="H7" s="26">
        <f>TCO!G24+TCO!G25</f>
        <v>1911360</v>
      </c>
      <c r="I7" s="26">
        <f>(TCO!G$9*(1+$W$5))+TCO!G$10</f>
        <v>2258520</v>
      </c>
      <c r="J7" s="29">
        <f t="shared" si="3"/>
        <v>347160</v>
      </c>
      <c r="K7" s="27">
        <v>0</v>
      </c>
      <c r="L7" s="27">
        <f>TCO!G11</f>
        <v>0</v>
      </c>
      <c r="M7" s="29">
        <f t="shared" si="4"/>
        <v>0</v>
      </c>
      <c r="N7" s="27">
        <v>0</v>
      </c>
      <c r="O7" s="27">
        <f>TCO!G14</f>
        <v>0</v>
      </c>
      <c r="P7" s="29">
        <f t="shared" si="5"/>
        <v>0</v>
      </c>
      <c r="Q7" s="27">
        <f>'Parametre - Agendové IS'!D108</f>
        <v>0</v>
      </c>
      <c r="R7" s="27">
        <f>'Parametre - Agendové IS'!E108</f>
        <v>0</v>
      </c>
      <c r="S7" s="29">
        <f t="shared" si="0"/>
        <v>0</v>
      </c>
      <c r="T7" s="26">
        <f t="shared" si="6"/>
        <v>1911360</v>
      </c>
      <c r="U7" s="26">
        <f t="shared" si="7"/>
        <v>2258520</v>
      </c>
      <c r="V7" s="29">
        <f t="shared" si="8"/>
        <v>347160</v>
      </c>
    </row>
    <row r="8" spans="1:23" x14ac:dyDescent="0.3">
      <c r="A8" s="25" t="s">
        <v>29</v>
      </c>
      <c r="B8" s="26">
        <f>TCO!H26+TCO!H27</f>
        <v>0</v>
      </c>
      <c r="C8" s="26">
        <f>(TCO!H$12*(1+$W$5))+TCO!H$13</f>
        <v>0</v>
      </c>
      <c r="D8" s="29">
        <f t="shared" si="1"/>
        <v>0</v>
      </c>
      <c r="E8" s="27">
        <f>TCO!H22+TCO!H23</f>
        <v>0</v>
      </c>
      <c r="F8" s="26">
        <f>(TCO!H$7*(1+$W$5))+TCO!H$8</f>
        <v>0</v>
      </c>
      <c r="G8" s="29">
        <f t="shared" si="2"/>
        <v>0</v>
      </c>
      <c r="H8" s="26">
        <f>TCO!H24+TCO!H25</f>
        <v>1911360</v>
      </c>
      <c r="I8" s="26">
        <f>(TCO!H$9*(1+$W$5))+TCO!H$10</f>
        <v>2258520</v>
      </c>
      <c r="J8" s="29">
        <f t="shared" si="3"/>
        <v>347160</v>
      </c>
      <c r="K8" s="27">
        <v>0</v>
      </c>
      <c r="L8" s="27">
        <f>TCO!H11</f>
        <v>0</v>
      </c>
      <c r="M8" s="29">
        <f t="shared" si="4"/>
        <v>0</v>
      </c>
      <c r="N8" s="27">
        <v>0</v>
      </c>
      <c r="O8" s="27">
        <f>TCO!H14</f>
        <v>0</v>
      </c>
      <c r="P8" s="29">
        <f t="shared" si="5"/>
        <v>0</v>
      </c>
      <c r="Q8" s="27">
        <f>'Parametre - Agendové IS'!D109</f>
        <v>0</v>
      </c>
      <c r="R8" s="27">
        <f>'Parametre - Agendové IS'!E109</f>
        <v>0</v>
      </c>
      <c r="S8" s="29">
        <f t="shared" si="0"/>
        <v>0</v>
      </c>
      <c r="T8" s="26">
        <f t="shared" si="6"/>
        <v>1911360</v>
      </c>
      <c r="U8" s="26">
        <f t="shared" si="7"/>
        <v>2258520</v>
      </c>
      <c r="V8" s="29">
        <f t="shared" si="8"/>
        <v>347160</v>
      </c>
    </row>
    <row r="9" spans="1:23" x14ac:dyDescent="0.3">
      <c r="A9" s="25" t="s">
        <v>30</v>
      </c>
      <c r="B9" s="26">
        <f>TCO!I26+TCO!I27</f>
        <v>0</v>
      </c>
      <c r="C9" s="26">
        <f>(TCO!I$12*(1+$W$5))+TCO!I$13</f>
        <v>0</v>
      </c>
      <c r="D9" s="29">
        <f t="shared" si="1"/>
        <v>0</v>
      </c>
      <c r="E9" s="27">
        <f>TCO!I22+TCO!I23</f>
        <v>0</v>
      </c>
      <c r="F9" s="26">
        <f>(TCO!I$7*(1+$W$5))+TCO!I$8</f>
        <v>0</v>
      </c>
      <c r="G9" s="29">
        <f t="shared" si="2"/>
        <v>0</v>
      </c>
      <c r="H9" s="26">
        <f>TCO!I24+TCO!I25</f>
        <v>1911360</v>
      </c>
      <c r="I9" s="26">
        <f>(TCO!I$9*(1+$W$5))+TCO!I$10</f>
        <v>2258520</v>
      </c>
      <c r="J9" s="29">
        <f t="shared" si="3"/>
        <v>347160</v>
      </c>
      <c r="K9" s="27">
        <v>0</v>
      </c>
      <c r="L9" s="27">
        <f>TCO!I11</f>
        <v>0</v>
      </c>
      <c r="M9" s="29">
        <f t="shared" si="4"/>
        <v>0</v>
      </c>
      <c r="N9" s="27">
        <v>0</v>
      </c>
      <c r="O9" s="27">
        <f>TCO!I14</f>
        <v>0</v>
      </c>
      <c r="P9" s="29">
        <f t="shared" si="5"/>
        <v>0</v>
      </c>
      <c r="Q9" s="27">
        <f>'Parametre - Agendové IS'!D110</f>
        <v>0</v>
      </c>
      <c r="R9" s="27">
        <f>'Parametre - Agendové IS'!E110</f>
        <v>0</v>
      </c>
      <c r="S9" s="29">
        <f t="shared" si="0"/>
        <v>0</v>
      </c>
      <c r="T9" s="26">
        <f t="shared" si="6"/>
        <v>1911360</v>
      </c>
      <c r="U9" s="26">
        <f t="shared" si="7"/>
        <v>2258520</v>
      </c>
      <c r="V9" s="29">
        <f t="shared" si="8"/>
        <v>347160</v>
      </c>
    </row>
    <row r="10" spans="1:23" x14ac:dyDescent="0.3">
      <c r="A10" s="25" t="s">
        <v>31</v>
      </c>
      <c r="B10" s="26">
        <f>TCO!J26+TCO!J27</f>
        <v>0</v>
      </c>
      <c r="C10" s="26">
        <f>(TCO!J$12*(1+$W$5))+TCO!J$13</f>
        <v>0</v>
      </c>
      <c r="D10" s="29">
        <f t="shared" si="1"/>
        <v>0</v>
      </c>
      <c r="E10" s="27">
        <f>TCO!J22+TCO!J23</f>
        <v>0</v>
      </c>
      <c r="F10" s="26">
        <f>(TCO!J$7*(1+$W$5))+TCO!J$8</f>
        <v>0</v>
      </c>
      <c r="G10" s="29">
        <f t="shared" si="2"/>
        <v>0</v>
      </c>
      <c r="H10" s="26">
        <f>TCO!J24+TCO!J25</f>
        <v>1911360</v>
      </c>
      <c r="I10" s="26">
        <f>(TCO!J$9*(1+$W$5))+TCO!J$10</f>
        <v>2258520</v>
      </c>
      <c r="J10" s="29">
        <f t="shared" si="3"/>
        <v>347160</v>
      </c>
      <c r="K10" s="27">
        <v>0</v>
      </c>
      <c r="L10" s="27">
        <f>TCO!J11</f>
        <v>0</v>
      </c>
      <c r="M10" s="29">
        <f t="shared" si="4"/>
        <v>0</v>
      </c>
      <c r="N10" s="27">
        <v>0</v>
      </c>
      <c r="O10" s="27">
        <f>TCO!J14</f>
        <v>0</v>
      </c>
      <c r="P10" s="29">
        <f t="shared" si="5"/>
        <v>0</v>
      </c>
      <c r="Q10" s="27">
        <f>'Parametre - Agendové IS'!D111</f>
        <v>0</v>
      </c>
      <c r="R10" s="27">
        <f>'Parametre - Agendové IS'!E111</f>
        <v>0</v>
      </c>
      <c r="S10" s="29">
        <f t="shared" si="0"/>
        <v>0</v>
      </c>
      <c r="T10" s="26">
        <f t="shared" si="6"/>
        <v>1911360</v>
      </c>
      <c r="U10" s="26">
        <f t="shared" si="7"/>
        <v>2258520</v>
      </c>
      <c r="V10" s="29">
        <f t="shared" si="8"/>
        <v>347160</v>
      </c>
    </row>
    <row r="11" spans="1:23" x14ac:dyDescent="0.3">
      <c r="A11" s="25" t="s">
        <v>32</v>
      </c>
      <c r="B11" s="26">
        <f>TCO!K26+TCO!K27</f>
        <v>0</v>
      </c>
      <c r="C11" s="26">
        <f>(TCO!K$12*(1+$W$5))+TCO!K$13</f>
        <v>0</v>
      </c>
      <c r="D11" s="29">
        <f t="shared" si="1"/>
        <v>0</v>
      </c>
      <c r="E11" s="27">
        <f>TCO!K22+TCO!K23</f>
        <v>0</v>
      </c>
      <c r="F11" s="26">
        <f>(TCO!K$7*(1+$W$5))+TCO!K$8</f>
        <v>0</v>
      </c>
      <c r="G11" s="29">
        <f t="shared" si="2"/>
        <v>0</v>
      </c>
      <c r="H11" s="26">
        <f>TCO!K24+TCO!K25</f>
        <v>1911360</v>
      </c>
      <c r="I11" s="26">
        <f>(TCO!K$9*(1+$W$5))+TCO!K$10</f>
        <v>2258520</v>
      </c>
      <c r="J11" s="29">
        <f t="shared" si="3"/>
        <v>347160</v>
      </c>
      <c r="K11" s="27">
        <v>0</v>
      </c>
      <c r="L11" s="27">
        <f>TCO!K11</f>
        <v>0</v>
      </c>
      <c r="M11" s="29">
        <f t="shared" si="4"/>
        <v>0</v>
      </c>
      <c r="N11" s="27">
        <v>0</v>
      </c>
      <c r="O11" s="27">
        <f>TCO!K14</f>
        <v>0</v>
      </c>
      <c r="P11" s="29">
        <f t="shared" si="5"/>
        <v>0</v>
      </c>
      <c r="Q11" s="27">
        <f>'Parametre - Agendové IS'!D112</f>
        <v>0</v>
      </c>
      <c r="R11" s="27">
        <f>'Parametre - Agendové IS'!E112</f>
        <v>0</v>
      </c>
      <c r="S11" s="29">
        <f t="shared" si="0"/>
        <v>0</v>
      </c>
      <c r="T11" s="26">
        <f t="shared" si="6"/>
        <v>1911360</v>
      </c>
      <c r="U11" s="26">
        <f t="shared" si="7"/>
        <v>2258520</v>
      </c>
      <c r="V11" s="29">
        <f t="shared" si="8"/>
        <v>347160</v>
      </c>
    </row>
    <row r="12" spans="1:23" x14ac:dyDescent="0.3">
      <c r="A12" s="25" t="s">
        <v>33</v>
      </c>
      <c r="B12" s="26">
        <f>TCO!L26+TCO!L27</f>
        <v>0</v>
      </c>
      <c r="C12" s="26">
        <f>(TCO!L$12*(1+$W$5))+TCO!L$13</f>
        <v>0</v>
      </c>
      <c r="D12" s="29">
        <f t="shared" si="1"/>
        <v>0</v>
      </c>
      <c r="E12" s="27">
        <f>TCO!L22+TCO!L23</f>
        <v>0</v>
      </c>
      <c r="F12" s="26">
        <f>(TCO!L$7*(1+$W$5))+TCO!L$8</f>
        <v>0</v>
      </c>
      <c r="G12" s="29">
        <f t="shared" si="2"/>
        <v>0</v>
      </c>
      <c r="H12" s="26">
        <f>TCO!L24+TCO!L25</f>
        <v>1911360</v>
      </c>
      <c r="I12" s="26">
        <f>(TCO!L$9*(1+$W$5))+TCO!L$10</f>
        <v>2258520</v>
      </c>
      <c r="J12" s="29">
        <f t="shared" si="3"/>
        <v>347160</v>
      </c>
      <c r="K12" s="27">
        <v>0</v>
      </c>
      <c r="L12" s="27">
        <f>TCO!L11</f>
        <v>0</v>
      </c>
      <c r="M12" s="29">
        <f t="shared" si="4"/>
        <v>0</v>
      </c>
      <c r="N12" s="27">
        <v>0</v>
      </c>
      <c r="O12" s="27">
        <f>TCO!L14</f>
        <v>0</v>
      </c>
      <c r="P12" s="29">
        <f t="shared" si="5"/>
        <v>0</v>
      </c>
      <c r="Q12" s="27">
        <f>'Parametre - Agendové IS'!D113</f>
        <v>0</v>
      </c>
      <c r="R12" s="27">
        <f>'Parametre - Agendové IS'!E113</f>
        <v>0</v>
      </c>
      <c r="S12" s="29">
        <f t="shared" si="0"/>
        <v>0</v>
      </c>
      <c r="T12" s="26">
        <f t="shared" si="6"/>
        <v>1911360</v>
      </c>
      <c r="U12" s="26">
        <f t="shared" si="7"/>
        <v>2258520</v>
      </c>
      <c r="V12" s="29">
        <f t="shared" si="8"/>
        <v>347160</v>
      </c>
    </row>
    <row r="13" spans="1:23" ht="15" thickBot="1" x14ac:dyDescent="0.35">
      <c r="A13" s="39" t="s">
        <v>34</v>
      </c>
      <c r="B13" s="43">
        <f>TCO!M26+TCO!M27</f>
        <v>0</v>
      </c>
      <c r="C13" s="43">
        <f>(TCO!M$12*(1+$W$5))+TCO!M$13</f>
        <v>0</v>
      </c>
      <c r="D13" s="154">
        <f t="shared" si="1"/>
        <v>0</v>
      </c>
      <c r="E13" s="47">
        <f>TCO!M22+TCO!M23</f>
        <v>0</v>
      </c>
      <c r="F13" s="43">
        <f>(TCO!M$7*(1+$W$5))+TCO!M$8</f>
        <v>0</v>
      </c>
      <c r="G13" s="154">
        <f t="shared" si="2"/>
        <v>0</v>
      </c>
      <c r="H13" s="43">
        <f>TCO!M24+TCO!M25</f>
        <v>1911360</v>
      </c>
      <c r="I13" s="43">
        <f>(TCO!M$9*(1+$W$5))+TCO!M$10</f>
        <v>2258520</v>
      </c>
      <c r="J13" s="154">
        <f t="shared" si="3"/>
        <v>347160</v>
      </c>
      <c r="K13" s="47">
        <v>0</v>
      </c>
      <c r="L13" s="47">
        <f>TCO!M11</f>
        <v>0</v>
      </c>
      <c r="M13" s="154">
        <f t="shared" si="4"/>
        <v>0</v>
      </c>
      <c r="N13" s="47">
        <v>0</v>
      </c>
      <c r="O13" s="47">
        <f>TCO!M14</f>
        <v>0</v>
      </c>
      <c r="P13" s="154">
        <f t="shared" si="5"/>
        <v>0</v>
      </c>
      <c r="Q13" s="47">
        <f>'Parametre - Agendové IS'!D114</f>
        <v>0</v>
      </c>
      <c r="R13" s="47">
        <f>'Parametre - Agendové IS'!E114</f>
        <v>0</v>
      </c>
      <c r="S13" s="154">
        <f t="shared" si="0"/>
        <v>0</v>
      </c>
      <c r="T13" s="26">
        <f t="shared" si="6"/>
        <v>1911360</v>
      </c>
      <c r="U13" s="26">
        <f t="shared" si="7"/>
        <v>2258520</v>
      </c>
      <c r="V13" s="154">
        <f t="shared" si="8"/>
        <v>347160</v>
      </c>
    </row>
    <row r="14" spans="1:23" x14ac:dyDescent="0.3">
      <c r="A14" s="548" t="s">
        <v>109</v>
      </c>
      <c r="B14" s="539">
        <f>SUM(B4:B13)</f>
        <v>0</v>
      </c>
      <c r="C14" s="537">
        <f t="shared" ref="C14:S14" si="9">SUM(C4:C13)</f>
        <v>0</v>
      </c>
      <c r="D14" s="536">
        <f t="shared" si="9"/>
        <v>0</v>
      </c>
      <c r="E14" s="539">
        <f t="shared" si="9"/>
        <v>0</v>
      </c>
      <c r="F14" s="537">
        <f t="shared" si="9"/>
        <v>0</v>
      </c>
      <c r="G14" s="536">
        <f t="shared" si="9"/>
        <v>0</v>
      </c>
      <c r="H14" s="539">
        <f t="shared" si="9"/>
        <v>19113600</v>
      </c>
      <c r="I14" s="537">
        <f t="shared" si="9"/>
        <v>29620860.800000001</v>
      </c>
      <c r="J14" s="536">
        <f t="shared" si="9"/>
        <v>10507260.800000001</v>
      </c>
      <c r="K14" s="539">
        <f t="shared" ref="K14:P14" si="10">SUM(K4:K13)</f>
        <v>0</v>
      </c>
      <c r="L14" s="537">
        <f t="shared" si="10"/>
        <v>0</v>
      </c>
      <c r="M14" s="536">
        <f t="shared" si="10"/>
        <v>0</v>
      </c>
      <c r="N14" s="539">
        <f t="shared" si="10"/>
        <v>0</v>
      </c>
      <c r="O14" s="537">
        <f t="shared" si="10"/>
        <v>494150.98999999993</v>
      </c>
      <c r="P14" s="536">
        <f t="shared" si="10"/>
        <v>494150.98999999993</v>
      </c>
      <c r="Q14" s="539">
        <f t="shared" si="9"/>
        <v>0</v>
      </c>
      <c r="R14" s="537">
        <f t="shared" si="9"/>
        <v>0</v>
      </c>
      <c r="S14" s="536">
        <f t="shared" si="9"/>
        <v>0</v>
      </c>
      <c r="T14" s="549">
        <f>SUM(T4:T13)</f>
        <v>19113600</v>
      </c>
      <c r="U14" s="550">
        <f>SUM(U4:U13)</f>
        <v>30115011.789999999</v>
      </c>
      <c r="V14" s="551">
        <f>SUM(V4:V13)</f>
        <v>11001411.789999999</v>
      </c>
    </row>
    <row r="15" spans="1:23" ht="15" thickBot="1" x14ac:dyDescent="0.35">
      <c r="A15" s="548" t="s">
        <v>163</v>
      </c>
      <c r="B15" s="547"/>
      <c r="C15" s="545"/>
      <c r="D15" s="543">
        <f>D4+NPV(Faktory!$D$5,D5:D13)</f>
        <v>0</v>
      </c>
      <c r="E15" s="547"/>
      <c r="F15" s="545"/>
      <c r="G15" s="543">
        <f>G4+NPV(Faktory!$D$5,G5:G13)</f>
        <v>0</v>
      </c>
      <c r="H15" s="547"/>
      <c r="I15" s="545"/>
      <c r="J15" s="543">
        <f>J4+NPV(Faktory!$D$5,J5:J13)</f>
        <v>9580742.3595832568</v>
      </c>
      <c r="K15" s="547"/>
      <c r="L15" s="545"/>
      <c r="M15" s="543">
        <f>M4+NPV(Faktory!$D$5,M5:M13)</f>
        <v>0</v>
      </c>
      <c r="N15" s="547"/>
      <c r="O15" s="545"/>
      <c r="P15" s="543">
        <f>P4+NPV(Faktory!$D$5,P5:P13)</f>
        <v>485915.14016666659</v>
      </c>
      <c r="Q15" s="547"/>
      <c r="R15" s="545"/>
      <c r="S15" s="543">
        <f>S4+NPV(Faktory!$D$5,S5:S13)</f>
        <v>0</v>
      </c>
      <c r="T15" s="552"/>
      <c r="U15" s="553"/>
      <c r="V15" s="554">
        <f>V4+NPV(Faktory!$D$5,V5:V13)</f>
        <v>10066657.499749921</v>
      </c>
    </row>
    <row r="16" spans="1:23" x14ac:dyDescent="0.3">
      <c r="A16" s="7"/>
      <c r="B16" s="7"/>
      <c r="C16" s="7"/>
      <c r="D16" s="146"/>
      <c r="E16" s="7"/>
      <c r="F16" s="7"/>
      <c r="G16" s="146"/>
      <c r="H16" s="7"/>
      <c r="I16" s="7"/>
      <c r="J16" s="146"/>
      <c r="K16" s="146"/>
      <c r="L16" s="146"/>
      <c r="M16" s="146"/>
      <c r="N16" s="146"/>
      <c r="O16" s="146"/>
      <c r="P16" s="146"/>
      <c r="Q16" s="7"/>
      <c r="R16" s="7"/>
      <c r="S16" s="146"/>
      <c r="T16" s="155"/>
      <c r="U16" s="155"/>
      <c r="V16" s="155"/>
    </row>
    <row r="17" spans="1:2" x14ac:dyDescent="0.3">
      <c r="A17" s="7"/>
      <c r="B17" s="103" t="s">
        <v>177</v>
      </c>
    </row>
    <row r="22" spans="1:2" x14ac:dyDescent="0.3">
      <c r="B22" s="156"/>
    </row>
  </sheetData>
  <mergeCells count="10">
    <mergeCell ref="Q1:S1"/>
    <mergeCell ref="T1:V1"/>
    <mergeCell ref="B2:D2"/>
    <mergeCell ref="E2:G2"/>
    <mergeCell ref="H2:J2"/>
    <mergeCell ref="Q2:S2"/>
    <mergeCell ref="N1:P1"/>
    <mergeCell ref="N2:P2"/>
    <mergeCell ref="K2:M2"/>
    <mergeCell ref="B1:M1"/>
  </mergeCells>
  <pageMargins left="0.7" right="0.7" top="0.75" bottom="0.75" header="0.3" footer="0.3"/>
  <pageSetup paperSize="9" scale="2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V134"/>
  <sheetViews>
    <sheetView zoomScale="85" zoomScaleNormal="85" workbookViewId="0">
      <pane xSplit="2" ySplit="3" topLeftCell="J89" activePane="bottomRight" state="frozen"/>
      <selection pane="topRight" activeCell="C1" sqref="C1"/>
      <selection pane="bottomLeft" activeCell="A4" sqref="A4"/>
      <selection pane="bottomRight" activeCell="T98" sqref="T98:T104"/>
    </sheetView>
  </sheetViews>
  <sheetFormatPr defaultColWidth="9.109375" defaultRowHeight="14.4" x14ac:dyDescent="0.3"/>
  <cols>
    <col min="1" max="1" width="24.88671875" style="7" customWidth="1"/>
    <col min="2" max="2" width="9.88671875" style="7" bestFit="1" customWidth="1"/>
    <col min="3" max="3" width="8.88671875" style="7" bestFit="1" customWidth="1"/>
    <col min="4" max="4" width="14.44140625" style="7" bestFit="1" customWidth="1"/>
    <col min="5" max="5" width="15.6640625" style="7" bestFit="1" customWidth="1"/>
    <col min="6" max="6" width="14.44140625" style="7" bestFit="1" customWidth="1"/>
    <col min="7" max="7" width="14.77734375" style="7" customWidth="1"/>
    <col min="8" max="8" width="14.77734375" style="464" customWidth="1"/>
    <col min="9" max="12" width="14.77734375" style="7" customWidth="1"/>
    <col min="13" max="13" width="14.77734375" style="465" customWidth="1"/>
    <col min="14" max="14" width="14.77734375" style="464" customWidth="1"/>
    <col min="15" max="15" width="14.77734375" style="7" customWidth="1"/>
    <col min="16" max="16" width="14.77734375" style="465" customWidth="1"/>
    <col min="17" max="17" width="14.77734375" style="464" customWidth="1"/>
    <col min="18" max="18" width="14.77734375" style="7" customWidth="1"/>
    <col min="19" max="19" width="14.77734375" style="465" customWidth="1"/>
    <col min="20" max="20" width="14.77734375" style="464" customWidth="1"/>
    <col min="21" max="21" width="14.77734375" style="7" customWidth="1"/>
    <col min="22" max="22" width="14.6640625" style="350" customWidth="1"/>
    <col min="23" max="25" width="9.109375" style="7"/>
    <col min="26" max="26" width="12.44140625" style="7" bestFit="1" customWidth="1"/>
    <col min="27" max="261" width="9.109375" style="7"/>
    <col min="262" max="262" width="1.6640625" style="7" customWidth="1"/>
    <col min="263" max="263" width="19.109375" style="7" customWidth="1"/>
    <col min="264" max="264" width="35.109375" style="7" customWidth="1"/>
    <col min="265" max="265" width="9.88671875" style="7" bestFit="1" customWidth="1"/>
    <col min="266" max="266" width="8.88671875" style="7" bestFit="1" customWidth="1"/>
    <col min="267" max="277" width="10.33203125" style="7" customWidth="1"/>
    <col min="278" max="517" width="9.109375" style="7"/>
    <col min="518" max="518" width="1.6640625" style="7" customWidth="1"/>
    <col min="519" max="519" width="19.109375" style="7" customWidth="1"/>
    <col min="520" max="520" width="35.109375" style="7" customWidth="1"/>
    <col min="521" max="521" width="9.88671875" style="7" bestFit="1" customWidth="1"/>
    <col min="522" max="522" width="8.88671875" style="7" bestFit="1" customWidth="1"/>
    <col min="523" max="533" width="10.33203125" style="7" customWidth="1"/>
    <col min="534" max="773" width="9.109375" style="7"/>
    <col min="774" max="774" width="1.6640625" style="7" customWidth="1"/>
    <col min="775" max="775" width="19.109375" style="7" customWidth="1"/>
    <col min="776" max="776" width="35.109375" style="7" customWidth="1"/>
    <col min="777" max="777" width="9.88671875" style="7" bestFit="1" customWidth="1"/>
    <col min="778" max="778" width="8.88671875" style="7" bestFit="1" customWidth="1"/>
    <col min="779" max="789" width="10.33203125" style="7" customWidth="1"/>
    <col min="790" max="1029" width="9.109375" style="7"/>
    <col min="1030" max="1030" width="1.6640625" style="7" customWidth="1"/>
    <col min="1031" max="1031" width="19.109375" style="7" customWidth="1"/>
    <col min="1032" max="1032" width="35.109375" style="7" customWidth="1"/>
    <col min="1033" max="1033" width="9.88671875" style="7" bestFit="1" customWidth="1"/>
    <col min="1034" max="1034" width="8.88671875" style="7" bestFit="1" customWidth="1"/>
    <col min="1035" max="1045" width="10.33203125" style="7" customWidth="1"/>
    <col min="1046" max="1285" width="9.109375" style="7"/>
    <col min="1286" max="1286" width="1.6640625" style="7" customWidth="1"/>
    <col min="1287" max="1287" width="19.109375" style="7" customWidth="1"/>
    <col min="1288" max="1288" width="35.109375" style="7" customWidth="1"/>
    <col min="1289" max="1289" width="9.88671875" style="7" bestFit="1" customWidth="1"/>
    <col min="1290" max="1290" width="8.88671875" style="7" bestFit="1" customWidth="1"/>
    <col min="1291" max="1301" width="10.33203125" style="7" customWidth="1"/>
    <col min="1302" max="1541" width="9.109375" style="7"/>
    <col min="1542" max="1542" width="1.6640625" style="7" customWidth="1"/>
    <col min="1543" max="1543" width="19.109375" style="7" customWidth="1"/>
    <col min="1544" max="1544" width="35.109375" style="7" customWidth="1"/>
    <col min="1545" max="1545" width="9.88671875" style="7" bestFit="1" customWidth="1"/>
    <col min="1546" max="1546" width="8.88671875" style="7" bestFit="1" customWidth="1"/>
    <col min="1547" max="1557" width="10.33203125" style="7" customWidth="1"/>
    <col min="1558" max="1797" width="9.109375" style="7"/>
    <col min="1798" max="1798" width="1.6640625" style="7" customWidth="1"/>
    <col min="1799" max="1799" width="19.109375" style="7" customWidth="1"/>
    <col min="1800" max="1800" width="35.109375" style="7" customWidth="1"/>
    <col min="1801" max="1801" width="9.88671875" style="7" bestFit="1" customWidth="1"/>
    <col min="1802" max="1802" width="8.88671875" style="7" bestFit="1" customWidth="1"/>
    <col min="1803" max="1813" width="10.33203125" style="7" customWidth="1"/>
    <col min="1814" max="2053" width="9.109375" style="7"/>
    <col min="2054" max="2054" width="1.6640625" style="7" customWidth="1"/>
    <col min="2055" max="2055" width="19.109375" style="7" customWidth="1"/>
    <col min="2056" max="2056" width="35.109375" style="7" customWidth="1"/>
    <col min="2057" max="2057" width="9.88671875" style="7" bestFit="1" customWidth="1"/>
    <col min="2058" max="2058" width="8.88671875" style="7" bestFit="1" customWidth="1"/>
    <col min="2059" max="2069" width="10.33203125" style="7" customWidth="1"/>
    <col min="2070" max="2309" width="9.109375" style="7"/>
    <col min="2310" max="2310" width="1.6640625" style="7" customWidth="1"/>
    <col min="2311" max="2311" width="19.109375" style="7" customWidth="1"/>
    <col min="2312" max="2312" width="35.109375" style="7" customWidth="1"/>
    <col min="2313" max="2313" width="9.88671875" style="7" bestFit="1" customWidth="1"/>
    <col min="2314" max="2314" width="8.88671875" style="7" bestFit="1" customWidth="1"/>
    <col min="2315" max="2325" width="10.33203125" style="7" customWidth="1"/>
    <col min="2326" max="2565" width="9.109375" style="7"/>
    <col min="2566" max="2566" width="1.6640625" style="7" customWidth="1"/>
    <col min="2567" max="2567" width="19.109375" style="7" customWidth="1"/>
    <col min="2568" max="2568" width="35.109375" style="7" customWidth="1"/>
    <col min="2569" max="2569" width="9.88671875" style="7" bestFit="1" customWidth="1"/>
    <col min="2570" max="2570" width="8.88671875" style="7" bestFit="1" customWidth="1"/>
    <col min="2571" max="2581" width="10.33203125" style="7" customWidth="1"/>
    <col min="2582" max="2821" width="9.109375" style="7"/>
    <col min="2822" max="2822" width="1.6640625" style="7" customWidth="1"/>
    <col min="2823" max="2823" width="19.109375" style="7" customWidth="1"/>
    <col min="2824" max="2824" width="35.109375" style="7" customWidth="1"/>
    <col min="2825" max="2825" width="9.88671875" style="7" bestFit="1" customWidth="1"/>
    <col min="2826" max="2826" width="8.88671875" style="7" bestFit="1" customWidth="1"/>
    <col min="2827" max="2837" width="10.33203125" style="7" customWidth="1"/>
    <col min="2838" max="3077" width="9.109375" style="7"/>
    <col min="3078" max="3078" width="1.6640625" style="7" customWidth="1"/>
    <col min="3079" max="3079" width="19.109375" style="7" customWidth="1"/>
    <col min="3080" max="3080" width="35.109375" style="7" customWidth="1"/>
    <col min="3081" max="3081" width="9.88671875" style="7" bestFit="1" customWidth="1"/>
    <col min="3082" max="3082" width="8.88671875" style="7" bestFit="1" customWidth="1"/>
    <col min="3083" max="3093" width="10.33203125" style="7" customWidth="1"/>
    <col min="3094" max="3333" width="9.109375" style="7"/>
    <col min="3334" max="3334" width="1.6640625" style="7" customWidth="1"/>
    <col min="3335" max="3335" width="19.109375" style="7" customWidth="1"/>
    <col min="3336" max="3336" width="35.109375" style="7" customWidth="1"/>
    <col min="3337" max="3337" width="9.88671875" style="7" bestFit="1" customWidth="1"/>
    <col min="3338" max="3338" width="8.88671875" style="7" bestFit="1" customWidth="1"/>
    <col min="3339" max="3349" width="10.33203125" style="7" customWidth="1"/>
    <col min="3350" max="3589" width="9.109375" style="7"/>
    <col min="3590" max="3590" width="1.6640625" style="7" customWidth="1"/>
    <col min="3591" max="3591" width="19.109375" style="7" customWidth="1"/>
    <col min="3592" max="3592" width="35.109375" style="7" customWidth="1"/>
    <col min="3593" max="3593" width="9.88671875" style="7" bestFit="1" customWidth="1"/>
    <col min="3594" max="3594" width="8.88671875" style="7" bestFit="1" customWidth="1"/>
    <col min="3595" max="3605" width="10.33203125" style="7" customWidth="1"/>
    <col min="3606" max="3845" width="9.109375" style="7"/>
    <col min="3846" max="3846" width="1.6640625" style="7" customWidth="1"/>
    <col min="3847" max="3847" width="19.109375" style="7" customWidth="1"/>
    <col min="3848" max="3848" width="35.109375" style="7" customWidth="1"/>
    <col min="3849" max="3849" width="9.88671875" style="7" bestFit="1" customWidth="1"/>
    <col min="3850" max="3850" width="8.88671875" style="7" bestFit="1" customWidth="1"/>
    <col min="3851" max="3861" width="10.33203125" style="7" customWidth="1"/>
    <col min="3862" max="4101" width="9.109375" style="7"/>
    <col min="4102" max="4102" width="1.6640625" style="7" customWidth="1"/>
    <col min="4103" max="4103" width="19.109375" style="7" customWidth="1"/>
    <col min="4104" max="4104" width="35.109375" style="7" customWidth="1"/>
    <col min="4105" max="4105" width="9.88671875" style="7" bestFit="1" customWidth="1"/>
    <col min="4106" max="4106" width="8.88671875" style="7" bestFit="1" customWidth="1"/>
    <col min="4107" max="4117" width="10.33203125" style="7" customWidth="1"/>
    <col min="4118" max="4357" width="9.109375" style="7"/>
    <col min="4358" max="4358" width="1.6640625" style="7" customWidth="1"/>
    <col min="4359" max="4359" width="19.109375" style="7" customWidth="1"/>
    <col min="4360" max="4360" width="35.109375" style="7" customWidth="1"/>
    <col min="4361" max="4361" width="9.88671875" style="7" bestFit="1" customWidth="1"/>
    <col min="4362" max="4362" width="8.88671875" style="7" bestFit="1" customWidth="1"/>
    <col min="4363" max="4373" width="10.33203125" style="7" customWidth="1"/>
    <col min="4374" max="4613" width="9.109375" style="7"/>
    <col min="4614" max="4614" width="1.6640625" style="7" customWidth="1"/>
    <col min="4615" max="4615" width="19.109375" style="7" customWidth="1"/>
    <col min="4616" max="4616" width="35.109375" style="7" customWidth="1"/>
    <col min="4617" max="4617" width="9.88671875" style="7" bestFit="1" customWidth="1"/>
    <col min="4618" max="4618" width="8.88671875" style="7" bestFit="1" customWidth="1"/>
    <col min="4619" max="4629" width="10.33203125" style="7" customWidth="1"/>
    <col min="4630" max="4869" width="9.109375" style="7"/>
    <col min="4870" max="4870" width="1.6640625" style="7" customWidth="1"/>
    <col min="4871" max="4871" width="19.109375" style="7" customWidth="1"/>
    <col min="4872" max="4872" width="35.109375" style="7" customWidth="1"/>
    <col min="4873" max="4873" width="9.88671875" style="7" bestFit="1" customWidth="1"/>
    <col min="4874" max="4874" width="8.88671875" style="7" bestFit="1" customWidth="1"/>
    <col min="4875" max="4885" width="10.33203125" style="7" customWidth="1"/>
    <col min="4886" max="5125" width="9.109375" style="7"/>
    <col min="5126" max="5126" width="1.6640625" style="7" customWidth="1"/>
    <col min="5127" max="5127" width="19.109375" style="7" customWidth="1"/>
    <col min="5128" max="5128" width="35.109375" style="7" customWidth="1"/>
    <col min="5129" max="5129" width="9.88671875" style="7" bestFit="1" customWidth="1"/>
    <col min="5130" max="5130" width="8.88671875" style="7" bestFit="1" customWidth="1"/>
    <col min="5131" max="5141" width="10.33203125" style="7" customWidth="1"/>
    <col min="5142" max="5381" width="9.109375" style="7"/>
    <col min="5382" max="5382" width="1.6640625" style="7" customWidth="1"/>
    <col min="5383" max="5383" width="19.109375" style="7" customWidth="1"/>
    <col min="5384" max="5384" width="35.109375" style="7" customWidth="1"/>
    <col min="5385" max="5385" width="9.88671875" style="7" bestFit="1" customWidth="1"/>
    <col min="5386" max="5386" width="8.88671875" style="7" bestFit="1" customWidth="1"/>
    <col min="5387" max="5397" width="10.33203125" style="7" customWidth="1"/>
    <col min="5398" max="5637" width="9.109375" style="7"/>
    <col min="5638" max="5638" width="1.6640625" style="7" customWidth="1"/>
    <col min="5639" max="5639" width="19.109375" style="7" customWidth="1"/>
    <col min="5640" max="5640" width="35.109375" style="7" customWidth="1"/>
    <col min="5641" max="5641" width="9.88671875" style="7" bestFit="1" customWidth="1"/>
    <col min="5642" max="5642" width="8.88671875" style="7" bestFit="1" customWidth="1"/>
    <col min="5643" max="5653" width="10.33203125" style="7" customWidth="1"/>
    <col min="5654" max="5893" width="9.109375" style="7"/>
    <col min="5894" max="5894" width="1.6640625" style="7" customWidth="1"/>
    <col min="5895" max="5895" width="19.109375" style="7" customWidth="1"/>
    <col min="5896" max="5896" width="35.109375" style="7" customWidth="1"/>
    <col min="5897" max="5897" width="9.88671875" style="7" bestFit="1" customWidth="1"/>
    <col min="5898" max="5898" width="8.88671875" style="7" bestFit="1" customWidth="1"/>
    <col min="5899" max="5909" width="10.33203125" style="7" customWidth="1"/>
    <col min="5910" max="6149" width="9.109375" style="7"/>
    <col min="6150" max="6150" width="1.6640625" style="7" customWidth="1"/>
    <col min="6151" max="6151" width="19.109375" style="7" customWidth="1"/>
    <col min="6152" max="6152" width="35.109375" style="7" customWidth="1"/>
    <col min="6153" max="6153" width="9.88671875" style="7" bestFit="1" customWidth="1"/>
    <col min="6154" max="6154" width="8.88671875" style="7" bestFit="1" customWidth="1"/>
    <col min="6155" max="6165" width="10.33203125" style="7" customWidth="1"/>
    <col min="6166" max="6405" width="9.109375" style="7"/>
    <col min="6406" max="6406" width="1.6640625" style="7" customWidth="1"/>
    <col min="6407" max="6407" width="19.109375" style="7" customWidth="1"/>
    <col min="6408" max="6408" width="35.109375" style="7" customWidth="1"/>
    <col min="6409" max="6409" width="9.88671875" style="7" bestFit="1" customWidth="1"/>
    <col min="6410" max="6410" width="8.88671875" style="7" bestFit="1" customWidth="1"/>
    <col min="6411" max="6421" width="10.33203125" style="7" customWidth="1"/>
    <col min="6422" max="6661" width="9.109375" style="7"/>
    <col min="6662" max="6662" width="1.6640625" style="7" customWidth="1"/>
    <col min="6663" max="6663" width="19.109375" style="7" customWidth="1"/>
    <col min="6664" max="6664" width="35.109375" style="7" customWidth="1"/>
    <col min="6665" max="6665" width="9.88671875" style="7" bestFit="1" customWidth="1"/>
    <col min="6666" max="6666" width="8.88671875" style="7" bestFit="1" customWidth="1"/>
    <col min="6667" max="6677" width="10.33203125" style="7" customWidth="1"/>
    <col min="6678" max="6917" width="9.109375" style="7"/>
    <col min="6918" max="6918" width="1.6640625" style="7" customWidth="1"/>
    <col min="6919" max="6919" width="19.109375" style="7" customWidth="1"/>
    <col min="6920" max="6920" width="35.109375" style="7" customWidth="1"/>
    <col min="6921" max="6921" width="9.88671875" style="7" bestFit="1" customWidth="1"/>
    <col min="6922" max="6922" width="8.88671875" style="7" bestFit="1" customWidth="1"/>
    <col min="6923" max="6933" width="10.33203125" style="7" customWidth="1"/>
    <col min="6934" max="7173" width="9.109375" style="7"/>
    <col min="7174" max="7174" width="1.6640625" style="7" customWidth="1"/>
    <col min="7175" max="7175" width="19.109375" style="7" customWidth="1"/>
    <col min="7176" max="7176" width="35.109375" style="7" customWidth="1"/>
    <col min="7177" max="7177" width="9.88671875" style="7" bestFit="1" customWidth="1"/>
    <col min="7178" max="7178" width="8.88671875" style="7" bestFit="1" customWidth="1"/>
    <col min="7179" max="7189" width="10.33203125" style="7" customWidth="1"/>
    <col min="7190" max="7429" width="9.109375" style="7"/>
    <col min="7430" max="7430" width="1.6640625" style="7" customWidth="1"/>
    <col min="7431" max="7431" width="19.109375" style="7" customWidth="1"/>
    <col min="7432" max="7432" width="35.109375" style="7" customWidth="1"/>
    <col min="7433" max="7433" width="9.88671875" style="7" bestFit="1" customWidth="1"/>
    <col min="7434" max="7434" width="8.88671875" style="7" bestFit="1" customWidth="1"/>
    <col min="7435" max="7445" width="10.33203125" style="7" customWidth="1"/>
    <col min="7446" max="7685" width="9.109375" style="7"/>
    <col min="7686" max="7686" width="1.6640625" style="7" customWidth="1"/>
    <col min="7687" max="7687" width="19.109375" style="7" customWidth="1"/>
    <col min="7688" max="7688" width="35.109375" style="7" customWidth="1"/>
    <col min="7689" max="7689" width="9.88671875" style="7" bestFit="1" customWidth="1"/>
    <col min="7690" max="7690" width="8.88671875" style="7" bestFit="1" customWidth="1"/>
    <col min="7691" max="7701" width="10.33203125" style="7" customWidth="1"/>
    <col min="7702" max="7941" width="9.109375" style="7"/>
    <col min="7942" max="7942" width="1.6640625" style="7" customWidth="1"/>
    <col min="7943" max="7943" width="19.109375" style="7" customWidth="1"/>
    <col min="7944" max="7944" width="35.109375" style="7" customWidth="1"/>
    <col min="7945" max="7945" width="9.88671875" style="7" bestFit="1" customWidth="1"/>
    <col min="7946" max="7946" width="8.88671875" style="7" bestFit="1" customWidth="1"/>
    <col min="7947" max="7957" width="10.33203125" style="7" customWidth="1"/>
    <col min="7958" max="8197" width="9.109375" style="7"/>
    <col min="8198" max="8198" width="1.6640625" style="7" customWidth="1"/>
    <col min="8199" max="8199" width="19.109375" style="7" customWidth="1"/>
    <col min="8200" max="8200" width="35.109375" style="7" customWidth="1"/>
    <col min="8201" max="8201" width="9.88671875" style="7" bestFit="1" customWidth="1"/>
    <col min="8202" max="8202" width="8.88671875" style="7" bestFit="1" customWidth="1"/>
    <col min="8203" max="8213" width="10.33203125" style="7" customWidth="1"/>
    <col min="8214" max="8453" width="9.109375" style="7"/>
    <col min="8454" max="8454" width="1.6640625" style="7" customWidth="1"/>
    <col min="8455" max="8455" width="19.109375" style="7" customWidth="1"/>
    <col min="8456" max="8456" width="35.109375" style="7" customWidth="1"/>
    <col min="8457" max="8457" width="9.88671875" style="7" bestFit="1" customWidth="1"/>
    <col min="8458" max="8458" width="8.88671875" style="7" bestFit="1" customWidth="1"/>
    <col min="8459" max="8469" width="10.33203125" style="7" customWidth="1"/>
    <col min="8470" max="8709" width="9.109375" style="7"/>
    <col min="8710" max="8710" width="1.6640625" style="7" customWidth="1"/>
    <col min="8711" max="8711" width="19.109375" style="7" customWidth="1"/>
    <col min="8712" max="8712" width="35.109375" style="7" customWidth="1"/>
    <col min="8713" max="8713" width="9.88671875" style="7" bestFit="1" customWidth="1"/>
    <col min="8714" max="8714" width="8.88671875" style="7" bestFit="1" customWidth="1"/>
    <col min="8715" max="8725" width="10.33203125" style="7" customWidth="1"/>
    <col min="8726" max="8965" width="9.109375" style="7"/>
    <col min="8966" max="8966" width="1.6640625" style="7" customWidth="1"/>
    <col min="8967" max="8967" width="19.109375" style="7" customWidth="1"/>
    <col min="8968" max="8968" width="35.109375" style="7" customWidth="1"/>
    <col min="8969" max="8969" width="9.88671875" style="7" bestFit="1" customWidth="1"/>
    <col min="8970" max="8970" width="8.88671875" style="7" bestFit="1" customWidth="1"/>
    <col min="8971" max="8981" width="10.33203125" style="7" customWidth="1"/>
    <col min="8982" max="9221" width="9.109375" style="7"/>
    <col min="9222" max="9222" width="1.6640625" style="7" customWidth="1"/>
    <col min="9223" max="9223" width="19.109375" style="7" customWidth="1"/>
    <col min="9224" max="9224" width="35.109375" style="7" customWidth="1"/>
    <col min="9225" max="9225" width="9.88671875" style="7" bestFit="1" customWidth="1"/>
    <col min="9226" max="9226" width="8.88671875" style="7" bestFit="1" customWidth="1"/>
    <col min="9227" max="9237" width="10.33203125" style="7" customWidth="1"/>
    <col min="9238" max="9477" width="9.109375" style="7"/>
    <col min="9478" max="9478" width="1.6640625" style="7" customWidth="1"/>
    <col min="9479" max="9479" width="19.109375" style="7" customWidth="1"/>
    <col min="9480" max="9480" width="35.109375" style="7" customWidth="1"/>
    <col min="9481" max="9481" width="9.88671875" style="7" bestFit="1" customWidth="1"/>
    <col min="9482" max="9482" width="8.88671875" style="7" bestFit="1" customWidth="1"/>
    <col min="9483" max="9493" width="10.33203125" style="7" customWidth="1"/>
    <col min="9494" max="9733" width="9.109375" style="7"/>
    <col min="9734" max="9734" width="1.6640625" style="7" customWidth="1"/>
    <col min="9735" max="9735" width="19.109375" style="7" customWidth="1"/>
    <col min="9736" max="9736" width="35.109375" style="7" customWidth="1"/>
    <col min="9737" max="9737" width="9.88671875" style="7" bestFit="1" customWidth="1"/>
    <col min="9738" max="9738" width="8.88671875" style="7" bestFit="1" customWidth="1"/>
    <col min="9739" max="9749" width="10.33203125" style="7" customWidth="1"/>
    <col min="9750" max="9989" width="9.109375" style="7"/>
    <col min="9990" max="9990" width="1.6640625" style="7" customWidth="1"/>
    <col min="9991" max="9991" width="19.109375" style="7" customWidth="1"/>
    <col min="9992" max="9992" width="35.109375" style="7" customWidth="1"/>
    <col min="9993" max="9993" width="9.88671875" style="7" bestFit="1" customWidth="1"/>
    <col min="9994" max="9994" width="8.88671875" style="7" bestFit="1" customWidth="1"/>
    <col min="9995" max="10005" width="10.33203125" style="7" customWidth="1"/>
    <col min="10006" max="10245" width="9.109375" style="7"/>
    <col min="10246" max="10246" width="1.6640625" style="7" customWidth="1"/>
    <col min="10247" max="10247" width="19.109375" style="7" customWidth="1"/>
    <col min="10248" max="10248" width="35.109375" style="7" customWidth="1"/>
    <col min="10249" max="10249" width="9.88671875" style="7" bestFit="1" customWidth="1"/>
    <col min="10250" max="10250" width="8.88671875" style="7" bestFit="1" customWidth="1"/>
    <col min="10251" max="10261" width="10.33203125" style="7" customWidth="1"/>
    <col min="10262" max="10501" width="9.109375" style="7"/>
    <col min="10502" max="10502" width="1.6640625" style="7" customWidth="1"/>
    <col min="10503" max="10503" width="19.109375" style="7" customWidth="1"/>
    <col min="10504" max="10504" width="35.109375" style="7" customWidth="1"/>
    <col min="10505" max="10505" width="9.88671875" style="7" bestFit="1" customWidth="1"/>
    <col min="10506" max="10506" width="8.88671875" style="7" bestFit="1" customWidth="1"/>
    <col min="10507" max="10517" width="10.33203125" style="7" customWidth="1"/>
    <col min="10518" max="10757" width="9.109375" style="7"/>
    <col min="10758" max="10758" width="1.6640625" style="7" customWidth="1"/>
    <col min="10759" max="10759" width="19.109375" style="7" customWidth="1"/>
    <col min="10760" max="10760" width="35.109375" style="7" customWidth="1"/>
    <col min="10761" max="10761" width="9.88671875" style="7" bestFit="1" customWidth="1"/>
    <col min="10762" max="10762" width="8.88671875" style="7" bestFit="1" customWidth="1"/>
    <col min="10763" max="10773" width="10.33203125" style="7" customWidth="1"/>
    <col min="10774" max="11013" width="9.109375" style="7"/>
    <col min="11014" max="11014" width="1.6640625" style="7" customWidth="1"/>
    <col min="11015" max="11015" width="19.109375" style="7" customWidth="1"/>
    <col min="11016" max="11016" width="35.109375" style="7" customWidth="1"/>
    <col min="11017" max="11017" width="9.88671875" style="7" bestFit="1" customWidth="1"/>
    <col min="11018" max="11018" width="8.88671875" style="7" bestFit="1" customWidth="1"/>
    <col min="11019" max="11029" width="10.33203125" style="7" customWidth="1"/>
    <col min="11030" max="11269" width="9.109375" style="7"/>
    <col min="11270" max="11270" width="1.6640625" style="7" customWidth="1"/>
    <col min="11271" max="11271" width="19.109375" style="7" customWidth="1"/>
    <col min="11272" max="11272" width="35.109375" style="7" customWidth="1"/>
    <col min="11273" max="11273" width="9.88671875" style="7" bestFit="1" customWidth="1"/>
    <col min="11274" max="11274" width="8.88671875" style="7" bestFit="1" customWidth="1"/>
    <col min="11275" max="11285" width="10.33203125" style="7" customWidth="1"/>
    <col min="11286" max="11525" width="9.109375" style="7"/>
    <col min="11526" max="11526" width="1.6640625" style="7" customWidth="1"/>
    <col min="11527" max="11527" width="19.109375" style="7" customWidth="1"/>
    <col min="11528" max="11528" width="35.109375" style="7" customWidth="1"/>
    <col min="11529" max="11529" width="9.88671875" style="7" bestFit="1" customWidth="1"/>
    <col min="11530" max="11530" width="8.88671875" style="7" bestFit="1" customWidth="1"/>
    <col min="11531" max="11541" width="10.33203125" style="7" customWidth="1"/>
    <col min="11542" max="11781" width="9.109375" style="7"/>
    <col min="11782" max="11782" width="1.6640625" style="7" customWidth="1"/>
    <col min="11783" max="11783" width="19.109375" style="7" customWidth="1"/>
    <col min="11784" max="11784" width="35.109375" style="7" customWidth="1"/>
    <col min="11785" max="11785" width="9.88671875" style="7" bestFit="1" customWidth="1"/>
    <col min="11786" max="11786" width="8.88671875" style="7" bestFit="1" customWidth="1"/>
    <col min="11787" max="11797" width="10.33203125" style="7" customWidth="1"/>
    <col min="11798" max="12037" width="9.109375" style="7"/>
    <col min="12038" max="12038" width="1.6640625" style="7" customWidth="1"/>
    <col min="12039" max="12039" width="19.109375" style="7" customWidth="1"/>
    <col min="12040" max="12040" width="35.109375" style="7" customWidth="1"/>
    <col min="12041" max="12041" width="9.88671875" style="7" bestFit="1" customWidth="1"/>
    <col min="12042" max="12042" width="8.88671875" style="7" bestFit="1" customWidth="1"/>
    <col min="12043" max="12053" width="10.33203125" style="7" customWidth="1"/>
    <col min="12054" max="12293" width="9.109375" style="7"/>
    <col min="12294" max="12294" width="1.6640625" style="7" customWidth="1"/>
    <col min="12295" max="12295" width="19.109375" style="7" customWidth="1"/>
    <col min="12296" max="12296" width="35.109375" style="7" customWidth="1"/>
    <col min="12297" max="12297" width="9.88671875" style="7" bestFit="1" customWidth="1"/>
    <col min="12298" max="12298" width="8.88671875" style="7" bestFit="1" customWidth="1"/>
    <col min="12299" max="12309" width="10.33203125" style="7" customWidth="1"/>
    <col min="12310" max="12549" width="9.109375" style="7"/>
    <col min="12550" max="12550" width="1.6640625" style="7" customWidth="1"/>
    <col min="12551" max="12551" width="19.109375" style="7" customWidth="1"/>
    <col min="12552" max="12552" width="35.109375" style="7" customWidth="1"/>
    <col min="12553" max="12553" width="9.88671875" style="7" bestFit="1" customWidth="1"/>
    <col min="12554" max="12554" width="8.88671875" style="7" bestFit="1" customWidth="1"/>
    <col min="12555" max="12565" width="10.33203125" style="7" customWidth="1"/>
    <col min="12566" max="12805" width="9.109375" style="7"/>
    <col min="12806" max="12806" width="1.6640625" style="7" customWidth="1"/>
    <col min="12807" max="12807" width="19.109375" style="7" customWidth="1"/>
    <col min="12808" max="12808" width="35.109375" style="7" customWidth="1"/>
    <col min="12809" max="12809" width="9.88671875" style="7" bestFit="1" customWidth="1"/>
    <col min="12810" max="12810" width="8.88671875" style="7" bestFit="1" customWidth="1"/>
    <col min="12811" max="12821" width="10.33203125" style="7" customWidth="1"/>
    <col min="12822" max="13061" width="9.109375" style="7"/>
    <col min="13062" max="13062" width="1.6640625" style="7" customWidth="1"/>
    <col min="13063" max="13063" width="19.109375" style="7" customWidth="1"/>
    <col min="13064" max="13064" width="35.109375" style="7" customWidth="1"/>
    <col min="13065" max="13065" width="9.88671875" style="7" bestFit="1" customWidth="1"/>
    <col min="13066" max="13066" width="8.88671875" style="7" bestFit="1" customWidth="1"/>
    <col min="13067" max="13077" width="10.33203125" style="7" customWidth="1"/>
    <col min="13078" max="13317" width="9.109375" style="7"/>
    <col min="13318" max="13318" width="1.6640625" style="7" customWidth="1"/>
    <col min="13319" max="13319" width="19.109375" style="7" customWidth="1"/>
    <col min="13320" max="13320" width="35.109375" style="7" customWidth="1"/>
    <col min="13321" max="13321" width="9.88671875" style="7" bestFit="1" customWidth="1"/>
    <col min="13322" max="13322" width="8.88671875" style="7" bestFit="1" customWidth="1"/>
    <col min="13323" max="13333" width="10.33203125" style="7" customWidth="1"/>
    <col min="13334" max="13573" width="9.109375" style="7"/>
    <col min="13574" max="13574" width="1.6640625" style="7" customWidth="1"/>
    <col min="13575" max="13575" width="19.109375" style="7" customWidth="1"/>
    <col min="13576" max="13576" width="35.109375" style="7" customWidth="1"/>
    <col min="13577" max="13577" width="9.88671875" style="7" bestFit="1" customWidth="1"/>
    <col min="13578" max="13578" width="8.88671875" style="7" bestFit="1" customWidth="1"/>
    <col min="13579" max="13589" width="10.33203125" style="7" customWidth="1"/>
    <col min="13590" max="13829" width="9.109375" style="7"/>
    <col min="13830" max="13830" width="1.6640625" style="7" customWidth="1"/>
    <col min="13831" max="13831" width="19.109375" style="7" customWidth="1"/>
    <col min="13832" max="13832" width="35.109375" style="7" customWidth="1"/>
    <col min="13833" max="13833" width="9.88671875" style="7" bestFit="1" customWidth="1"/>
    <col min="13834" max="13834" width="8.88671875" style="7" bestFit="1" customWidth="1"/>
    <col min="13835" max="13845" width="10.33203125" style="7" customWidth="1"/>
    <col min="13846" max="14085" width="9.109375" style="7"/>
    <col min="14086" max="14086" width="1.6640625" style="7" customWidth="1"/>
    <col min="14087" max="14087" width="19.109375" style="7" customWidth="1"/>
    <col min="14088" max="14088" width="35.109375" style="7" customWidth="1"/>
    <col min="14089" max="14089" width="9.88671875" style="7" bestFit="1" customWidth="1"/>
    <col min="14090" max="14090" width="8.88671875" style="7" bestFit="1" customWidth="1"/>
    <col min="14091" max="14101" width="10.33203125" style="7" customWidth="1"/>
    <col min="14102" max="14341" width="9.109375" style="7"/>
    <col min="14342" max="14342" width="1.6640625" style="7" customWidth="1"/>
    <col min="14343" max="14343" width="19.109375" style="7" customWidth="1"/>
    <col min="14344" max="14344" width="35.109375" style="7" customWidth="1"/>
    <col min="14345" max="14345" width="9.88671875" style="7" bestFit="1" customWidth="1"/>
    <col min="14346" max="14346" width="8.88671875" style="7" bestFit="1" customWidth="1"/>
    <col min="14347" max="14357" width="10.33203125" style="7" customWidth="1"/>
    <col min="14358" max="14597" width="9.109375" style="7"/>
    <col min="14598" max="14598" width="1.6640625" style="7" customWidth="1"/>
    <col min="14599" max="14599" width="19.109375" style="7" customWidth="1"/>
    <col min="14600" max="14600" width="35.109375" style="7" customWidth="1"/>
    <col min="14601" max="14601" width="9.88671875" style="7" bestFit="1" customWidth="1"/>
    <col min="14602" max="14602" width="8.88671875" style="7" bestFit="1" customWidth="1"/>
    <col min="14603" max="14613" width="10.33203125" style="7" customWidth="1"/>
    <col min="14614" max="14853" width="9.109375" style="7"/>
    <col min="14854" max="14854" width="1.6640625" style="7" customWidth="1"/>
    <col min="14855" max="14855" width="19.109375" style="7" customWidth="1"/>
    <col min="14856" max="14856" width="35.109375" style="7" customWidth="1"/>
    <col min="14857" max="14857" width="9.88671875" style="7" bestFit="1" customWidth="1"/>
    <col min="14858" max="14858" width="8.88671875" style="7" bestFit="1" customWidth="1"/>
    <col min="14859" max="14869" width="10.33203125" style="7" customWidth="1"/>
    <col min="14870" max="15109" width="9.109375" style="7"/>
    <col min="15110" max="15110" width="1.6640625" style="7" customWidth="1"/>
    <col min="15111" max="15111" width="19.109375" style="7" customWidth="1"/>
    <col min="15112" max="15112" width="35.109375" style="7" customWidth="1"/>
    <col min="15113" max="15113" width="9.88671875" style="7" bestFit="1" customWidth="1"/>
    <col min="15114" max="15114" width="8.88671875" style="7" bestFit="1" customWidth="1"/>
    <col min="15115" max="15125" width="10.33203125" style="7" customWidth="1"/>
    <col min="15126" max="15365" width="9.109375" style="7"/>
    <col min="15366" max="15366" width="1.6640625" style="7" customWidth="1"/>
    <col min="15367" max="15367" width="19.109375" style="7" customWidth="1"/>
    <col min="15368" max="15368" width="35.109375" style="7" customWidth="1"/>
    <col min="15369" max="15369" width="9.88671875" style="7" bestFit="1" customWidth="1"/>
    <col min="15370" max="15370" width="8.88671875" style="7" bestFit="1" customWidth="1"/>
    <col min="15371" max="15381" width="10.33203125" style="7" customWidth="1"/>
    <col min="15382" max="15621" width="9.109375" style="7"/>
    <col min="15622" max="15622" width="1.6640625" style="7" customWidth="1"/>
    <col min="15623" max="15623" width="19.109375" style="7" customWidth="1"/>
    <col min="15624" max="15624" width="35.109375" style="7" customWidth="1"/>
    <col min="15625" max="15625" width="9.88671875" style="7" bestFit="1" customWidth="1"/>
    <col min="15626" max="15626" width="8.88671875" style="7" bestFit="1" customWidth="1"/>
    <col min="15627" max="15637" width="10.33203125" style="7" customWidth="1"/>
    <col min="15638" max="15877" width="9.109375" style="7"/>
    <col min="15878" max="15878" width="1.6640625" style="7" customWidth="1"/>
    <col min="15879" max="15879" width="19.109375" style="7" customWidth="1"/>
    <col min="15880" max="15880" width="35.109375" style="7" customWidth="1"/>
    <col min="15881" max="15881" width="9.88671875" style="7" bestFit="1" customWidth="1"/>
    <col min="15882" max="15882" width="8.88671875" style="7" bestFit="1" customWidth="1"/>
    <col min="15883" max="15893" width="10.33203125" style="7" customWidth="1"/>
    <col min="15894" max="16133" width="9.109375" style="7"/>
    <col min="16134" max="16134" width="1.6640625" style="7" customWidth="1"/>
    <col min="16135" max="16135" width="19.109375" style="7" customWidth="1"/>
    <col min="16136" max="16136" width="35.109375" style="7" customWidth="1"/>
    <col min="16137" max="16137" width="9.88671875" style="7" bestFit="1" customWidth="1"/>
    <col min="16138" max="16138" width="8.88671875" style="7" bestFit="1" customWidth="1"/>
    <col min="16139" max="16149" width="10.33203125" style="7" customWidth="1"/>
    <col min="16150" max="16384" width="9.109375" style="7"/>
  </cols>
  <sheetData>
    <row r="1" spans="1:22" ht="36" customHeight="1" x14ac:dyDescent="0.3">
      <c r="A1" s="349"/>
      <c r="B1" s="349"/>
      <c r="C1" s="349"/>
      <c r="D1" s="708" t="s">
        <v>109</v>
      </c>
      <c r="E1" s="709"/>
      <c r="F1" s="710"/>
      <c r="G1" s="698" t="s">
        <v>382</v>
      </c>
      <c r="H1" s="698"/>
      <c r="I1" s="699"/>
      <c r="J1" s="698" t="s">
        <v>384</v>
      </c>
      <c r="K1" s="698"/>
      <c r="L1" s="699"/>
      <c r="M1" s="698" t="s">
        <v>385</v>
      </c>
      <c r="N1" s="698"/>
      <c r="O1" s="699"/>
      <c r="P1" s="698" t="s">
        <v>386</v>
      </c>
      <c r="Q1" s="698"/>
      <c r="R1" s="699"/>
      <c r="S1" s="700" t="s">
        <v>387</v>
      </c>
      <c r="T1" s="698"/>
      <c r="U1" s="701"/>
    </row>
    <row r="2" spans="1:22" ht="36" customHeight="1" x14ac:dyDescent="0.3">
      <c r="A2" s="349" t="s">
        <v>362</v>
      </c>
      <c r="B2" s="349"/>
      <c r="C2" s="349"/>
      <c r="D2" s="577"/>
      <c r="E2" s="575"/>
      <c r="F2" s="576"/>
      <c r="G2" s="711" t="s">
        <v>383</v>
      </c>
      <c r="H2" s="698"/>
      <c r="I2" s="699"/>
      <c r="J2" s="700" t="s">
        <v>421</v>
      </c>
      <c r="K2" s="698"/>
      <c r="L2" s="699"/>
      <c r="M2" s="700" t="s">
        <v>422</v>
      </c>
      <c r="N2" s="698"/>
      <c r="O2" s="699"/>
      <c r="P2" s="700" t="s">
        <v>381</v>
      </c>
      <c r="Q2" s="698"/>
      <c r="R2" s="699"/>
      <c r="S2" s="700" t="s">
        <v>388</v>
      </c>
      <c r="T2" s="698"/>
      <c r="U2" s="701"/>
    </row>
    <row r="3" spans="1:22" s="62" customFormat="1" ht="15.75" customHeight="1" thickBot="1" x14ac:dyDescent="0.35">
      <c r="A3" s="351" t="s">
        <v>40</v>
      </c>
      <c r="B3" s="351" t="s">
        <v>10</v>
      </c>
      <c r="C3" s="351" t="s">
        <v>23</v>
      </c>
      <c r="D3" s="352" t="s">
        <v>233</v>
      </c>
      <c r="E3" s="353" t="s">
        <v>173</v>
      </c>
      <c r="F3" s="354" t="s">
        <v>162</v>
      </c>
      <c r="G3" s="355" t="s">
        <v>233</v>
      </c>
      <c r="H3" s="355" t="s">
        <v>173</v>
      </c>
      <c r="I3" s="356" t="s">
        <v>162</v>
      </c>
      <c r="J3" s="357" t="s">
        <v>233</v>
      </c>
      <c r="K3" s="355" t="s">
        <v>173</v>
      </c>
      <c r="L3" s="356" t="s">
        <v>162</v>
      </c>
      <c r="M3" s="357" t="s">
        <v>233</v>
      </c>
      <c r="N3" s="355" t="s">
        <v>173</v>
      </c>
      <c r="O3" s="356" t="s">
        <v>162</v>
      </c>
      <c r="P3" s="357" t="s">
        <v>233</v>
      </c>
      <c r="Q3" s="355" t="s">
        <v>173</v>
      </c>
      <c r="R3" s="356" t="s">
        <v>162</v>
      </c>
      <c r="S3" s="357" t="s">
        <v>233</v>
      </c>
      <c r="T3" s="355" t="s">
        <v>173</v>
      </c>
      <c r="U3" s="358" t="s">
        <v>162</v>
      </c>
      <c r="V3" s="359"/>
    </row>
    <row r="4" spans="1:22" ht="14.4" customHeight="1" x14ac:dyDescent="0.3">
      <c r="A4" s="702" t="s">
        <v>328</v>
      </c>
      <c r="B4" s="705" t="s">
        <v>37</v>
      </c>
      <c r="C4" s="360" t="s">
        <v>25</v>
      </c>
      <c r="D4" s="361">
        <f>G4+J4+M4+P4+S4</f>
        <v>5</v>
      </c>
      <c r="E4" s="362">
        <f t="shared" ref="E4:E13" si="0">H4+K4+N4+Q4+T4</f>
        <v>5</v>
      </c>
      <c r="F4" s="363">
        <f t="shared" ref="F4:F13" si="1">I4+L4+O4+R4+U4</f>
        <v>0</v>
      </c>
      <c r="G4" s="364">
        <v>1</v>
      </c>
      <c r="H4" s="364">
        <v>1</v>
      </c>
      <c r="I4" s="366">
        <f>H4-G4</f>
        <v>0</v>
      </c>
      <c r="J4" s="364">
        <v>1</v>
      </c>
      <c r="K4" s="364">
        <v>1</v>
      </c>
      <c r="L4" s="366">
        <f>K4-J4</f>
        <v>0</v>
      </c>
      <c r="M4" s="364">
        <v>1</v>
      </c>
      <c r="N4" s="364">
        <v>1</v>
      </c>
      <c r="O4" s="366">
        <f>N4-M4</f>
        <v>0</v>
      </c>
      <c r="P4" s="364">
        <v>1</v>
      </c>
      <c r="Q4" s="364">
        <v>1</v>
      </c>
      <c r="R4" s="366">
        <f>Q4-P4</f>
        <v>0</v>
      </c>
      <c r="S4" s="364">
        <v>1</v>
      </c>
      <c r="T4" s="364">
        <v>1</v>
      </c>
      <c r="U4" s="368">
        <f>T4-S4</f>
        <v>0</v>
      </c>
      <c r="V4" s="369">
        <v>0</v>
      </c>
    </row>
    <row r="5" spans="1:22" x14ac:dyDescent="0.3">
      <c r="A5" s="703"/>
      <c r="B5" s="706"/>
      <c r="C5" s="25" t="s">
        <v>26</v>
      </c>
      <c r="D5" s="370">
        <f t="shared" ref="D5:D13" si="2">G5+J5+M5+P5+S5</f>
        <v>5</v>
      </c>
      <c r="E5" s="371">
        <f t="shared" si="0"/>
        <v>5</v>
      </c>
      <c r="F5" s="372">
        <f t="shared" si="1"/>
        <v>0</v>
      </c>
      <c r="G5" s="373">
        <v>1</v>
      </c>
      <c r="H5" s="374">
        <v>1</v>
      </c>
      <c r="I5" s="375">
        <f t="shared" ref="I5:I23" si="3">H5-G5</f>
        <v>0</v>
      </c>
      <c r="J5" s="373">
        <v>1</v>
      </c>
      <c r="K5" s="374">
        <v>1</v>
      </c>
      <c r="L5" s="375">
        <f t="shared" ref="L5:L23" si="4">K5-J5</f>
        <v>0</v>
      </c>
      <c r="M5" s="373">
        <v>1</v>
      </c>
      <c r="N5" s="374">
        <v>1</v>
      </c>
      <c r="O5" s="375">
        <f t="shared" ref="O5:O23" si="5">N5-M5</f>
        <v>0</v>
      </c>
      <c r="P5" s="373">
        <v>1</v>
      </c>
      <c r="Q5" s="374">
        <v>1</v>
      </c>
      <c r="R5" s="375">
        <f t="shared" ref="R5:R23" si="6">Q5-P5</f>
        <v>0</v>
      </c>
      <c r="S5" s="373">
        <v>1</v>
      </c>
      <c r="T5" s="374">
        <v>1</v>
      </c>
      <c r="U5" s="377">
        <f t="shared" ref="U5:U23" si="7">T5-S5</f>
        <v>0</v>
      </c>
      <c r="V5" s="369"/>
    </row>
    <row r="6" spans="1:22" x14ac:dyDescent="0.3">
      <c r="A6" s="703"/>
      <c r="B6" s="706"/>
      <c r="C6" s="25" t="s">
        <v>27</v>
      </c>
      <c r="D6" s="370">
        <f t="shared" si="2"/>
        <v>5</v>
      </c>
      <c r="E6" s="371">
        <f t="shared" si="0"/>
        <v>5</v>
      </c>
      <c r="F6" s="372">
        <f t="shared" si="1"/>
        <v>0</v>
      </c>
      <c r="G6" s="373">
        <v>1</v>
      </c>
      <c r="H6" s="374">
        <v>1</v>
      </c>
      <c r="I6" s="375">
        <f t="shared" si="3"/>
        <v>0</v>
      </c>
      <c r="J6" s="373">
        <v>1</v>
      </c>
      <c r="K6" s="374">
        <v>1</v>
      </c>
      <c r="L6" s="375">
        <f t="shared" si="4"/>
        <v>0</v>
      </c>
      <c r="M6" s="373">
        <v>1</v>
      </c>
      <c r="N6" s="374">
        <v>1</v>
      </c>
      <c r="O6" s="375">
        <f t="shared" si="5"/>
        <v>0</v>
      </c>
      <c r="P6" s="373">
        <v>1</v>
      </c>
      <c r="Q6" s="374">
        <v>1</v>
      </c>
      <c r="R6" s="375">
        <f t="shared" si="6"/>
        <v>0</v>
      </c>
      <c r="S6" s="373">
        <v>1</v>
      </c>
      <c r="T6" s="374">
        <v>1</v>
      </c>
      <c r="U6" s="377">
        <f t="shared" si="7"/>
        <v>0</v>
      </c>
      <c r="V6" s="369"/>
    </row>
    <row r="7" spans="1:22" x14ac:dyDescent="0.3">
      <c r="A7" s="703"/>
      <c r="B7" s="706"/>
      <c r="C7" s="25" t="s">
        <v>28</v>
      </c>
      <c r="D7" s="370">
        <f t="shared" si="2"/>
        <v>5</v>
      </c>
      <c r="E7" s="371">
        <f t="shared" si="0"/>
        <v>5</v>
      </c>
      <c r="F7" s="372">
        <f t="shared" si="1"/>
        <v>0</v>
      </c>
      <c r="G7" s="373">
        <v>1</v>
      </c>
      <c r="H7" s="374">
        <v>1</v>
      </c>
      <c r="I7" s="375">
        <f t="shared" si="3"/>
        <v>0</v>
      </c>
      <c r="J7" s="373">
        <v>1</v>
      </c>
      <c r="K7" s="374">
        <v>1</v>
      </c>
      <c r="L7" s="375">
        <f t="shared" si="4"/>
        <v>0</v>
      </c>
      <c r="M7" s="373">
        <v>1</v>
      </c>
      <c r="N7" s="374">
        <v>1</v>
      </c>
      <c r="O7" s="375">
        <f t="shared" si="5"/>
        <v>0</v>
      </c>
      <c r="P7" s="373">
        <v>1</v>
      </c>
      <c r="Q7" s="374">
        <v>1</v>
      </c>
      <c r="R7" s="375">
        <f t="shared" si="6"/>
        <v>0</v>
      </c>
      <c r="S7" s="373">
        <v>1</v>
      </c>
      <c r="T7" s="374">
        <v>1</v>
      </c>
      <c r="U7" s="377">
        <f t="shared" si="7"/>
        <v>0</v>
      </c>
      <c r="V7" s="369"/>
    </row>
    <row r="8" spans="1:22" x14ac:dyDescent="0.3">
      <c r="A8" s="703"/>
      <c r="B8" s="706"/>
      <c r="C8" s="25" t="s">
        <v>29</v>
      </c>
      <c r="D8" s="370">
        <f t="shared" si="2"/>
        <v>5</v>
      </c>
      <c r="E8" s="371">
        <f t="shared" si="0"/>
        <v>5</v>
      </c>
      <c r="F8" s="372">
        <f t="shared" si="1"/>
        <v>0</v>
      </c>
      <c r="G8" s="373">
        <v>1</v>
      </c>
      <c r="H8" s="374">
        <v>1</v>
      </c>
      <c r="I8" s="375">
        <f t="shared" si="3"/>
        <v>0</v>
      </c>
      <c r="J8" s="373">
        <v>1</v>
      </c>
      <c r="K8" s="374">
        <v>1</v>
      </c>
      <c r="L8" s="375">
        <f t="shared" si="4"/>
        <v>0</v>
      </c>
      <c r="M8" s="373">
        <v>1</v>
      </c>
      <c r="N8" s="374">
        <v>1</v>
      </c>
      <c r="O8" s="375">
        <f t="shared" si="5"/>
        <v>0</v>
      </c>
      <c r="P8" s="373">
        <v>1</v>
      </c>
      <c r="Q8" s="374">
        <v>1</v>
      </c>
      <c r="R8" s="375">
        <f t="shared" si="6"/>
        <v>0</v>
      </c>
      <c r="S8" s="373">
        <v>1</v>
      </c>
      <c r="T8" s="374">
        <v>1</v>
      </c>
      <c r="U8" s="377">
        <f t="shared" si="7"/>
        <v>0</v>
      </c>
      <c r="V8" s="369"/>
    </row>
    <row r="9" spans="1:22" x14ac:dyDescent="0.3">
      <c r="A9" s="703"/>
      <c r="B9" s="706"/>
      <c r="C9" s="25" t="s">
        <v>30</v>
      </c>
      <c r="D9" s="370">
        <f t="shared" si="2"/>
        <v>5</v>
      </c>
      <c r="E9" s="371">
        <f t="shared" si="0"/>
        <v>5</v>
      </c>
      <c r="F9" s="372">
        <f t="shared" si="1"/>
        <v>0</v>
      </c>
      <c r="G9" s="373">
        <v>1</v>
      </c>
      <c r="H9" s="374">
        <v>1</v>
      </c>
      <c r="I9" s="375">
        <f t="shared" si="3"/>
        <v>0</v>
      </c>
      <c r="J9" s="373">
        <v>1</v>
      </c>
      <c r="K9" s="374">
        <v>1</v>
      </c>
      <c r="L9" s="375">
        <f t="shared" si="4"/>
        <v>0</v>
      </c>
      <c r="M9" s="373">
        <v>1</v>
      </c>
      <c r="N9" s="374">
        <v>1</v>
      </c>
      <c r="O9" s="375">
        <f t="shared" si="5"/>
        <v>0</v>
      </c>
      <c r="P9" s="373">
        <v>1</v>
      </c>
      <c r="Q9" s="374">
        <v>1</v>
      </c>
      <c r="R9" s="375">
        <f t="shared" si="6"/>
        <v>0</v>
      </c>
      <c r="S9" s="373">
        <v>1</v>
      </c>
      <c r="T9" s="374">
        <v>1</v>
      </c>
      <c r="U9" s="377">
        <f t="shared" si="7"/>
        <v>0</v>
      </c>
      <c r="V9" s="369"/>
    </row>
    <row r="10" spans="1:22" x14ac:dyDescent="0.3">
      <c r="A10" s="703"/>
      <c r="B10" s="706"/>
      <c r="C10" s="25" t="s">
        <v>31</v>
      </c>
      <c r="D10" s="370">
        <f t="shared" si="2"/>
        <v>5</v>
      </c>
      <c r="E10" s="371">
        <f t="shared" si="0"/>
        <v>5</v>
      </c>
      <c r="F10" s="372">
        <f t="shared" si="1"/>
        <v>0</v>
      </c>
      <c r="G10" s="373">
        <v>1</v>
      </c>
      <c r="H10" s="374">
        <v>1</v>
      </c>
      <c r="I10" s="375">
        <f t="shared" si="3"/>
        <v>0</v>
      </c>
      <c r="J10" s="373">
        <v>1</v>
      </c>
      <c r="K10" s="374">
        <v>1</v>
      </c>
      <c r="L10" s="375">
        <f t="shared" si="4"/>
        <v>0</v>
      </c>
      <c r="M10" s="373">
        <v>1</v>
      </c>
      <c r="N10" s="374">
        <v>1</v>
      </c>
      <c r="O10" s="375">
        <f t="shared" si="5"/>
        <v>0</v>
      </c>
      <c r="P10" s="373">
        <v>1</v>
      </c>
      <c r="Q10" s="374">
        <v>1</v>
      </c>
      <c r="R10" s="375">
        <f t="shared" si="6"/>
        <v>0</v>
      </c>
      <c r="S10" s="373">
        <v>1</v>
      </c>
      <c r="T10" s="374">
        <v>1</v>
      </c>
      <c r="U10" s="377">
        <f t="shared" si="7"/>
        <v>0</v>
      </c>
      <c r="V10" s="369"/>
    </row>
    <row r="11" spans="1:22" x14ac:dyDescent="0.3">
      <c r="A11" s="703"/>
      <c r="B11" s="706"/>
      <c r="C11" s="25" t="s">
        <v>32</v>
      </c>
      <c r="D11" s="370">
        <f t="shared" si="2"/>
        <v>5</v>
      </c>
      <c r="E11" s="371">
        <f t="shared" si="0"/>
        <v>5</v>
      </c>
      <c r="F11" s="372">
        <f t="shared" si="1"/>
        <v>0</v>
      </c>
      <c r="G11" s="373">
        <v>1</v>
      </c>
      <c r="H11" s="374">
        <v>1</v>
      </c>
      <c r="I11" s="375">
        <f t="shared" si="3"/>
        <v>0</v>
      </c>
      <c r="J11" s="373">
        <v>1</v>
      </c>
      <c r="K11" s="374">
        <v>1</v>
      </c>
      <c r="L11" s="375">
        <f t="shared" si="4"/>
        <v>0</v>
      </c>
      <c r="M11" s="373">
        <v>1</v>
      </c>
      <c r="N11" s="374">
        <v>1</v>
      </c>
      <c r="O11" s="375">
        <f t="shared" si="5"/>
        <v>0</v>
      </c>
      <c r="P11" s="373">
        <v>1</v>
      </c>
      <c r="Q11" s="374">
        <v>1</v>
      </c>
      <c r="R11" s="375">
        <f t="shared" si="6"/>
        <v>0</v>
      </c>
      <c r="S11" s="373">
        <v>1</v>
      </c>
      <c r="T11" s="374">
        <v>1</v>
      </c>
      <c r="U11" s="377">
        <f t="shared" si="7"/>
        <v>0</v>
      </c>
      <c r="V11" s="369"/>
    </row>
    <row r="12" spans="1:22" x14ac:dyDescent="0.3">
      <c r="A12" s="703"/>
      <c r="B12" s="706"/>
      <c r="C12" s="25" t="s">
        <v>33</v>
      </c>
      <c r="D12" s="370">
        <f t="shared" si="2"/>
        <v>5</v>
      </c>
      <c r="E12" s="371">
        <f t="shared" si="0"/>
        <v>5</v>
      </c>
      <c r="F12" s="372">
        <f t="shared" si="1"/>
        <v>0</v>
      </c>
      <c r="G12" s="373">
        <v>1</v>
      </c>
      <c r="H12" s="374">
        <v>1</v>
      </c>
      <c r="I12" s="375">
        <f t="shared" si="3"/>
        <v>0</v>
      </c>
      <c r="J12" s="373">
        <v>1</v>
      </c>
      <c r="K12" s="374">
        <v>1</v>
      </c>
      <c r="L12" s="375">
        <f t="shared" si="4"/>
        <v>0</v>
      </c>
      <c r="M12" s="373">
        <v>1</v>
      </c>
      <c r="N12" s="374">
        <v>1</v>
      </c>
      <c r="O12" s="375">
        <f t="shared" si="5"/>
        <v>0</v>
      </c>
      <c r="P12" s="373">
        <v>1</v>
      </c>
      <c r="Q12" s="374">
        <v>1</v>
      </c>
      <c r="R12" s="375">
        <f t="shared" si="6"/>
        <v>0</v>
      </c>
      <c r="S12" s="373">
        <v>1</v>
      </c>
      <c r="T12" s="374">
        <v>1</v>
      </c>
      <c r="U12" s="377">
        <f t="shared" si="7"/>
        <v>0</v>
      </c>
      <c r="V12" s="369"/>
    </row>
    <row r="13" spans="1:22" ht="15" thickBot="1" x14ac:dyDescent="0.35">
      <c r="A13" s="704"/>
      <c r="B13" s="707"/>
      <c r="C13" s="378" t="s">
        <v>34</v>
      </c>
      <c r="D13" s="379">
        <f t="shared" si="2"/>
        <v>5</v>
      </c>
      <c r="E13" s="380">
        <f t="shared" si="0"/>
        <v>5</v>
      </c>
      <c r="F13" s="381">
        <f t="shared" si="1"/>
        <v>0</v>
      </c>
      <c r="G13" s="373">
        <v>1</v>
      </c>
      <c r="H13" s="374">
        <v>1</v>
      </c>
      <c r="I13" s="384">
        <f t="shared" si="3"/>
        <v>0</v>
      </c>
      <c r="J13" s="373">
        <v>1</v>
      </c>
      <c r="K13" s="374">
        <v>1</v>
      </c>
      <c r="L13" s="384">
        <f t="shared" si="4"/>
        <v>0</v>
      </c>
      <c r="M13" s="373">
        <v>1</v>
      </c>
      <c r="N13" s="374">
        <v>1</v>
      </c>
      <c r="O13" s="384">
        <f t="shared" si="5"/>
        <v>0</v>
      </c>
      <c r="P13" s="373">
        <v>1</v>
      </c>
      <c r="Q13" s="374">
        <v>1</v>
      </c>
      <c r="R13" s="384">
        <f t="shared" si="6"/>
        <v>0</v>
      </c>
      <c r="S13" s="373">
        <v>1</v>
      </c>
      <c r="T13" s="374">
        <v>1</v>
      </c>
      <c r="U13" s="386">
        <f t="shared" si="7"/>
        <v>0</v>
      </c>
      <c r="V13" s="369"/>
    </row>
    <row r="14" spans="1:22" x14ac:dyDescent="0.3">
      <c r="A14" s="702" t="s">
        <v>196</v>
      </c>
      <c r="B14" s="705" t="s">
        <v>13</v>
      </c>
      <c r="C14" s="360" t="s">
        <v>25</v>
      </c>
      <c r="D14" s="387"/>
      <c r="E14" s="388"/>
      <c r="F14" s="389"/>
      <c r="G14" s="364">
        <v>0</v>
      </c>
      <c r="H14" s="364">
        <v>0</v>
      </c>
      <c r="I14" s="392">
        <f t="shared" si="3"/>
        <v>0</v>
      </c>
      <c r="J14" s="364">
        <v>0</v>
      </c>
      <c r="K14" s="364">
        <v>0</v>
      </c>
      <c r="L14" s="392">
        <f t="shared" si="4"/>
        <v>0</v>
      </c>
      <c r="M14" s="364">
        <v>0</v>
      </c>
      <c r="N14" s="364">
        <v>0</v>
      </c>
      <c r="O14" s="392">
        <f t="shared" si="5"/>
        <v>0</v>
      </c>
      <c r="P14" s="364">
        <v>0</v>
      </c>
      <c r="Q14" s="364">
        <v>0</v>
      </c>
      <c r="R14" s="392">
        <f t="shared" si="6"/>
        <v>0</v>
      </c>
      <c r="S14" s="364">
        <v>0</v>
      </c>
      <c r="T14" s="364">
        <v>0</v>
      </c>
      <c r="U14" s="393">
        <f t="shared" si="7"/>
        <v>0</v>
      </c>
      <c r="V14" s="369"/>
    </row>
    <row r="15" spans="1:22" x14ac:dyDescent="0.3">
      <c r="A15" s="703"/>
      <c r="B15" s="706"/>
      <c r="C15" s="25" t="s">
        <v>26</v>
      </c>
      <c r="D15" s="394"/>
      <c r="E15" s="395"/>
      <c r="F15" s="396"/>
      <c r="G15" s="373">
        <v>0</v>
      </c>
      <c r="H15" s="374">
        <v>0</v>
      </c>
      <c r="I15" s="399">
        <f t="shared" si="3"/>
        <v>0</v>
      </c>
      <c r="J15" s="373">
        <v>0</v>
      </c>
      <c r="K15" s="374">
        <v>0</v>
      </c>
      <c r="L15" s="399">
        <f t="shared" si="4"/>
        <v>0</v>
      </c>
      <c r="M15" s="373">
        <v>0</v>
      </c>
      <c r="N15" s="374">
        <v>0</v>
      </c>
      <c r="O15" s="399">
        <f t="shared" si="5"/>
        <v>0</v>
      </c>
      <c r="P15" s="373">
        <v>0</v>
      </c>
      <c r="Q15" s="374">
        <v>0</v>
      </c>
      <c r="R15" s="399">
        <f t="shared" si="6"/>
        <v>0</v>
      </c>
      <c r="S15" s="373">
        <v>0</v>
      </c>
      <c r="T15" s="374">
        <v>0</v>
      </c>
      <c r="U15" s="400">
        <f t="shared" si="7"/>
        <v>0</v>
      </c>
      <c r="V15" s="369"/>
    </row>
    <row r="16" spans="1:22" x14ac:dyDescent="0.3">
      <c r="A16" s="703"/>
      <c r="B16" s="706"/>
      <c r="C16" s="25" t="s">
        <v>27</v>
      </c>
      <c r="D16" s="394"/>
      <c r="E16" s="395"/>
      <c r="F16" s="396"/>
      <c r="G16" s="373">
        <v>0</v>
      </c>
      <c r="H16" s="374">
        <v>0</v>
      </c>
      <c r="I16" s="399">
        <f t="shared" si="3"/>
        <v>0</v>
      </c>
      <c r="J16" s="373">
        <v>0</v>
      </c>
      <c r="K16" s="374">
        <v>0</v>
      </c>
      <c r="L16" s="399">
        <f t="shared" si="4"/>
        <v>0</v>
      </c>
      <c r="M16" s="373">
        <v>0</v>
      </c>
      <c r="N16" s="374">
        <v>0</v>
      </c>
      <c r="O16" s="399">
        <f t="shared" si="5"/>
        <v>0</v>
      </c>
      <c r="P16" s="373">
        <v>0</v>
      </c>
      <c r="Q16" s="374">
        <v>0</v>
      </c>
      <c r="R16" s="399">
        <f t="shared" si="6"/>
        <v>0</v>
      </c>
      <c r="S16" s="373">
        <v>0</v>
      </c>
      <c r="T16" s="374">
        <v>0</v>
      </c>
      <c r="U16" s="400">
        <f t="shared" si="7"/>
        <v>0</v>
      </c>
      <c r="V16" s="369"/>
    </row>
    <row r="17" spans="1:22" x14ac:dyDescent="0.3">
      <c r="A17" s="703"/>
      <c r="B17" s="706"/>
      <c r="C17" s="25" t="s">
        <v>28</v>
      </c>
      <c r="D17" s="394"/>
      <c r="E17" s="395"/>
      <c r="F17" s="396"/>
      <c r="G17" s="373">
        <v>0</v>
      </c>
      <c r="H17" s="374">
        <v>0</v>
      </c>
      <c r="I17" s="399">
        <f t="shared" si="3"/>
        <v>0</v>
      </c>
      <c r="J17" s="373">
        <v>0</v>
      </c>
      <c r="K17" s="374">
        <v>0</v>
      </c>
      <c r="L17" s="399">
        <f t="shared" si="4"/>
        <v>0</v>
      </c>
      <c r="M17" s="373">
        <v>0</v>
      </c>
      <c r="N17" s="374">
        <v>0</v>
      </c>
      <c r="O17" s="399">
        <f t="shared" si="5"/>
        <v>0</v>
      </c>
      <c r="P17" s="373">
        <v>0</v>
      </c>
      <c r="Q17" s="374">
        <v>0</v>
      </c>
      <c r="R17" s="399">
        <f t="shared" si="6"/>
        <v>0</v>
      </c>
      <c r="S17" s="373">
        <v>0</v>
      </c>
      <c r="T17" s="374">
        <v>0</v>
      </c>
      <c r="U17" s="400">
        <f t="shared" si="7"/>
        <v>0</v>
      </c>
      <c r="V17" s="369"/>
    </row>
    <row r="18" spans="1:22" x14ac:dyDescent="0.3">
      <c r="A18" s="703"/>
      <c r="B18" s="706"/>
      <c r="C18" s="25" t="s">
        <v>29</v>
      </c>
      <c r="D18" s="394"/>
      <c r="E18" s="395"/>
      <c r="F18" s="396"/>
      <c r="G18" s="373">
        <v>0</v>
      </c>
      <c r="H18" s="374">
        <v>0</v>
      </c>
      <c r="I18" s="399">
        <f t="shared" si="3"/>
        <v>0</v>
      </c>
      <c r="J18" s="373">
        <v>0</v>
      </c>
      <c r="K18" s="374">
        <v>0</v>
      </c>
      <c r="L18" s="399">
        <f t="shared" si="4"/>
        <v>0</v>
      </c>
      <c r="M18" s="373">
        <v>0</v>
      </c>
      <c r="N18" s="374">
        <v>0</v>
      </c>
      <c r="O18" s="399">
        <f t="shared" si="5"/>
        <v>0</v>
      </c>
      <c r="P18" s="373">
        <v>0</v>
      </c>
      <c r="Q18" s="374">
        <v>0</v>
      </c>
      <c r="R18" s="399">
        <f t="shared" si="6"/>
        <v>0</v>
      </c>
      <c r="S18" s="373">
        <v>0</v>
      </c>
      <c r="T18" s="374">
        <v>0</v>
      </c>
      <c r="U18" s="400">
        <f t="shared" si="7"/>
        <v>0</v>
      </c>
      <c r="V18" s="369"/>
    </row>
    <row r="19" spans="1:22" x14ac:dyDescent="0.3">
      <c r="A19" s="703"/>
      <c r="B19" s="706"/>
      <c r="C19" s="25" t="s">
        <v>30</v>
      </c>
      <c r="D19" s="394"/>
      <c r="E19" s="395"/>
      <c r="F19" s="396"/>
      <c r="G19" s="373">
        <v>0</v>
      </c>
      <c r="H19" s="374">
        <v>0</v>
      </c>
      <c r="I19" s="399">
        <f t="shared" si="3"/>
        <v>0</v>
      </c>
      <c r="J19" s="373">
        <v>0</v>
      </c>
      <c r="K19" s="374">
        <v>0</v>
      </c>
      <c r="L19" s="399">
        <f t="shared" si="4"/>
        <v>0</v>
      </c>
      <c r="M19" s="373">
        <v>0</v>
      </c>
      <c r="N19" s="374">
        <v>0</v>
      </c>
      <c r="O19" s="399">
        <f t="shared" si="5"/>
        <v>0</v>
      </c>
      <c r="P19" s="373">
        <v>0</v>
      </c>
      <c r="Q19" s="374">
        <v>0</v>
      </c>
      <c r="R19" s="399">
        <f t="shared" si="6"/>
        <v>0</v>
      </c>
      <c r="S19" s="373">
        <v>0</v>
      </c>
      <c r="T19" s="374">
        <v>0</v>
      </c>
      <c r="U19" s="400">
        <f t="shared" si="7"/>
        <v>0</v>
      </c>
      <c r="V19" s="369"/>
    </row>
    <row r="20" spans="1:22" x14ac:dyDescent="0.3">
      <c r="A20" s="703"/>
      <c r="B20" s="706"/>
      <c r="C20" s="25" t="s">
        <v>31</v>
      </c>
      <c r="D20" s="394"/>
      <c r="E20" s="395"/>
      <c r="F20" s="396"/>
      <c r="G20" s="373">
        <v>0</v>
      </c>
      <c r="H20" s="374">
        <v>0</v>
      </c>
      <c r="I20" s="399">
        <f t="shared" si="3"/>
        <v>0</v>
      </c>
      <c r="J20" s="373">
        <v>0</v>
      </c>
      <c r="K20" s="374">
        <v>0</v>
      </c>
      <c r="L20" s="399">
        <f t="shared" si="4"/>
        <v>0</v>
      </c>
      <c r="M20" s="373">
        <v>0</v>
      </c>
      <c r="N20" s="374">
        <v>0</v>
      </c>
      <c r="O20" s="399">
        <f t="shared" si="5"/>
        <v>0</v>
      </c>
      <c r="P20" s="373">
        <v>0</v>
      </c>
      <c r="Q20" s="374">
        <v>0</v>
      </c>
      <c r="R20" s="399">
        <f t="shared" si="6"/>
        <v>0</v>
      </c>
      <c r="S20" s="373">
        <v>0</v>
      </c>
      <c r="T20" s="374">
        <v>0</v>
      </c>
      <c r="U20" s="400">
        <f t="shared" si="7"/>
        <v>0</v>
      </c>
      <c r="V20" s="369"/>
    </row>
    <row r="21" spans="1:22" x14ac:dyDescent="0.3">
      <c r="A21" s="703"/>
      <c r="B21" s="706"/>
      <c r="C21" s="25" t="s">
        <v>32</v>
      </c>
      <c r="D21" s="394"/>
      <c r="E21" s="395"/>
      <c r="F21" s="396"/>
      <c r="G21" s="373">
        <v>0</v>
      </c>
      <c r="H21" s="374">
        <v>0</v>
      </c>
      <c r="I21" s="399">
        <f t="shared" si="3"/>
        <v>0</v>
      </c>
      <c r="J21" s="373">
        <v>0</v>
      </c>
      <c r="K21" s="374">
        <v>0</v>
      </c>
      <c r="L21" s="399">
        <f t="shared" si="4"/>
        <v>0</v>
      </c>
      <c r="M21" s="373">
        <v>0</v>
      </c>
      <c r="N21" s="374">
        <v>0</v>
      </c>
      <c r="O21" s="399">
        <f t="shared" si="5"/>
        <v>0</v>
      </c>
      <c r="P21" s="373">
        <v>0</v>
      </c>
      <c r="Q21" s="374">
        <v>0</v>
      </c>
      <c r="R21" s="399">
        <f t="shared" si="6"/>
        <v>0</v>
      </c>
      <c r="S21" s="373">
        <v>0</v>
      </c>
      <c r="T21" s="374">
        <v>0</v>
      </c>
      <c r="U21" s="400">
        <f t="shared" si="7"/>
        <v>0</v>
      </c>
      <c r="V21" s="369"/>
    </row>
    <row r="22" spans="1:22" x14ac:dyDescent="0.3">
      <c r="A22" s="703"/>
      <c r="B22" s="706"/>
      <c r="C22" s="25" t="s">
        <v>33</v>
      </c>
      <c r="D22" s="394"/>
      <c r="E22" s="395"/>
      <c r="F22" s="396"/>
      <c r="G22" s="373">
        <v>0</v>
      </c>
      <c r="H22" s="374">
        <v>0</v>
      </c>
      <c r="I22" s="399">
        <f t="shared" si="3"/>
        <v>0</v>
      </c>
      <c r="J22" s="373">
        <v>0</v>
      </c>
      <c r="K22" s="374">
        <v>0</v>
      </c>
      <c r="L22" s="399">
        <f t="shared" si="4"/>
        <v>0</v>
      </c>
      <c r="M22" s="373">
        <v>0</v>
      </c>
      <c r="N22" s="374">
        <v>0</v>
      </c>
      <c r="O22" s="399">
        <f t="shared" si="5"/>
        <v>0</v>
      </c>
      <c r="P22" s="373">
        <v>0</v>
      </c>
      <c r="Q22" s="374">
        <v>0</v>
      </c>
      <c r="R22" s="399">
        <f t="shared" si="6"/>
        <v>0</v>
      </c>
      <c r="S22" s="373">
        <v>0</v>
      </c>
      <c r="T22" s="374">
        <v>0</v>
      </c>
      <c r="U22" s="400">
        <f t="shared" si="7"/>
        <v>0</v>
      </c>
      <c r="V22" s="369"/>
    </row>
    <row r="23" spans="1:22" ht="15" thickBot="1" x14ac:dyDescent="0.35">
      <c r="A23" s="704"/>
      <c r="B23" s="707"/>
      <c r="C23" s="378" t="s">
        <v>34</v>
      </c>
      <c r="D23" s="401"/>
      <c r="E23" s="402"/>
      <c r="F23" s="403"/>
      <c r="G23" s="373">
        <v>0</v>
      </c>
      <c r="H23" s="374">
        <v>0</v>
      </c>
      <c r="I23" s="405">
        <f t="shared" si="3"/>
        <v>0</v>
      </c>
      <c r="J23" s="373">
        <v>0</v>
      </c>
      <c r="K23" s="374">
        <v>0</v>
      </c>
      <c r="L23" s="405">
        <f t="shared" si="4"/>
        <v>0</v>
      </c>
      <c r="M23" s="373">
        <v>0</v>
      </c>
      <c r="N23" s="374">
        <v>0</v>
      </c>
      <c r="O23" s="405">
        <f t="shared" si="5"/>
        <v>0</v>
      </c>
      <c r="P23" s="373">
        <v>0</v>
      </c>
      <c r="Q23" s="374">
        <v>0</v>
      </c>
      <c r="R23" s="405">
        <f t="shared" si="6"/>
        <v>0</v>
      </c>
      <c r="S23" s="373">
        <v>0</v>
      </c>
      <c r="T23" s="374">
        <v>0</v>
      </c>
      <c r="U23" s="406">
        <f t="shared" si="7"/>
        <v>0</v>
      </c>
      <c r="V23" s="369"/>
    </row>
    <row r="24" spans="1:22" s="408" customFormat="1" ht="14.25" customHeight="1" x14ac:dyDescent="0.3">
      <c r="A24" s="702" t="s">
        <v>42</v>
      </c>
      <c r="B24" s="705" t="s">
        <v>13</v>
      </c>
      <c r="C24" s="360" t="s">
        <v>25</v>
      </c>
      <c r="D24" s="387"/>
      <c r="E24" s="388"/>
      <c r="F24" s="389"/>
      <c r="G24" s="364">
        <v>0</v>
      </c>
      <c r="H24" s="364">
        <v>0</v>
      </c>
      <c r="I24" s="392">
        <f>H24-G24</f>
        <v>0</v>
      </c>
      <c r="J24" s="364">
        <v>0</v>
      </c>
      <c r="K24" s="364">
        <v>0</v>
      </c>
      <c r="L24" s="392">
        <f>K24-J24</f>
        <v>0</v>
      </c>
      <c r="M24" s="364">
        <v>0</v>
      </c>
      <c r="N24" s="364">
        <v>0</v>
      </c>
      <c r="O24" s="392">
        <f>N24-M24</f>
        <v>0</v>
      </c>
      <c r="P24" s="364">
        <v>0</v>
      </c>
      <c r="Q24" s="364">
        <v>0</v>
      </c>
      <c r="R24" s="392">
        <f>Q24-P24</f>
        <v>0</v>
      </c>
      <c r="S24" s="364">
        <v>0</v>
      </c>
      <c r="T24" s="364">
        <v>0</v>
      </c>
      <c r="U24" s="393">
        <f>T24-S24</f>
        <v>0</v>
      </c>
      <c r="V24" s="407"/>
    </row>
    <row r="25" spans="1:22" x14ac:dyDescent="0.3">
      <c r="A25" s="703"/>
      <c r="B25" s="706"/>
      <c r="C25" s="25" t="s">
        <v>26</v>
      </c>
      <c r="D25" s="394"/>
      <c r="E25" s="395"/>
      <c r="F25" s="396"/>
      <c r="G25" s="373">
        <v>0</v>
      </c>
      <c r="H25" s="374">
        <v>0</v>
      </c>
      <c r="I25" s="399">
        <f t="shared" ref="I25:I42" si="8">H25-G25</f>
        <v>0</v>
      </c>
      <c r="J25" s="373">
        <v>0</v>
      </c>
      <c r="K25" s="374">
        <v>0</v>
      </c>
      <c r="L25" s="399">
        <f t="shared" ref="L25:L42" si="9">K25-J25</f>
        <v>0</v>
      </c>
      <c r="M25" s="373">
        <v>0</v>
      </c>
      <c r="N25" s="374">
        <v>0</v>
      </c>
      <c r="O25" s="399">
        <f t="shared" ref="O25:O42" si="10">N25-M25</f>
        <v>0</v>
      </c>
      <c r="P25" s="373">
        <v>0</v>
      </c>
      <c r="Q25" s="374">
        <v>0</v>
      </c>
      <c r="R25" s="399">
        <f t="shared" ref="R25:R42" si="11">Q25-P25</f>
        <v>0</v>
      </c>
      <c r="S25" s="373">
        <v>0</v>
      </c>
      <c r="T25" s="374">
        <v>0</v>
      </c>
      <c r="U25" s="400">
        <f t="shared" ref="U25:U52" si="12">T25-S25</f>
        <v>0</v>
      </c>
    </row>
    <row r="26" spans="1:22" x14ac:dyDescent="0.3">
      <c r="A26" s="703"/>
      <c r="B26" s="706"/>
      <c r="C26" s="25" t="s">
        <v>27</v>
      </c>
      <c r="D26" s="394"/>
      <c r="E26" s="395"/>
      <c r="F26" s="396"/>
      <c r="G26" s="373">
        <v>0</v>
      </c>
      <c r="H26" s="374">
        <v>0</v>
      </c>
      <c r="I26" s="399">
        <f t="shared" si="8"/>
        <v>0</v>
      </c>
      <c r="J26" s="373">
        <v>0</v>
      </c>
      <c r="K26" s="374">
        <v>0</v>
      </c>
      <c r="L26" s="399">
        <f t="shared" si="9"/>
        <v>0</v>
      </c>
      <c r="M26" s="373">
        <v>0</v>
      </c>
      <c r="N26" s="374">
        <v>0</v>
      </c>
      <c r="O26" s="399">
        <f t="shared" si="10"/>
        <v>0</v>
      </c>
      <c r="P26" s="373">
        <v>0</v>
      </c>
      <c r="Q26" s="374">
        <v>0</v>
      </c>
      <c r="R26" s="399">
        <f t="shared" si="11"/>
        <v>0</v>
      </c>
      <c r="S26" s="373">
        <v>0</v>
      </c>
      <c r="T26" s="374">
        <v>0</v>
      </c>
      <c r="U26" s="400">
        <f t="shared" si="12"/>
        <v>0</v>
      </c>
    </row>
    <row r="27" spans="1:22" x14ac:dyDescent="0.3">
      <c r="A27" s="703"/>
      <c r="B27" s="706"/>
      <c r="C27" s="25" t="s">
        <v>28</v>
      </c>
      <c r="D27" s="394"/>
      <c r="E27" s="395"/>
      <c r="F27" s="396"/>
      <c r="G27" s="373">
        <v>0</v>
      </c>
      <c r="H27" s="374">
        <v>0</v>
      </c>
      <c r="I27" s="399">
        <f t="shared" si="8"/>
        <v>0</v>
      </c>
      <c r="J27" s="373">
        <v>0</v>
      </c>
      <c r="K27" s="374">
        <v>0</v>
      </c>
      <c r="L27" s="399">
        <f t="shared" si="9"/>
        <v>0</v>
      </c>
      <c r="M27" s="373">
        <v>0</v>
      </c>
      <c r="N27" s="374">
        <v>0</v>
      </c>
      <c r="O27" s="399">
        <f t="shared" si="10"/>
        <v>0</v>
      </c>
      <c r="P27" s="373">
        <v>0</v>
      </c>
      <c r="Q27" s="374">
        <v>0</v>
      </c>
      <c r="R27" s="399">
        <f t="shared" si="11"/>
        <v>0</v>
      </c>
      <c r="S27" s="373">
        <v>0</v>
      </c>
      <c r="T27" s="374">
        <v>0</v>
      </c>
      <c r="U27" s="400">
        <f t="shared" si="12"/>
        <v>0</v>
      </c>
    </row>
    <row r="28" spans="1:22" x14ac:dyDescent="0.3">
      <c r="A28" s="703"/>
      <c r="B28" s="706"/>
      <c r="C28" s="25" t="s">
        <v>29</v>
      </c>
      <c r="D28" s="394"/>
      <c r="E28" s="395"/>
      <c r="F28" s="396"/>
      <c r="G28" s="373">
        <v>0</v>
      </c>
      <c r="H28" s="374">
        <v>0</v>
      </c>
      <c r="I28" s="399">
        <f t="shared" si="8"/>
        <v>0</v>
      </c>
      <c r="J28" s="373">
        <v>0</v>
      </c>
      <c r="K28" s="374">
        <v>0</v>
      </c>
      <c r="L28" s="399">
        <f t="shared" si="9"/>
        <v>0</v>
      </c>
      <c r="M28" s="373">
        <v>0</v>
      </c>
      <c r="N28" s="374">
        <v>0</v>
      </c>
      <c r="O28" s="399">
        <f t="shared" si="10"/>
        <v>0</v>
      </c>
      <c r="P28" s="373">
        <v>0</v>
      </c>
      <c r="Q28" s="374">
        <v>0</v>
      </c>
      <c r="R28" s="399">
        <f t="shared" si="11"/>
        <v>0</v>
      </c>
      <c r="S28" s="373">
        <v>0</v>
      </c>
      <c r="T28" s="374">
        <v>0</v>
      </c>
      <c r="U28" s="400">
        <f t="shared" si="12"/>
        <v>0</v>
      </c>
    </row>
    <row r="29" spans="1:22" x14ac:dyDescent="0.3">
      <c r="A29" s="703"/>
      <c r="B29" s="706"/>
      <c r="C29" s="25" t="s">
        <v>30</v>
      </c>
      <c r="D29" s="394"/>
      <c r="E29" s="395"/>
      <c r="F29" s="396"/>
      <c r="G29" s="373">
        <v>0</v>
      </c>
      <c r="H29" s="374">
        <v>0</v>
      </c>
      <c r="I29" s="399">
        <f t="shared" si="8"/>
        <v>0</v>
      </c>
      <c r="J29" s="373">
        <v>0</v>
      </c>
      <c r="K29" s="374">
        <v>0</v>
      </c>
      <c r="L29" s="399">
        <f t="shared" si="9"/>
        <v>0</v>
      </c>
      <c r="M29" s="373">
        <v>0</v>
      </c>
      <c r="N29" s="374">
        <v>0</v>
      </c>
      <c r="O29" s="399">
        <f t="shared" si="10"/>
        <v>0</v>
      </c>
      <c r="P29" s="373">
        <v>0</v>
      </c>
      <c r="Q29" s="374">
        <v>0</v>
      </c>
      <c r="R29" s="399">
        <f t="shared" si="11"/>
        <v>0</v>
      </c>
      <c r="S29" s="373">
        <v>0</v>
      </c>
      <c r="T29" s="374">
        <v>0</v>
      </c>
      <c r="U29" s="400">
        <f t="shared" si="12"/>
        <v>0</v>
      </c>
    </row>
    <row r="30" spans="1:22" x14ac:dyDescent="0.3">
      <c r="A30" s="703"/>
      <c r="B30" s="706"/>
      <c r="C30" s="25" t="s">
        <v>31</v>
      </c>
      <c r="D30" s="394"/>
      <c r="E30" s="395"/>
      <c r="F30" s="396"/>
      <c r="G30" s="373">
        <v>0</v>
      </c>
      <c r="H30" s="374">
        <v>0</v>
      </c>
      <c r="I30" s="399">
        <f t="shared" si="8"/>
        <v>0</v>
      </c>
      <c r="J30" s="373">
        <v>0</v>
      </c>
      <c r="K30" s="374">
        <v>0</v>
      </c>
      <c r="L30" s="399">
        <f t="shared" si="9"/>
        <v>0</v>
      </c>
      <c r="M30" s="373">
        <v>0</v>
      </c>
      <c r="N30" s="374">
        <v>0</v>
      </c>
      <c r="O30" s="399">
        <f t="shared" si="10"/>
        <v>0</v>
      </c>
      <c r="P30" s="373">
        <v>0</v>
      </c>
      <c r="Q30" s="374">
        <v>0</v>
      </c>
      <c r="R30" s="399">
        <f t="shared" si="11"/>
        <v>0</v>
      </c>
      <c r="S30" s="373">
        <v>0</v>
      </c>
      <c r="T30" s="374">
        <v>0</v>
      </c>
      <c r="U30" s="400">
        <f t="shared" si="12"/>
        <v>0</v>
      </c>
    </row>
    <row r="31" spans="1:22" x14ac:dyDescent="0.3">
      <c r="A31" s="703"/>
      <c r="B31" s="706"/>
      <c r="C31" s="25" t="s">
        <v>32</v>
      </c>
      <c r="D31" s="394"/>
      <c r="E31" s="395"/>
      <c r="F31" s="396"/>
      <c r="G31" s="373">
        <v>0</v>
      </c>
      <c r="H31" s="374">
        <v>0</v>
      </c>
      <c r="I31" s="399">
        <f t="shared" si="8"/>
        <v>0</v>
      </c>
      <c r="J31" s="373">
        <v>0</v>
      </c>
      <c r="K31" s="374">
        <v>0</v>
      </c>
      <c r="L31" s="399">
        <f t="shared" si="9"/>
        <v>0</v>
      </c>
      <c r="M31" s="373">
        <v>0</v>
      </c>
      <c r="N31" s="374">
        <v>0</v>
      </c>
      <c r="O31" s="399">
        <f t="shared" si="10"/>
        <v>0</v>
      </c>
      <c r="P31" s="373">
        <v>0</v>
      </c>
      <c r="Q31" s="374">
        <v>0</v>
      </c>
      <c r="R31" s="399">
        <f t="shared" si="11"/>
        <v>0</v>
      </c>
      <c r="S31" s="373">
        <v>0</v>
      </c>
      <c r="T31" s="374">
        <v>0</v>
      </c>
      <c r="U31" s="400">
        <f t="shared" si="12"/>
        <v>0</v>
      </c>
    </row>
    <row r="32" spans="1:22" x14ac:dyDescent="0.3">
      <c r="A32" s="703"/>
      <c r="B32" s="706"/>
      <c r="C32" s="25" t="s">
        <v>33</v>
      </c>
      <c r="D32" s="394"/>
      <c r="E32" s="395"/>
      <c r="F32" s="396"/>
      <c r="G32" s="373">
        <v>0</v>
      </c>
      <c r="H32" s="374">
        <v>0</v>
      </c>
      <c r="I32" s="399">
        <f t="shared" si="8"/>
        <v>0</v>
      </c>
      <c r="J32" s="373">
        <v>0</v>
      </c>
      <c r="K32" s="374">
        <v>0</v>
      </c>
      <c r="L32" s="399">
        <f t="shared" si="9"/>
        <v>0</v>
      </c>
      <c r="M32" s="373">
        <v>0</v>
      </c>
      <c r="N32" s="374">
        <v>0</v>
      </c>
      <c r="O32" s="399">
        <f t="shared" si="10"/>
        <v>0</v>
      </c>
      <c r="P32" s="373">
        <v>0</v>
      </c>
      <c r="Q32" s="374">
        <v>0</v>
      </c>
      <c r="R32" s="399">
        <f t="shared" si="11"/>
        <v>0</v>
      </c>
      <c r="S32" s="373">
        <v>0</v>
      </c>
      <c r="T32" s="374">
        <v>0</v>
      </c>
      <c r="U32" s="400">
        <f t="shared" si="12"/>
        <v>0</v>
      </c>
    </row>
    <row r="33" spans="1:22" ht="15" thickBot="1" x14ac:dyDescent="0.35">
      <c r="A33" s="704"/>
      <c r="B33" s="707"/>
      <c r="C33" s="378" t="s">
        <v>34</v>
      </c>
      <c r="D33" s="401"/>
      <c r="E33" s="402"/>
      <c r="F33" s="403"/>
      <c r="G33" s="373">
        <v>0</v>
      </c>
      <c r="H33" s="374">
        <v>0</v>
      </c>
      <c r="I33" s="405">
        <f t="shared" si="8"/>
        <v>0</v>
      </c>
      <c r="J33" s="373">
        <v>0</v>
      </c>
      <c r="K33" s="374">
        <v>0</v>
      </c>
      <c r="L33" s="405">
        <f t="shared" si="9"/>
        <v>0</v>
      </c>
      <c r="M33" s="373">
        <v>0</v>
      </c>
      <c r="N33" s="374">
        <v>0</v>
      </c>
      <c r="O33" s="405">
        <f t="shared" si="10"/>
        <v>0</v>
      </c>
      <c r="P33" s="373">
        <v>0</v>
      </c>
      <c r="Q33" s="374">
        <v>0</v>
      </c>
      <c r="R33" s="405">
        <f t="shared" si="11"/>
        <v>0</v>
      </c>
      <c r="S33" s="373">
        <v>0</v>
      </c>
      <c r="T33" s="374">
        <v>0</v>
      </c>
      <c r="U33" s="406">
        <f t="shared" si="12"/>
        <v>0</v>
      </c>
    </row>
    <row r="34" spans="1:22" s="408" customFormat="1" ht="14.4" customHeight="1" x14ac:dyDescent="0.3">
      <c r="A34" s="702" t="s">
        <v>200</v>
      </c>
      <c r="B34" s="705" t="s">
        <v>193</v>
      </c>
      <c r="C34" s="360" t="s">
        <v>25</v>
      </c>
      <c r="D34" s="387"/>
      <c r="E34" s="388"/>
      <c r="F34" s="389"/>
      <c r="G34" s="390">
        <v>18400.496964909802</v>
      </c>
      <c r="H34" s="391">
        <f>G34</f>
        <v>18400.496964909802</v>
      </c>
      <c r="I34" s="392">
        <f t="shared" si="8"/>
        <v>0</v>
      </c>
      <c r="J34" s="391">
        <v>971780.21217828034</v>
      </c>
      <c r="K34" s="391">
        <f>J34</f>
        <v>971780.21217828034</v>
      </c>
      <c r="L34" s="392">
        <f t="shared" si="9"/>
        <v>0</v>
      </c>
      <c r="M34" s="391">
        <v>33280.371028751244</v>
      </c>
      <c r="N34" s="391">
        <f>M34</f>
        <v>33280.371028751244</v>
      </c>
      <c r="O34" s="392">
        <f t="shared" si="10"/>
        <v>0</v>
      </c>
      <c r="P34" s="391">
        <v>87946.594805293149</v>
      </c>
      <c r="Q34" s="391">
        <f>P34</f>
        <v>87946.594805293149</v>
      </c>
      <c r="R34" s="392">
        <f t="shared" si="11"/>
        <v>0</v>
      </c>
      <c r="S34" s="364"/>
      <c r="T34" s="364"/>
      <c r="U34" s="393">
        <f t="shared" si="12"/>
        <v>0</v>
      </c>
      <c r="V34" s="407">
        <f>'Analyza citlivosti - AgendovéIS'!N7</f>
        <v>0</v>
      </c>
    </row>
    <row r="35" spans="1:22" x14ac:dyDescent="0.3">
      <c r="A35" s="703"/>
      <c r="B35" s="706"/>
      <c r="C35" s="25" t="s">
        <v>26</v>
      </c>
      <c r="D35" s="394"/>
      <c r="E35" s="395"/>
      <c r="F35" s="396"/>
      <c r="G35" s="397">
        <f>G34</f>
        <v>18400.496964909802</v>
      </c>
      <c r="H35" s="398">
        <f>G35</f>
        <v>18400.496964909802</v>
      </c>
      <c r="I35" s="399">
        <f t="shared" si="8"/>
        <v>0</v>
      </c>
      <c r="J35" s="398">
        <f>J34</f>
        <v>971780.21217828034</v>
      </c>
      <c r="K35" s="398">
        <f>J35</f>
        <v>971780.21217828034</v>
      </c>
      <c r="L35" s="399">
        <f t="shared" si="9"/>
        <v>0</v>
      </c>
      <c r="M35" s="398">
        <f>M34</f>
        <v>33280.371028751244</v>
      </c>
      <c r="N35" s="398">
        <f>M35</f>
        <v>33280.371028751244</v>
      </c>
      <c r="O35" s="399">
        <f t="shared" si="10"/>
        <v>0</v>
      </c>
      <c r="P35" s="398">
        <f>P34</f>
        <v>87946.594805293149</v>
      </c>
      <c r="Q35" s="398">
        <f>P35</f>
        <v>87946.594805293149</v>
      </c>
      <c r="R35" s="399">
        <f t="shared" si="11"/>
        <v>0</v>
      </c>
      <c r="S35" s="373"/>
      <c r="T35" s="374"/>
      <c r="U35" s="400">
        <f t="shared" si="12"/>
        <v>0</v>
      </c>
    </row>
    <row r="36" spans="1:22" x14ac:dyDescent="0.3">
      <c r="A36" s="703"/>
      <c r="B36" s="706"/>
      <c r="C36" s="25" t="s">
        <v>27</v>
      </c>
      <c r="D36" s="394"/>
      <c r="E36" s="395"/>
      <c r="F36" s="396"/>
      <c r="G36" s="397">
        <f t="shared" ref="G36:G43" si="13">G35</f>
        <v>18400.496964909802</v>
      </c>
      <c r="H36" s="398">
        <v>14114.359311567598</v>
      </c>
      <c r="I36" s="399">
        <f t="shared" si="8"/>
        <v>-4286.1376533422044</v>
      </c>
      <c r="J36" s="398">
        <f t="shared" ref="J36:J43" si="14">J35</f>
        <v>971780.21217828034</v>
      </c>
      <c r="K36" s="398">
        <v>800979.50978438836</v>
      </c>
      <c r="L36" s="399">
        <f t="shared" si="9"/>
        <v>-170800.70239389199</v>
      </c>
      <c r="M36" s="398">
        <f t="shared" ref="M36:M43" si="15">M35</f>
        <v>33280.371028751244</v>
      </c>
      <c r="N36" s="398">
        <v>33078.266305002602</v>
      </c>
      <c r="O36" s="399">
        <f t="shared" si="10"/>
        <v>-202.10472374864185</v>
      </c>
      <c r="P36" s="398">
        <f t="shared" ref="P36:P43" si="16">P35</f>
        <v>87946.594805293149</v>
      </c>
      <c r="Q36" s="398">
        <v>77131.301953605958</v>
      </c>
      <c r="R36" s="399">
        <f t="shared" si="11"/>
        <v>-10815.292851687191</v>
      </c>
      <c r="S36" s="373"/>
      <c r="T36" s="374"/>
      <c r="U36" s="400">
        <f t="shared" si="12"/>
        <v>0</v>
      </c>
    </row>
    <row r="37" spans="1:22" x14ac:dyDescent="0.3">
      <c r="A37" s="703"/>
      <c r="B37" s="706"/>
      <c r="C37" s="25" t="s">
        <v>28</v>
      </c>
      <c r="D37" s="394"/>
      <c r="E37" s="395"/>
      <c r="F37" s="396"/>
      <c r="G37" s="397">
        <f t="shared" si="13"/>
        <v>18400.496964909802</v>
      </c>
      <c r="H37" s="398">
        <f>H36</f>
        <v>14114.359311567598</v>
      </c>
      <c r="I37" s="399">
        <f t="shared" si="8"/>
        <v>-4286.1376533422044</v>
      </c>
      <c r="J37" s="398">
        <f t="shared" si="14"/>
        <v>971780.21217828034</v>
      </c>
      <c r="K37" s="398">
        <f>K36</f>
        <v>800979.50978438836</v>
      </c>
      <c r="L37" s="399">
        <f t="shared" si="9"/>
        <v>-170800.70239389199</v>
      </c>
      <c r="M37" s="398">
        <f t="shared" si="15"/>
        <v>33280.371028751244</v>
      </c>
      <c r="N37" s="398">
        <f>N36</f>
        <v>33078.266305002602</v>
      </c>
      <c r="O37" s="399">
        <f t="shared" si="10"/>
        <v>-202.10472374864185</v>
      </c>
      <c r="P37" s="398">
        <f t="shared" si="16"/>
        <v>87946.594805293149</v>
      </c>
      <c r="Q37" s="398">
        <f>Q36</f>
        <v>77131.301953605958</v>
      </c>
      <c r="R37" s="399">
        <f t="shared" si="11"/>
        <v>-10815.292851687191</v>
      </c>
      <c r="S37" s="373"/>
      <c r="T37" s="374"/>
      <c r="U37" s="400">
        <f t="shared" si="12"/>
        <v>0</v>
      </c>
    </row>
    <row r="38" spans="1:22" x14ac:dyDescent="0.3">
      <c r="A38" s="703"/>
      <c r="B38" s="706"/>
      <c r="C38" s="25" t="s">
        <v>29</v>
      </c>
      <c r="D38" s="394"/>
      <c r="E38" s="395"/>
      <c r="F38" s="396"/>
      <c r="G38" s="397">
        <f t="shared" si="13"/>
        <v>18400.496964909802</v>
      </c>
      <c r="H38" s="398">
        <f t="shared" ref="H38:H43" si="17">H37</f>
        <v>14114.359311567598</v>
      </c>
      <c r="I38" s="399">
        <f t="shared" si="8"/>
        <v>-4286.1376533422044</v>
      </c>
      <c r="J38" s="398">
        <f t="shared" si="14"/>
        <v>971780.21217828034</v>
      </c>
      <c r="K38" s="398">
        <f t="shared" ref="K38:K43" si="18">K37</f>
        <v>800979.50978438836</v>
      </c>
      <c r="L38" s="399">
        <f t="shared" si="9"/>
        <v>-170800.70239389199</v>
      </c>
      <c r="M38" s="398">
        <f t="shared" si="15"/>
        <v>33280.371028751244</v>
      </c>
      <c r="N38" s="398">
        <f t="shared" ref="N38:N43" si="19">N37</f>
        <v>33078.266305002602</v>
      </c>
      <c r="O38" s="399">
        <f t="shared" si="10"/>
        <v>-202.10472374864185</v>
      </c>
      <c r="P38" s="398">
        <f t="shared" si="16"/>
        <v>87946.594805293149</v>
      </c>
      <c r="Q38" s="398">
        <f t="shared" ref="Q38:Q43" si="20">Q37</f>
        <v>77131.301953605958</v>
      </c>
      <c r="R38" s="399">
        <f t="shared" si="11"/>
        <v>-10815.292851687191</v>
      </c>
      <c r="S38" s="373"/>
      <c r="T38" s="374"/>
      <c r="U38" s="400">
        <f t="shared" si="12"/>
        <v>0</v>
      </c>
    </row>
    <row r="39" spans="1:22" x14ac:dyDescent="0.3">
      <c r="A39" s="703"/>
      <c r="B39" s="706"/>
      <c r="C39" s="25" t="s">
        <v>30</v>
      </c>
      <c r="D39" s="394"/>
      <c r="E39" s="395"/>
      <c r="F39" s="396"/>
      <c r="G39" s="397">
        <f t="shared" si="13"/>
        <v>18400.496964909802</v>
      </c>
      <c r="H39" s="398">
        <f t="shared" si="17"/>
        <v>14114.359311567598</v>
      </c>
      <c r="I39" s="399">
        <f t="shared" si="8"/>
        <v>-4286.1376533422044</v>
      </c>
      <c r="J39" s="398">
        <f t="shared" si="14"/>
        <v>971780.21217828034</v>
      </c>
      <c r="K39" s="398">
        <f t="shared" si="18"/>
        <v>800979.50978438836</v>
      </c>
      <c r="L39" s="399">
        <f t="shared" si="9"/>
        <v>-170800.70239389199</v>
      </c>
      <c r="M39" s="398">
        <f t="shared" si="15"/>
        <v>33280.371028751244</v>
      </c>
      <c r="N39" s="398">
        <f t="shared" si="19"/>
        <v>33078.266305002602</v>
      </c>
      <c r="O39" s="399">
        <f t="shared" si="10"/>
        <v>-202.10472374864185</v>
      </c>
      <c r="P39" s="398">
        <f t="shared" si="16"/>
        <v>87946.594805293149</v>
      </c>
      <c r="Q39" s="398">
        <f t="shared" si="20"/>
        <v>77131.301953605958</v>
      </c>
      <c r="R39" s="399">
        <f t="shared" si="11"/>
        <v>-10815.292851687191</v>
      </c>
      <c r="S39" s="373"/>
      <c r="T39" s="374"/>
      <c r="U39" s="400">
        <f t="shared" si="12"/>
        <v>0</v>
      </c>
    </row>
    <row r="40" spans="1:22" x14ac:dyDescent="0.3">
      <c r="A40" s="703"/>
      <c r="B40" s="706"/>
      <c r="C40" s="25" t="s">
        <v>31</v>
      </c>
      <c r="D40" s="394"/>
      <c r="E40" s="395"/>
      <c r="F40" s="396"/>
      <c r="G40" s="397">
        <f t="shared" si="13"/>
        <v>18400.496964909802</v>
      </c>
      <c r="H40" s="398">
        <f t="shared" si="17"/>
        <v>14114.359311567598</v>
      </c>
      <c r="I40" s="399">
        <f t="shared" si="8"/>
        <v>-4286.1376533422044</v>
      </c>
      <c r="J40" s="398">
        <f t="shared" si="14"/>
        <v>971780.21217828034</v>
      </c>
      <c r="K40" s="398">
        <f t="shared" si="18"/>
        <v>800979.50978438836</v>
      </c>
      <c r="L40" s="399">
        <f t="shared" si="9"/>
        <v>-170800.70239389199</v>
      </c>
      <c r="M40" s="398">
        <f t="shared" si="15"/>
        <v>33280.371028751244</v>
      </c>
      <c r="N40" s="398">
        <f t="shared" si="19"/>
        <v>33078.266305002602</v>
      </c>
      <c r="O40" s="399">
        <f t="shared" si="10"/>
        <v>-202.10472374864185</v>
      </c>
      <c r="P40" s="398">
        <f t="shared" si="16"/>
        <v>87946.594805293149</v>
      </c>
      <c r="Q40" s="398">
        <f t="shared" si="20"/>
        <v>77131.301953605958</v>
      </c>
      <c r="R40" s="399">
        <f t="shared" si="11"/>
        <v>-10815.292851687191</v>
      </c>
      <c r="S40" s="373"/>
      <c r="T40" s="374"/>
      <c r="U40" s="400">
        <f t="shared" si="12"/>
        <v>0</v>
      </c>
    </row>
    <row r="41" spans="1:22" x14ac:dyDescent="0.3">
      <c r="A41" s="703"/>
      <c r="B41" s="706"/>
      <c r="C41" s="25" t="s">
        <v>32</v>
      </c>
      <c r="D41" s="394"/>
      <c r="E41" s="395"/>
      <c r="F41" s="396"/>
      <c r="G41" s="397">
        <f t="shared" si="13"/>
        <v>18400.496964909802</v>
      </c>
      <c r="H41" s="398">
        <f t="shared" si="17"/>
        <v>14114.359311567598</v>
      </c>
      <c r="I41" s="399">
        <f t="shared" si="8"/>
        <v>-4286.1376533422044</v>
      </c>
      <c r="J41" s="398">
        <f t="shared" si="14"/>
        <v>971780.21217828034</v>
      </c>
      <c r="K41" s="398">
        <f t="shared" si="18"/>
        <v>800979.50978438836</v>
      </c>
      <c r="L41" s="399">
        <f t="shared" si="9"/>
        <v>-170800.70239389199</v>
      </c>
      <c r="M41" s="398">
        <f t="shared" si="15"/>
        <v>33280.371028751244</v>
      </c>
      <c r="N41" s="398">
        <f t="shared" si="19"/>
        <v>33078.266305002602</v>
      </c>
      <c r="O41" s="399">
        <f t="shared" si="10"/>
        <v>-202.10472374864185</v>
      </c>
      <c r="P41" s="398">
        <f t="shared" si="16"/>
        <v>87946.594805293149</v>
      </c>
      <c r="Q41" s="398">
        <f t="shared" si="20"/>
        <v>77131.301953605958</v>
      </c>
      <c r="R41" s="399">
        <f t="shared" si="11"/>
        <v>-10815.292851687191</v>
      </c>
      <c r="S41" s="373"/>
      <c r="T41" s="374"/>
      <c r="U41" s="400">
        <f t="shared" si="12"/>
        <v>0</v>
      </c>
    </row>
    <row r="42" spans="1:22" x14ac:dyDescent="0.3">
      <c r="A42" s="703"/>
      <c r="B42" s="706"/>
      <c r="C42" s="25" t="s">
        <v>33</v>
      </c>
      <c r="D42" s="394"/>
      <c r="E42" s="395"/>
      <c r="F42" s="396"/>
      <c r="G42" s="397">
        <f t="shared" si="13"/>
        <v>18400.496964909802</v>
      </c>
      <c r="H42" s="398">
        <f t="shared" si="17"/>
        <v>14114.359311567598</v>
      </c>
      <c r="I42" s="399">
        <f t="shared" si="8"/>
        <v>-4286.1376533422044</v>
      </c>
      <c r="J42" s="398">
        <f t="shared" si="14"/>
        <v>971780.21217828034</v>
      </c>
      <c r="K42" s="398">
        <f t="shared" si="18"/>
        <v>800979.50978438836</v>
      </c>
      <c r="L42" s="399">
        <f t="shared" si="9"/>
        <v>-170800.70239389199</v>
      </c>
      <c r="M42" s="398">
        <f t="shared" si="15"/>
        <v>33280.371028751244</v>
      </c>
      <c r="N42" s="398">
        <f t="shared" si="19"/>
        <v>33078.266305002602</v>
      </c>
      <c r="O42" s="399">
        <f t="shared" si="10"/>
        <v>-202.10472374864185</v>
      </c>
      <c r="P42" s="398">
        <f t="shared" si="16"/>
        <v>87946.594805293149</v>
      </c>
      <c r="Q42" s="398">
        <f t="shared" si="20"/>
        <v>77131.301953605958</v>
      </c>
      <c r="R42" s="399">
        <f t="shared" si="11"/>
        <v>-10815.292851687191</v>
      </c>
      <c r="S42" s="373"/>
      <c r="T42" s="374"/>
      <c r="U42" s="400">
        <f t="shared" si="12"/>
        <v>0</v>
      </c>
    </row>
    <row r="43" spans="1:22" ht="15" thickBot="1" x14ac:dyDescent="0.35">
      <c r="A43" s="704"/>
      <c r="B43" s="707"/>
      <c r="C43" s="378" t="s">
        <v>34</v>
      </c>
      <c r="D43" s="401"/>
      <c r="E43" s="402"/>
      <c r="F43" s="403"/>
      <c r="G43" s="397">
        <f t="shared" si="13"/>
        <v>18400.496964909802</v>
      </c>
      <c r="H43" s="398">
        <f t="shared" si="17"/>
        <v>14114.359311567598</v>
      </c>
      <c r="I43" s="405">
        <f>H43-G43</f>
        <v>-4286.1376533422044</v>
      </c>
      <c r="J43" s="404">
        <f t="shared" si="14"/>
        <v>971780.21217828034</v>
      </c>
      <c r="K43" s="398">
        <f t="shared" si="18"/>
        <v>800979.50978438836</v>
      </c>
      <c r="L43" s="405">
        <f>K43-J43</f>
        <v>-170800.70239389199</v>
      </c>
      <c r="M43" s="398">
        <f t="shared" si="15"/>
        <v>33280.371028751244</v>
      </c>
      <c r="N43" s="398">
        <f t="shared" si="19"/>
        <v>33078.266305002602</v>
      </c>
      <c r="O43" s="405">
        <f>N43-M43</f>
        <v>-202.10472374864185</v>
      </c>
      <c r="P43" s="398">
        <f t="shared" si="16"/>
        <v>87946.594805293149</v>
      </c>
      <c r="Q43" s="398">
        <f t="shared" si="20"/>
        <v>77131.301953605958</v>
      </c>
      <c r="R43" s="405">
        <f>Q43-P43</f>
        <v>-10815.292851687191</v>
      </c>
      <c r="S43" s="373"/>
      <c r="T43" s="374"/>
      <c r="U43" s="406">
        <f>T43-S43</f>
        <v>0</v>
      </c>
    </row>
    <row r="44" spans="1:22" s="408" customFormat="1" ht="14.4" customHeight="1" x14ac:dyDescent="0.3">
      <c r="A44" s="702" t="s">
        <v>199</v>
      </c>
      <c r="B44" s="705" t="s">
        <v>38</v>
      </c>
      <c r="C44" s="360" t="s">
        <v>25</v>
      </c>
      <c r="D44" s="361">
        <f>G44+J44+M44+P44+S44</f>
        <v>715851</v>
      </c>
      <c r="E44" s="362">
        <f t="shared" ref="E44:E63" si="21">H44+K44+N44+Q44+T44</f>
        <v>715851</v>
      </c>
      <c r="F44" s="363">
        <f>E44-D44</f>
        <v>0</v>
      </c>
      <c r="G44" s="364">
        <v>0</v>
      </c>
      <c r="H44" s="364">
        <v>0</v>
      </c>
      <c r="I44" s="392">
        <f t="shared" ref="I44:I52" si="22">H44-G44</f>
        <v>0</v>
      </c>
      <c r="J44" s="364">
        <v>0</v>
      </c>
      <c r="K44" s="364">
        <v>0</v>
      </c>
      <c r="L44" s="392">
        <f t="shared" ref="L44:L52" si="23">K44-J44</f>
        <v>0</v>
      </c>
      <c r="M44" s="364">
        <v>0</v>
      </c>
      <c r="N44" s="364">
        <v>0</v>
      </c>
      <c r="O44" s="392">
        <f t="shared" ref="O44:O52" si="24">N44-M44</f>
        <v>0</v>
      </c>
      <c r="P44" s="364">
        <v>0</v>
      </c>
      <c r="Q44" s="364">
        <v>0</v>
      </c>
      <c r="R44" s="392">
        <f t="shared" ref="R44:R52" si="25">Q44-P44</f>
        <v>0</v>
      </c>
      <c r="S44" s="364">
        <v>715851</v>
      </c>
      <c r="T44" s="364">
        <f>S44</f>
        <v>715851</v>
      </c>
      <c r="U44" s="393">
        <f t="shared" si="12"/>
        <v>0</v>
      </c>
      <c r="V44" s="407">
        <f>'Analyza citlivosti - AgendovéIS'!Q7</f>
        <v>0</v>
      </c>
    </row>
    <row r="45" spans="1:22" x14ac:dyDescent="0.3">
      <c r="A45" s="703"/>
      <c r="B45" s="706"/>
      <c r="C45" s="25" t="s">
        <v>26</v>
      </c>
      <c r="D45" s="394">
        <f t="shared" ref="D45:D63" si="26">G45+J45+M45+P45+S45</f>
        <v>715851</v>
      </c>
      <c r="E45" s="395">
        <f t="shared" si="21"/>
        <v>715851</v>
      </c>
      <c r="F45" s="396">
        <f t="shared" ref="F45:F53" si="27">E45-D45</f>
        <v>0</v>
      </c>
      <c r="G45" s="373">
        <v>0</v>
      </c>
      <c r="H45" s="374">
        <v>0</v>
      </c>
      <c r="I45" s="399">
        <f t="shared" si="22"/>
        <v>0</v>
      </c>
      <c r="J45" s="373">
        <v>0</v>
      </c>
      <c r="K45" s="374">
        <v>0</v>
      </c>
      <c r="L45" s="399">
        <f t="shared" si="23"/>
        <v>0</v>
      </c>
      <c r="M45" s="373">
        <v>0</v>
      </c>
      <c r="N45" s="374">
        <v>0</v>
      </c>
      <c r="O45" s="399">
        <f t="shared" si="24"/>
        <v>0</v>
      </c>
      <c r="P45" s="373">
        <v>0</v>
      </c>
      <c r="Q45" s="374">
        <v>0</v>
      </c>
      <c r="R45" s="399">
        <f t="shared" si="25"/>
        <v>0</v>
      </c>
      <c r="S45" s="373">
        <f>S44</f>
        <v>715851</v>
      </c>
      <c r="T45" s="374">
        <f>S45</f>
        <v>715851</v>
      </c>
      <c r="U45" s="400">
        <f t="shared" si="12"/>
        <v>0</v>
      </c>
    </row>
    <row r="46" spans="1:22" x14ac:dyDescent="0.3">
      <c r="A46" s="703"/>
      <c r="B46" s="706"/>
      <c r="C46" s="25" t="s">
        <v>27</v>
      </c>
      <c r="D46" s="394">
        <f t="shared" si="26"/>
        <v>715851</v>
      </c>
      <c r="E46" s="395">
        <f t="shared" si="21"/>
        <v>484457</v>
      </c>
      <c r="F46" s="396">
        <f t="shared" si="27"/>
        <v>-231394</v>
      </c>
      <c r="G46" s="373">
        <v>0</v>
      </c>
      <c r="H46" s="374">
        <v>0</v>
      </c>
      <c r="I46" s="399">
        <f t="shared" si="22"/>
        <v>0</v>
      </c>
      <c r="J46" s="373">
        <v>0</v>
      </c>
      <c r="K46" s="374">
        <v>0</v>
      </c>
      <c r="L46" s="399">
        <f t="shared" si="23"/>
        <v>0</v>
      </c>
      <c r="M46" s="373">
        <v>0</v>
      </c>
      <c r="N46" s="374">
        <v>0</v>
      </c>
      <c r="O46" s="399">
        <f t="shared" si="24"/>
        <v>0</v>
      </c>
      <c r="P46" s="373">
        <v>0</v>
      </c>
      <c r="Q46" s="374">
        <v>0</v>
      </c>
      <c r="R46" s="399">
        <f t="shared" si="25"/>
        <v>0</v>
      </c>
      <c r="S46" s="373">
        <f t="shared" ref="S46:S53" si="28">S45</f>
        <v>715851</v>
      </c>
      <c r="T46" s="374">
        <f>S44-231394</f>
        <v>484457</v>
      </c>
      <c r="U46" s="400">
        <f t="shared" si="12"/>
        <v>-231394</v>
      </c>
    </row>
    <row r="47" spans="1:22" x14ac:dyDescent="0.3">
      <c r="A47" s="703"/>
      <c r="B47" s="706"/>
      <c r="C47" s="25" t="s">
        <v>28</v>
      </c>
      <c r="D47" s="394">
        <f t="shared" si="26"/>
        <v>715851</v>
      </c>
      <c r="E47" s="395">
        <f t="shared" si="21"/>
        <v>484457</v>
      </c>
      <c r="F47" s="396">
        <f t="shared" si="27"/>
        <v>-231394</v>
      </c>
      <c r="G47" s="373">
        <v>0</v>
      </c>
      <c r="H47" s="374">
        <v>0</v>
      </c>
      <c r="I47" s="399">
        <f t="shared" si="22"/>
        <v>0</v>
      </c>
      <c r="J47" s="373">
        <v>0</v>
      </c>
      <c r="K47" s="374">
        <v>0</v>
      </c>
      <c r="L47" s="399">
        <f t="shared" si="23"/>
        <v>0</v>
      </c>
      <c r="M47" s="373">
        <v>0</v>
      </c>
      <c r="N47" s="374">
        <v>0</v>
      </c>
      <c r="O47" s="399">
        <f t="shared" si="24"/>
        <v>0</v>
      </c>
      <c r="P47" s="373">
        <v>0</v>
      </c>
      <c r="Q47" s="374">
        <v>0</v>
      </c>
      <c r="R47" s="399">
        <f t="shared" si="25"/>
        <v>0</v>
      </c>
      <c r="S47" s="373">
        <f t="shared" si="28"/>
        <v>715851</v>
      </c>
      <c r="T47" s="374">
        <f>T46</f>
        <v>484457</v>
      </c>
      <c r="U47" s="400">
        <f t="shared" si="12"/>
        <v>-231394</v>
      </c>
    </row>
    <row r="48" spans="1:22" x14ac:dyDescent="0.3">
      <c r="A48" s="703"/>
      <c r="B48" s="706"/>
      <c r="C48" s="25" t="s">
        <v>29</v>
      </c>
      <c r="D48" s="394">
        <f t="shared" si="26"/>
        <v>715851</v>
      </c>
      <c r="E48" s="395">
        <f t="shared" si="21"/>
        <v>484457</v>
      </c>
      <c r="F48" s="396">
        <f t="shared" si="27"/>
        <v>-231394</v>
      </c>
      <c r="G48" s="373">
        <v>0</v>
      </c>
      <c r="H48" s="374">
        <v>0</v>
      </c>
      <c r="I48" s="399">
        <f t="shared" si="22"/>
        <v>0</v>
      </c>
      <c r="J48" s="373">
        <v>0</v>
      </c>
      <c r="K48" s="374">
        <v>0</v>
      </c>
      <c r="L48" s="399">
        <f t="shared" si="23"/>
        <v>0</v>
      </c>
      <c r="M48" s="373">
        <v>0</v>
      </c>
      <c r="N48" s="374">
        <v>0</v>
      </c>
      <c r="O48" s="399">
        <f t="shared" si="24"/>
        <v>0</v>
      </c>
      <c r="P48" s="373">
        <v>0</v>
      </c>
      <c r="Q48" s="374">
        <v>0</v>
      </c>
      <c r="R48" s="399">
        <f t="shared" si="25"/>
        <v>0</v>
      </c>
      <c r="S48" s="373">
        <f t="shared" si="28"/>
        <v>715851</v>
      </c>
      <c r="T48" s="374">
        <f t="shared" ref="T48:T53" si="29">T47</f>
        <v>484457</v>
      </c>
      <c r="U48" s="400">
        <f t="shared" si="12"/>
        <v>-231394</v>
      </c>
    </row>
    <row r="49" spans="1:22" x14ac:dyDescent="0.3">
      <c r="A49" s="703"/>
      <c r="B49" s="706"/>
      <c r="C49" s="25" t="s">
        <v>30</v>
      </c>
      <c r="D49" s="394">
        <f t="shared" si="26"/>
        <v>715851</v>
      </c>
      <c r="E49" s="395">
        <f t="shared" si="21"/>
        <v>484457</v>
      </c>
      <c r="F49" s="396">
        <f t="shared" si="27"/>
        <v>-231394</v>
      </c>
      <c r="G49" s="373">
        <v>0</v>
      </c>
      <c r="H49" s="374">
        <v>0</v>
      </c>
      <c r="I49" s="399">
        <f t="shared" si="22"/>
        <v>0</v>
      </c>
      <c r="J49" s="373">
        <v>0</v>
      </c>
      <c r="K49" s="374">
        <v>0</v>
      </c>
      <c r="L49" s="399">
        <f t="shared" si="23"/>
        <v>0</v>
      </c>
      <c r="M49" s="373">
        <v>0</v>
      </c>
      <c r="N49" s="374">
        <v>0</v>
      </c>
      <c r="O49" s="399">
        <f t="shared" si="24"/>
        <v>0</v>
      </c>
      <c r="P49" s="373">
        <v>0</v>
      </c>
      <c r="Q49" s="374">
        <v>0</v>
      </c>
      <c r="R49" s="399">
        <f t="shared" si="25"/>
        <v>0</v>
      </c>
      <c r="S49" s="373">
        <f t="shared" si="28"/>
        <v>715851</v>
      </c>
      <c r="T49" s="374">
        <f t="shared" si="29"/>
        <v>484457</v>
      </c>
      <c r="U49" s="400">
        <f t="shared" si="12"/>
        <v>-231394</v>
      </c>
    </row>
    <row r="50" spans="1:22" x14ac:dyDescent="0.3">
      <c r="A50" s="703"/>
      <c r="B50" s="706"/>
      <c r="C50" s="25" t="s">
        <v>31</v>
      </c>
      <c r="D50" s="394">
        <f t="shared" si="26"/>
        <v>715851</v>
      </c>
      <c r="E50" s="395">
        <f t="shared" si="21"/>
        <v>484457</v>
      </c>
      <c r="F50" s="396">
        <f t="shared" si="27"/>
        <v>-231394</v>
      </c>
      <c r="G50" s="373">
        <v>0</v>
      </c>
      <c r="H50" s="374">
        <v>0</v>
      </c>
      <c r="I50" s="399">
        <f t="shared" si="22"/>
        <v>0</v>
      </c>
      <c r="J50" s="373">
        <v>0</v>
      </c>
      <c r="K50" s="374">
        <v>0</v>
      </c>
      <c r="L50" s="399">
        <f t="shared" si="23"/>
        <v>0</v>
      </c>
      <c r="M50" s="373">
        <v>0</v>
      </c>
      <c r="N50" s="374">
        <v>0</v>
      </c>
      <c r="O50" s="399">
        <f t="shared" si="24"/>
        <v>0</v>
      </c>
      <c r="P50" s="373">
        <v>0</v>
      </c>
      <c r="Q50" s="374">
        <v>0</v>
      </c>
      <c r="R50" s="399">
        <f t="shared" si="25"/>
        <v>0</v>
      </c>
      <c r="S50" s="373">
        <f t="shared" si="28"/>
        <v>715851</v>
      </c>
      <c r="T50" s="374">
        <f t="shared" si="29"/>
        <v>484457</v>
      </c>
      <c r="U50" s="400">
        <f t="shared" si="12"/>
        <v>-231394</v>
      </c>
    </row>
    <row r="51" spans="1:22" x14ac:dyDescent="0.3">
      <c r="A51" s="703"/>
      <c r="B51" s="706"/>
      <c r="C51" s="25" t="s">
        <v>32</v>
      </c>
      <c r="D51" s="394">
        <f t="shared" si="26"/>
        <v>715851</v>
      </c>
      <c r="E51" s="395">
        <f t="shared" si="21"/>
        <v>484457</v>
      </c>
      <c r="F51" s="396">
        <f t="shared" si="27"/>
        <v>-231394</v>
      </c>
      <c r="G51" s="373">
        <v>0</v>
      </c>
      <c r="H51" s="374">
        <v>0</v>
      </c>
      <c r="I51" s="399">
        <f t="shared" si="22"/>
        <v>0</v>
      </c>
      <c r="J51" s="373">
        <v>0</v>
      </c>
      <c r="K51" s="374">
        <v>0</v>
      </c>
      <c r="L51" s="399">
        <f t="shared" si="23"/>
        <v>0</v>
      </c>
      <c r="M51" s="373">
        <v>0</v>
      </c>
      <c r="N51" s="374">
        <v>0</v>
      </c>
      <c r="O51" s="399">
        <f t="shared" si="24"/>
        <v>0</v>
      </c>
      <c r="P51" s="373">
        <v>0</v>
      </c>
      <c r="Q51" s="374">
        <v>0</v>
      </c>
      <c r="R51" s="399">
        <f t="shared" si="25"/>
        <v>0</v>
      </c>
      <c r="S51" s="373">
        <f t="shared" si="28"/>
        <v>715851</v>
      </c>
      <c r="T51" s="374">
        <f t="shared" si="29"/>
        <v>484457</v>
      </c>
      <c r="U51" s="400">
        <f t="shared" si="12"/>
        <v>-231394</v>
      </c>
    </row>
    <row r="52" spans="1:22" x14ac:dyDescent="0.3">
      <c r="A52" s="703"/>
      <c r="B52" s="706"/>
      <c r="C52" s="25" t="s">
        <v>33</v>
      </c>
      <c r="D52" s="394">
        <f t="shared" si="26"/>
        <v>715851</v>
      </c>
      <c r="E52" s="395">
        <f t="shared" si="21"/>
        <v>484457</v>
      </c>
      <c r="F52" s="396">
        <f t="shared" si="27"/>
        <v>-231394</v>
      </c>
      <c r="G52" s="373">
        <v>0</v>
      </c>
      <c r="H52" s="374">
        <v>0</v>
      </c>
      <c r="I52" s="399">
        <f t="shared" si="22"/>
        <v>0</v>
      </c>
      <c r="J52" s="373">
        <v>0</v>
      </c>
      <c r="K52" s="374">
        <v>0</v>
      </c>
      <c r="L52" s="399">
        <f t="shared" si="23"/>
        <v>0</v>
      </c>
      <c r="M52" s="373">
        <v>0</v>
      </c>
      <c r="N52" s="374">
        <v>0</v>
      </c>
      <c r="O52" s="399">
        <f t="shared" si="24"/>
        <v>0</v>
      </c>
      <c r="P52" s="373">
        <v>0</v>
      </c>
      <c r="Q52" s="374">
        <v>0</v>
      </c>
      <c r="R52" s="399">
        <f t="shared" si="25"/>
        <v>0</v>
      </c>
      <c r="S52" s="373">
        <f t="shared" si="28"/>
        <v>715851</v>
      </c>
      <c r="T52" s="374">
        <f t="shared" si="29"/>
        <v>484457</v>
      </c>
      <c r="U52" s="400">
        <f t="shared" si="12"/>
        <v>-231394</v>
      </c>
    </row>
    <row r="53" spans="1:22" ht="15" thickBot="1" x14ac:dyDescent="0.35">
      <c r="A53" s="704"/>
      <c r="B53" s="707"/>
      <c r="C53" s="378" t="s">
        <v>34</v>
      </c>
      <c r="D53" s="401">
        <f t="shared" si="26"/>
        <v>715851</v>
      </c>
      <c r="E53" s="402">
        <f t="shared" si="21"/>
        <v>484457</v>
      </c>
      <c r="F53" s="403">
        <f t="shared" si="27"/>
        <v>-231394</v>
      </c>
      <c r="G53" s="373">
        <v>0</v>
      </c>
      <c r="H53" s="374">
        <v>0</v>
      </c>
      <c r="I53" s="405">
        <f>H53-G53</f>
        <v>0</v>
      </c>
      <c r="J53" s="373">
        <v>0</v>
      </c>
      <c r="K53" s="374">
        <v>0</v>
      </c>
      <c r="L53" s="405">
        <f>K53-J53</f>
        <v>0</v>
      </c>
      <c r="M53" s="373">
        <v>0</v>
      </c>
      <c r="N53" s="374">
        <v>0</v>
      </c>
      <c r="O53" s="405">
        <f>N53-M53</f>
        <v>0</v>
      </c>
      <c r="P53" s="373">
        <v>0</v>
      </c>
      <c r="Q53" s="374">
        <v>0</v>
      </c>
      <c r="R53" s="405">
        <f>Q53-P53</f>
        <v>0</v>
      </c>
      <c r="S53" s="373">
        <f t="shared" si="28"/>
        <v>715851</v>
      </c>
      <c r="T53" s="374">
        <f t="shared" si="29"/>
        <v>484457</v>
      </c>
      <c r="U53" s="406">
        <f>T53-S53</f>
        <v>-231394</v>
      </c>
    </row>
    <row r="54" spans="1:22" s="408" customFormat="1" ht="14.25" customHeight="1" x14ac:dyDescent="0.3">
      <c r="A54" s="703" t="s">
        <v>39</v>
      </c>
      <c r="B54" s="706" t="s">
        <v>13</v>
      </c>
      <c r="C54" s="25" t="s">
        <v>25</v>
      </c>
      <c r="D54" s="361">
        <f t="shared" si="26"/>
        <v>0</v>
      </c>
      <c r="E54" s="362">
        <f t="shared" si="21"/>
        <v>0</v>
      </c>
      <c r="F54" s="363">
        <f t="shared" ref="F54:F63" si="30">I54+L54+O54+R54+U54</f>
        <v>0</v>
      </c>
      <c r="G54" s="364">
        <v>0</v>
      </c>
      <c r="H54" s="365"/>
      <c r="I54" s="366">
        <f t="shared" ref="I54:I63" si="31">H54-G54</f>
        <v>0</v>
      </c>
      <c r="J54" s="364">
        <v>0</v>
      </c>
      <c r="K54" s="365"/>
      <c r="L54" s="366">
        <f t="shared" ref="L54:L63" si="32">K54-J54</f>
        <v>0</v>
      </c>
      <c r="M54" s="364">
        <v>0</v>
      </c>
      <c r="N54" s="365"/>
      <c r="O54" s="366">
        <f t="shared" ref="O54:O63" si="33">N54-M54</f>
        <v>0</v>
      </c>
      <c r="P54" s="364">
        <v>0</v>
      </c>
      <c r="Q54" s="365"/>
      <c r="R54" s="366">
        <f t="shared" ref="R54:R63" si="34">Q54-P54</f>
        <v>0</v>
      </c>
      <c r="S54" s="364">
        <v>0</v>
      </c>
      <c r="T54" s="367"/>
      <c r="U54" s="368">
        <f t="shared" ref="U54:U63" si="35">T54-S54</f>
        <v>0</v>
      </c>
      <c r="V54" s="407"/>
    </row>
    <row r="55" spans="1:22" x14ac:dyDescent="0.3">
      <c r="A55" s="703"/>
      <c r="B55" s="706"/>
      <c r="C55" s="25" t="s">
        <v>26</v>
      </c>
      <c r="D55" s="370">
        <f t="shared" si="26"/>
        <v>0</v>
      </c>
      <c r="E55" s="371">
        <f t="shared" si="21"/>
        <v>0</v>
      </c>
      <c r="F55" s="372">
        <f t="shared" si="30"/>
        <v>0</v>
      </c>
      <c r="G55" s="373">
        <v>0</v>
      </c>
      <c r="H55" s="374"/>
      <c r="I55" s="375">
        <f t="shared" si="31"/>
        <v>0</v>
      </c>
      <c r="J55" s="373">
        <v>0</v>
      </c>
      <c r="K55" s="374"/>
      <c r="L55" s="375">
        <f t="shared" si="32"/>
        <v>0</v>
      </c>
      <c r="M55" s="373">
        <v>0</v>
      </c>
      <c r="N55" s="374"/>
      <c r="O55" s="375">
        <f t="shared" si="33"/>
        <v>0</v>
      </c>
      <c r="P55" s="373">
        <v>0</v>
      </c>
      <c r="Q55" s="374"/>
      <c r="R55" s="375">
        <f t="shared" si="34"/>
        <v>0</v>
      </c>
      <c r="S55" s="373">
        <v>0</v>
      </c>
      <c r="T55" s="376"/>
      <c r="U55" s="377">
        <f t="shared" si="35"/>
        <v>0</v>
      </c>
    </row>
    <row r="56" spans="1:22" x14ac:dyDescent="0.3">
      <c r="A56" s="703"/>
      <c r="B56" s="706"/>
      <c r="C56" s="25" t="s">
        <v>27</v>
      </c>
      <c r="D56" s="370">
        <f t="shared" si="26"/>
        <v>0</v>
      </c>
      <c r="E56" s="371">
        <f t="shared" si="21"/>
        <v>0</v>
      </c>
      <c r="F56" s="372">
        <f t="shared" si="30"/>
        <v>0</v>
      </c>
      <c r="G56" s="373">
        <v>0</v>
      </c>
      <c r="H56" s="374"/>
      <c r="I56" s="375">
        <f t="shared" si="31"/>
        <v>0</v>
      </c>
      <c r="J56" s="373">
        <v>0</v>
      </c>
      <c r="K56" s="374"/>
      <c r="L56" s="375">
        <f t="shared" si="32"/>
        <v>0</v>
      </c>
      <c r="M56" s="373">
        <v>0</v>
      </c>
      <c r="N56" s="374"/>
      <c r="O56" s="375">
        <f t="shared" si="33"/>
        <v>0</v>
      </c>
      <c r="P56" s="373">
        <v>0</v>
      </c>
      <c r="Q56" s="374"/>
      <c r="R56" s="375">
        <f t="shared" si="34"/>
        <v>0</v>
      </c>
      <c r="S56" s="373">
        <v>0</v>
      </c>
      <c r="T56" s="376"/>
      <c r="U56" s="377">
        <f t="shared" si="35"/>
        <v>0</v>
      </c>
    </row>
    <row r="57" spans="1:22" x14ac:dyDescent="0.3">
      <c r="A57" s="703"/>
      <c r="B57" s="706"/>
      <c r="C57" s="25" t="s">
        <v>28</v>
      </c>
      <c r="D57" s="370">
        <f t="shared" si="26"/>
        <v>0</v>
      </c>
      <c r="E57" s="371">
        <f t="shared" si="21"/>
        <v>0</v>
      </c>
      <c r="F57" s="372">
        <f t="shared" si="30"/>
        <v>0</v>
      </c>
      <c r="G57" s="373">
        <v>0</v>
      </c>
      <c r="H57" s="374"/>
      <c r="I57" s="375">
        <f t="shared" si="31"/>
        <v>0</v>
      </c>
      <c r="J57" s="373">
        <v>0</v>
      </c>
      <c r="K57" s="374"/>
      <c r="L57" s="375">
        <f t="shared" si="32"/>
        <v>0</v>
      </c>
      <c r="M57" s="373">
        <v>0</v>
      </c>
      <c r="N57" s="374"/>
      <c r="O57" s="375">
        <f t="shared" si="33"/>
        <v>0</v>
      </c>
      <c r="P57" s="373">
        <v>0</v>
      </c>
      <c r="Q57" s="374"/>
      <c r="R57" s="375">
        <f t="shared" si="34"/>
        <v>0</v>
      </c>
      <c r="S57" s="373">
        <v>0</v>
      </c>
      <c r="T57" s="376"/>
      <c r="U57" s="377">
        <f t="shared" si="35"/>
        <v>0</v>
      </c>
    </row>
    <row r="58" spans="1:22" x14ac:dyDescent="0.3">
      <c r="A58" s="703"/>
      <c r="B58" s="706"/>
      <c r="C58" s="25" t="s">
        <v>29</v>
      </c>
      <c r="D58" s="370">
        <f t="shared" si="26"/>
        <v>0</v>
      </c>
      <c r="E58" s="371">
        <f t="shared" si="21"/>
        <v>0</v>
      </c>
      <c r="F58" s="372">
        <f t="shared" si="30"/>
        <v>0</v>
      </c>
      <c r="G58" s="373">
        <v>0</v>
      </c>
      <c r="H58" s="374"/>
      <c r="I58" s="375">
        <f t="shared" si="31"/>
        <v>0</v>
      </c>
      <c r="J58" s="373">
        <v>0</v>
      </c>
      <c r="K58" s="374"/>
      <c r="L58" s="375">
        <f t="shared" si="32"/>
        <v>0</v>
      </c>
      <c r="M58" s="373">
        <v>0</v>
      </c>
      <c r="N58" s="374"/>
      <c r="O58" s="375">
        <f t="shared" si="33"/>
        <v>0</v>
      </c>
      <c r="P58" s="373">
        <v>0</v>
      </c>
      <c r="Q58" s="374"/>
      <c r="R58" s="375">
        <f t="shared" si="34"/>
        <v>0</v>
      </c>
      <c r="S58" s="373">
        <v>0</v>
      </c>
      <c r="T58" s="376"/>
      <c r="U58" s="377">
        <f t="shared" si="35"/>
        <v>0</v>
      </c>
    </row>
    <row r="59" spans="1:22" x14ac:dyDescent="0.3">
      <c r="A59" s="703"/>
      <c r="B59" s="706"/>
      <c r="C59" s="25" t="s">
        <v>30</v>
      </c>
      <c r="D59" s="370">
        <f t="shared" si="26"/>
        <v>0</v>
      </c>
      <c r="E59" s="371">
        <f t="shared" si="21"/>
        <v>0</v>
      </c>
      <c r="F59" s="372">
        <f t="shared" si="30"/>
        <v>0</v>
      </c>
      <c r="G59" s="373">
        <v>0</v>
      </c>
      <c r="H59" s="374"/>
      <c r="I59" s="375">
        <f t="shared" si="31"/>
        <v>0</v>
      </c>
      <c r="J59" s="373">
        <v>0</v>
      </c>
      <c r="K59" s="374"/>
      <c r="L59" s="375">
        <f t="shared" si="32"/>
        <v>0</v>
      </c>
      <c r="M59" s="373">
        <v>0</v>
      </c>
      <c r="N59" s="374"/>
      <c r="O59" s="375">
        <f t="shared" si="33"/>
        <v>0</v>
      </c>
      <c r="P59" s="373">
        <v>0</v>
      </c>
      <c r="Q59" s="374"/>
      <c r="R59" s="375">
        <f t="shared" si="34"/>
        <v>0</v>
      </c>
      <c r="S59" s="373">
        <v>0</v>
      </c>
      <c r="T59" s="376"/>
      <c r="U59" s="377">
        <f t="shared" si="35"/>
        <v>0</v>
      </c>
    </row>
    <row r="60" spans="1:22" x14ac:dyDescent="0.3">
      <c r="A60" s="703"/>
      <c r="B60" s="706"/>
      <c r="C60" s="25" t="s">
        <v>31</v>
      </c>
      <c r="D60" s="370">
        <f t="shared" si="26"/>
        <v>0</v>
      </c>
      <c r="E60" s="371">
        <f t="shared" si="21"/>
        <v>0</v>
      </c>
      <c r="F60" s="372">
        <f t="shared" si="30"/>
        <v>0</v>
      </c>
      <c r="G60" s="373">
        <v>0</v>
      </c>
      <c r="H60" s="374"/>
      <c r="I60" s="375">
        <f t="shared" si="31"/>
        <v>0</v>
      </c>
      <c r="J60" s="373">
        <v>0</v>
      </c>
      <c r="K60" s="374"/>
      <c r="L60" s="375">
        <f t="shared" si="32"/>
        <v>0</v>
      </c>
      <c r="M60" s="373">
        <v>0</v>
      </c>
      <c r="N60" s="374"/>
      <c r="O60" s="375">
        <f t="shared" si="33"/>
        <v>0</v>
      </c>
      <c r="P60" s="373">
        <v>0</v>
      </c>
      <c r="Q60" s="374"/>
      <c r="R60" s="375">
        <f t="shared" si="34"/>
        <v>0</v>
      </c>
      <c r="S60" s="373">
        <v>0</v>
      </c>
      <c r="T60" s="376"/>
      <c r="U60" s="377">
        <f t="shared" si="35"/>
        <v>0</v>
      </c>
    </row>
    <row r="61" spans="1:22" x14ac:dyDescent="0.3">
      <c r="A61" s="703"/>
      <c r="B61" s="706"/>
      <c r="C61" s="25" t="s">
        <v>32</v>
      </c>
      <c r="D61" s="370">
        <f t="shared" si="26"/>
        <v>0</v>
      </c>
      <c r="E61" s="371">
        <f t="shared" si="21"/>
        <v>0</v>
      </c>
      <c r="F61" s="372">
        <f t="shared" si="30"/>
        <v>0</v>
      </c>
      <c r="G61" s="373">
        <v>0</v>
      </c>
      <c r="H61" s="374"/>
      <c r="I61" s="375">
        <f t="shared" si="31"/>
        <v>0</v>
      </c>
      <c r="J61" s="373">
        <v>0</v>
      </c>
      <c r="K61" s="374"/>
      <c r="L61" s="375">
        <f t="shared" si="32"/>
        <v>0</v>
      </c>
      <c r="M61" s="373">
        <v>0</v>
      </c>
      <c r="N61" s="374"/>
      <c r="O61" s="375">
        <f t="shared" si="33"/>
        <v>0</v>
      </c>
      <c r="P61" s="373">
        <v>0</v>
      </c>
      <c r="Q61" s="374"/>
      <c r="R61" s="375">
        <f t="shared" si="34"/>
        <v>0</v>
      </c>
      <c r="S61" s="373">
        <v>0</v>
      </c>
      <c r="T61" s="376"/>
      <c r="U61" s="377">
        <f t="shared" si="35"/>
        <v>0</v>
      </c>
    </row>
    <row r="62" spans="1:22" x14ac:dyDescent="0.3">
      <c r="A62" s="703"/>
      <c r="B62" s="706"/>
      <c r="C62" s="25" t="s">
        <v>33</v>
      </c>
      <c r="D62" s="370">
        <f t="shared" si="26"/>
        <v>0</v>
      </c>
      <c r="E62" s="371">
        <f t="shared" si="21"/>
        <v>0</v>
      </c>
      <c r="F62" s="372">
        <f t="shared" si="30"/>
        <v>0</v>
      </c>
      <c r="G62" s="373">
        <v>0</v>
      </c>
      <c r="H62" s="374"/>
      <c r="I62" s="375">
        <f t="shared" si="31"/>
        <v>0</v>
      </c>
      <c r="J62" s="373">
        <v>0</v>
      </c>
      <c r="K62" s="374"/>
      <c r="L62" s="375">
        <f t="shared" si="32"/>
        <v>0</v>
      </c>
      <c r="M62" s="373">
        <v>0</v>
      </c>
      <c r="N62" s="374"/>
      <c r="O62" s="375">
        <f t="shared" si="33"/>
        <v>0</v>
      </c>
      <c r="P62" s="373">
        <v>0</v>
      </c>
      <c r="Q62" s="374"/>
      <c r="R62" s="375">
        <f t="shared" si="34"/>
        <v>0</v>
      </c>
      <c r="S62" s="373">
        <v>0</v>
      </c>
      <c r="T62" s="376"/>
      <c r="U62" s="377">
        <f t="shared" si="35"/>
        <v>0</v>
      </c>
    </row>
    <row r="63" spans="1:22" s="410" customFormat="1" ht="15" thickBot="1" x14ac:dyDescent="0.35">
      <c r="A63" s="704"/>
      <c r="B63" s="707"/>
      <c r="C63" s="378" t="s">
        <v>34</v>
      </c>
      <c r="D63" s="379">
        <f t="shared" si="26"/>
        <v>0</v>
      </c>
      <c r="E63" s="380">
        <f t="shared" si="21"/>
        <v>0</v>
      </c>
      <c r="F63" s="381">
        <f t="shared" si="30"/>
        <v>0</v>
      </c>
      <c r="G63" s="382">
        <v>0</v>
      </c>
      <c r="H63" s="383"/>
      <c r="I63" s="384">
        <f t="shared" si="31"/>
        <v>0</v>
      </c>
      <c r="J63" s="382">
        <v>0</v>
      </c>
      <c r="K63" s="374"/>
      <c r="L63" s="384">
        <f t="shared" si="32"/>
        <v>0</v>
      </c>
      <c r="M63" s="382">
        <v>0</v>
      </c>
      <c r="N63" s="383"/>
      <c r="O63" s="384">
        <f t="shared" si="33"/>
        <v>0</v>
      </c>
      <c r="P63" s="382">
        <v>0</v>
      </c>
      <c r="Q63" s="383"/>
      <c r="R63" s="384">
        <f t="shared" si="34"/>
        <v>0</v>
      </c>
      <c r="S63" s="382">
        <v>0</v>
      </c>
      <c r="T63" s="385"/>
      <c r="U63" s="386">
        <f t="shared" si="35"/>
        <v>0</v>
      </c>
      <c r="V63" s="409"/>
    </row>
    <row r="64" spans="1:22" ht="15" thickBot="1" x14ac:dyDescent="0.35">
      <c r="A64" s="411"/>
      <c r="B64" s="412"/>
      <c r="C64" s="413"/>
      <c r="D64" s="412"/>
      <c r="E64" s="412"/>
      <c r="F64" s="414" t="s">
        <v>109</v>
      </c>
      <c r="G64" s="415"/>
      <c r="H64" s="415"/>
      <c r="I64" s="416"/>
      <c r="J64" s="415"/>
      <c r="K64" s="415"/>
      <c r="L64" s="416"/>
      <c r="M64" s="415"/>
      <c r="N64" s="415"/>
      <c r="O64" s="416"/>
      <c r="P64" s="415"/>
      <c r="Q64" s="415"/>
      <c r="R64" s="416"/>
      <c r="S64" s="415"/>
      <c r="T64" s="417"/>
      <c r="U64" s="418"/>
    </row>
    <row r="65" spans="1:22" x14ac:dyDescent="0.3">
      <c r="A65" s="712" t="s">
        <v>328</v>
      </c>
      <c r="B65" s="714" t="s">
        <v>37</v>
      </c>
      <c r="C65" s="419" t="s">
        <v>25</v>
      </c>
      <c r="D65" s="420">
        <f>G65+J65+S65+M65+P65</f>
        <v>5</v>
      </c>
      <c r="E65" s="421">
        <f>H65+K65+T65+N65+Q65</f>
        <v>5</v>
      </c>
      <c r="F65" s="422">
        <f>I65+L65+U65+O65+R65</f>
        <v>0</v>
      </c>
      <c r="G65" s="423">
        <f t="shared" ref="G65:G74" si="36">G4</f>
        <v>1</v>
      </c>
      <c r="H65" s="424">
        <f t="shared" ref="H65:H74" si="37">H4*(1+$V$65)</f>
        <v>1</v>
      </c>
      <c r="I65" s="425">
        <f>H65-G65</f>
        <v>0</v>
      </c>
      <c r="J65" s="424">
        <f t="shared" ref="J65:J74" si="38">J4</f>
        <v>1</v>
      </c>
      <c r="K65" s="424">
        <f t="shared" ref="K65:K74" si="39">K4*(1+$V$65)</f>
        <v>1</v>
      </c>
      <c r="L65" s="425">
        <f t="shared" ref="L65:L74" si="40">K65-J65</f>
        <v>0</v>
      </c>
      <c r="M65" s="424">
        <f t="shared" ref="M65:M74" si="41">M4</f>
        <v>1</v>
      </c>
      <c r="N65" s="424">
        <f t="shared" ref="N65:N74" si="42">N4*(1+$V$65)</f>
        <v>1</v>
      </c>
      <c r="O65" s="425">
        <f t="shared" ref="O65:O74" si="43">N65-M65</f>
        <v>0</v>
      </c>
      <c r="P65" s="424">
        <f t="shared" ref="P65:P74" si="44">P4</f>
        <v>1</v>
      </c>
      <c r="Q65" s="424">
        <f t="shared" ref="Q65:Q74" si="45">Q4*(1+$V$65)</f>
        <v>1</v>
      </c>
      <c r="R65" s="425">
        <f t="shared" ref="R65:R74" si="46">Q65-P65</f>
        <v>0</v>
      </c>
      <c r="S65" s="424">
        <f t="shared" ref="S65:S74" si="47">S4</f>
        <v>1</v>
      </c>
      <c r="T65" s="426">
        <f t="shared" ref="T65:T74" si="48">T4*(1+$V$65)</f>
        <v>1</v>
      </c>
      <c r="U65" s="427">
        <f t="shared" ref="U65:U74" si="49">T65-S65</f>
        <v>0</v>
      </c>
      <c r="V65" s="428">
        <f>'Analyza citlivosti - AgendovéIS'!K7</f>
        <v>0</v>
      </c>
    </row>
    <row r="66" spans="1:22" x14ac:dyDescent="0.3">
      <c r="A66" s="712"/>
      <c r="B66" s="714"/>
      <c r="C66" s="419" t="s">
        <v>26</v>
      </c>
      <c r="D66" s="420">
        <f t="shared" ref="D66:D84" si="50">G66+J66+S66+M66+P66</f>
        <v>5</v>
      </c>
      <c r="E66" s="421">
        <f t="shared" ref="E66:E104" si="51">H66+K66+T66+N66+Q66</f>
        <v>5</v>
      </c>
      <c r="F66" s="422">
        <f t="shared" ref="F66:F104" si="52">I66+L66+U66+O66+R66</f>
        <v>0</v>
      </c>
      <c r="G66" s="429">
        <f t="shared" si="36"/>
        <v>1</v>
      </c>
      <c r="H66" s="430">
        <f t="shared" si="37"/>
        <v>1</v>
      </c>
      <c r="I66" s="375">
        <f t="shared" ref="I66:I74" si="53">H66-G66</f>
        <v>0</v>
      </c>
      <c r="J66" s="430">
        <f t="shared" si="38"/>
        <v>1</v>
      </c>
      <c r="K66" s="430">
        <f t="shared" si="39"/>
        <v>1</v>
      </c>
      <c r="L66" s="375">
        <f t="shared" si="40"/>
        <v>0</v>
      </c>
      <c r="M66" s="430">
        <f t="shared" si="41"/>
        <v>1</v>
      </c>
      <c r="N66" s="430">
        <f t="shared" si="42"/>
        <v>1</v>
      </c>
      <c r="O66" s="375">
        <f t="shared" si="43"/>
        <v>0</v>
      </c>
      <c r="P66" s="430">
        <f t="shared" si="44"/>
        <v>1</v>
      </c>
      <c r="Q66" s="430">
        <f t="shared" si="45"/>
        <v>1</v>
      </c>
      <c r="R66" s="375">
        <f t="shared" si="46"/>
        <v>0</v>
      </c>
      <c r="S66" s="430">
        <f t="shared" si="47"/>
        <v>1</v>
      </c>
      <c r="T66" s="431">
        <f t="shared" si="48"/>
        <v>1</v>
      </c>
      <c r="U66" s="377">
        <f t="shared" si="49"/>
        <v>0</v>
      </c>
    </row>
    <row r="67" spans="1:22" x14ac:dyDescent="0.3">
      <c r="A67" s="712"/>
      <c r="B67" s="714"/>
      <c r="C67" s="419" t="s">
        <v>27</v>
      </c>
      <c r="D67" s="420">
        <f t="shared" si="50"/>
        <v>5</v>
      </c>
      <c r="E67" s="421">
        <f t="shared" si="51"/>
        <v>5</v>
      </c>
      <c r="F67" s="422">
        <f t="shared" si="52"/>
        <v>0</v>
      </c>
      <c r="G67" s="429">
        <f t="shared" si="36"/>
        <v>1</v>
      </c>
      <c r="H67" s="430">
        <f t="shared" si="37"/>
        <v>1</v>
      </c>
      <c r="I67" s="375">
        <f t="shared" si="53"/>
        <v>0</v>
      </c>
      <c r="J67" s="430">
        <f t="shared" si="38"/>
        <v>1</v>
      </c>
      <c r="K67" s="430">
        <f t="shared" si="39"/>
        <v>1</v>
      </c>
      <c r="L67" s="375">
        <f t="shared" si="40"/>
        <v>0</v>
      </c>
      <c r="M67" s="430">
        <f t="shared" si="41"/>
        <v>1</v>
      </c>
      <c r="N67" s="430">
        <f t="shared" si="42"/>
        <v>1</v>
      </c>
      <c r="O67" s="375">
        <f t="shared" si="43"/>
        <v>0</v>
      </c>
      <c r="P67" s="430">
        <f t="shared" si="44"/>
        <v>1</v>
      </c>
      <c r="Q67" s="430">
        <f t="shared" si="45"/>
        <v>1</v>
      </c>
      <c r="R67" s="375">
        <f t="shared" si="46"/>
        <v>0</v>
      </c>
      <c r="S67" s="430">
        <f t="shared" si="47"/>
        <v>1</v>
      </c>
      <c r="T67" s="431">
        <f t="shared" si="48"/>
        <v>1</v>
      </c>
      <c r="U67" s="377">
        <f t="shared" si="49"/>
        <v>0</v>
      </c>
    </row>
    <row r="68" spans="1:22" x14ac:dyDescent="0.3">
      <c r="A68" s="712"/>
      <c r="B68" s="714"/>
      <c r="C68" s="419" t="s">
        <v>28</v>
      </c>
      <c r="D68" s="420">
        <f t="shared" si="50"/>
        <v>5</v>
      </c>
      <c r="E68" s="421">
        <f t="shared" si="51"/>
        <v>5</v>
      </c>
      <c r="F68" s="422">
        <f t="shared" si="52"/>
        <v>0</v>
      </c>
      <c r="G68" s="429">
        <f t="shared" si="36"/>
        <v>1</v>
      </c>
      <c r="H68" s="430">
        <f t="shared" si="37"/>
        <v>1</v>
      </c>
      <c r="I68" s="375">
        <f t="shared" si="53"/>
        <v>0</v>
      </c>
      <c r="J68" s="430">
        <f t="shared" si="38"/>
        <v>1</v>
      </c>
      <c r="K68" s="430">
        <f t="shared" si="39"/>
        <v>1</v>
      </c>
      <c r="L68" s="375">
        <f t="shared" si="40"/>
        <v>0</v>
      </c>
      <c r="M68" s="430">
        <f t="shared" si="41"/>
        <v>1</v>
      </c>
      <c r="N68" s="430">
        <f t="shared" si="42"/>
        <v>1</v>
      </c>
      <c r="O68" s="375">
        <f t="shared" si="43"/>
        <v>0</v>
      </c>
      <c r="P68" s="430">
        <f t="shared" si="44"/>
        <v>1</v>
      </c>
      <c r="Q68" s="430">
        <f t="shared" si="45"/>
        <v>1</v>
      </c>
      <c r="R68" s="375">
        <f t="shared" si="46"/>
        <v>0</v>
      </c>
      <c r="S68" s="430">
        <f t="shared" si="47"/>
        <v>1</v>
      </c>
      <c r="T68" s="431">
        <f t="shared" si="48"/>
        <v>1</v>
      </c>
      <c r="U68" s="377">
        <f t="shared" si="49"/>
        <v>0</v>
      </c>
    </row>
    <row r="69" spans="1:22" x14ac:dyDescent="0.3">
      <c r="A69" s="712"/>
      <c r="B69" s="714"/>
      <c r="C69" s="419" t="s">
        <v>29</v>
      </c>
      <c r="D69" s="420">
        <f t="shared" si="50"/>
        <v>5</v>
      </c>
      <c r="E69" s="421">
        <f t="shared" si="51"/>
        <v>5</v>
      </c>
      <c r="F69" s="422">
        <f t="shared" si="52"/>
        <v>0</v>
      </c>
      <c r="G69" s="429">
        <f t="shared" si="36"/>
        <v>1</v>
      </c>
      <c r="H69" s="430">
        <f t="shared" si="37"/>
        <v>1</v>
      </c>
      <c r="I69" s="375">
        <f t="shared" si="53"/>
        <v>0</v>
      </c>
      <c r="J69" s="430">
        <f t="shared" si="38"/>
        <v>1</v>
      </c>
      <c r="K69" s="430">
        <f t="shared" si="39"/>
        <v>1</v>
      </c>
      <c r="L69" s="375">
        <f t="shared" si="40"/>
        <v>0</v>
      </c>
      <c r="M69" s="430">
        <f t="shared" si="41"/>
        <v>1</v>
      </c>
      <c r="N69" s="430">
        <f t="shared" si="42"/>
        <v>1</v>
      </c>
      <c r="O69" s="375">
        <f t="shared" si="43"/>
        <v>0</v>
      </c>
      <c r="P69" s="430">
        <f t="shared" si="44"/>
        <v>1</v>
      </c>
      <c r="Q69" s="430">
        <f t="shared" si="45"/>
        <v>1</v>
      </c>
      <c r="R69" s="375">
        <f t="shared" si="46"/>
        <v>0</v>
      </c>
      <c r="S69" s="430">
        <f t="shared" si="47"/>
        <v>1</v>
      </c>
      <c r="T69" s="431">
        <f t="shared" si="48"/>
        <v>1</v>
      </c>
      <c r="U69" s="377">
        <f t="shared" si="49"/>
        <v>0</v>
      </c>
    </row>
    <row r="70" spans="1:22" x14ac:dyDescent="0.3">
      <c r="A70" s="712"/>
      <c r="B70" s="714"/>
      <c r="C70" s="419" t="s">
        <v>30</v>
      </c>
      <c r="D70" s="420">
        <f t="shared" si="50"/>
        <v>5</v>
      </c>
      <c r="E70" s="421">
        <f t="shared" si="51"/>
        <v>5</v>
      </c>
      <c r="F70" s="422">
        <f t="shared" si="52"/>
        <v>0</v>
      </c>
      <c r="G70" s="429">
        <f t="shared" si="36"/>
        <v>1</v>
      </c>
      <c r="H70" s="430">
        <f t="shared" si="37"/>
        <v>1</v>
      </c>
      <c r="I70" s="375">
        <f t="shared" si="53"/>
        <v>0</v>
      </c>
      <c r="J70" s="430">
        <f t="shared" si="38"/>
        <v>1</v>
      </c>
      <c r="K70" s="430">
        <f t="shared" si="39"/>
        <v>1</v>
      </c>
      <c r="L70" s="375">
        <f t="shared" si="40"/>
        <v>0</v>
      </c>
      <c r="M70" s="430">
        <f t="shared" si="41"/>
        <v>1</v>
      </c>
      <c r="N70" s="430">
        <f t="shared" si="42"/>
        <v>1</v>
      </c>
      <c r="O70" s="375">
        <f t="shared" si="43"/>
        <v>0</v>
      </c>
      <c r="P70" s="430">
        <f t="shared" si="44"/>
        <v>1</v>
      </c>
      <c r="Q70" s="430">
        <f t="shared" si="45"/>
        <v>1</v>
      </c>
      <c r="R70" s="375">
        <f t="shared" si="46"/>
        <v>0</v>
      </c>
      <c r="S70" s="430">
        <f t="shared" si="47"/>
        <v>1</v>
      </c>
      <c r="T70" s="431">
        <f t="shared" si="48"/>
        <v>1</v>
      </c>
      <c r="U70" s="377">
        <f t="shared" si="49"/>
        <v>0</v>
      </c>
    </row>
    <row r="71" spans="1:22" x14ac:dyDescent="0.3">
      <c r="A71" s="712"/>
      <c r="B71" s="714"/>
      <c r="C71" s="419" t="s">
        <v>31</v>
      </c>
      <c r="D71" s="420">
        <f t="shared" si="50"/>
        <v>5</v>
      </c>
      <c r="E71" s="421">
        <f t="shared" si="51"/>
        <v>5</v>
      </c>
      <c r="F71" s="422">
        <f t="shared" si="52"/>
        <v>0</v>
      </c>
      <c r="G71" s="429">
        <f t="shared" si="36"/>
        <v>1</v>
      </c>
      <c r="H71" s="430">
        <f t="shared" si="37"/>
        <v>1</v>
      </c>
      <c r="I71" s="375">
        <f t="shared" si="53"/>
        <v>0</v>
      </c>
      <c r="J71" s="430">
        <f t="shared" si="38"/>
        <v>1</v>
      </c>
      <c r="K71" s="430">
        <f t="shared" si="39"/>
        <v>1</v>
      </c>
      <c r="L71" s="375">
        <f t="shared" si="40"/>
        <v>0</v>
      </c>
      <c r="M71" s="430">
        <f t="shared" si="41"/>
        <v>1</v>
      </c>
      <c r="N71" s="430">
        <f t="shared" si="42"/>
        <v>1</v>
      </c>
      <c r="O71" s="375">
        <f t="shared" si="43"/>
        <v>0</v>
      </c>
      <c r="P71" s="430">
        <f t="shared" si="44"/>
        <v>1</v>
      </c>
      <c r="Q71" s="430">
        <f t="shared" si="45"/>
        <v>1</v>
      </c>
      <c r="R71" s="375">
        <f t="shared" si="46"/>
        <v>0</v>
      </c>
      <c r="S71" s="430">
        <f t="shared" si="47"/>
        <v>1</v>
      </c>
      <c r="T71" s="431">
        <f t="shared" si="48"/>
        <v>1</v>
      </c>
      <c r="U71" s="377">
        <f t="shared" si="49"/>
        <v>0</v>
      </c>
    </row>
    <row r="72" spans="1:22" x14ac:dyDescent="0.3">
      <c r="A72" s="712"/>
      <c r="B72" s="714"/>
      <c r="C72" s="419" t="s">
        <v>32</v>
      </c>
      <c r="D72" s="420">
        <f t="shared" si="50"/>
        <v>5</v>
      </c>
      <c r="E72" s="421">
        <f t="shared" si="51"/>
        <v>5</v>
      </c>
      <c r="F72" s="422">
        <f t="shared" si="52"/>
        <v>0</v>
      </c>
      <c r="G72" s="429">
        <f t="shared" si="36"/>
        <v>1</v>
      </c>
      <c r="H72" s="430">
        <f t="shared" si="37"/>
        <v>1</v>
      </c>
      <c r="I72" s="375">
        <f t="shared" si="53"/>
        <v>0</v>
      </c>
      <c r="J72" s="430">
        <f t="shared" si="38"/>
        <v>1</v>
      </c>
      <c r="K72" s="430">
        <f t="shared" si="39"/>
        <v>1</v>
      </c>
      <c r="L72" s="375">
        <f t="shared" si="40"/>
        <v>0</v>
      </c>
      <c r="M72" s="430">
        <f t="shared" si="41"/>
        <v>1</v>
      </c>
      <c r="N72" s="430">
        <f t="shared" si="42"/>
        <v>1</v>
      </c>
      <c r="O72" s="375">
        <f t="shared" si="43"/>
        <v>0</v>
      </c>
      <c r="P72" s="430">
        <f t="shared" si="44"/>
        <v>1</v>
      </c>
      <c r="Q72" s="430">
        <f t="shared" si="45"/>
        <v>1</v>
      </c>
      <c r="R72" s="375">
        <f t="shared" si="46"/>
        <v>0</v>
      </c>
      <c r="S72" s="430">
        <f t="shared" si="47"/>
        <v>1</v>
      </c>
      <c r="T72" s="431">
        <f t="shared" si="48"/>
        <v>1</v>
      </c>
      <c r="U72" s="377">
        <f t="shared" si="49"/>
        <v>0</v>
      </c>
    </row>
    <row r="73" spans="1:22" x14ac:dyDescent="0.3">
      <c r="A73" s="712"/>
      <c r="B73" s="714"/>
      <c r="C73" s="419" t="s">
        <v>33</v>
      </c>
      <c r="D73" s="420">
        <f t="shared" si="50"/>
        <v>5</v>
      </c>
      <c r="E73" s="421">
        <f t="shared" si="51"/>
        <v>5</v>
      </c>
      <c r="F73" s="422">
        <f t="shared" si="52"/>
        <v>0</v>
      </c>
      <c r="G73" s="429">
        <f t="shared" si="36"/>
        <v>1</v>
      </c>
      <c r="H73" s="430">
        <f t="shared" si="37"/>
        <v>1</v>
      </c>
      <c r="I73" s="375">
        <f t="shared" si="53"/>
        <v>0</v>
      </c>
      <c r="J73" s="430">
        <f t="shared" si="38"/>
        <v>1</v>
      </c>
      <c r="K73" s="430">
        <f t="shared" si="39"/>
        <v>1</v>
      </c>
      <c r="L73" s="375">
        <f t="shared" si="40"/>
        <v>0</v>
      </c>
      <c r="M73" s="430">
        <f t="shared" si="41"/>
        <v>1</v>
      </c>
      <c r="N73" s="430">
        <f t="shared" si="42"/>
        <v>1</v>
      </c>
      <c r="O73" s="375">
        <f t="shared" si="43"/>
        <v>0</v>
      </c>
      <c r="P73" s="430">
        <f t="shared" si="44"/>
        <v>1</v>
      </c>
      <c r="Q73" s="430">
        <f t="shared" si="45"/>
        <v>1</v>
      </c>
      <c r="R73" s="375">
        <f t="shared" si="46"/>
        <v>0</v>
      </c>
      <c r="S73" s="430">
        <f t="shared" si="47"/>
        <v>1</v>
      </c>
      <c r="T73" s="431">
        <f t="shared" si="48"/>
        <v>1</v>
      </c>
      <c r="U73" s="377">
        <f t="shared" si="49"/>
        <v>0</v>
      </c>
    </row>
    <row r="74" spans="1:22" ht="15" thickBot="1" x14ac:dyDescent="0.35">
      <c r="A74" s="713"/>
      <c r="B74" s="715"/>
      <c r="C74" s="432" t="s">
        <v>34</v>
      </c>
      <c r="D74" s="433">
        <f t="shared" si="50"/>
        <v>5</v>
      </c>
      <c r="E74" s="434">
        <f t="shared" si="51"/>
        <v>5</v>
      </c>
      <c r="F74" s="435">
        <f t="shared" si="52"/>
        <v>0</v>
      </c>
      <c r="G74" s="436">
        <f t="shared" si="36"/>
        <v>1</v>
      </c>
      <c r="H74" s="437">
        <f t="shared" si="37"/>
        <v>1</v>
      </c>
      <c r="I74" s="384">
        <f t="shared" si="53"/>
        <v>0</v>
      </c>
      <c r="J74" s="437">
        <f t="shared" si="38"/>
        <v>1</v>
      </c>
      <c r="K74" s="437">
        <f t="shared" si="39"/>
        <v>1</v>
      </c>
      <c r="L74" s="384">
        <f t="shared" si="40"/>
        <v>0</v>
      </c>
      <c r="M74" s="437">
        <f t="shared" si="41"/>
        <v>1</v>
      </c>
      <c r="N74" s="437">
        <f t="shared" si="42"/>
        <v>1</v>
      </c>
      <c r="O74" s="384">
        <f t="shared" si="43"/>
        <v>0</v>
      </c>
      <c r="P74" s="437">
        <f t="shared" si="44"/>
        <v>1</v>
      </c>
      <c r="Q74" s="437">
        <f t="shared" si="45"/>
        <v>1</v>
      </c>
      <c r="R74" s="384">
        <f t="shared" si="46"/>
        <v>0</v>
      </c>
      <c r="S74" s="437">
        <f t="shared" si="47"/>
        <v>1</v>
      </c>
      <c r="T74" s="438">
        <f t="shared" si="48"/>
        <v>1</v>
      </c>
      <c r="U74" s="386">
        <f t="shared" si="49"/>
        <v>0</v>
      </c>
    </row>
    <row r="75" spans="1:22" x14ac:dyDescent="0.3">
      <c r="A75" s="712" t="s">
        <v>195</v>
      </c>
      <c r="B75" s="714" t="s">
        <v>13</v>
      </c>
      <c r="C75" s="419" t="s">
        <v>25</v>
      </c>
      <c r="D75" s="420">
        <f t="shared" si="50"/>
        <v>11880948.045506636</v>
      </c>
      <c r="E75" s="421">
        <f t="shared" si="51"/>
        <v>11880948.045506636</v>
      </c>
      <c r="F75" s="422">
        <f t="shared" si="52"/>
        <v>0</v>
      </c>
      <c r="G75" s="439">
        <f>G4*G34*Faktory!$D$8</f>
        <v>196701.31255488578</v>
      </c>
      <c r="H75" s="440">
        <f>((H65*G34)-(H65*((G34-H34)*(1+$V$34))))*Faktory!$D$8</f>
        <v>196701.31255488578</v>
      </c>
      <c r="I75" s="366">
        <f>H75-G75</f>
        <v>0</v>
      </c>
      <c r="J75" s="440">
        <f>J4*J34*Faktory!$D$8</f>
        <v>10388330.468185816</v>
      </c>
      <c r="K75" s="440">
        <f>((K65*J34)-(K65*((J34-K34)*(1+$V$34))))*Faktory!$D$8</f>
        <v>10388330.468185816</v>
      </c>
      <c r="L75" s="366">
        <f>K75-J75</f>
        <v>0</v>
      </c>
      <c r="M75" s="440">
        <f>M4*M34*Faktory!$D$8</f>
        <v>355767.16629735078</v>
      </c>
      <c r="N75" s="440">
        <f>((N65*M34)-(N65*((M34-N34)*(1+$V$34))))*Faktory!$D$8</f>
        <v>355767.16629735078</v>
      </c>
      <c r="O75" s="366">
        <f>N75-M75</f>
        <v>0</v>
      </c>
      <c r="P75" s="440">
        <f>P4*P34*Faktory!$D$8</f>
        <v>940149.09846858378</v>
      </c>
      <c r="Q75" s="440">
        <f>((Q65*P34)-(Q65*((P34-Q34)*(1+$V$34))))*Faktory!$D$8</f>
        <v>940149.09846858378</v>
      </c>
      <c r="R75" s="366">
        <f>Q75-P75</f>
        <v>0</v>
      </c>
      <c r="S75" s="440">
        <f>S4*S34*Faktory!$D$8</f>
        <v>0</v>
      </c>
      <c r="T75" s="441">
        <f>((T65*S34)-(T65*((S34-T34)*(1+$V$34))))*Faktory!$D$8</f>
        <v>0</v>
      </c>
      <c r="U75" s="442">
        <f>T75-S75</f>
        <v>0</v>
      </c>
    </row>
    <row r="76" spans="1:22" x14ac:dyDescent="0.3">
      <c r="A76" s="712"/>
      <c r="B76" s="714"/>
      <c r="C76" s="419" t="s">
        <v>26</v>
      </c>
      <c r="D76" s="420">
        <f t="shared" si="50"/>
        <v>11880948.045506636</v>
      </c>
      <c r="E76" s="421">
        <f t="shared" si="51"/>
        <v>11880948.045506636</v>
      </c>
      <c r="F76" s="422">
        <f t="shared" si="52"/>
        <v>0</v>
      </c>
      <c r="G76" s="429">
        <f>G5*G35*Faktory!$D$8</f>
        <v>196701.31255488578</v>
      </c>
      <c r="H76" s="430">
        <f>((H66*G35)-(H66*((G35-H35)*(1+$V$34))))*Faktory!$D$8</f>
        <v>196701.31255488578</v>
      </c>
      <c r="I76" s="375">
        <f t="shared" ref="I76:I94" si="54">H76-G76</f>
        <v>0</v>
      </c>
      <c r="J76" s="430">
        <f>J5*J35*Faktory!$D$8</f>
        <v>10388330.468185816</v>
      </c>
      <c r="K76" s="430">
        <f>((K66*J35)-(K66*((J35-K35)*(1+$V$34))))*Faktory!$D$8</f>
        <v>10388330.468185816</v>
      </c>
      <c r="L76" s="375">
        <f t="shared" ref="L76:L94" si="55">K76-J76</f>
        <v>0</v>
      </c>
      <c r="M76" s="430">
        <f>M5*M35*Faktory!$D$8</f>
        <v>355767.16629735078</v>
      </c>
      <c r="N76" s="430">
        <f>((N66*M35)-(N66*((M35-N35)*(1+$V$34))))*Faktory!$D$8</f>
        <v>355767.16629735078</v>
      </c>
      <c r="O76" s="375">
        <f t="shared" ref="O76:O94" si="56">N76-M76</f>
        <v>0</v>
      </c>
      <c r="P76" s="430">
        <f>P5*P35*Faktory!$D$8</f>
        <v>940149.09846858378</v>
      </c>
      <c r="Q76" s="430">
        <f>((Q66*P35)-(Q66*((P35-Q35)*(1+$V$34))))*Faktory!$D$8</f>
        <v>940149.09846858378</v>
      </c>
      <c r="R76" s="375">
        <f t="shared" ref="R76:R94" si="57">Q76-P76</f>
        <v>0</v>
      </c>
      <c r="S76" s="430">
        <f>S5*S35*Faktory!$D$8</f>
        <v>0</v>
      </c>
      <c r="T76" s="431">
        <f>((T66*S35)-(T66*((S35-T35)*(1+$V$34))))*Faktory!$D$8</f>
        <v>0</v>
      </c>
      <c r="U76" s="377">
        <f t="shared" ref="U76:U94" si="58">T76-S76</f>
        <v>0</v>
      </c>
    </row>
    <row r="77" spans="1:22" x14ac:dyDescent="0.3">
      <c r="A77" s="712"/>
      <c r="B77" s="714"/>
      <c r="C77" s="419" t="s">
        <v>27</v>
      </c>
      <c r="D77" s="420">
        <f t="shared" si="50"/>
        <v>11880948.045506636</v>
      </c>
      <c r="E77" s="421">
        <f t="shared" si="51"/>
        <v>9891493.7453202941</v>
      </c>
      <c r="F77" s="422">
        <f t="shared" si="52"/>
        <v>-1989454.300186343</v>
      </c>
      <c r="G77" s="429">
        <f>G6*G36*Faktory!$D$8</f>
        <v>196701.31255488578</v>
      </c>
      <c r="H77" s="430">
        <f>((H67*G36)-(H67*((G36-H36)*(1+$V$34))))*Faktory!$D$8</f>
        <v>150882.5010406576</v>
      </c>
      <c r="I77" s="375">
        <f t="shared" si="54"/>
        <v>-45818.811514228175</v>
      </c>
      <c r="J77" s="430">
        <f>J6*J36*Faktory!$D$8</f>
        <v>10388330.468185816</v>
      </c>
      <c r="K77" s="430">
        <f>((K67*J36)-(K67*((J36-K36)*(1+$V$34))))*Faktory!$D$8</f>
        <v>8562470.9595951103</v>
      </c>
      <c r="L77" s="375">
        <f t="shared" si="55"/>
        <v>-1825859.5085907057</v>
      </c>
      <c r="M77" s="430">
        <f>M6*M36*Faktory!$D$8</f>
        <v>355767.16629735078</v>
      </c>
      <c r="N77" s="430">
        <f>((N67*M36)-(N67*((M36-N36)*(1+$V$34))))*Faktory!$D$8</f>
        <v>353606.66680047777</v>
      </c>
      <c r="O77" s="375">
        <f t="shared" si="56"/>
        <v>-2160.4994968730025</v>
      </c>
      <c r="P77" s="430">
        <f>P6*P36*Faktory!$D$8</f>
        <v>940149.09846858378</v>
      </c>
      <c r="Q77" s="430">
        <f>((Q67*P36)-(Q67*((P36-Q36)*(1+$V$34))))*Faktory!$D$8</f>
        <v>824533.61788404768</v>
      </c>
      <c r="R77" s="375">
        <f t="shared" si="57"/>
        <v>-115615.4805845361</v>
      </c>
      <c r="S77" s="430">
        <f>S6*S36*Faktory!$D$8</f>
        <v>0</v>
      </c>
      <c r="T77" s="431">
        <f>((T67*S36)-(T67*((S36-T36)*(1+$V$34))))*Faktory!$D$8</f>
        <v>0</v>
      </c>
      <c r="U77" s="377">
        <f t="shared" si="58"/>
        <v>0</v>
      </c>
    </row>
    <row r="78" spans="1:22" x14ac:dyDescent="0.3">
      <c r="A78" s="712"/>
      <c r="B78" s="714"/>
      <c r="C78" s="419" t="s">
        <v>28</v>
      </c>
      <c r="D78" s="420">
        <f t="shared" si="50"/>
        <v>11880948.045506636</v>
      </c>
      <c r="E78" s="421">
        <f t="shared" si="51"/>
        <v>9891493.7453202941</v>
      </c>
      <c r="F78" s="422">
        <f t="shared" si="52"/>
        <v>-1989454.300186343</v>
      </c>
      <c r="G78" s="429">
        <f>G7*G37*Faktory!$D$8</f>
        <v>196701.31255488578</v>
      </c>
      <c r="H78" s="430">
        <f>((H68*G37)-(H68*((G37-H37)*(1+$V$34))))*Faktory!$D$8</f>
        <v>150882.5010406576</v>
      </c>
      <c r="I78" s="375">
        <f t="shared" si="54"/>
        <v>-45818.811514228175</v>
      </c>
      <c r="J78" s="430">
        <f>J7*J37*Faktory!$D$8</f>
        <v>10388330.468185816</v>
      </c>
      <c r="K78" s="430">
        <f>((K68*J37)-(K68*((J37-K37)*(1+$V$34))))*Faktory!$D$8</f>
        <v>8562470.9595951103</v>
      </c>
      <c r="L78" s="375">
        <f t="shared" si="55"/>
        <v>-1825859.5085907057</v>
      </c>
      <c r="M78" s="430">
        <f>M7*M37*Faktory!$D$8</f>
        <v>355767.16629735078</v>
      </c>
      <c r="N78" s="430">
        <f>((N68*M37)-(N68*((M37-N37)*(1+$V$34))))*Faktory!$D$8</f>
        <v>353606.66680047777</v>
      </c>
      <c r="O78" s="375">
        <f t="shared" si="56"/>
        <v>-2160.4994968730025</v>
      </c>
      <c r="P78" s="430">
        <f>P7*P37*Faktory!$D$8</f>
        <v>940149.09846858378</v>
      </c>
      <c r="Q78" s="430">
        <f>((Q68*P37)-(Q68*((P37-Q37)*(1+$V$34))))*Faktory!$D$8</f>
        <v>824533.61788404768</v>
      </c>
      <c r="R78" s="375">
        <f t="shared" si="57"/>
        <v>-115615.4805845361</v>
      </c>
      <c r="S78" s="430">
        <f>S7*S37*Faktory!$D$8</f>
        <v>0</v>
      </c>
      <c r="T78" s="431">
        <f>((T68*S37)-(T68*((S37-T37)*(1+$V$34))))*Faktory!$D$8</f>
        <v>0</v>
      </c>
      <c r="U78" s="377">
        <f t="shared" si="58"/>
        <v>0</v>
      </c>
    </row>
    <row r="79" spans="1:22" x14ac:dyDescent="0.3">
      <c r="A79" s="712"/>
      <c r="B79" s="714"/>
      <c r="C79" s="419" t="s">
        <v>29</v>
      </c>
      <c r="D79" s="420">
        <f t="shared" si="50"/>
        <v>11880948.045506636</v>
      </c>
      <c r="E79" s="421">
        <f t="shared" si="51"/>
        <v>9891493.7453202941</v>
      </c>
      <c r="F79" s="422">
        <f t="shared" si="52"/>
        <v>-1989454.300186343</v>
      </c>
      <c r="G79" s="429">
        <f>G8*G38*Faktory!$D$8</f>
        <v>196701.31255488578</v>
      </c>
      <c r="H79" s="430">
        <f>((H69*G38)-(H69*((G38-H38)*(1+$V$34))))*Faktory!$D$8</f>
        <v>150882.5010406576</v>
      </c>
      <c r="I79" s="375">
        <f t="shared" si="54"/>
        <v>-45818.811514228175</v>
      </c>
      <c r="J79" s="430">
        <f>J8*J38*Faktory!$D$8</f>
        <v>10388330.468185816</v>
      </c>
      <c r="K79" s="430">
        <f>((K69*J38)-(K69*((J38-K38)*(1+$V$34))))*Faktory!$D$8</f>
        <v>8562470.9595951103</v>
      </c>
      <c r="L79" s="375">
        <f t="shared" si="55"/>
        <v>-1825859.5085907057</v>
      </c>
      <c r="M79" s="430">
        <f>M8*M38*Faktory!$D$8</f>
        <v>355767.16629735078</v>
      </c>
      <c r="N79" s="430">
        <f>((N69*M38)-(N69*((M38-N38)*(1+$V$34))))*Faktory!$D$8</f>
        <v>353606.66680047777</v>
      </c>
      <c r="O79" s="375">
        <f t="shared" si="56"/>
        <v>-2160.4994968730025</v>
      </c>
      <c r="P79" s="430">
        <f>P8*P38*Faktory!$D$8</f>
        <v>940149.09846858378</v>
      </c>
      <c r="Q79" s="430">
        <f>((Q69*P38)-(Q69*((P38-Q38)*(1+$V$34))))*Faktory!$D$8</f>
        <v>824533.61788404768</v>
      </c>
      <c r="R79" s="375">
        <f t="shared" si="57"/>
        <v>-115615.4805845361</v>
      </c>
      <c r="S79" s="430">
        <f>S8*S38*Faktory!$D$8</f>
        <v>0</v>
      </c>
      <c r="T79" s="431">
        <f>((T69*S38)-(T69*((S38-T38)*(1+$V$34))))*Faktory!$D$8</f>
        <v>0</v>
      </c>
      <c r="U79" s="377">
        <f t="shared" si="58"/>
        <v>0</v>
      </c>
    </row>
    <row r="80" spans="1:22" x14ac:dyDescent="0.3">
      <c r="A80" s="712"/>
      <c r="B80" s="714"/>
      <c r="C80" s="419" t="s">
        <v>30</v>
      </c>
      <c r="D80" s="420">
        <f t="shared" si="50"/>
        <v>11880948.045506636</v>
      </c>
      <c r="E80" s="421">
        <f t="shared" si="51"/>
        <v>9891493.7453202941</v>
      </c>
      <c r="F80" s="422">
        <f t="shared" si="52"/>
        <v>-1989454.300186343</v>
      </c>
      <c r="G80" s="429">
        <f>G9*G39*Faktory!$D$8</f>
        <v>196701.31255488578</v>
      </c>
      <c r="H80" s="430">
        <f>((H70*G39)-(H70*((G39-H39)*(1+$V$34))))*Faktory!$D$8</f>
        <v>150882.5010406576</v>
      </c>
      <c r="I80" s="375">
        <f t="shared" si="54"/>
        <v>-45818.811514228175</v>
      </c>
      <c r="J80" s="430">
        <f>J9*J39*Faktory!$D$8</f>
        <v>10388330.468185816</v>
      </c>
      <c r="K80" s="430">
        <f>((K70*J39)-(K70*((J39-K39)*(1+$V$34))))*Faktory!$D$8</f>
        <v>8562470.9595951103</v>
      </c>
      <c r="L80" s="375">
        <f t="shared" si="55"/>
        <v>-1825859.5085907057</v>
      </c>
      <c r="M80" s="430">
        <f>M9*M39*Faktory!$D$8</f>
        <v>355767.16629735078</v>
      </c>
      <c r="N80" s="430">
        <f>((N70*M39)-(N70*((M39-N39)*(1+$V$34))))*Faktory!$D$8</f>
        <v>353606.66680047777</v>
      </c>
      <c r="O80" s="375">
        <f t="shared" si="56"/>
        <v>-2160.4994968730025</v>
      </c>
      <c r="P80" s="430">
        <f>P9*P39*Faktory!$D$8</f>
        <v>940149.09846858378</v>
      </c>
      <c r="Q80" s="430">
        <f>((Q70*P39)-(Q70*((P39-Q39)*(1+$V$34))))*Faktory!$D$8</f>
        <v>824533.61788404768</v>
      </c>
      <c r="R80" s="375">
        <f t="shared" si="57"/>
        <v>-115615.4805845361</v>
      </c>
      <c r="S80" s="430">
        <f>S9*S39*Faktory!$D$8</f>
        <v>0</v>
      </c>
      <c r="T80" s="431">
        <f>((T70*S39)-(T70*((S39-T39)*(1+$V$34))))*Faktory!$D$8</f>
        <v>0</v>
      </c>
      <c r="U80" s="377">
        <f t="shared" si="58"/>
        <v>0</v>
      </c>
    </row>
    <row r="81" spans="1:21" x14ac:dyDescent="0.3">
      <c r="A81" s="712"/>
      <c r="B81" s="714"/>
      <c r="C81" s="419" t="s">
        <v>31</v>
      </c>
      <c r="D81" s="420">
        <f t="shared" si="50"/>
        <v>11880948.045506636</v>
      </c>
      <c r="E81" s="421">
        <f t="shared" si="51"/>
        <v>9891493.7453202941</v>
      </c>
      <c r="F81" s="422">
        <f t="shared" si="52"/>
        <v>-1989454.300186343</v>
      </c>
      <c r="G81" s="429">
        <f>G10*G40*Faktory!$D$8</f>
        <v>196701.31255488578</v>
      </c>
      <c r="H81" s="430">
        <f>((H71*G40)-(H71*((G40-H40)*(1+$V$34))))*Faktory!$D$8</f>
        <v>150882.5010406576</v>
      </c>
      <c r="I81" s="375">
        <f t="shared" si="54"/>
        <v>-45818.811514228175</v>
      </c>
      <c r="J81" s="430">
        <f>J10*J40*Faktory!$D$8</f>
        <v>10388330.468185816</v>
      </c>
      <c r="K81" s="430">
        <f>((K71*J40)-(K71*((J40-K40)*(1+$V$34))))*Faktory!$D$8</f>
        <v>8562470.9595951103</v>
      </c>
      <c r="L81" s="375">
        <f t="shared" si="55"/>
        <v>-1825859.5085907057</v>
      </c>
      <c r="M81" s="430">
        <f>M10*M40*Faktory!$D$8</f>
        <v>355767.16629735078</v>
      </c>
      <c r="N81" s="430">
        <f>((N71*M40)-(N71*((M40-N40)*(1+$V$34))))*Faktory!$D$8</f>
        <v>353606.66680047777</v>
      </c>
      <c r="O81" s="375">
        <f t="shared" si="56"/>
        <v>-2160.4994968730025</v>
      </c>
      <c r="P81" s="430">
        <f>P10*P40*Faktory!$D$8</f>
        <v>940149.09846858378</v>
      </c>
      <c r="Q81" s="430">
        <f>((Q71*P40)-(Q71*((P40-Q40)*(1+$V$34))))*Faktory!$D$8</f>
        <v>824533.61788404768</v>
      </c>
      <c r="R81" s="375">
        <f t="shared" si="57"/>
        <v>-115615.4805845361</v>
      </c>
      <c r="S81" s="430">
        <f>S10*S40*Faktory!$D$8</f>
        <v>0</v>
      </c>
      <c r="T81" s="431">
        <f>((T71*S40)-(T71*((S40-T40)*(1+$V$34))))*Faktory!$D$8</f>
        <v>0</v>
      </c>
      <c r="U81" s="377">
        <f t="shared" si="58"/>
        <v>0</v>
      </c>
    </row>
    <row r="82" spans="1:21" x14ac:dyDescent="0.3">
      <c r="A82" s="712"/>
      <c r="B82" s="714"/>
      <c r="C82" s="419" t="s">
        <v>32</v>
      </c>
      <c r="D82" s="420">
        <f t="shared" si="50"/>
        <v>11880948.045506636</v>
      </c>
      <c r="E82" s="421">
        <f t="shared" si="51"/>
        <v>9891493.7453202941</v>
      </c>
      <c r="F82" s="422">
        <f t="shared" si="52"/>
        <v>-1989454.300186343</v>
      </c>
      <c r="G82" s="429">
        <f>G11*G41*Faktory!$D$8</f>
        <v>196701.31255488578</v>
      </c>
      <c r="H82" s="430">
        <f>((H72*G41)-(H72*((G41-H41)*(1+$V$34))))*Faktory!$D$8</f>
        <v>150882.5010406576</v>
      </c>
      <c r="I82" s="375">
        <f t="shared" si="54"/>
        <v>-45818.811514228175</v>
      </c>
      <c r="J82" s="430">
        <f>J11*J41*Faktory!$D$8</f>
        <v>10388330.468185816</v>
      </c>
      <c r="K82" s="430">
        <f>((K72*J41)-(K72*((J41-K41)*(1+$V$34))))*Faktory!$D$8</f>
        <v>8562470.9595951103</v>
      </c>
      <c r="L82" s="375">
        <f t="shared" si="55"/>
        <v>-1825859.5085907057</v>
      </c>
      <c r="M82" s="430">
        <f>M11*M41*Faktory!$D$8</f>
        <v>355767.16629735078</v>
      </c>
      <c r="N82" s="430">
        <f>((N72*M41)-(N72*((M41-N41)*(1+$V$34))))*Faktory!$D$8</f>
        <v>353606.66680047777</v>
      </c>
      <c r="O82" s="375">
        <f t="shared" si="56"/>
        <v>-2160.4994968730025</v>
      </c>
      <c r="P82" s="430">
        <f>P11*P41*Faktory!$D$8</f>
        <v>940149.09846858378</v>
      </c>
      <c r="Q82" s="430">
        <f>((Q72*P41)-(Q72*((P41-Q41)*(1+$V$34))))*Faktory!$D$8</f>
        <v>824533.61788404768</v>
      </c>
      <c r="R82" s="375">
        <f t="shared" si="57"/>
        <v>-115615.4805845361</v>
      </c>
      <c r="S82" s="430">
        <f>S11*S41*Faktory!$D$8</f>
        <v>0</v>
      </c>
      <c r="T82" s="431">
        <f>((T72*S41)-(T72*((S41-T41)*(1+$V$34))))*Faktory!$D$8</f>
        <v>0</v>
      </c>
      <c r="U82" s="377">
        <f t="shared" si="58"/>
        <v>0</v>
      </c>
    </row>
    <row r="83" spans="1:21" x14ac:dyDescent="0.3">
      <c r="A83" s="712"/>
      <c r="B83" s="714"/>
      <c r="C83" s="419" t="s">
        <v>33</v>
      </c>
      <c r="D83" s="420">
        <f t="shared" si="50"/>
        <v>11880948.045506636</v>
      </c>
      <c r="E83" s="421">
        <f t="shared" si="51"/>
        <v>9891493.7453202941</v>
      </c>
      <c r="F83" s="422">
        <f t="shared" si="52"/>
        <v>-1989454.300186343</v>
      </c>
      <c r="G83" s="429">
        <f>G12*G42*Faktory!$D$8</f>
        <v>196701.31255488578</v>
      </c>
      <c r="H83" s="430">
        <f>((H73*G42)-(H73*((G42-H42)*(1+$V$34))))*Faktory!$D$8</f>
        <v>150882.5010406576</v>
      </c>
      <c r="I83" s="375">
        <f t="shared" si="54"/>
        <v>-45818.811514228175</v>
      </c>
      <c r="J83" s="430">
        <f>J12*J42*Faktory!$D$8</f>
        <v>10388330.468185816</v>
      </c>
      <c r="K83" s="430">
        <f>((K73*J42)-(K73*((J42-K42)*(1+$V$34))))*Faktory!$D$8</f>
        <v>8562470.9595951103</v>
      </c>
      <c r="L83" s="375">
        <f t="shared" si="55"/>
        <v>-1825859.5085907057</v>
      </c>
      <c r="M83" s="430">
        <f>M12*M42*Faktory!$D$8</f>
        <v>355767.16629735078</v>
      </c>
      <c r="N83" s="430">
        <f>((N73*M42)-(N73*((M42-N42)*(1+$V$34))))*Faktory!$D$8</f>
        <v>353606.66680047777</v>
      </c>
      <c r="O83" s="375">
        <f t="shared" si="56"/>
        <v>-2160.4994968730025</v>
      </c>
      <c r="P83" s="430">
        <f>P12*P42*Faktory!$D$8</f>
        <v>940149.09846858378</v>
      </c>
      <c r="Q83" s="430">
        <f>((Q73*P42)-(Q73*((P42-Q42)*(1+$V$34))))*Faktory!$D$8</f>
        <v>824533.61788404768</v>
      </c>
      <c r="R83" s="375">
        <f t="shared" si="57"/>
        <v>-115615.4805845361</v>
      </c>
      <c r="S83" s="430">
        <f>S12*S42*Faktory!$D$8</f>
        <v>0</v>
      </c>
      <c r="T83" s="431">
        <f>((T73*S42)-(T73*((S42-T42)*(1+$V$34))))*Faktory!$D$8</f>
        <v>0</v>
      </c>
      <c r="U83" s="377">
        <f t="shared" si="58"/>
        <v>0</v>
      </c>
    </row>
    <row r="84" spans="1:21" ht="15" thickBot="1" x14ac:dyDescent="0.35">
      <c r="A84" s="713"/>
      <c r="B84" s="715"/>
      <c r="C84" s="432" t="s">
        <v>34</v>
      </c>
      <c r="D84" s="433">
        <f t="shared" si="50"/>
        <v>11880948.045506636</v>
      </c>
      <c r="E84" s="434">
        <f t="shared" si="51"/>
        <v>9891493.7453202941</v>
      </c>
      <c r="F84" s="435">
        <f t="shared" si="52"/>
        <v>-1989454.300186343</v>
      </c>
      <c r="G84" s="436">
        <f>G13*G43*Faktory!$D$8</f>
        <v>196701.31255488578</v>
      </c>
      <c r="H84" s="437">
        <f>((H74*G43)-(H74*((G43-H43)*(1+$V$34))))*Faktory!$D$8</f>
        <v>150882.5010406576</v>
      </c>
      <c r="I84" s="384">
        <f t="shared" si="54"/>
        <v>-45818.811514228175</v>
      </c>
      <c r="J84" s="437">
        <f>J13*J43*Faktory!$D$8</f>
        <v>10388330.468185816</v>
      </c>
      <c r="K84" s="437">
        <f>((K74*J43)-(K74*((J43-K43)*(1+$V$34))))*Faktory!$D$8</f>
        <v>8562470.9595951103</v>
      </c>
      <c r="L84" s="384">
        <f t="shared" si="55"/>
        <v>-1825859.5085907057</v>
      </c>
      <c r="M84" s="437">
        <f>M13*M43*Faktory!$D$8</f>
        <v>355767.16629735078</v>
      </c>
      <c r="N84" s="437">
        <f>((N74*M43)-(N74*((M43-N43)*(1+$V$34))))*Faktory!$D$8</f>
        <v>353606.66680047777</v>
      </c>
      <c r="O84" s="384">
        <f t="shared" si="56"/>
        <v>-2160.4994968730025</v>
      </c>
      <c r="P84" s="437">
        <f>P13*P43*Faktory!$D$8</f>
        <v>940149.09846858378</v>
      </c>
      <c r="Q84" s="437">
        <f>((Q74*P43)-(Q74*((P43-Q43)*(1+$V$34))))*Faktory!$D$8</f>
        <v>824533.61788404768</v>
      </c>
      <c r="R84" s="384">
        <f t="shared" si="57"/>
        <v>-115615.4805845361</v>
      </c>
      <c r="S84" s="437">
        <f>S13*S43*Faktory!$D$8</f>
        <v>0</v>
      </c>
      <c r="T84" s="438">
        <f>((T74*S43)-(T74*((S43-T43)*(1+$V$34))))*Faktory!$D$8</f>
        <v>0</v>
      </c>
      <c r="U84" s="386">
        <f t="shared" si="58"/>
        <v>0</v>
      </c>
    </row>
    <row r="85" spans="1:21" x14ac:dyDescent="0.3">
      <c r="A85" s="712" t="s">
        <v>190</v>
      </c>
      <c r="B85" s="714" t="s">
        <v>191</v>
      </c>
      <c r="C85" s="419" t="s">
        <v>25</v>
      </c>
      <c r="D85" s="443">
        <f t="shared" ref="D85:D100" si="59">G85+J85+S85+M85+P85</f>
        <v>588.04638887684359</v>
      </c>
      <c r="E85" s="444">
        <f t="shared" si="51"/>
        <v>588.04638887684359</v>
      </c>
      <c r="F85" s="445">
        <f t="shared" si="52"/>
        <v>0</v>
      </c>
      <c r="G85" s="446">
        <f t="shared" ref="G85:H94" si="60">(G4*G34)/12/21/7.5</f>
        <v>9.7357126798464559</v>
      </c>
      <c r="H85" s="447">
        <f t="shared" si="60"/>
        <v>9.7357126798464559</v>
      </c>
      <c r="I85" s="448">
        <f t="shared" si="54"/>
        <v>0</v>
      </c>
      <c r="J85" s="447">
        <f t="shared" ref="J85:K94" si="61">(J4*J34)/12/21/7.5</f>
        <v>514.1694244329525</v>
      </c>
      <c r="K85" s="447">
        <f t="shared" si="61"/>
        <v>514.1694244329525</v>
      </c>
      <c r="L85" s="448">
        <f t="shared" si="55"/>
        <v>0</v>
      </c>
      <c r="M85" s="447">
        <f t="shared" ref="M85:N85" si="62">(M4*M34)/12/21/7.5</f>
        <v>17.608661919974203</v>
      </c>
      <c r="N85" s="447">
        <f t="shared" si="62"/>
        <v>17.608661919974203</v>
      </c>
      <c r="O85" s="448">
        <f t="shared" si="56"/>
        <v>0</v>
      </c>
      <c r="P85" s="447">
        <f t="shared" ref="P85:Q85" si="63">(P4*P34)/12/21/7.5</f>
        <v>46.532589844070451</v>
      </c>
      <c r="Q85" s="447">
        <f t="shared" si="63"/>
        <v>46.532589844070451</v>
      </c>
      <c r="R85" s="448">
        <f t="shared" si="57"/>
        <v>0</v>
      </c>
      <c r="S85" s="447">
        <f t="shared" ref="S85:T94" si="64">(S4*S34)/12/21/7.5</f>
        <v>0</v>
      </c>
      <c r="T85" s="449">
        <f t="shared" si="64"/>
        <v>0</v>
      </c>
      <c r="U85" s="450">
        <f t="shared" si="58"/>
        <v>0</v>
      </c>
    </row>
    <row r="86" spans="1:21" x14ac:dyDescent="0.3">
      <c r="A86" s="712"/>
      <c r="B86" s="714"/>
      <c r="C86" s="419" t="s">
        <v>26</v>
      </c>
      <c r="D86" s="443">
        <f t="shared" si="59"/>
        <v>588.04638887684359</v>
      </c>
      <c r="E86" s="444">
        <f t="shared" si="51"/>
        <v>588.04638887684359</v>
      </c>
      <c r="F86" s="445">
        <f t="shared" si="52"/>
        <v>0</v>
      </c>
      <c r="G86" s="451">
        <f t="shared" si="60"/>
        <v>9.7357126798464559</v>
      </c>
      <c r="H86" s="452">
        <f t="shared" si="60"/>
        <v>9.7357126798464559</v>
      </c>
      <c r="I86" s="453">
        <f t="shared" si="54"/>
        <v>0</v>
      </c>
      <c r="J86" s="452">
        <f t="shared" si="61"/>
        <v>514.1694244329525</v>
      </c>
      <c r="K86" s="452">
        <f t="shared" si="61"/>
        <v>514.1694244329525</v>
      </c>
      <c r="L86" s="453">
        <f t="shared" si="55"/>
        <v>0</v>
      </c>
      <c r="M86" s="452">
        <f t="shared" ref="M86:N86" si="65">(M5*M35)/12/21/7.5</f>
        <v>17.608661919974203</v>
      </c>
      <c r="N86" s="452">
        <f t="shared" si="65"/>
        <v>17.608661919974203</v>
      </c>
      <c r="O86" s="453">
        <f t="shared" si="56"/>
        <v>0</v>
      </c>
      <c r="P86" s="452">
        <f t="shared" ref="P86:Q86" si="66">(P5*P35)/12/21/7.5</f>
        <v>46.532589844070451</v>
      </c>
      <c r="Q86" s="452">
        <f t="shared" si="66"/>
        <v>46.532589844070451</v>
      </c>
      <c r="R86" s="453">
        <f t="shared" si="57"/>
        <v>0</v>
      </c>
      <c r="S86" s="452">
        <f t="shared" si="64"/>
        <v>0</v>
      </c>
      <c r="T86" s="454">
        <f t="shared" si="64"/>
        <v>0</v>
      </c>
      <c r="U86" s="455">
        <f t="shared" si="58"/>
        <v>0</v>
      </c>
    </row>
    <row r="87" spans="1:21" x14ac:dyDescent="0.3">
      <c r="A87" s="712"/>
      <c r="B87" s="714"/>
      <c r="C87" s="419" t="s">
        <v>27</v>
      </c>
      <c r="D87" s="443">
        <f t="shared" si="59"/>
        <v>588.04638887684359</v>
      </c>
      <c r="E87" s="444">
        <f t="shared" si="51"/>
        <v>489.57853828283839</v>
      </c>
      <c r="F87" s="445">
        <f t="shared" si="52"/>
        <v>-98.467850594005199</v>
      </c>
      <c r="G87" s="451">
        <f t="shared" si="60"/>
        <v>9.7357126798464559</v>
      </c>
      <c r="H87" s="452">
        <f t="shared" si="60"/>
        <v>7.4679149796653954</v>
      </c>
      <c r="I87" s="453">
        <f t="shared" si="54"/>
        <v>-2.2677977001810605</v>
      </c>
      <c r="J87" s="452">
        <f t="shared" si="61"/>
        <v>514.1694244329525</v>
      </c>
      <c r="K87" s="452">
        <f t="shared" si="61"/>
        <v>423.79868242560235</v>
      </c>
      <c r="L87" s="453">
        <f t="shared" si="55"/>
        <v>-90.370742007350145</v>
      </c>
      <c r="M87" s="452">
        <f t="shared" ref="M87:N87" si="67">(M6*M36)/12/21/7.5</f>
        <v>17.608661919974203</v>
      </c>
      <c r="N87" s="452">
        <f t="shared" si="67"/>
        <v>17.501728203705078</v>
      </c>
      <c r="O87" s="453">
        <f t="shared" si="56"/>
        <v>-0.10693371626912551</v>
      </c>
      <c r="P87" s="452">
        <f t="shared" ref="P87:Q87" si="68">(P6*P36)/12/21/7.5</f>
        <v>46.532589844070451</v>
      </c>
      <c r="Q87" s="452">
        <f t="shared" si="68"/>
        <v>40.810212673865593</v>
      </c>
      <c r="R87" s="453">
        <f t="shared" si="57"/>
        <v>-5.722377170204858</v>
      </c>
      <c r="S87" s="452">
        <f t="shared" si="64"/>
        <v>0</v>
      </c>
      <c r="T87" s="454">
        <f t="shared" si="64"/>
        <v>0</v>
      </c>
      <c r="U87" s="455">
        <f t="shared" si="58"/>
        <v>0</v>
      </c>
    </row>
    <row r="88" spans="1:21" x14ac:dyDescent="0.3">
      <c r="A88" s="712"/>
      <c r="B88" s="714"/>
      <c r="C88" s="419" t="s">
        <v>28</v>
      </c>
      <c r="D88" s="443">
        <f t="shared" si="59"/>
        <v>588.04638887684359</v>
      </c>
      <c r="E88" s="444">
        <f t="shared" si="51"/>
        <v>489.57853828283839</v>
      </c>
      <c r="F88" s="445">
        <f t="shared" si="52"/>
        <v>-98.467850594005199</v>
      </c>
      <c r="G88" s="451">
        <f t="shared" si="60"/>
        <v>9.7357126798464559</v>
      </c>
      <c r="H88" s="452">
        <f t="shared" si="60"/>
        <v>7.4679149796653954</v>
      </c>
      <c r="I88" s="453">
        <f t="shared" si="54"/>
        <v>-2.2677977001810605</v>
      </c>
      <c r="J88" s="452">
        <f t="shared" si="61"/>
        <v>514.1694244329525</v>
      </c>
      <c r="K88" s="452">
        <f t="shared" si="61"/>
        <v>423.79868242560235</v>
      </c>
      <c r="L88" s="453">
        <f t="shared" si="55"/>
        <v>-90.370742007350145</v>
      </c>
      <c r="M88" s="452">
        <f t="shared" ref="M88:N88" si="69">(M7*M37)/12/21/7.5</f>
        <v>17.608661919974203</v>
      </c>
      <c r="N88" s="452">
        <f t="shared" si="69"/>
        <v>17.501728203705078</v>
      </c>
      <c r="O88" s="453">
        <f t="shared" si="56"/>
        <v>-0.10693371626912551</v>
      </c>
      <c r="P88" s="452">
        <f t="shared" ref="P88:Q88" si="70">(P7*P37)/12/21/7.5</f>
        <v>46.532589844070451</v>
      </c>
      <c r="Q88" s="452">
        <f t="shared" si="70"/>
        <v>40.810212673865593</v>
      </c>
      <c r="R88" s="453">
        <f t="shared" si="57"/>
        <v>-5.722377170204858</v>
      </c>
      <c r="S88" s="452">
        <f t="shared" si="64"/>
        <v>0</v>
      </c>
      <c r="T88" s="454">
        <f t="shared" si="64"/>
        <v>0</v>
      </c>
      <c r="U88" s="455">
        <f t="shared" si="58"/>
        <v>0</v>
      </c>
    </row>
    <row r="89" spans="1:21" x14ac:dyDescent="0.3">
      <c r="A89" s="712"/>
      <c r="B89" s="714"/>
      <c r="C89" s="419" t="s">
        <v>29</v>
      </c>
      <c r="D89" s="443">
        <f t="shared" si="59"/>
        <v>588.04638887684359</v>
      </c>
      <c r="E89" s="444">
        <f t="shared" si="51"/>
        <v>489.57853828283839</v>
      </c>
      <c r="F89" s="445">
        <f t="shared" si="52"/>
        <v>-98.467850594005199</v>
      </c>
      <c r="G89" s="451">
        <f t="shared" si="60"/>
        <v>9.7357126798464559</v>
      </c>
      <c r="H89" s="452">
        <f t="shared" si="60"/>
        <v>7.4679149796653954</v>
      </c>
      <c r="I89" s="453">
        <f t="shared" si="54"/>
        <v>-2.2677977001810605</v>
      </c>
      <c r="J89" s="452">
        <f t="shared" si="61"/>
        <v>514.1694244329525</v>
      </c>
      <c r="K89" s="452">
        <f t="shared" si="61"/>
        <v>423.79868242560235</v>
      </c>
      <c r="L89" s="453">
        <f t="shared" si="55"/>
        <v>-90.370742007350145</v>
      </c>
      <c r="M89" s="452">
        <f t="shared" ref="M89:N89" si="71">(M8*M38)/12/21/7.5</f>
        <v>17.608661919974203</v>
      </c>
      <c r="N89" s="452">
        <f t="shared" si="71"/>
        <v>17.501728203705078</v>
      </c>
      <c r="O89" s="453">
        <f t="shared" si="56"/>
        <v>-0.10693371626912551</v>
      </c>
      <c r="P89" s="452">
        <f t="shared" ref="P89:Q89" si="72">(P8*P38)/12/21/7.5</f>
        <v>46.532589844070451</v>
      </c>
      <c r="Q89" s="452">
        <f t="shared" si="72"/>
        <v>40.810212673865593</v>
      </c>
      <c r="R89" s="453">
        <f t="shared" si="57"/>
        <v>-5.722377170204858</v>
      </c>
      <c r="S89" s="452">
        <f t="shared" si="64"/>
        <v>0</v>
      </c>
      <c r="T89" s="454">
        <f t="shared" si="64"/>
        <v>0</v>
      </c>
      <c r="U89" s="455">
        <f t="shared" si="58"/>
        <v>0</v>
      </c>
    </row>
    <row r="90" spans="1:21" x14ac:dyDescent="0.3">
      <c r="A90" s="712"/>
      <c r="B90" s="714"/>
      <c r="C90" s="419" t="s">
        <v>30</v>
      </c>
      <c r="D90" s="443">
        <f t="shared" si="59"/>
        <v>588.04638887684359</v>
      </c>
      <c r="E90" s="444">
        <f t="shared" si="51"/>
        <v>489.57853828283839</v>
      </c>
      <c r="F90" s="445">
        <f t="shared" si="52"/>
        <v>-98.467850594005199</v>
      </c>
      <c r="G90" s="451">
        <f t="shared" si="60"/>
        <v>9.7357126798464559</v>
      </c>
      <c r="H90" s="452">
        <f t="shared" si="60"/>
        <v>7.4679149796653954</v>
      </c>
      <c r="I90" s="453">
        <f t="shared" si="54"/>
        <v>-2.2677977001810605</v>
      </c>
      <c r="J90" s="452">
        <f t="shared" si="61"/>
        <v>514.1694244329525</v>
      </c>
      <c r="K90" s="452">
        <f t="shared" si="61"/>
        <v>423.79868242560235</v>
      </c>
      <c r="L90" s="453">
        <f t="shared" si="55"/>
        <v>-90.370742007350145</v>
      </c>
      <c r="M90" s="452">
        <f t="shared" ref="M90:N90" si="73">(M9*M39)/12/21/7.5</f>
        <v>17.608661919974203</v>
      </c>
      <c r="N90" s="452">
        <f t="shared" si="73"/>
        <v>17.501728203705078</v>
      </c>
      <c r="O90" s="453">
        <f t="shared" si="56"/>
        <v>-0.10693371626912551</v>
      </c>
      <c r="P90" s="452">
        <f t="shared" ref="P90:Q90" si="74">(P9*P39)/12/21/7.5</f>
        <v>46.532589844070451</v>
      </c>
      <c r="Q90" s="452">
        <f t="shared" si="74"/>
        <v>40.810212673865593</v>
      </c>
      <c r="R90" s="453">
        <f t="shared" si="57"/>
        <v>-5.722377170204858</v>
      </c>
      <c r="S90" s="452">
        <f t="shared" si="64"/>
        <v>0</v>
      </c>
      <c r="T90" s="454">
        <f t="shared" si="64"/>
        <v>0</v>
      </c>
      <c r="U90" s="455">
        <f t="shared" si="58"/>
        <v>0</v>
      </c>
    </row>
    <row r="91" spans="1:21" x14ac:dyDescent="0.3">
      <c r="A91" s="712"/>
      <c r="B91" s="714"/>
      <c r="C91" s="419" t="s">
        <v>31</v>
      </c>
      <c r="D91" s="443">
        <f t="shared" si="59"/>
        <v>588.04638887684359</v>
      </c>
      <c r="E91" s="444">
        <f t="shared" si="51"/>
        <v>489.57853828283839</v>
      </c>
      <c r="F91" s="445">
        <f t="shared" si="52"/>
        <v>-98.467850594005199</v>
      </c>
      <c r="G91" s="451">
        <f t="shared" si="60"/>
        <v>9.7357126798464559</v>
      </c>
      <c r="H91" s="452">
        <f t="shared" si="60"/>
        <v>7.4679149796653954</v>
      </c>
      <c r="I91" s="453">
        <f t="shared" si="54"/>
        <v>-2.2677977001810605</v>
      </c>
      <c r="J91" s="452">
        <f t="shared" si="61"/>
        <v>514.1694244329525</v>
      </c>
      <c r="K91" s="452">
        <f t="shared" si="61"/>
        <v>423.79868242560235</v>
      </c>
      <c r="L91" s="453">
        <f t="shared" si="55"/>
        <v>-90.370742007350145</v>
      </c>
      <c r="M91" s="452">
        <f t="shared" ref="M91:N91" si="75">(M10*M40)/12/21/7.5</f>
        <v>17.608661919974203</v>
      </c>
      <c r="N91" s="452">
        <f t="shared" si="75"/>
        <v>17.501728203705078</v>
      </c>
      <c r="O91" s="453">
        <f t="shared" si="56"/>
        <v>-0.10693371626912551</v>
      </c>
      <c r="P91" s="452">
        <f t="shared" ref="P91:Q91" si="76">(P10*P40)/12/21/7.5</f>
        <v>46.532589844070451</v>
      </c>
      <c r="Q91" s="452">
        <f t="shared" si="76"/>
        <v>40.810212673865593</v>
      </c>
      <c r="R91" s="453">
        <f t="shared" si="57"/>
        <v>-5.722377170204858</v>
      </c>
      <c r="S91" s="452">
        <f t="shared" si="64"/>
        <v>0</v>
      </c>
      <c r="T91" s="454">
        <f t="shared" si="64"/>
        <v>0</v>
      </c>
      <c r="U91" s="455">
        <f t="shared" si="58"/>
        <v>0</v>
      </c>
    </row>
    <row r="92" spans="1:21" x14ac:dyDescent="0.3">
      <c r="A92" s="712"/>
      <c r="B92" s="714"/>
      <c r="C92" s="419" t="s">
        <v>32</v>
      </c>
      <c r="D92" s="443">
        <f t="shared" si="59"/>
        <v>588.04638887684359</v>
      </c>
      <c r="E92" s="444">
        <f t="shared" si="51"/>
        <v>489.57853828283839</v>
      </c>
      <c r="F92" s="445">
        <f t="shared" si="52"/>
        <v>-98.467850594005199</v>
      </c>
      <c r="G92" s="451">
        <f t="shared" si="60"/>
        <v>9.7357126798464559</v>
      </c>
      <c r="H92" s="452">
        <f t="shared" si="60"/>
        <v>7.4679149796653954</v>
      </c>
      <c r="I92" s="453">
        <f t="shared" si="54"/>
        <v>-2.2677977001810605</v>
      </c>
      <c r="J92" s="452">
        <f t="shared" si="61"/>
        <v>514.1694244329525</v>
      </c>
      <c r="K92" s="452">
        <f t="shared" si="61"/>
        <v>423.79868242560235</v>
      </c>
      <c r="L92" s="453">
        <f t="shared" si="55"/>
        <v>-90.370742007350145</v>
      </c>
      <c r="M92" s="452">
        <f t="shared" ref="M92:N92" si="77">(M11*M41)/12/21/7.5</f>
        <v>17.608661919974203</v>
      </c>
      <c r="N92" s="452">
        <f t="shared" si="77"/>
        <v>17.501728203705078</v>
      </c>
      <c r="O92" s="453">
        <f t="shared" si="56"/>
        <v>-0.10693371626912551</v>
      </c>
      <c r="P92" s="452">
        <f t="shared" ref="P92:Q92" si="78">(P11*P41)/12/21/7.5</f>
        <v>46.532589844070451</v>
      </c>
      <c r="Q92" s="452">
        <f t="shared" si="78"/>
        <v>40.810212673865593</v>
      </c>
      <c r="R92" s="453">
        <f t="shared" si="57"/>
        <v>-5.722377170204858</v>
      </c>
      <c r="S92" s="452">
        <f t="shared" si="64"/>
        <v>0</v>
      </c>
      <c r="T92" s="454">
        <f t="shared" si="64"/>
        <v>0</v>
      </c>
      <c r="U92" s="455">
        <f t="shared" si="58"/>
        <v>0</v>
      </c>
    </row>
    <row r="93" spans="1:21" x14ac:dyDescent="0.3">
      <c r="A93" s="712"/>
      <c r="B93" s="714"/>
      <c r="C93" s="419" t="s">
        <v>33</v>
      </c>
      <c r="D93" s="443">
        <f t="shared" si="59"/>
        <v>588.04638887684359</v>
      </c>
      <c r="E93" s="444">
        <f t="shared" si="51"/>
        <v>489.57853828283839</v>
      </c>
      <c r="F93" s="445">
        <f t="shared" si="52"/>
        <v>-98.467850594005199</v>
      </c>
      <c r="G93" s="451">
        <f t="shared" si="60"/>
        <v>9.7357126798464559</v>
      </c>
      <c r="H93" s="452">
        <f t="shared" si="60"/>
        <v>7.4679149796653954</v>
      </c>
      <c r="I93" s="453">
        <f t="shared" si="54"/>
        <v>-2.2677977001810605</v>
      </c>
      <c r="J93" s="452">
        <f t="shared" si="61"/>
        <v>514.1694244329525</v>
      </c>
      <c r="K93" s="452">
        <f t="shared" si="61"/>
        <v>423.79868242560235</v>
      </c>
      <c r="L93" s="453">
        <f t="shared" si="55"/>
        <v>-90.370742007350145</v>
      </c>
      <c r="M93" s="452">
        <f t="shared" ref="M93:N93" si="79">(M12*M42)/12/21/7.5</f>
        <v>17.608661919974203</v>
      </c>
      <c r="N93" s="452">
        <f t="shared" si="79"/>
        <v>17.501728203705078</v>
      </c>
      <c r="O93" s="453">
        <f t="shared" si="56"/>
        <v>-0.10693371626912551</v>
      </c>
      <c r="P93" s="452">
        <f t="shared" ref="P93:Q93" si="80">(P12*P42)/12/21/7.5</f>
        <v>46.532589844070451</v>
      </c>
      <c r="Q93" s="452">
        <f t="shared" si="80"/>
        <v>40.810212673865593</v>
      </c>
      <c r="R93" s="453">
        <f t="shared" si="57"/>
        <v>-5.722377170204858</v>
      </c>
      <c r="S93" s="452">
        <f t="shared" si="64"/>
        <v>0</v>
      </c>
      <c r="T93" s="454">
        <f t="shared" si="64"/>
        <v>0</v>
      </c>
      <c r="U93" s="455">
        <f t="shared" si="58"/>
        <v>0</v>
      </c>
    </row>
    <row r="94" spans="1:21" ht="15" thickBot="1" x14ac:dyDescent="0.35">
      <c r="A94" s="713"/>
      <c r="B94" s="715"/>
      <c r="C94" s="432" t="s">
        <v>34</v>
      </c>
      <c r="D94" s="456">
        <f t="shared" si="59"/>
        <v>588.04638887684359</v>
      </c>
      <c r="E94" s="457">
        <f t="shared" si="51"/>
        <v>489.57853828283839</v>
      </c>
      <c r="F94" s="458">
        <f t="shared" si="52"/>
        <v>-98.467850594005199</v>
      </c>
      <c r="G94" s="459">
        <f t="shared" si="60"/>
        <v>9.7357126798464559</v>
      </c>
      <c r="H94" s="460">
        <f t="shared" si="60"/>
        <v>7.4679149796653954</v>
      </c>
      <c r="I94" s="461">
        <f t="shared" si="54"/>
        <v>-2.2677977001810605</v>
      </c>
      <c r="J94" s="460">
        <f t="shared" si="61"/>
        <v>514.1694244329525</v>
      </c>
      <c r="K94" s="460">
        <f t="shared" si="61"/>
        <v>423.79868242560235</v>
      </c>
      <c r="L94" s="461">
        <f t="shared" si="55"/>
        <v>-90.370742007350145</v>
      </c>
      <c r="M94" s="460">
        <f t="shared" ref="M94:N94" si="81">(M13*M43)/12/21/7.5</f>
        <v>17.608661919974203</v>
      </c>
      <c r="N94" s="460">
        <f t="shared" si="81"/>
        <v>17.501728203705078</v>
      </c>
      <c r="O94" s="461">
        <f t="shared" si="56"/>
        <v>-0.10693371626912551</v>
      </c>
      <c r="P94" s="460">
        <f t="shared" ref="P94:Q94" si="82">(P13*P43)/12/21/7.5</f>
        <v>46.532589844070451</v>
      </c>
      <c r="Q94" s="460">
        <f t="shared" si="82"/>
        <v>40.810212673865593</v>
      </c>
      <c r="R94" s="461">
        <f t="shared" si="57"/>
        <v>-5.722377170204858</v>
      </c>
      <c r="S94" s="460">
        <f t="shared" si="64"/>
        <v>0</v>
      </c>
      <c r="T94" s="462">
        <f t="shared" si="64"/>
        <v>0</v>
      </c>
      <c r="U94" s="463">
        <f t="shared" si="58"/>
        <v>0</v>
      </c>
    </row>
    <row r="95" spans="1:21" x14ac:dyDescent="0.3">
      <c r="A95" s="712" t="s">
        <v>194</v>
      </c>
      <c r="B95" s="714" t="s">
        <v>13</v>
      </c>
      <c r="C95" s="419" t="s">
        <v>25</v>
      </c>
      <c r="D95" s="420">
        <f t="shared" si="59"/>
        <v>0</v>
      </c>
      <c r="E95" s="421">
        <f t="shared" si="51"/>
        <v>0</v>
      </c>
      <c r="F95" s="422">
        <f t="shared" si="52"/>
        <v>0</v>
      </c>
      <c r="G95" s="439">
        <v>0</v>
      </c>
      <c r="H95" s="440">
        <f>(G65+I65/2)*((G44-H44)*(1+$V$44))*Faktory!$D$10</f>
        <v>0</v>
      </c>
      <c r="I95" s="366">
        <f>H95</f>
        <v>0</v>
      </c>
      <c r="J95" s="440">
        <v>0</v>
      </c>
      <c r="K95" s="440">
        <f>(J65+L65/2)*((J44-K44)*(1+$V$44))*Faktory!$D$10</f>
        <v>0</v>
      </c>
      <c r="L95" s="366">
        <f>K95</f>
        <v>0</v>
      </c>
      <c r="M95" s="440">
        <v>0</v>
      </c>
      <c r="N95" s="440">
        <f>(M65+O65/2)*((M44-N44)*(1+$V$44))*Faktory!$D$10</f>
        <v>0</v>
      </c>
      <c r="O95" s="366">
        <f>N95</f>
        <v>0</v>
      </c>
      <c r="P95" s="440">
        <v>0</v>
      </c>
      <c r="Q95" s="440">
        <f>(P65+R65/2)*((P44-Q44)*(1+$V$44))*Faktory!$D$10</f>
        <v>0</v>
      </c>
      <c r="R95" s="366">
        <f>Q95</f>
        <v>0</v>
      </c>
      <c r="S95" s="440">
        <v>0</v>
      </c>
      <c r="T95" s="441">
        <f>(S65+U65/2)*((S44-T44)*(1+$V$44))*Faktory!$D$10</f>
        <v>0</v>
      </c>
      <c r="U95" s="442">
        <f>T95</f>
        <v>0</v>
      </c>
    </row>
    <row r="96" spans="1:21" x14ac:dyDescent="0.3">
      <c r="A96" s="712"/>
      <c r="B96" s="714"/>
      <c r="C96" s="419" t="s">
        <v>26</v>
      </c>
      <c r="D96" s="420">
        <f t="shared" si="59"/>
        <v>0</v>
      </c>
      <c r="E96" s="421">
        <f t="shared" si="51"/>
        <v>0</v>
      </c>
      <c r="F96" s="422">
        <f t="shared" si="52"/>
        <v>0</v>
      </c>
      <c r="G96" s="429">
        <v>0</v>
      </c>
      <c r="H96" s="430">
        <f>(G66+I66/2)*((G45-H45)*(1+$V$44))*Faktory!$D$10</f>
        <v>0</v>
      </c>
      <c r="I96" s="375">
        <f t="shared" ref="I96:I104" si="83">H96</f>
        <v>0</v>
      </c>
      <c r="J96" s="430">
        <v>0</v>
      </c>
      <c r="K96" s="430">
        <f>(J66+L66/2)*((J45-K45)*(1+$V$44))*Faktory!$D$10</f>
        <v>0</v>
      </c>
      <c r="L96" s="375">
        <f t="shared" ref="L96:L104" si="84">K96</f>
        <v>0</v>
      </c>
      <c r="M96" s="430">
        <v>0</v>
      </c>
      <c r="N96" s="430">
        <f>(M66+O66/2)*((M45-N45)*(1+$V$44))*Faktory!$D$10</f>
        <v>0</v>
      </c>
      <c r="O96" s="375">
        <f t="shared" ref="O96:O104" si="85">N96</f>
        <v>0</v>
      </c>
      <c r="P96" s="430">
        <v>0</v>
      </c>
      <c r="Q96" s="430">
        <f>(P66+R66/2)*((P45-Q45)*(1+$V$44))*Faktory!$D$10</f>
        <v>0</v>
      </c>
      <c r="R96" s="375">
        <f t="shared" ref="R96:R104" si="86">Q96</f>
        <v>0</v>
      </c>
      <c r="S96" s="430">
        <v>0</v>
      </c>
      <c r="T96" s="431">
        <f>(S66+U66/2)*((S45-T45)*(1+$V$44))*Faktory!$D$10</f>
        <v>0</v>
      </c>
      <c r="U96" s="377">
        <f t="shared" ref="U96:U104" si="87">T96</f>
        <v>0</v>
      </c>
    </row>
    <row r="97" spans="1:21" x14ac:dyDescent="0.3">
      <c r="A97" s="712"/>
      <c r="B97" s="714"/>
      <c r="C97" s="419" t="s">
        <v>27</v>
      </c>
      <c r="D97" s="420">
        <f t="shared" si="59"/>
        <v>0</v>
      </c>
      <c r="E97" s="421">
        <f t="shared" si="51"/>
        <v>1234486.99</v>
      </c>
      <c r="F97" s="422">
        <f t="shared" si="52"/>
        <v>1234486.99</v>
      </c>
      <c r="G97" s="429">
        <v>0</v>
      </c>
      <c r="H97" s="430">
        <f>(G67+I67/2)*((G46-H46)*(1+$V$44))*Faktory!$D$10</f>
        <v>0</v>
      </c>
      <c r="I97" s="375">
        <f t="shared" si="83"/>
        <v>0</v>
      </c>
      <c r="J97" s="430">
        <v>0</v>
      </c>
      <c r="K97" s="430">
        <f>(J67+L67/2)*((J46-K46)*(1+$V$44))*Faktory!$D$10</f>
        <v>0</v>
      </c>
      <c r="L97" s="375">
        <f t="shared" si="84"/>
        <v>0</v>
      </c>
      <c r="M97" s="430">
        <v>0</v>
      </c>
      <c r="N97" s="430">
        <f>(M67+O67/2)*((M46-N46)*(1+$V$44))*Faktory!$D$10</f>
        <v>0</v>
      </c>
      <c r="O97" s="375">
        <f t="shared" si="85"/>
        <v>0</v>
      </c>
      <c r="P97" s="430">
        <v>0</v>
      </c>
      <c r="Q97" s="430">
        <f>(P67+R67/2)*((P46-Q46)*(1+$V$44))*Faktory!$D$10</f>
        <v>0</v>
      </c>
      <c r="R97" s="375">
        <f t="shared" si="86"/>
        <v>0</v>
      </c>
      <c r="S97" s="430">
        <v>0</v>
      </c>
      <c r="T97" s="431">
        <f>(S67+U67/2)*((S46-T46)*(1+$V$44))*Faktory!$D$10/2</f>
        <v>1234486.99</v>
      </c>
      <c r="U97" s="377">
        <f t="shared" si="87"/>
        <v>1234486.99</v>
      </c>
    </row>
    <row r="98" spans="1:21" x14ac:dyDescent="0.3">
      <c r="A98" s="712"/>
      <c r="B98" s="714"/>
      <c r="C98" s="419" t="s">
        <v>28</v>
      </c>
      <c r="D98" s="420">
        <f t="shared" si="59"/>
        <v>0</v>
      </c>
      <c r="E98" s="421">
        <f t="shared" si="51"/>
        <v>1234486.99</v>
      </c>
      <c r="F98" s="422">
        <f t="shared" si="52"/>
        <v>1234486.99</v>
      </c>
      <c r="G98" s="429">
        <v>0</v>
      </c>
      <c r="H98" s="430">
        <f>(G68+I68/2)*((G47-H47)*(1+$V$44))*Faktory!$D$10</f>
        <v>0</v>
      </c>
      <c r="I98" s="375">
        <f t="shared" si="83"/>
        <v>0</v>
      </c>
      <c r="J98" s="430">
        <v>0</v>
      </c>
      <c r="K98" s="430">
        <f>(J68+L68/2)*((J47-K47)*(1+$V$44))*Faktory!$D$10</f>
        <v>0</v>
      </c>
      <c r="L98" s="375">
        <f t="shared" si="84"/>
        <v>0</v>
      </c>
      <c r="M98" s="430">
        <v>0</v>
      </c>
      <c r="N98" s="430">
        <f>(M68+O68/2)*((M47-N47)*(1+$V$44))*Faktory!$D$10</f>
        <v>0</v>
      </c>
      <c r="O98" s="375">
        <f t="shared" si="85"/>
        <v>0</v>
      </c>
      <c r="P98" s="430">
        <v>0</v>
      </c>
      <c r="Q98" s="430">
        <f>(P68+R68/2)*((P47-Q47)*(1+$V$44))*Faktory!$D$10</f>
        <v>0</v>
      </c>
      <c r="R98" s="375">
        <f t="shared" si="86"/>
        <v>0</v>
      </c>
      <c r="S98" s="430">
        <v>0</v>
      </c>
      <c r="T98" s="431">
        <f>(S68+U68/2)*((S47-T47)*(1+$V$44))*Faktory!$D$10/2</f>
        <v>1234486.99</v>
      </c>
      <c r="U98" s="377">
        <f t="shared" si="87"/>
        <v>1234486.99</v>
      </c>
    </row>
    <row r="99" spans="1:21" x14ac:dyDescent="0.3">
      <c r="A99" s="712"/>
      <c r="B99" s="714"/>
      <c r="C99" s="419" t="s">
        <v>29</v>
      </c>
      <c r="D99" s="420">
        <f t="shared" si="59"/>
        <v>0</v>
      </c>
      <c r="E99" s="421">
        <f t="shared" si="51"/>
        <v>1234486.99</v>
      </c>
      <c r="F99" s="422">
        <f t="shared" si="52"/>
        <v>1234486.99</v>
      </c>
      <c r="G99" s="429">
        <v>0</v>
      </c>
      <c r="H99" s="430">
        <f>(G69+I69/2)*((G48-H48)*(1+$V$44))*Faktory!$D$10</f>
        <v>0</v>
      </c>
      <c r="I99" s="375">
        <f t="shared" si="83"/>
        <v>0</v>
      </c>
      <c r="J99" s="430">
        <v>0</v>
      </c>
      <c r="K99" s="430">
        <f>(J69+L69/2)*((J48-K48)*(1+$V$44))*Faktory!$D$10</f>
        <v>0</v>
      </c>
      <c r="L99" s="375">
        <f t="shared" si="84"/>
        <v>0</v>
      </c>
      <c r="M99" s="430">
        <v>0</v>
      </c>
      <c r="N99" s="430">
        <f>(M69+O69/2)*((M48-N48)*(1+$V$44))*Faktory!$D$10</f>
        <v>0</v>
      </c>
      <c r="O99" s="375">
        <f t="shared" si="85"/>
        <v>0</v>
      </c>
      <c r="P99" s="430">
        <v>0</v>
      </c>
      <c r="Q99" s="430">
        <f>(P69+R69/2)*((P48-Q48)*(1+$V$44))*Faktory!$D$10</f>
        <v>0</v>
      </c>
      <c r="R99" s="375">
        <f t="shared" si="86"/>
        <v>0</v>
      </c>
      <c r="S99" s="430">
        <v>0</v>
      </c>
      <c r="T99" s="431">
        <f>(S69+U69/2)*((S48-T48)*(1+$V$44))*Faktory!$D$10/2</f>
        <v>1234486.99</v>
      </c>
      <c r="U99" s="377">
        <f t="shared" si="87"/>
        <v>1234486.99</v>
      </c>
    </row>
    <row r="100" spans="1:21" x14ac:dyDescent="0.3">
      <c r="A100" s="712"/>
      <c r="B100" s="714"/>
      <c r="C100" s="419" t="s">
        <v>30</v>
      </c>
      <c r="D100" s="420">
        <f t="shared" si="59"/>
        <v>0</v>
      </c>
      <c r="E100" s="421">
        <f t="shared" si="51"/>
        <v>1234486.99</v>
      </c>
      <c r="F100" s="422">
        <f t="shared" si="52"/>
        <v>1234486.99</v>
      </c>
      <c r="G100" s="429">
        <v>0</v>
      </c>
      <c r="H100" s="430">
        <f>(G70+I70/2)*((G49-H49)*(1+$V$44))*Faktory!$D$10</f>
        <v>0</v>
      </c>
      <c r="I100" s="375">
        <f t="shared" si="83"/>
        <v>0</v>
      </c>
      <c r="J100" s="430">
        <v>0</v>
      </c>
      <c r="K100" s="430">
        <f>(J70+L70/2)*((J49-K49)*(1+$V$44))*Faktory!$D$10</f>
        <v>0</v>
      </c>
      <c r="L100" s="375">
        <f t="shared" si="84"/>
        <v>0</v>
      </c>
      <c r="M100" s="430">
        <v>0</v>
      </c>
      <c r="N100" s="430">
        <f>(M70+O70/2)*((M49-N49)*(1+$V$44))*Faktory!$D$10</f>
        <v>0</v>
      </c>
      <c r="O100" s="375">
        <f t="shared" si="85"/>
        <v>0</v>
      </c>
      <c r="P100" s="430">
        <v>0</v>
      </c>
      <c r="Q100" s="430">
        <f>(P70+R70/2)*((P49-Q49)*(1+$V$44))*Faktory!$D$10</f>
        <v>0</v>
      </c>
      <c r="R100" s="375">
        <f t="shared" si="86"/>
        <v>0</v>
      </c>
      <c r="S100" s="430">
        <v>0</v>
      </c>
      <c r="T100" s="431">
        <f>(S70+U70/2)*((S49-T49)*(1+$V$44))*Faktory!$D$10/2</f>
        <v>1234486.99</v>
      </c>
      <c r="U100" s="377">
        <f t="shared" si="87"/>
        <v>1234486.99</v>
      </c>
    </row>
    <row r="101" spans="1:21" x14ac:dyDescent="0.3">
      <c r="A101" s="712"/>
      <c r="B101" s="714"/>
      <c r="C101" s="419" t="s">
        <v>31</v>
      </c>
      <c r="D101" s="420">
        <f t="shared" ref="D101:D104" si="88">G101+J101+S101+M101+P101</f>
        <v>0</v>
      </c>
      <c r="E101" s="421">
        <f t="shared" si="51"/>
        <v>1234486.99</v>
      </c>
      <c r="F101" s="422">
        <f t="shared" si="52"/>
        <v>1234486.99</v>
      </c>
      <c r="G101" s="429">
        <v>0</v>
      </c>
      <c r="H101" s="430">
        <f>(G71+I71/2)*((G50-H50)*(1+$V$44))*Faktory!$D$10</f>
        <v>0</v>
      </c>
      <c r="I101" s="375">
        <f t="shared" si="83"/>
        <v>0</v>
      </c>
      <c r="J101" s="430">
        <v>0</v>
      </c>
      <c r="K101" s="430">
        <f>(J71+L71/2)*((J50-K50)*(1+$V$44))*Faktory!$D$10</f>
        <v>0</v>
      </c>
      <c r="L101" s="375">
        <f t="shared" si="84"/>
        <v>0</v>
      </c>
      <c r="M101" s="430">
        <v>0</v>
      </c>
      <c r="N101" s="430">
        <f>(M71+O71/2)*((M50-N50)*(1+$V$44))*Faktory!$D$10</f>
        <v>0</v>
      </c>
      <c r="O101" s="375">
        <f t="shared" si="85"/>
        <v>0</v>
      </c>
      <c r="P101" s="430">
        <v>0</v>
      </c>
      <c r="Q101" s="430">
        <f>(P71+R71/2)*((P50-Q50)*(1+$V$44))*Faktory!$D$10</f>
        <v>0</v>
      </c>
      <c r="R101" s="375">
        <f t="shared" si="86"/>
        <v>0</v>
      </c>
      <c r="S101" s="430">
        <v>0</v>
      </c>
      <c r="T101" s="431">
        <f>(S71+U71/2)*((S50-T50)*(1+$V$44))*Faktory!$D$10/2</f>
        <v>1234486.99</v>
      </c>
      <c r="U101" s="377">
        <f t="shared" si="87"/>
        <v>1234486.99</v>
      </c>
    </row>
    <row r="102" spans="1:21" x14ac:dyDescent="0.3">
      <c r="A102" s="712"/>
      <c r="B102" s="714"/>
      <c r="C102" s="419" t="s">
        <v>32</v>
      </c>
      <c r="D102" s="420">
        <f t="shared" si="88"/>
        <v>0</v>
      </c>
      <c r="E102" s="421">
        <f t="shared" si="51"/>
        <v>1234486.99</v>
      </c>
      <c r="F102" s="422">
        <f t="shared" si="52"/>
        <v>1234486.99</v>
      </c>
      <c r="G102" s="429">
        <v>0</v>
      </c>
      <c r="H102" s="430">
        <f>(G72+I72/2)*((G51-H51)*(1+$V$44))*Faktory!$D$10</f>
        <v>0</v>
      </c>
      <c r="I102" s="375">
        <f t="shared" si="83"/>
        <v>0</v>
      </c>
      <c r="J102" s="430">
        <v>0</v>
      </c>
      <c r="K102" s="430">
        <f>(J72+L72/2)*((J51-K51)*(1+$V$44))*Faktory!$D$10</f>
        <v>0</v>
      </c>
      <c r="L102" s="375">
        <f t="shared" si="84"/>
        <v>0</v>
      </c>
      <c r="M102" s="430">
        <v>0</v>
      </c>
      <c r="N102" s="430">
        <f>(M72+O72/2)*((M51-N51)*(1+$V$44))*Faktory!$D$10</f>
        <v>0</v>
      </c>
      <c r="O102" s="375">
        <f t="shared" si="85"/>
        <v>0</v>
      </c>
      <c r="P102" s="430">
        <v>0</v>
      </c>
      <c r="Q102" s="430">
        <f>(P72+R72/2)*((P51-Q51)*(1+$V$44))*Faktory!$D$10</f>
        <v>0</v>
      </c>
      <c r="R102" s="375">
        <f t="shared" si="86"/>
        <v>0</v>
      </c>
      <c r="S102" s="430">
        <v>0</v>
      </c>
      <c r="T102" s="431">
        <f>(S72+U72/2)*((S51-T51)*(1+$V$44))*Faktory!$D$10/2</f>
        <v>1234486.99</v>
      </c>
      <c r="U102" s="377">
        <f t="shared" si="87"/>
        <v>1234486.99</v>
      </c>
    </row>
    <row r="103" spans="1:21" x14ac:dyDescent="0.3">
      <c r="A103" s="712"/>
      <c r="B103" s="714"/>
      <c r="C103" s="419" t="s">
        <v>33</v>
      </c>
      <c r="D103" s="420">
        <f t="shared" si="88"/>
        <v>0</v>
      </c>
      <c r="E103" s="421">
        <f t="shared" si="51"/>
        <v>1234486.99</v>
      </c>
      <c r="F103" s="422">
        <f t="shared" si="52"/>
        <v>1234486.99</v>
      </c>
      <c r="G103" s="429">
        <v>0</v>
      </c>
      <c r="H103" s="430">
        <f>(G73+I73/2)*((G52-H52)*(1+$V$44))*Faktory!$D$10</f>
        <v>0</v>
      </c>
      <c r="I103" s="375">
        <f t="shared" si="83"/>
        <v>0</v>
      </c>
      <c r="J103" s="430">
        <v>0</v>
      </c>
      <c r="K103" s="430">
        <f>(J73+L73/2)*((J52-K52)*(1+$V$44))*Faktory!$D$10</f>
        <v>0</v>
      </c>
      <c r="L103" s="375">
        <f t="shared" si="84"/>
        <v>0</v>
      </c>
      <c r="M103" s="430">
        <v>0</v>
      </c>
      <c r="N103" s="430">
        <f>(M73+O73/2)*((M52-N52)*(1+$V$44))*Faktory!$D$10</f>
        <v>0</v>
      </c>
      <c r="O103" s="375">
        <f t="shared" si="85"/>
        <v>0</v>
      </c>
      <c r="P103" s="430">
        <v>0</v>
      </c>
      <c r="Q103" s="430">
        <f>(P73+R73/2)*((P52-Q52)*(1+$V$44))*Faktory!$D$10</f>
        <v>0</v>
      </c>
      <c r="R103" s="375">
        <f t="shared" si="86"/>
        <v>0</v>
      </c>
      <c r="S103" s="430">
        <v>0</v>
      </c>
      <c r="T103" s="431">
        <f>(S73+U73/2)*((S52-T52)*(1+$V$44))*Faktory!$D$10/2</f>
        <v>1234486.99</v>
      </c>
      <c r="U103" s="377">
        <f t="shared" si="87"/>
        <v>1234486.99</v>
      </c>
    </row>
    <row r="104" spans="1:21" ht="15" thickBot="1" x14ac:dyDescent="0.35">
      <c r="A104" s="713"/>
      <c r="B104" s="715"/>
      <c r="C104" s="432" t="s">
        <v>34</v>
      </c>
      <c r="D104" s="433">
        <f t="shared" si="88"/>
        <v>0</v>
      </c>
      <c r="E104" s="434">
        <f t="shared" si="51"/>
        <v>1234486.99</v>
      </c>
      <c r="F104" s="435">
        <f t="shared" si="52"/>
        <v>1234486.99</v>
      </c>
      <c r="G104" s="436">
        <v>0</v>
      </c>
      <c r="H104" s="437">
        <f>(G74+I74/2)*((G53-H53)*(1+$V$44))*Faktory!$D$10</f>
        <v>0</v>
      </c>
      <c r="I104" s="384">
        <f t="shared" si="83"/>
        <v>0</v>
      </c>
      <c r="J104" s="437">
        <v>0</v>
      </c>
      <c r="K104" s="437">
        <f>(J74+L74/2)*((J53-K53)*(1+$V$44))*Faktory!$D$10</f>
        <v>0</v>
      </c>
      <c r="L104" s="384">
        <f t="shared" si="84"/>
        <v>0</v>
      </c>
      <c r="M104" s="437">
        <v>0</v>
      </c>
      <c r="N104" s="437">
        <f>(M74+O74/2)*((M53-N53)*(1+$V$44))*Faktory!$D$10</f>
        <v>0</v>
      </c>
      <c r="O104" s="384">
        <f t="shared" si="85"/>
        <v>0</v>
      </c>
      <c r="P104" s="437">
        <v>0</v>
      </c>
      <c r="Q104" s="437">
        <f>(P74+R74/2)*((P53-Q53)*(1+$V$44))*Faktory!$D$10</f>
        <v>0</v>
      </c>
      <c r="R104" s="384">
        <f t="shared" si="86"/>
        <v>0</v>
      </c>
      <c r="S104" s="437">
        <v>0</v>
      </c>
      <c r="T104" s="431">
        <f>(S74+U74/2)*((S53-T53)*(1+$V$44))*Faktory!$D$10/2</f>
        <v>1234486.99</v>
      </c>
      <c r="U104" s="386">
        <f t="shared" si="87"/>
        <v>1234486.99</v>
      </c>
    </row>
    <row r="105" spans="1:21" x14ac:dyDescent="0.3">
      <c r="A105" s="712" t="s">
        <v>197</v>
      </c>
      <c r="B105" s="714" t="s">
        <v>13</v>
      </c>
      <c r="C105" s="419" t="s">
        <v>25</v>
      </c>
      <c r="D105" s="420">
        <v>0</v>
      </c>
      <c r="E105" s="421">
        <v>0</v>
      </c>
      <c r="F105" s="422">
        <v>0</v>
      </c>
      <c r="G105" s="439">
        <f t="shared" ref="G105:H114" si="89">G4*G14</f>
        <v>0</v>
      </c>
      <c r="H105" s="440">
        <f t="shared" si="89"/>
        <v>0</v>
      </c>
      <c r="I105" s="366">
        <f>H105-G105</f>
        <v>0</v>
      </c>
      <c r="J105" s="440">
        <f t="shared" ref="J105:K114" si="90">J4*J14</f>
        <v>0</v>
      </c>
      <c r="K105" s="440">
        <f t="shared" si="90"/>
        <v>0</v>
      </c>
      <c r="L105" s="366">
        <f t="shared" ref="L105:L114" si="91">K105-J105</f>
        <v>0</v>
      </c>
      <c r="M105" s="440">
        <f t="shared" ref="M105:N105" si="92">M4*M14</f>
        <v>0</v>
      </c>
      <c r="N105" s="440">
        <f t="shared" si="92"/>
        <v>0</v>
      </c>
      <c r="O105" s="366">
        <f t="shared" ref="O105:O114" si="93">N105-M105</f>
        <v>0</v>
      </c>
      <c r="P105" s="440">
        <f t="shared" ref="P105:Q105" si="94">P4*P14</f>
        <v>0</v>
      </c>
      <c r="Q105" s="440">
        <f t="shared" si="94"/>
        <v>0</v>
      </c>
      <c r="R105" s="366">
        <f t="shared" ref="R105:R114" si="95">Q105-P105</f>
        <v>0</v>
      </c>
      <c r="S105" s="440">
        <f t="shared" ref="S105:T114" si="96">S4*S14</f>
        <v>0</v>
      </c>
      <c r="T105" s="441">
        <f t="shared" si="96"/>
        <v>0</v>
      </c>
      <c r="U105" s="442">
        <f t="shared" ref="U105:U114" si="97">T105-S105</f>
        <v>0</v>
      </c>
    </row>
    <row r="106" spans="1:21" x14ac:dyDescent="0.3">
      <c r="A106" s="712"/>
      <c r="B106" s="714"/>
      <c r="C106" s="419" t="s">
        <v>26</v>
      </c>
      <c r="D106" s="420">
        <v>0</v>
      </c>
      <c r="E106" s="421">
        <v>0</v>
      </c>
      <c r="F106" s="422">
        <v>0</v>
      </c>
      <c r="G106" s="429">
        <f t="shared" si="89"/>
        <v>0</v>
      </c>
      <c r="H106" s="430">
        <f t="shared" si="89"/>
        <v>0</v>
      </c>
      <c r="I106" s="375">
        <f t="shared" ref="I106:I114" si="98">H106-G106</f>
        <v>0</v>
      </c>
      <c r="J106" s="430">
        <f t="shared" si="90"/>
        <v>0</v>
      </c>
      <c r="K106" s="430">
        <f t="shared" si="90"/>
        <v>0</v>
      </c>
      <c r="L106" s="375">
        <f t="shared" si="91"/>
        <v>0</v>
      </c>
      <c r="M106" s="430">
        <f t="shared" ref="M106:N106" si="99">M5*M15</f>
        <v>0</v>
      </c>
      <c r="N106" s="430">
        <f t="shared" si="99"/>
        <v>0</v>
      </c>
      <c r="O106" s="375">
        <f t="shared" si="93"/>
        <v>0</v>
      </c>
      <c r="P106" s="430">
        <f t="shared" ref="P106:Q106" si="100">P5*P15</f>
        <v>0</v>
      </c>
      <c r="Q106" s="430">
        <f t="shared" si="100"/>
        <v>0</v>
      </c>
      <c r="R106" s="375">
        <f t="shared" si="95"/>
        <v>0</v>
      </c>
      <c r="S106" s="430">
        <f t="shared" si="96"/>
        <v>0</v>
      </c>
      <c r="T106" s="431">
        <f t="shared" si="96"/>
        <v>0</v>
      </c>
      <c r="U106" s="377">
        <f t="shared" si="97"/>
        <v>0</v>
      </c>
    </row>
    <row r="107" spans="1:21" x14ac:dyDescent="0.3">
      <c r="A107" s="712"/>
      <c r="B107" s="714"/>
      <c r="C107" s="419" t="s">
        <v>27</v>
      </c>
      <c r="D107" s="420">
        <v>0</v>
      </c>
      <c r="E107" s="421">
        <v>0</v>
      </c>
      <c r="F107" s="422">
        <v>0</v>
      </c>
      <c r="G107" s="429">
        <f t="shared" si="89"/>
        <v>0</v>
      </c>
      <c r="H107" s="430">
        <f t="shared" si="89"/>
        <v>0</v>
      </c>
      <c r="I107" s="375">
        <f t="shared" si="98"/>
        <v>0</v>
      </c>
      <c r="J107" s="430">
        <f t="shared" si="90"/>
        <v>0</v>
      </c>
      <c r="K107" s="430">
        <f t="shared" si="90"/>
        <v>0</v>
      </c>
      <c r="L107" s="375">
        <f t="shared" si="91"/>
        <v>0</v>
      </c>
      <c r="M107" s="430">
        <f t="shared" ref="M107:N107" si="101">M6*M16</f>
        <v>0</v>
      </c>
      <c r="N107" s="430">
        <f t="shared" si="101"/>
        <v>0</v>
      </c>
      <c r="O107" s="375">
        <f t="shared" si="93"/>
        <v>0</v>
      </c>
      <c r="P107" s="430">
        <f t="shared" ref="P107:Q107" si="102">P6*P16</f>
        <v>0</v>
      </c>
      <c r="Q107" s="430">
        <f t="shared" si="102"/>
        <v>0</v>
      </c>
      <c r="R107" s="375">
        <f t="shared" si="95"/>
        <v>0</v>
      </c>
      <c r="S107" s="430">
        <f t="shared" si="96"/>
        <v>0</v>
      </c>
      <c r="T107" s="431">
        <f t="shared" si="96"/>
        <v>0</v>
      </c>
      <c r="U107" s="377">
        <f t="shared" si="97"/>
        <v>0</v>
      </c>
    </row>
    <row r="108" spans="1:21" x14ac:dyDescent="0.3">
      <c r="A108" s="712"/>
      <c r="B108" s="714"/>
      <c r="C108" s="419" t="s">
        <v>28</v>
      </c>
      <c r="D108" s="420">
        <v>0</v>
      </c>
      <c r="E108" s="421">
        <v>0</v>
      </c>
      <c r="F108" s="422">
        <v>0</v>
      </c>
      <c r="G108" s="429">
        <f t="shared" si="89"/>
        <v>0</v>
      </c>
      <c r="H108" s="430">
        <f t="shared" si="89"/>
        <v>0</v>
      </c>
      <c r="I108" s="375">
        <f t="shared" si="98"/>
        <v>0</v>
      </c>
      <c r="J108" s="430">
        <f t="shared" si="90"/>
        <v>0</v>
      </c>
      <c r="K108" s="430">
        <f t="shared" si="90"/>
        <v>0</v>
      </c>
      <c r="L108" s="375">
        <f t="shared" si="91"/>
        <v>0</v>
      </c>
      <c r="M108" s="430">
        <f t="shared" ref="M108:N108" si="103">M7*M17</f>
        <v>0</v>
      </c>
      <c r="N108" s="430">
        <f t="shared" si="103"/>
        <v>0</v>
      </c>
      <c r="O108" s="375">
        <f t="shared" si="93"/>
        <v>0</v>
      </c>
      <c r="P108" s="430">
        <f t="shared" ref="P108:Q108" si="104">P7*P17</f>
        <v>0</v>
      </c>
      <c r="Q108" s="430">
        <f t="shared" si="104"/>
        <v>0</v>
      </c>
      <c r="R108" s="375">
        <f t="shared" si="95"/>
        <v>0</v>
      </c>
      <c r="S108" s="430">
        <f t="shared" si="96"/>
        <v>0</v>
      </c>
      <c r="T108" s="431">
        <f t="shared" si="96"/>
        <v>0</v>
      </c>
      <c r="U108" s="377">
        <f t="shared" si="97"/>
        <v>0</v>
      </c>
    </row>
    <row r="109" spans="1:21" x14ac:dyDescent="0.3">
      <c r="A109" s="712"/>
      <c r="B109" s="714"/>
      <c r="C109" s="419" t="s">
        <v>29</v>
      </c>
      <c r="D109" s="420">
        <v>0</v>
      </c>
      <c r="E109" s="421">
        <v>0</v>
      </c>
      <c r="F109" s="422">
        <v>0</v>
      </c>
      <c r="G109" s="429">
        <f t="shared" si="89"/>
        <v>0</v>
      </c>
      <c r="H109" s="430">
        <f t="shared" si="89"/>
        <v>0</v>
      </c>
      <c r="I109" s="375">
        <f t="shared" si="98"/>
        <v>0</v>
      </c>
      <c r="J109" s="430">
        <f t="shared" si="90"/>
        <v>0</v>
      </c>
      <c r="K109" s="430">
        <f t="shared" si="90"/>
        <v>0</v>
      </c>
      <c r="L109" s="375">
        <f t="shared" si="91"/>
        <v>0</v>
      </c>
      <c r="M109" s="430">
        <f t="shared" ref="M109:N109" si="105">M8*M18</f>
        <v>0</v>
      </c>
      <c r="N109" s="430">
        <f t="shared" si="105"/>
        <v>0</v>
      </c>
      <c r="O109" s="375">
        <f t="shared" si="93"/>
        <v>0</v>
      </c>
      <c r="P109" s="430">
        <f t="shared" ref="P109:Q109" si="106">P8*P18</f>
        <v>0</v>
      </c>
      <c r="Q109" s="430">
        <f t="shared" si="106"/>
        <v>0</v>
      </c>
      <c r="R109" s="375">
        <f t="shared" si="95"/>
        <v>0</v>
      </c>
      <c r="S109" s="430">
        <f t="shared" si="96"/>
        <v>0</v>
      </c>
      <c r="T109" s="431">
        <f t="shared" si="96"/>
        <v>0</v>
      </c>
      <c r="U109" s="377">
        <f t="shared" si="97"/>
        <v>0</v>
      </c>
    </row>
    <row r="110" spans="1:21" x14ac:dyDescent="0.3">
      <c r="A110" s="712"/>
      <c r="B110" s="714"/>
      <c r="C110" s="419" t="s">
        <v>30</v>
      </c>
      <c r="D110" s="420">
        <v>0</v>
      </c>
      <c r="E110" s="421">
        <v>0</v>
      </c>
      <c r="F110" s="422">
        <v>0</v>
      </c>
      <c r="G110" s="429">
        <f t="shared" si="89"/>
        <v>0</v>
      </c>
      <c r="H110" s="430">
        <f t="shared" si="89"/>
        <v>0</v>
      </c>
      <c r="I110" s="375">
        <f t="shared" si="98"/>
        <v>0</v>
      </c>
      <c r="J110" s="430">
        <f t="shared" si="90"/>
        <v>0</v>
      </c>
      <c r="K110" s="430">
        <f t="shared" si="90"/>
        <v>0</v>
      </c>
      <c r="L110" s="375">
        <f t="shared" si="91"/>
        <v>0</v>
      </c>
      <c r="M110" s="430">
        <f t="shared" ref="M110:N110" si="107">M9*M19</f>
        <v>0</v>
      </c>
      <c r="N110" s="430">
        <f t="shared" si="107"/>
        <v>0</v>
      </c>
      <c r="O110" s="375">
        <f t="shared" si="93"/>
        <v>0</v>
      </c>
      <c r="P110" s="430">
        <f t="shared" ref="P110:Q110" si="108">P9*P19</f>
        <v>0</v>
      </c>
      <c r="Q110" s="430">
        <f t="shared" si="108"/>
        <v>0</v>
      </c>
      <c r="R110" s="375">
        <f t="shared" si="95"/>
        <v>0</v>
      </c>
      <c r="S110" s="430">
        <f t="shared" si="96"/>
        <v>0</v>
      </c>
      <c r="T110" s="431">
        <f t="shared" si="96"/>
        <v>0</v>
      </c>
      <c r="U110" s="377">
        <f t="shared" si="97"/>
        <v>0</v>
      </c>
    </row>
    <row r="111" spans="1:21" x14ac:dyDescent="0.3">
      <c r="A111" s="712"/>
      <c r="B111" s="714"/>
      <c r="C111" s="419" t="s">
        <v>31</v>
      </c>
      <c r="D111" s="420">
        <v>0</v>
      </c>
      <c r="E111" s="421">
        <v>0</v>
      </c>
      <c r="F111" s="422">
        <v>0</v>
      </c>
      <c r="G111" s="429">
        <f t="shared" si="89"/>
        <v>0</v>
      </c>
      <c r="H111" s="430">
        <f t="shared" si="89"/>
        <v>0</v>
      </c>
      <c r="I111" s="375">
        <f t="shared" si="98"/>
        <v>0</v>
      </c>
      <c r="J111" s="430">
        <f t="shared" si="90"/>
        <v>0</v>
      </c>
      <c r="K111" s="430">
        <f t="shared" si="90"/>
        <v>0</v>
      </c>
      <c r="L111" s="375">
        <f t="shared" si="91"/>
        <v>0</v>
      </c>
      <c r="M111" s="430">
        <f t="shared" ref="M111:N111" si="109">M10*M20</f>
        <v>0</v>
      </c>
      <c r="N111" s="430">
        <f t="shared" si="109"/>
        <v>0</v>
      </c>
      <c r="O111" s="375">
        <f t="shared" si="93"/>
        <v>0</v>
      </c>
      <c r="P111" s="430">
        <f t="shared" ref="P111:Q111" si="110">P10*P20</f>
        <v>0</v>
      </c>
      <c r="Q111" s="430">
        <f t="shared" si="110"/>
        <v>0</v>
      </c>
      <c r="R111" s="375">
        <f t="shared" si="95"/>
        <v>0</v>
      </c>
      <c r="S111" s="430">
        <f t="shared" si="96"/>
        <v>0</v>
      </c>
      <c r="T111" s="431">
        <f t="shared" si="96"/>
        <v>0</v>
      </c>
      <c r="U111" s="377">
        <f t="shared" si="97"/>
        <v>0</v>
      </c>
    </row>
    <row r="112" spans="1:21" x14ac:dyDescent="0.3">
      <c r="A112" s="712"/>
      <c r="B112" s="714"/>
      <c r="C112" s="419" t="s">
        <v>32</v>
      </c>
      <c r="D112" s="420">
        <v>0</v>
      </c>
      <c r="E112" s="421">
        <v>0</v>
      </c>
      <c r="F112" s="422">
        <v>0</v>
      </c>
      <c r="G112" s="429">
        <f t="shared" si="89"/>
        <v>0</v>
      </c>
      <c r="H112" s="430">
        <f t="shared" si="89"/>
        <v>0</v>
      </c>
      <c r="I112" s="375">
        <f t="shared" si="98"/>
        <v>0</v>
      </c>
      <c r="J112" s="430">
        <f t="shared" si="90"/>
        <v>0</v>
      </c>
      <c r="K112" s="430">
        <f t="shared" si="90"/>
        <v>0</v>
      </c>
      <c r="L112" s="375">
        <f t="shared" si="91"/>
        <v>0</v>
      </c>
      <c r="M112" s="430">
        <f t="shared" ref="M112:N112" si="111">M11*M21</f>
        <v>0</v>
      </c>
      <c r="N112" s="430">
        <f t="shared" si="111"/>
        <v>0</v>
      </c>
      <c r="O112" s="375">
        <f t="shared" si="93"/>
        <v>0</v>
      </c>
      <c r="P112" s="430">
        <f t="shared" ref="P112:Q112" si="112">P11*P21</f>
        <v>0</v>
      </c>
      <c r="Q112" s="430">
        <f t="shared" si="112"/>
        <v>0</v>
      </c>
      <c r="R112" s="375">
        <f t="shared" si="95"/>
        <v>0</v>
      </c>
      <c r="S112" s="430">
        <f t="shared" si="96"/>
        <v>0</v>
      </c>
      <c r="T112" s="431">
        <f t="shared" si="96"/>
        <v>0</v>
      </c>
      <c r="U112" s="377">
        <f t="shared" si="97"/>
        <v>0</v>
      </c>
    </row>
    <row r="113" spans="1:22" x14ac:dyDescent="0.3">
      <c r="A113" s="712"/>
      <c r="B113" s="714"/>
      <c r="C113" s="419" t="s">
        <v>33</v>
      </c>
      <c r="D113" s="420">
        <v>0</v>
      </c>
      <c r="E113" s="421">
        <v>0</v>
      </c>
      <c r="F113" s="422">
        <v>0</v>
      </c>
      <c r="G113" s="429">
        <f t="shared" si="89"/>
        <v>0</v>
      </c>
      <c r="H113" s="430">
        <f t="shared" si="89"/>
        <v>0</v>
      </c>
      <c r="I113" s="375">
        <f t="shared" si="98"/>
        <v>0</v>
      </c>
      <c r="J113" s="430">
        <f t="shared" si="90"/>
        <v>0</v>
      </c>
      <c r="K113" s="430">
        <f t="shared" si="90"/>
        <v>0</v>
      </c>
      <c r="L113" s="375">
        <f t="shared" si="91"/>
        <v>0</v>
      </c>
      <c r="M113" s="430">
        <f t="shared" ref="M113:N113" si="113">M12*M22</f>
        <v>0</v>
      </c>
      <c r="N113" s="430">
        <f t="shared" si="113"/>
        <v>0</v>
      </c>
      <c r="O113" s="375">
        <f t="shared" si="93"/>
        <v>0</v>
      </c>
      <c r="P113" s="430">
        <f t="shared" ref="P113:Q113" si="114">P12*P22</f>
        <v>0</v>
      </c>
      <c r="Q113" s="430">
        <f t="shared" si="114"/>
        <v>0</v>
      </c>
      <c r="R113" s="375">
        <f t="shared" si="95"/>
        <v>0</v>
      </c>
      <c r="S113" s="430">
        <f t="shared" si="96"/>
        <v>0</v>
      </c>
      <c r="T113" s="431">
        <f t="shared" si="96"/>
        <v>0</v>
      </c>
      <c r="U113" s="377">
        <f t="shared" si="97"/>
        <v>0</v>
      </c>
    </row>
    <row r="114" spans="1:22" ht="15" thickBot="1" x14ac:dyDescent="0.35">
      <c r="A114" s="713"/>
      <c r="B114" s="715"/>
      <c r="C114" s="432" t="s">
        <v>34</v>
      </c>
      <c r="D114" s="433">
        <v>0</v>
      </c>
      <c r="E114" s="434">
        <v>0</v>
      </c>
      <c r="F114" s="435">
        <v>0</v>
      </c>
      <c r="G114" s="436">
        <f t="shared" si="89"/>
        <v>0</v>
      </c>
      <c r="H114" s="437">
        <f t="shared" si="89"/>
        <v>0</v>
      </c>
      <c r="I114" s="384">
        <f t="shared" si="98"/>
        <v>0</v>
      </c>
      <c r="J114" s="437">
        <f t="shared" si="90"/>
        <v>0</v>
      </c>
      <c r="K114" s="437">
        <f t="shared" si="90"/>
        <v>0</v>
      </c>
      <c r="L114" s="384">
        <f t="shared" si="91"/>
        <v>0</v>
      </c>
      <c r="M114" s="437">
        <f t="shared" ref="M114:N114" si="115">M13*M23</f>
        <v>0</v>
      </c>
      <c r="N114" s="437">
        <f t="shared" si="115"/>
        <v>0</v>
      </c>
      <c r="O114" s="384">
        <f t="shared" si="93"/>
        <v>0</v>
      </c>
      <c r="P114" s="437">
        <f t="shared" ref="P114:Q114" si="116">P13*P23</f>
        <v>0</v>
      </c>
      <c r="Q114" s="437">
        <f t="shared" si="116"/>
        <v>0</v>
      </c>
      <c r="R114" s="384">
        <f t="shared" si="95"/>
        <v>0</v>
      </c>
      <c r="S114" s="437">
        <f t="shared" si="96"/>
        <v>0</v>
      </c>
      <c r="T114" s="438">
        <f t="shared" si="96"/>
        <v>0</v>
      </c>
      <c r="U114" s="386">
        <f t="shared" si="97"/>
        <v>0</v>
      </c>
    </row>
    <row r="115" spans="1:22" x14ac:dyDescent="0.3">
      <c r="A115" s="712" t="s">
        <v>192</v>
      </c>
      <c r="B115" s="714" t="s">
        <v>13</v>
      </c>
      <c r="C115" s="419" t="s">
        <v>25</v>
      </c>
      <c r="D115" s="420">
        <v>0</v>
      </c>
      <c r="E115" s="421">
        <v>0</v>
      </c>
      <c r="F115" s="422">
        <v>0</v>
      </c>
      <c r="G115" s="439">
        <f t="shared" ref="G115:H124" si="117">G4*G24</f>
        <v>0</v>
      </c>
      <c r="H115" s="440">
        <f t="shared" si="117"/>
        <v>0</v>
      </c>
      <c r="I115" s="366">
        <f>H115-G115</f>
        <v>0</v>
      </c>
      <c r="J115" s="440">
        <f t="shared" ref="J115:K124" si="118">J4*J24</f>
        <v>0</v>
      </c>
      <c r="K115" s="440">
        <f t="shared" si="118"/>
        <v>0</v>
      </c>
      <c r="L115" s="366">
        <f>K115-J115</f>
        <v>0</v>
      </c>
      <c r="M115" s="440">
        <f t="shared" ref="M115:N115" si="119">M4*M24</f>
        <v>0</v>
      </c>
      <c r="N115" s="440">
        <f t="shared" si="119"/>
        <v>0</v>
      </c>
      <c r="O115" s="366">
        <f>N115-M115</f>
        <v>0</v>
      </c>
      <c r="P115" s="440">
        <f t="shared" ref="P115:Q115" si="120">P4*P24</f>
        <v>0</v>
      </c>
      <c r="Q115" s="440">
        <f t="shared" si="120"/>
        <v>0</v>
      </c>
      <c r="R115" s="366">
        <f>Q115-P115</f>
        <v>0</v>
      </c>
      <c r="S115" s="440">
        <f t="shared" ref="S115:T124" si="121">S4*S24</f>
        <v>0</v>
      </c>
      <c r="T115" s="441">
        <f t="shared" si="121"/>
        <v>0</v>
      </c>
      <c r="U115" s="442">
        <f>T115-S115</f>
        <v>0</v>
      </c>
    </row>
    <row r="116" spans="1:22" x14ac:dyDescent="0.3">
      <c r="A116" s="712"/>
      <c r="B116" s="714"/>
      <c r="C116" s="419" t="s">
        <v>26</v>
      </c>
      <c r="D116" s="420">
        <v>0</v>
      </c>
      <c r="E116" s="421">
        <v>0</v>
      </c>
      <c r="F116" s="422">
        <v>0</v>
      </c>
      <c r="G116" s="429">
        <f t="shared" si="117"/>
        <v>0</v>
      </c>
      <c r="H116" s="430">
        <f t="shared" si="117"/>
        <v>0</v>
      </c>
      <c r="I116" s="375">
        <f t="shared" ref="I116:I124" si="122">H116-G116</f>
        <v>0</v>
      </c>
      <c r="J116" s="430">
        <f t="shared" si="118"/>
        <v>0</v>
      </c>
      <c r="K116" s="430">
        <f t="shared" si="118"/>
        <v>0</v>
      </c>
      <c r="L116" s="375">
        <f t="shared" ref="L116:L124" si="123">K116-J116</f>
        <v>0</v>
      </c>
      <c r="M116" s="430">
        <f t="shared" ref="M116:N116" si="124">M5*M25</f>
        <v>0</v>
      </c>
      <c r="N116" s="430">
        <f t="shared" si="124"/>
        <v>0</v>
      </c>
      <c r="O116" s="375">
        <f t="shared" ref="O116:O124" si="125">N116-M116</f>
        <v>0</v>
      </c>
      <c r="P116" s="430">
        <f t="shared" ref="P116:Q116" si="126">P5*P25</f>
        <v>0</v>
      </c>
      <c r="Q116" s="430">
        <f t="shared" si="126"/>
        <v>0</v>
      </c>
      <c r="R116" s="375">
        <f t="shared" ref="R116:R124" si="127">Q116-P116</f>
        <v>0</v>
      </c>
      <c r="S116" s="430">
        <f t="shared" si="121"/>
        <v>0</v>
      </c>
      <c r="T116" s="431">
        <f t="shared" si="121"/>
        <v>0</v>
      </c>
      <c r="U116" s="377">
        <f t="shared" ref="U116:U124" si="128">T116-S116</f>
        <v>0</v>
      </c>
    </row>
    <row r="117" spans="1:22" x14ac:dyDescent="0.3">
      <c r="A117" s="712"/>
      <c r="B117" s="714"/>
      <c r="C117" s="419" t="s">
        <v>27</v>
      </c>
      <c r="D117" s="420">
        <v>0</v>
      </c>
      <c r="E117" s="421">
        <v>0</v>
      </c>
      <c r="F117" s="422">
        <v>0</v>
      </c>
      <c r="G117" s="429">
        <f t="shared" si="117"/>
        <v>0</v>
      </c>
      <c r="H117" s="430">
        <f t="shared" si="117"/>
        <v>0</v>
      </c>
      <c r="I117" s="375">
        <f t="shared" si="122"/>
        <v>0</v>
      </c>
      <c r="J117" s="430">
        <f t="shared" si="118"/>
        <v>0</v>
      </c>
      <c r="K117" s="430">
        <f t="shared" si="118"/>
        <v>0</v>
      </c>
      <c r="L117" s="375">
        <f t="shared" si="123"/>
        <v>0</v>
      </c>
      <c r="M117" s="430">
        <f t="shared" ref="M117:N117" si="129">M6*M26</f>
        <v>0</v>
      </c>
      <c r="N117" s="430">
        <f t="shared" si="129"/>
        <v>0</v>
      </c>
      <c r="O117" s="375">
        <f t="shared" si="125"/>
        <v>0</v>
      </c>
      <c r="P117" s="430">
        <f t="shared" ref="P117:Q117" si="130">P6*P26</f>
        <v>0</v>
      </c>
      <c r="Q117" s="430">
        <f t="shared" si="130"/>
        <v>0</v>
      </c>
      <c r="R117" s="375">
        <f t="shared" si="127"/>
        <v>0</v>
      </c>
      <c r="S117" s="430">
        <f t="shared" si="121"/>
        <v>0</v>
      </c>
      <c r="T117" s="431">
        <f t="shared" si="121"/>
        <v>0</v>
      </c>
      <c r="U117" s="377">
        <f t="shared" si="128"/>
        <v>0</v>
      </c>
    </row>
    <row r="118" spans="1:22" x14ac:dyDescent="0.3">
      <c r="A118" s="712"/>
      <c r="B118" s="714"/>
      <c r="C118" s="419" t="s">
        <v>28</v>
      </c>
      <c r="D118" s="420">
        <v>0</v>
      </c>
      <c r="E118" s="421">
        <v>0</v>
      </c>
      <c r="F118" s="422">
        <v>0</v>
      </c>
      <c r="G118" s="429">
        <f t="shared" si="117"/>
        <v>0</v>
      </c>
      <c r="H118" s="430">
        <f t="shared" si="117"/>
        <v>0</v>
      </c>
      <c r="I118" s="375">
        <f t="shared" si="122"/>
        <v>0</v>
      </c>
      <c r="J118" s="430">
        <f t="shared" si="118"/>
        <v>0</v>
      </c>
      <c r="K118" s="430">
        <f t="shared" si="118"/>
        <v>0</v>
      </c>
      <c r="L118" s="375">
        <f t="shared" si="123"/>
        <v>0</v>
      </c>
      <c r="M118" s="430">
        <f t="shared" ref="M118:N118" si="131">M7*M27</f>
        <v>0</v>
      </c>
      <c r="N118" s="430">
        <f t="shared" si="131"/>
        <v>0</v>
      </c>
      <c r="O118" s="375">
        <f t="shared" si="125"/>
        <v>0</v>
      </c>
      <c r="P118" s="430">
        <f t="shared" ref="P118:Q118" si="132">P7*P27</f>
        <v>0</v>
      </c>
      <c r="Q118" s="430">
        <f t="shared" si="132"/>
        <v>0</v>
      </c>
      <c r="R118" s="375">
        <f t="shared" si="127"/>
        <v>0</v>
      </c>
      <c r="S118" s="430">
        <f t="shared" si="121"/>
        <v>0</v>
      </c>
      <c r="T118" s="431">
        <f t="shared" si="121"/>
        <v>0</v>
      </c>
      <c r="U118" s="377">
        <f t="shared" si="128"/>
        <v>0</v>
      </c>
    </row>
    <row r="119" spans="1:22" x14ac:dyDescent="0.3">
      <c r="A119" s="712"/>
      <c r="B119" s="714"/>
      <c r="C119" s="419" t="s">
        <v>29</v>
      </c>
      <c r="D119" s="420">
        <v>0</v>
      </c>
      <c r="E119" s="421">
        <v>0</v>
      </c>
      <c r="F119" s="422">
        <v>0</v>
      </c>
      <c r="G119" s="429">
        <f t="shared" si="117"/>
        <v>0</v>
      </c>
      <c r="H119" s="430">
        <f t="shared" si="117"/>
        <v>0</v>
      </c>
      <c r="I119" s="375">
        <f t="shared" si="122"/>
        <v>0</v>
      </c>
      <c r="J119" s="430">
        <f t="shared" si="118"/>
        <v>0</v>
      </c>
      <c r="K119" s="430">
        <f t="shared" si="118"/>
        <v>0</v>
      </c>
      <c r="L119" s="375">
        <f t="shared" si="123"/>
        <v>0</v>
      </c>
      <c r="M119" s="430">
        <f t="shared" ref="M119:N119" si="133">M8*M28</f>
        <v>0</v>
      </c>
      <c r="N119" s="430">
        <f t="shared" si="133"/>
        <v>0</v>
      </c>
      <c r="O119" s="375">
        <f t="shared" si="125"/>
        <v>0</v>
      </c>
      <c r="P119" s="430">
        <f t="shared" ref="P119:Q119" si="134">P8*P28</f>
        <v>0</v>
      </c>
      <c r="Q119" s="430">
        <f t="shared" si="134"/>
        <v>0</v>
      </c>
      <c r="R119" s="375">
        <f t="shared" si="127"/>
        <v>0</v>
      </c>
      <c r="S119" s="430">
        <f t="shared" si="121"/>
        <v>0</v>
      </c>
      <c r="T119" s="431">
        <f t="shared" si="121"/>
        <v>0</v>
      </c>
      <c r="U119" s="377">
        <f t="shared" si="128"/>
        <v>0</v>
      </c>
    </row>
    <row r="120" spans="1:22" x14ac:dyDescent="0.3">
      <c r="A120" s="712"/>
      <c r="B120" s="714"/>
      <c r="C120" s="419" t="s">
        <v>30</v>
      </c>
      <c r="D120" s="420">
        <v>0</v>
      </c>
      <c r="E120" s="421">
        <v>0</v>
      </c>
      <c r="F120" s="422">
        <v>0</v>
      </c>
      <c r="G120" s="429">
        <f t="shared" si="117"/>
        <v>0</v>
      </c>
      <c r="H120" s="430">
        <f t="shared" si="117"/>
        <v>0</v>
      </c>
      <c r="I120" s="375">
        <f t="shared" si="122"/>
        <v>0</v>
      </c>
      <c r="J120" s="430">
        <f t="shared" si="118"/>
        <v>0</v>
      </c>
      <c r="K120" s="430">
        <f t="shared" si="118"/>
        <v>0</v>
      </c>
      <c r="L120" s="375">
        <f t="shared" si="123"/>
        <v>0</v>
      </c>
      <c r="M120" s="430">
        <f t="shared" ref="M120:N120" si="135">M9*M29</f>
        <v>0</v>
      </c>
      <c r="N120" s="430">
        <f t="shared" si="135"/>
        <v>0</v>
      </c>
      <c r="O120" s="375">
        <f t="shared" si="125"/>
        <v>0</v>
      </c>
      <c r="P120" s="430">
        <f t="shared" ref="P120:Q120" si="136">P9*P29</f>
        <v>0</v>
      </c>
      <c r="Q120" s="430">
        <f t="shared" si="136"/>
        <v>0</v>
      </c>
      <c r="R120" s="375">
        <f t="shared" si="127"/>
        <v>0</v>
      </c>
      <c r="S120" s="430">
        <f t="shared" si="121"/>
        <v>0</v>
      </c>
      <c r="T120" s="431">
        <f t="shared" si="121"/>
        <v>0</v>
      </c>
      <c r="U120" s="377">
        <f t="shared" si="128"/>
        <v>0</v>
      </c>
    </row>
    <row r="121" spans="1:22" x14ac:dyDescent="0.3">
      <c r="A121" s="712"/>
      <c r="B121" s="714"/>
      <c r="C121" s="419" t="s">
        <v>31</v>
      </c>
      <c r="D121" s="420">
        <v>0</v>
      </c>
      <c r="E121" s="421">
        <v>0</v>
      </c>
      <c r="F121" s="422">
        <v>0</v>
      </c>
      <c r="G121" s="429">
        <f t="shared" si="117"/>
        <v>0</v>
      </c>
      <c r="H121" s="430">
        <f t="shared" si="117"/>
        <v>0</v>
      </c>
      <c r="I121" s="375">
        <f t="shared" si="122"/>
        <v>0</v>
      </c>
      <c r="J121" s="430">
        <f t="shared" si="118"/>
        <v>0</v>
      </c>
      <c r="K121" s="430">
        <f t="shared" si="118"/>
        <v>0</v>
      </c>
      <c r="L121" s="375">
        <f t="shared" si="123"/>
        <v>0</v>
      </c>
      <c r="M121" s="430">
        <f t="shared" ref="M121:N121" si="137">M10*M30</f>
        <v>0</v>
      </c>
      <c r="N121" s="430">
        <f t="shared" si="137"/>
        <v>0</v>
      </c>
      <c r="O121" s="375">
        <f t="shared" si="125"/>
        <v>0</v>
      </c>
      <c r="P121" s="430">
        <f t="shared" ref="P121:Q121" si="138">P10*P30</f>
        <v>0</v>
      </c>
      <c r="Q121" s="430">
        <f t="shared" si="138"/>
        <v>0</v>
      </c>
      <c r="R121" s="375">
        <f t="shared" si="127"/>
        <v>0</v>
      </c>
      <c r="S121" s="430">
        <f t="shared" si="121"/>
        <v>0</v>
      </c>
      <c r="T121" s="431">
        <f t="shared" si="121"/>
        <v>0</v>
      </c>
      <c r="U121" s="377">
        <f t="shared" si="128"/>
        <v>0</v>
      </c>
    </row>
    <row r="122" spans="1:22" x14ac:dyDescent="0.3">
      <c r="A122" s="712"/>
      <c r="B122" s="714"/>
      <c r="C122" s="419" t="s">
        <v>32</v>
      </c>
      <c r="D122" s="420">
        <v>0</v>
      </c>
      <c r="E122" s="421">
        <v>0</v>
      </c>
      <c r="F122" s="422">
        <v>0</v>
      </c>
      <c r="G122" s="429">
        <f t="shared" si="117"/>
        <v>0</v>
      </c>
      <c r="H122" s="430">
        <f t="shared" si="117"/>
        <v>0</v>
      </c>
      <c r="I122" s="375">
        <f t="shared" si="122"/>
        <v>0</v>
      </c>
      <c r="J122" s="430">
        <f t="shared" si="118"/>
        <v>0</v>
      </c>
      <c r="K122" s="430">
        <f t="shared" si="118"/>
        <v>0</v>
      </c>
      <c r="L122" s="375">
        <f t="shared" si="123"/>
        <v>0</v>
      </c>
      <c r="M122" s="430">
        <f t="shared" ref="M122:N122" si="139">M11*M31</f>
        <v>0</v>
      </c>
      <c r="N122" s="430">
        <f t="shared" si="139"/>
        <v>0</v>
      </c>
      <c r="O122" s="375">
        <f t="shared" si="125"/>
        <v>0</v>
      </c>
      <c r="P122" s="430">
        <f t="shared" ref="P122:Q122" si="140">P11*P31</f>
        <v>0</v>
      </c>
      <c r="Q122" s="430">
        <f t="shared" si="140"/>
        <v>0</v>
      </c>
      <c r="R122" s="375">
        <f t="shared" si="127"/>
        <v>0</v>
      </c>
      <c r="S122" s="430">
        <f t="shared" si="121"/>
        <v>0</v>
      </c>
      <c r="T122" s="431">
        <f t="shared" si="121"/>
        <v>0</v>
      </c>
      <c r="U122" s="377">
        <f t="shared" si="128"/>
        <v>0</v>
      </c>
    </row>
    <row r="123" spans="1:22" x14ac:dyDescent="0.3">
      <c r="A123" s="712"/>
      <c r="B123" s="714"/>
      <c r="C123" s="419" t="s">
        <v>33</v>
      </c>
      <c r="D123" s="420">
        <v>0</v>
      </c>
      <c r="E123" s="421">
        <v>0</v>
      </c>
      <c r="F123" s="422">
        <v>0</v>
      </c>
      <c r="G123" s="429">
        <f t="shared" si="117"/>
        <v>0</v>
      </c>
      <c r="H123" s="430">
        <f t="shared" si="117"/>
        <v>0</v>
      </c>
      <c r="I123" s="375">
        <f t="shared" si="122"/>
        <v>0</v>
      </c>
      <c r="J123" s="430">
        <f t="shared" si="118"/>
        <v>0</v>
      </c>
      <c r="K123" s="430">
        <f t="shared" si="118"/>
        <v>0</v>
      </c>
      <c r="L123" s="375">
        <f t="shared" si="123"/>
        <v>0</v>
      </c>
      <c r="M123" s="430">
        <f t="shared" ref="M123:N123" si="141">M12*M32</f>
        <v>0</v>
      </c>
      <c r="N123" s="430">
        <f t="shared" si="141"/>
        <v>0</v>
      </c>
      <c r="O123" s="375">
        <f t="shared" si="125"/>
        <v>0</v>
      </c>
      <c r="P123" s="430">
        <f t="shared" ref="P123:Q123" si="142">P12*P32</f>
        <v>0</v>
      </c>
      <c r="Q123" s="430">
        <f t="shared" si="142"/>
        <v>0</v>
      </c>
      <c r="R123" s="375">
        <f t="shared" si="127"/>
        <v>0</v>
      </c>
      <c r="S123" s="430">
        <f t="shared" si="121"/>
        <v>0</v>
      </c>
      <c r="T123" s="431">
        <f t="shared" si="121"/>
        <v>0</v>
      </c>
      <c r="U123" s="377">
        <f t="shared" si="128"/>
        <v>0</v>
      </c>
    </row>
    <row r="124" spans="1:22" ht="15" thickBot="1" x14ac:dyDescent="0.35">
      <c r="A124" s="713"/>
      <c r="B124" s="715"/>
      <c r="C124" s="432" t="s">
        <v>34</v>
      </c>
      <c r="D124" s="433">
        <v>0</v>
      </c>
      <c r="E124" s="434">
        <v>0</v>
      </c>
      <c r="F124" s="435">
        <v>0</v>
      </c>
      <c r="G124" s="436">
        <f t="shared" si="117"/>
        <v>0</v>
      </c>
      <c r="H124" s="437">
        <f t="shared" si="117"/>
        <v>0</v>
      </c>
      <c r="I124" s="384">
        <f t="shared" si="122"/>
        <v>0</v>
      </c>
      <c r="J124" s="437">
        <f t="shared" si="118"/>
        <v>0</v>
      </c>
      <c r="K124" s="437">
        <f t="shared" si="118"/>
        <v>0</v>
      </c>
      <c r="L124" s="384">
        <f t="shared" si="123"/>
        <v>0</v>
      </c>
      <c r="M124" s="437">
        <f t="shared" ref="M124:N124" si="143">M13*M33</f>
        <v>0</v>
      </c>
      <c r="N124" s="437">
        <f t="shared" si="143"/>
        <v>0</v>
      </c>
      <c r="O124" s="384">
        <f t="shared" si="125"/>
        <v>0</v>
      </c>
      <c r="P124" s="437">
        <f t="shared" ref="P124:Q124" si="144">P13*P33</f>
        <v>0</v>
      </c>
      <c r="Q124" s="437">
        <f t="shared" si="144"/>
        <v>0</v>
      </c>
      <c r="R124" s="384">
        <f t="shared" si="127"/>
        <v>0</v>
      </c>
      <c r="S124" s="437">
        <f t="shared" si="121"/>
        <v>0</v>
      </c>
      <c r="T124" s="438">
        <f t="shared" si="121"/>
        <v>0</v>
      </c>
      <c r="U124" s="386">
        <f t="shared" si="128"/>
        <v>0</v>
      </c>
    </row>
    <row r="125" spans="1:22" x14ac:dyDescent="0.3">
      <c r="A125" s="712" t="s">
        <v>39</v>
      </c>
      <c r="B125" s="714" t="s">
        <v>13</v>
      </c>
      <c r="C125" s="419" t="s">
        <v>25</v>
      </c>
      <c r="D125" s="420">
        <f t="shared" ref="D125:D134" si="145">G125+J125+S125+M125+P125</f>
        <v>0</v>
      </c>
      <c r="E125" s="421">
        <f t="shared" ref="E125:E134" si="146">H125+K125+T125+N125+Q125</f>
        <v>0</v>
      </c>
      <c r="F125" s="422">
        <f t="shared" ref="F125:F134" si="147">I125+L125+U125+O125+R125</f>
        <v>0</v>
      </c>
      <c r="G125" s="439">
        <f>G54</f>
        <v>0</v>
      </c>
      <c r="H125" s="440">
        <f t="shared" ref="H125:H134" si="148">H54*(1+$V$125)</f>
        <v>0</v>
      </c>
      <c r="I125" s="366">
        <f>H125-G125</f>
        <v>0</v>
      </c>
      <c r="J125" s="440">
        <f t="shared" ref="J125:J134" si="149">J54</f>
        <v>0</v>
      </c>
      <c r="K125" s="440">
        <f t="shared" ref="K125:K134" si="150">K54*(1+$V$125)</f>
        <v>0</v>
      </c>
      <c r="L125" s="366">
        <f>K125-J125</f>
        <v>0</v>
      </c>
      <c r="M125" s="440">
        <f t="shared" ref="M125:M134" si="151">M54</f>
        <v>0</v>
      </c>
      <c r="N125" s="440">
        <f t="shared" ref="N125:N134" si="152">N54*(1+$V$125)</f>
        <v>0</v>
      </c>
      <c r="O125" s="366">
        <f>N125-M125</f>
        <v>0</v>
      </c>
      <c r="P125" s="440">
        <f t="shared" ref="P125:P134" si="153">P54</f>
        <v>0</v>
      </c>
      <c r="Q125" s="440">
        <f t="shared" ref="Q125:Q134" si="154">Q54*(1+$V$125)</f>
        <v>0</v>
      </c>
      <c r="R125" s="366">
        <f>Q125-P125</f>
        <v>0</v>
      </c>
      <c r="S125" s="440">
        <f t="shared" ref="S125:S134" si="155">S54</f>
        <v>0</v>
      </c>
      <c r="T125" s="441">
        <f t="shared" ref="T125:T134" si="156">T54*(1+$V$125)</f>
        <v>0</v>
      </c>
      <c r="U125" s="442">
        <f>T125-S125</f>
        <v>0</v>
      </c>
      <c r="V125" s="369">
        <f>'Analyza citlivosti - AgendovéIS'!H7</f>
        <v>0</v>
      </c>
    </row>
    <row r="126" spans="1:22" x14ac:dyDescent="0.3">
      <c r="A126" s="712"/>
      <c r="B126" s="714"/>
      <c r="C126" s="419" t="s">
        <v>26</v>
      </c>
      <c r="D126" s="420">
        <f t="shared" si="145"/>
        <v>0</v>
      </c>
      <c r="E126" s="421">
        <f t="shared" si="146"/>
        <v>0</v>
      </c>
      <c r="F126" s="422">
        <f t="shared" si="147"/>
        <v>0</v>
      </c>
      <c r="G126" s="429">
        <f t="shared" ref="G126:G134" si="157">G55</f>
        <v>0</v>
      </c>
      <c r="H126" s="430">
        <f t="shared" si="148"/>
        <v>0</v>
      </c>
      <c r="I126" s="375">
        <f t="shared" ref="I126:I134" si="158">H126-G126</f>
        <v>0</v>
      </c>
      <c r="J126" s="430">
        <f t="shared" si="149"/>
        <v>0</v>
      </c>
      <c r="K126" s="430">
        <f t="shared" si="150"/>
        <v>0</v>
      </c>
      <c r="L126" s="375">
        <f t="shared" ref="L126:L134" si="159">K126-J126</f>
        <v>0</v>
      </c>
      <c r="M126" s="430">
        <f t="shared" si="151"/>
        <v>0</v>
      </c>
      <c r="N126" s="430">
        <f t="shared" si="152"/>
        <v>0</v>
      </c>
      <c r="O126" s="375">
        <f t="shared" ref="O126:O134" si="160">N126-M126</f>
        <v>0</v>
      </c>
      <c r="P126" s="430">
        <f t="shared" si="153"/>
        <v>0</v>
      </c>
      <c r="Q126" s="430">
        <f t="shared" si="154"/>
        <v>0</v>
      </c>
      <c r="R126" s="375">
        <f t="shared" ref="R126:R134" si="161">Q126-P126</f>
        <v>0</v>
      </c>
      <c r="S126" s="430">
        <f t="shared" si="155"/>
        <v>0</v>
      </c>
      <c r="T126" s="431">
        <f t="shared" si="156"/>
        <v>0</v>
      </c>
      <c r="U126" s="377">
        <f t="shared" ref="U126:U134" si="162">T126-S126</f>
        <v>0</v>
      </c>
    </row>
    <row r="127" spans="1:22" x14ac:dyDescent="0.3">
      <c r="A127" s="712"/>
      <c r="B127" s="714"/>
      <c r="C127" s="419" t="s">
        <v>27</v>
      </c>
      <c r="D127" s="420">
        <f t="shared" si="145"/>
        <v>0</v>
      </c>
      <c r="E127" s="421">
        <f t="shared" si="146"/>
        <v>0</v>
      </c>
      <c r="F127" s="422">
        <f t="shared" si="147"/>
        <v>0</v>
      </c>
      <c r="G127" s="429">
        <f t="shared" si="157"/>
        <v>0</v>
      </c>
      <c r="H127" s="430">
        <f t="shared" si="148"/>
        <v>0</v>
      </c>
      <c r="I127" s="375">
        <f t="shared" si="158"/>
        <v>0</v>
      </c>
      <c r="J127" s="430">
        <f t="shared" si="149"/>
        <v>0</v>
      </c>
      <c r="K127" s="430">
        <f t="shared" si="150"/>
        <v>0</v>
      </c>
      <c r="L127" s="375">
        <f t="shared" si="159"/>
        <v>0</v>
      </c>
      <c r="M127" s="430">
        <f t="shared" si="151"/>
        <v>0</v>
      </c>
      <c r="N127" s="430">
        <f t="shared" si="152"/>
        <v>0</v>
      </c>
      <c r="O127" s="375">
        <f t="shared" si="160"/>
        <v>0</v>
      </c>
      <c r="P127" s="430">
        <f t="shared" si="153"/>
        <v>0</v>
      </c>
      <c r="Q127" s="430">
        <f t="shared" si="154"/>
        <v>0</v>
      </c>
      <c r="R127" s="375">
        <f t="shared" si="161"/>
        <v>0</v>
      </c>
      <c r="S127" s="430">
        <f t="shared" si="155"/>
        <v>0</v>
      </c>
      <c r="T127" s="431">
        <f t="shared" si="156"/>
        <v>0</v>
      </c>
      <c r="U127" s="377">
        <f t="shared" si="162"/>
        <v>0</v>
      </c>
    </row>
    <row r="128" spans="1:22" x14ac:dyDescent="0.3">
      <c r="A128" s="712"/>
      <c r="B128" s="714"/>
      <c r="C128" s="419" t="s">
        <v>28</v>
      </c>
      <c r="D128" s="420">
        <f t="shared" si="145"/>
        <v>0</v>
      </c>
      <c r="E128" s="421">
        <f t="shared" si="146"/>
        <v>0</v>
      </c>
      <c r="F128" s="422">
        <f t="shared" si="147"/>
        <v>0</v>
      </c>
      <c r="G128" s="429">
        <f t="shared" si="157"/>
        <v>0</v>
      </c>
      <c r="H128" s="430">
        <f t="shared" si="148"/>
        <v>0</v>
      </c>
      <c r="I128" s="375">
        <f t="shared" si="158"/>
        <v>0</v>
      </c>
      <c r="J128" s="430">
        <f t="shared" si="149"/>
        <v>0</v>
      </c>
      <c r="K128" s="430">
        <f t="shared" si="150"/>
        <v>0</v>
      </c>
      <c r="L128" s="375">
        <f t="shared" si="159"/>
        <v>0</v>
      </c>
      <c r="M128" s="430">
        <f t="shared" si="151"/>
        <v>0</v>
      </c>
      <c r="N128" s="430">
        <f t="shared" si="152"/>
        <v>0</v>
      </c>
      <c r="O128" s="375">
        <f t="shared" si="160"/>
        <v>0</v>
      </c>
      <c r="P128" s="430">
        <f t="shared" si="153"/>
        <v>0</v>
      </c>
      <c r="Q128" s="430">
        <f t="shared" si="154"/>
        <v>0</v>
      </c>
      <c r="R128" s="375">
        <f t="shared" si="161"/>
        <v>0</v>
      </c>
      <c r="S128" s="430">
        <f t="shared" si="155"/>
        <v>0</v>
      </c>
      <c r="T128" s="431">
        <f t="shared" si="156"/>
        <v>0</v>
      </c>
      <c r="U128" s="377">
        <f t="shared" si="162"/>
        <v>0</v>
      </c>
    </row>
    <row r="129" spans="1:21" x14ac:dyDescent="0.3">
      <c r="A129" s="712"/>
      <c r="B129" s="714"/>
      <c r="C129" s="419" t="s">
        <v>29</v>
      </c>
      <c r="D129" s="420">
        <f t="shared" si="145"/>
        <v>0</v>
      </c>
      <c r="E129" s="421">
        <f t="shared" si="146"/>
        <v>0</v>
      </c>
      <c r="F129" s="422">
        <f t="shared" si="147"/>
        <v>0</v>
      </c>
      <c r="G129" s="429">
        <f t="shared" si="157"/>
        <v>0</v>
      </c>
      <c r="H129" s="430">
        <f t="shared" si="148"/>
        <v>0</v>
      </c>
      <c r="I129" s="375">
        <f t="shared" si="158"/>
        <v>0</v>
      </c>
      <c r="J129" s="430">
        <f t="shared" si="149"/>
        <v>0</v>
      </c>
      <c r="K129" s="430">
        <f t="shared" si="150"/>
        <v>0</v>
      </c>
      <c r="L129" s="375">
        <f t="shared" si="159"/>
        <v>0</v>
      </c>
      <c r="M129" s="430">
        <f t="shared" si="151"/>
        <v>0</v>
      </c>
      <c r="N129" s="430">
        <f t="shared" si="152"/>
        <v>0</v>
      </c>
      <c r="O129" s="375">
        <f t="shared" si="160"/>
        <v>0</v>
      </c>
      <c r="P129" s="430">
        <f t="shared" si="153"/>
        <v>0</v>
      </c>
      <c r="Q129" s="430">
        <f t="shared" si="154"/>
        <v>0</v>
      </c>
      <c r="R129" s="375">
        <f t="shared" si="161"/>
        <v>0</v>
      </c>
      <c r="S129" s="430">
        <f t="shared" si="155"/>
        <v>0</v>
      </c>
      <c r="T129" s="431">
        <f t="shared" si="156"/>
        <v>0</v>
      </c>
      <c r="U129" s="377">
        <f t="shared" si="162"/>
        <v>0</v>
      </c>
    </row>
    <row r="130" spans="1:21" x14ac:dyDescent="0.3">
      <c r="A130" s="712"/>
      <c r="B130" s="714"/>
      <c r="C130" s="419" t="s">
        <v>30</v>
      </c>
      <c r="D130" s="420">
        <f t="shared" si="145"/>
        <v>0</v>
      </c>
      <c r="E130" s="421">
        <f t="shared" si="146"/>
        <v>0</v>
      </c>
      <c r="F130" s="422">
        <f t="shared" si="147"/>
        <v>0</v>
      </c>
      <c r="G130" s="429">
        <f t="shared" si="157"/>
        <v>0</v>
      </c>
      <c r="H130" s="430">
        <f t="shared" si="148"/>
        <v>0</v>
      </c>
      <c r="I130" s="375">
        <f t="shared" si="158"/>
        <v>0</v>
      </c>
      <c r="J130" s="430">
        <f t="shared" si="149"/>
        <v>0</v>
      </c>
      <c r="K130" s="430">
        <f t="shared" si="150"/>
        <v>0</v>
      </c>
      <c r="L130" s="375">
        <f t="shared" si="159"/>
        <v>0</v>
      </c>
      <c r="M130" s="430">
        <f t="shared" si="151"/>
        <v>0</v>
      </c>
      <c r="N130" s="430">
        <f t="shared" si="152"/>
        <v>0</v>
      </c>
      <c r="O130" s="375">
        <f t="shared" si="160"/>
        <v>0</v>
      </c>
      <c r="P130" s="430">
        <f t="shared" si="153"/>
        <v>0</v>
      </c>
      <c r="Q130" s="430">
        <f t="shared" si="154"/>
        <v>0</v>
      </c>
      <c r="R130" s="375">
        <f t="shared" si="161"/>
        <v>0</v>
      </c>
      <c r="S130" s="430">
        <f t="shared" si="155"/>
        <v>0</v>
      </c>
      <c r="T130" s="431">
        <f t="shared" si="156"/>
        <v>0</v>
      </c>
      <c r="U130" s="377">
        <f t="shared" si="162"/>
        <v>0</v>
      </c>
    </row>
    <row r="131" spans="1:21" x14ac:dyDescent="0.3">
      <c r="A131" s="712"/>
      <c r="B131" s="714"/>
      <c r="C131" s="419" t="s">
        <v>31</v>
      </c>
      <c r="D131" s="420">
        <f t="shared" si="145"/>
        <v>0</v>
      </c>
      <c r="E131" s="421">
        <f t="shared" si="146"/>
        <v>0</v>
      </c>
      <c r="F131" s="422">
        <f t="shared" si="147"/>
        <v>0</v>
      </c>
      <c r="G131" s="429">
        <f t="shared" si="157"/>
        <v>0</v>
      </c>
      <c r="H131" s="430">
        <f t="shared" si="148"/>
        <v>0</v>
      </c>
      <c r="I131" s="375">
        <f t="shared" si="158"/>
        <v>0</v>
      </c>
      <c r="J131" s="430">
        <f t="shared" si="149"/>
        <v>0</v>
      </c>
      <c r="K131" s="430">
        <f t="shared" si="150"/>
        <v>0</v>
      </c>
      <c r="L131" s="375">
        <f t="shared" si="159"/>
        <v>0</v>
      </c>
      <c r="M131" s="430">
        <f t="shared" si="151"/>
        <v>0</v>
      </c>
      <c r="N131" s="430">
        <f t="shared" si="152"/>
        <v>0</v>
      </c>
      <c r="O131" s="375">
        <f t="shared" si="160"/>
        <v>0</v>
      </c>
      <c r="P131" s="430">
        <f t="shared" si="153"/>
        <v>0</v>
      </c>
      <c r="Q131" s="430">
        <f t="shared" si="154"/>
        <v>0</v>
      </c>
      <c r="R131" s="375">
        <f t="shared" si="161"/>
        <v>0</v>
      </c>
      <c r="S131" s="430">
        <f t="shared" si="155"/>
        <v>0</v>
      </c>
      <c r="T131" s="431">
        <f t="shared" si="156"/>
        <v>0</v>
      </c>
      <c r="U131" s="377">
        <f t="shared" si="162"/>
        <v>0</v>
      </c>
    </row>
    <row r="132" spans="1:21" x14ac:dyDescent="0.3">
      <c r="A132" s="712"/>
      <c r="B132" s="714"/>
      <c r="C132" s="419" t="s">
        <v>32</v>
      </c>
      <c r="D132" s="420">
        <f t="shared" si="145"/>
        <v>0</v>
      </c>
      <c r="E132" s="421">
        <f t="shared" si="146"/>
        <v>0</v>
      </c>
      <c r="F132" s="422">
        <f t="shared" si="147"/>
        <v>0</v>
      </c>
      <c r="G132" s="429">
        <f t="shared" si="157"/>
        <v>0</v>
      </c>
      <c r="H132" s="430">
        <f t="shared" si="148"/>
        <v>0</v>
      </c>
      <c r="I132" s="375">
        <f t="shared" si="158"/>
        <v>0</v>
      </c>
      <c r="J132" s="430">
        <f t="shared" si="149"/>
        <v>0</v>
      </c>
      <c r="K132" s="430">
        <f t="shared" si="150"/>
        <v>0</v>
      </c>
      <c r="L132" s="375">
        <f t="shared" si="159"/>
        <v>0</v>
      </c>
      <c r="M132" s="430">
        <f t="shared" si="151"/>
        <v>0</v>
      </c>
      <c r="N132" s="430">
        <f t="shared" si="152"/>
        <v>0</v>
      </c>
      <c r="O132" s="375">
        <f t="shared" si="160"/>
        <v>0</v>
      </c>
      <c r="P132" s="430">
        <f t="shared" si="153"/>
        <v>0</v>
      </c>
      <c r="Q132" s="430">
        <f t="shared" si="154"/>
        <v>0</v>
      </c>
      <c r="R132" s="375">
        <f t="shared" si="161"/>
        <v>0</v>
      </c>
      <c r="S132" s="430">
        <f t="shared" si="155"/>
        <v>0</v>
      </c>
      <c r="T132" s="431">
        <f t="shared" si="156"/>
        <v>0</v>
      </c>
      <c r="U132" s="377">
        <f t="shared" si="162"/>
        <v>0</v>
      </c>
    </row>
    <row r="133" spans="1:21" x14ac:dyDescent="0.3">
      <c r="A133" s="712"/>
      <c r="B133" s="714"/>
      <c r="C133" s="419" t="s">
        <v>33</v>
      </c>
      <c r="D133" s="420">
        <f t="shared" si="145"/>
        <v>0</v>
      </c>
      <c r="E133" s="421">
        <f t="shared" si="146"/>
        <v>0</v>
      </c>
      <c r="F133" s="422">
        <f t="shared" si="147"/>
        <v>0</v>
      </c>
      <c r="G133" s="429">
        <f t="shared" si="157"/>
        <v>0</v>
      </c>
      <c r="H133" s="430">
        <f t="shared" si="148"/>
        <v>0</v>
      </c>
      <c r="I133" s="375">
        <f t="shared" si="158"/>
        <v>0</v>
      </c>
      <c r="J133" s="430">
        <f t="shared" si="149"/>
        <v>0</v>
      </c>
      <c r="K133" s="430">
        <f t="shared" si="150"/>
        <v>0</v>
      </c>
      <c r="L133" s="375">
        <f t="shared" si="159"/>
        <v>0</v>
      </c>
      <c r="M133" s="430">
        <f t="shared" si="151"/>
        <v>0</v>
      </c>
      <c r="N133" s="430">
        <f t="shared" si="152"/>
        <v>0</v>
      </c>
      <c r="O133" s="375">
        <f t="shared" si="160"/>
        <v>0</v>
      </c>
      <c r="P133" s="430">
        <f t="shared" si="153"/>
        <v>0</v>
      </c>
      <c r="Q133" s="430">
        <f t="shared" si="154"/>
        <v>0</v>
      </c>
      <c r="R133" s="375">
        <f t="shared" si="161"/>
        <v>0</v>
      </c>
      <c r="S133" s="430">
        <f t="shared" si="155"/>
        <v>0</v>
      </c>
      <c r="T133" s="431">
        <f t="shared" si="156"/>
        <v>0</v>
      </c>
      <c r="U133" s="377">
        <f t="shared" si="162"/>
        <v>0</v>
      </c>
    </row>
    <row r="134" spans="1:21" ht="15" thickBot="1" x14ac:dyDescent="0.35">
      <c r="A134" s="713"/>
      <c r="B134" s="715"/>
      <c r="C134" s="432" t="s">
        <v>34</v>
      </c>
      <c r="D134" s="433">
        <f t="shared" si="145"/>
        <v>0</v>
      </c>
      <c r="E134" s="434">
        <f t="shared" si="146"/>
        <v>0</v>
      </c>
      <c r="F134" s="435">
        <f t="shared" si="147"/>
        <v>0</v>
      </c>
      <c r="G134" s="436">
        <f t="shared" si="157"/>
        <v>0</v>
      </c>
      <c r="H134" s="437">
        <f t="shared" si="148"/>
        <v>0</v>
      </c>
      <c r="I134" s="384">
        <f t="shared" si="158"/>
        <v>0</v>
      </c>
      <c r="J134" s="437">
        <f t="shared" si="149"/>
        <v>0</v>
      </c>
      <c r="K134" s="437">
        <f t="shared" si="150"/>
        <v>0</v>
      </c>
      <c r="L134" s="384">
        <f t="shared" si="159"/>
        <v>0</v>
      </c>
      <c r="M134" s="437">
        <f t="shared" si="151"/>
        <v>0</v>
      </c>
      <c r="N134" s="437">
        <f t="shared" si="152"/>
        <v>0</v>
      </c>
      <c r="O134" s="384">
        <f t="shared" si="160"/>
        <v>0</v>
      </c>
      <c r="P134" s="437">
        <f t="shared" si="153"/>
        <v>0</v>
      </c>
      <c r="Q134" s="437">
        <f t="shared" si="154"/>
        <v>0</v>
      </c>
      <c r="R134" s="384">
        <f t="shared" si="161"/>
        <v>0</v>
      </c>
      <c r="S134" s="437">
        <f t="shared" si="155"/>
        <v>0</v>
      </c>
      <c r="T134" s="438">
        <f t="shared" si="156"/>
        <v>0</v>
      </c>
      <c r="U134" s="386">
        <f t="shared" si="162"/>
        <v>0</v>
      </c>
    </row>
  </sheetData>
  <sheetProtection insertColumns="0" deleteColumns="0"/>
  <mergeCells count="37">
    <mergeCell ref="A65:A74"/>
    <mergeCell ref="B65:B74"/>
    <mergeCell ref="A125:A134"/>
    <mergeCell ref="B125:B134"/>
    <mergeCell ref="A105:A114"/>
    <mergeCell ref="B105:B114"/>
    <mergeCell ref="A85:A94"/>
    <mergeCell ref="B85:B94"/>
    <mergeCell ref="A115:A124"/>
    <mergeCell ref="B115:B124"/>
    <mergeCell ref="A95:A104"/>
    <mergeCell ref="B95:B104"/>
    <mergeCell ref="A75:A84"/>
    <mergeCell ref="B75:B84"/>
    <mergeCell ref="A4:A13"/>
    <mergeCell ref="B4:B13"/>
    <mergeCell ref="A14:A23"/>
    <mergeCell ref="B14:B23"/>
    <mergeCell ref="J1:L1"/>
    <mergeCell ref="D1:F1"/>
    <mergeCell ref="G1:I1"/>
    <mergeCell ref="G2:I2"/>
    <mergeCell ref="J2:L2"/>
    <mergeCell ref="A24:A33"/>
    <mergeCell ref="B24:B33"/>
    <mergeCell ref="A34:A43"/>
    <mergeCell ref="B34:B43"/>
    <mergeCell ref="A54:A63"/>
    <mergeCell ref="B54:B63"/>
    <mergeCell ref="A44:A53"/>
    <mergeCell ref="B44:B53"/>
    <mergeCell ref="M1:O1"/>
    <mergeCell ref="M2:O2"/>
    <mergeCell ref="S1:U1"/>
    <mergeCell ref="S2:U2"/>
    <mergeCell ref="P1:R1"/>
    <mergeCell ref="P2:R2"/>
  </mergeCells>
  <pageMargins left="0.7" right="0.7" top="0.75" bottom="0.75" header="0.3" footer="0.3"/>
  <pageSetup paperSize="9" scale="33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outlinePr summaryBelow="0" summaryRight="0"/>
  </sheetPr>
  <dimension ref="A1:M44"/>
  <sheetViews>
    <sheetView tabSelected="1" view="pageBreakPreview" zoomScaleNormal="85" zoomScaleSheetLayoutView="100" workbookViewId="0">
      <selection activeCell="C14" activeCellId="1" sqref="C9 C14"/>
    </sheetView>
  </sheetViews>
  <sheetFormatPr defaultColWidth="8.88671875" defaultRowHeight="14.4" outlineLevelCol="1" x14ac:dyDescent="0.3"/>
  <cols>
    <col min="2" max="2" width="54.109375" customWidth="1"/>
    <col min="3" max="3" width="18.88671875" customWidth="1"/>
    <col min="4" max="13" width="16" customWidth="1" outlineLevel="1"/>
  </cols>
  <sheetData>
    <row r="1" spans="1:13" ht="21" x14ac:dyDescent="0.4">
      <c r="A1" s="100" t="s">
        <v>104</v>
      </c>
      <c r="B1" s="101"/>
      <c r="E1" s="90"/>
      <c r="F1" s="90"/>
      <c r="G1" s="90"/>
      <c r="H1" s="90"/>
      <c r="I1" s="90"/>
      <c r="J1" s="90"/>
      <c r="K1" s="90"/>
      <c r="L1" s="90"/>
      <c r="M1" s="86"/>
    </row>
    <row r="2" spans="1:13" ht="15.6" x14ac:dyDescent="0.3">
      <c r="A2" s="102"/>
      <c r="B2" s="88"/>
      <c r="D2" s="88"/>
      <c r="E2" s="88"/>
      <c r="F2" s="88"/>
      <c r="G2" s="88"/>
      <c r="H2" s="88"/>
      <c r="I2" s="88"/>
      <c r="J2" s="88"/>
      <c r="K2" s="88"/>
      <c r="L2" s="88"/>
      <c r="M2" s="82"/>
    </row>
    <row r="3" spans="1:13" ht="15.6" x14ac:dyDescent="0.3">
      <c r="A3" s="193" t="s">
        <v>198</v>
      </c>
      <c r="B3" s="88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x14ac:dyDescent="0.3"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15" thickBot="1" x14ac:dyDescent="0.35">
      <c r="B5" s="83"/>
      <c r="C5" s="87"/>
      <c r="D5" s="716" t="s">
        <v>105</v>
      </c>
      <c r="E5" s="716"/>
      <c r="F5" s="716"/>
      <c r="G5" s="716"/>
      <c r="H5" s="716"/>
      <c r="I5" s="716"/>
      <c r="J5" s="716"/>
      <c r="K5" s="716"/>
      <c r="L5" s="716"/>
      <c r="M5" s="716"/>
    </row>
    <row r="6" spans="1:13" x14ac:dyDescent="0.3">
      <c r="A6" s="162"/>
      <c r="B6" s="188" t="s">
        <v>173</v>
      </c>
      <c r="C6" s="94" t="s">
        <v>109</v>
      </c>
      <c r="D6" s="107" t="s">
        <v>25</v>
      </c>
      <c r="E6" s="108" t="s">
        <v>26</v>
      </c>
      <c r="F6" s="108" t="s">
        <v>27</v>
      </c>
      <c r="G6" s="108" t="s">
        <v>28</v>
      </c>
      <c r="H6" s="108" t="s">
        <v>29</v>
      </c>
      <c r="I6" s="108" t="s">
        <v>30</v>
      </c>
      <c r="J6" s="108" t="s">
        <v>31</v>
      </c>
      <c r="K6" s="108" t="s">
        <v>32</v>
      </c>
      <c r="L6" s="108" t="s">
        <v>33</v>
      </c>
      <c r="M6" s="109" t="s">
        <v>34</v>
      </c>
    </row>
    <row r="7" spans="1:13" x14ac:dyDescent="0.3">
      <c r="A7" s="191"/>
      <c r="B7" s="189" t="s">
        <v>112</v>
      </c>
      <c r="C7" s="95">
        <f t="shared" ref="C7:C14" si="0">SUM(D7:M7)</f>
        <v>0</v>
      </c>
      <c r="D7" s="110">
        <f>'TCO TO BE- SW'!$E5+'TCO TO BE- SW'!$E25+'TCO TO BE- SW'!$E15</f>
        <v>0</v>
      </c>
      <c r="E7" s="92">
        <f>'TCO TO BE- SW'!$E6+'TCO TO BE- SW'!$E26+'TCO TO BE- SW'!$E16</f>
        <v>0</v>
      </c>
      <c r="F7" s="92">
        <f>'TCO TO BE- SW'!$E7+'TCO TO BE- SW'!$E27</f>
        <v>0</v>
      </c>
      <c r="G7" s="92">
        <f>'TCO TO BE- SW'!$E8+'TCO TO BE- SW'!$E28</f>
        <v>0</v>
      </c>
      <c r="H7" s="92">
        <f>'TCO TO BE- SW'!$E9+'TCO TO BE- SW'!$E29</f>
        <v>0</v>
      </c>
      <c r="I7" s="92">
        <f>'TCO TO BE- SW'!$E10+'TCO TO BE- SW'!$E30</f>
        <v>0</v>
      </c>
      <c r="J7" s="92">
        <f>'TCO TO BE- SW'!$E11+'TCO TO BE- SW'!$E31</f>
        <v>0</v>
      </c>
      <c r="K7" s="92">
        <f>'TCO TO BE- SW'!$E12+'TCO TO BE- SW'!$E32</f>
        <v>0</v>
      </c>
      <c r="L7" s="92">
        <f>'TCO TO BE- SW'!$E13+'TCO TO BE- SW'!$E33</f>
        <v>0</v>
      </c>
      <c r="M7" s="111">
        <f>'TCO TO BE- SW'!$E14+'TCO TO BE- SW'!$E34</f>
        <v>0</v>
      </c>
    </row>
    <row r="8" spans="1:13" x14ac:dyDescent="0.3">
      <c r="A8" s="191"/>
      <c r="B8" s="189" t="s">
        <v>113</v>
      </c>
      <c r="C8" s="95">
        <f t="shared" si="0"/>
        <v>0</v>
      </c>
      <c r="D8" s="110">
        <f>'TCO TO BE- SW'!$E78+'TCO TO BE- SW'!$E88</f>
        <v>0</v>
      </c>
      <c r="E8" s="92">
        <f>'TCO TO BE- SW'!$E79+'TCO TO BE- SW'!$E89</f>
        <v>0</v>
      </c>
      <c r="F8" s="92">
        <f>'TCO TO BE- SW'!$E80+'TCO TO BE- SW'!$E90</f>
        <v>0</v>
      </c>
      <c r="G8" s="92">
        <f>'TCO TO BE- SW'!$E81+'TCO TO BE- SW'!$E91</f>
        <v>0</v>
      </c>
      <c r="H8" s="92">
        <f>'TCO TO BE- SW'!$E82+'TCO TO BE- SW'!$E92</f>
        <v>0</v>
      </c>
      <c r="I8" s="92">
        <f>'TCO TO BE- SW'!$E83+'TCO TO BE- SW'!$E93</f>
        <v>0</v>
      </c>
      <c r="J8" s="92">
        <f>'TCO TO BE- SW'!$E84+'TCO TO BE- SW'!$E94</f>
        <v>0</v>
      </c>
      <c r="K8" s="92">
        <f>'TCO TO BE- SW'!$E85+'TCO TO BE- SW'!$E95</f>
        <v>0</v>
      </c>
      <c r="L8" s="92">
        <f>'TCO TO BE- SW'!$E86+'TCO TO BE- SW'!$E96</f>
        <v>0</v>
      </c>
      <c r="M8" s="111">
        <f>'TCO TO BE- SW'!$E87+'TCO TO BE- SW'!$E97</f>
        <v>0</v>
      </c>
    </row>
    <row r="9" spans="1:13" x14ac:dyDescent="0.3">
      <c r="A9" s="191"/>
      <c r="B9" s="189" t="s">
        <v>114</v>
      </c>
      <c r="C9" s="595">
        <f t="shared" si="0"/>
        <v>7729980.8000000007</v>
      </c>
      <c r="D9" s="110">
        <f>'TCO TO BE- SW'!$E36+'TCO TO BE- SW'!$E46+'TCO TO BE- SW'!$E66+'TCO TO BE- SW'!E56</f>
        <v>1720594.7200000002</v>
      </c>
      <c r="E9" s="92">
        <f>'TCO TO BE- SW'!$E37+'TCO TO BE- SW'!$E47+'TCO TO BE- SW'!$E67+'TCO TO BE- SW'!E57</f>
        <v>6009386.0800000001</v>
      </c>
      <c r="F9" s="92">
        <f>'TCO TO BE- SW'!$E38+'TCO TO BE- SW'!$E48+'TCO TO BE- SW'!$E68</f>
        <v>0</v>
      </c>
      <c r="G9" s="92">
        <f>'TCO TO BE- SW'!$E39+'TCO TO BE- SW'!$E49+'TCO TO BE- SW'!$E69</f>
        <v>0</v>
      </c>
      <c r="H9" s="92">
        <f>'TCO TO BE- SW'!$E40+'TCO TO BE- SW'!$E50+'TCO TO BE- SW'!$E70</f>
        <v>0</v>
      </c>
      <c r="I9" s="92">
        <f>'TCO TO BE- SW'!$E41+'TCO TO BE- SW'!$E51+'TCO TO BE- SW'!$E71</f>
        <v>0</v>
      </c>
      <c r="J9" s="92">
        <f>'TCO TO BE- SW'!$E42+'TCO TO BE- SW'!$E52+'TCO TO BE- SW'!$E72</f>
        <v>0</v>
      </c>
      <c r="K9" s="92">
        <f>'TCO TO BE- SW'!$E43+'TCO TO BE- SW'!$E53+'TCO TO BE- SW'!$E73</f>
        <v>0</v>
      </c>
      <c r="L9" s="92">
        <f>'TCO TO BE- SW'!$E44+'TCO TO BE- SW'!$E54+'TCO TO BE- SW'!$E74</f>
        <v>0</v>
      </c>
      <c r="M9" s="111">
        <f>'TCO TO BE- SW'!$E45+'TCO TO BE- SW'!$E55+'TCO TO BE- SW'!$E75</f>
        <v>0</v>
      </c>
    </row>
    <row r="10" spans="1:13" x14ac:dyDescent="0.3">
      <c r="A10" s="191"/>
      <c r="B10" s="189" t="s">
        <v>115</v>
      </c>
      <c r="C10" s="595">
        <f t="shared" si="0"/>
        <v>21890880</v>
      </c>
      <c r="D10" s="110">
        <f>'TCO TO BE- SW'!$E99+'TCO TO BE- SW'!$E109+'TCO TO BE- SW'!$E119+'TCO TO BE- SW'!$E129+'TCO TO BE- SW'!$E139</f>
        <v>1911360</v>
      </c>
      <c r="E10" s="92">
        <f>'TCO TO BE- SW'!$E100+'TCO TO BE- SW'!$E110+'TCO TO BE- SW'!$E120+'TCO TO BE- SW'!$E130+'TCO TO BE- SW'!$E140</f>
        <v>1911360</v>
      </c>
      <c r="F10" s="92">
        <f>'TCO TO BE- SW'!$E101+'TCO TO BE- SW'!$E111+'TCO TO BE- SW'!$E121+'TCO TO BE- SW'!$E131+'TCO TO BE- SW'!$E141</f>
        <v>2258520</v>
      </c>
      <c r="G10" s="92">
        <f>'TCO TO BE- SW'!$E102+'TCO TO BE- SW'!$E112+'TCO TO BE- SW'!$E122+'TCO TO BE- SW'!$E132+'TCO TO BE- SW'!$E142</f>
        <v>2258520</v>
      </c>
      <c r="H10" s="92">
        <f>'TCO TO BE- SW'!$E103+'TCO TO BE- SW'!$E113+'TCO TO BE- SW'!$E123+'TCO TO BE- SW'!$E133+'TCO TO BE- SW'!$E143</f>
        <v>2258520</v>
      </c>
      <c r="I10" s="92">
        <f>'TCO TO BE- SW'!$E104+'TCO TO BE- SW'!$E114+'TCO TO BE- SW'!$E124+'TCO TO BE- SW'!$E134+'TCO TO BE- SW'!$E144</f>
        <v>2258520</v>
      </c>
      <c r="J10" s="92">
        <f>'TCO TO BE- SW'!$E105+'TCO TO BE- SW'!$E115+'TCO TO BE- SW'!$E125+'TCO TO BE- SW'!$E135+'TCO TO BE- SW'!$E145</f>
        <v>2258520</v>
      </c>
      <c r="K10" s="92">
        <f>'TCO TO BE- SW'!$E106+'TCO TO BE- SW'!$E116+'TCO TO BE- SW'!$E126+'TCO TO BE- SW'!$E136+'TCO TO BE- SW'!$E146</f>
        <v>2258520</v>
      </c>
      <c r="L10" s="92">
        <f>'TCO TO BE- SW'!$E107+'TCO TO BE- SW'!$E117+'TCO TO BE- SW'!$E127+'TCO TO BE- SW'!$E137+'TCO TO BE- SW'!$E147</f>
        <v>2258520</v>
      </c>
      <c r="M10" s="111">
        <f>'TCO TO BE- SW'!$E108+'TCO TO BE- SW'!$E118+'TCO TO BE- SW'!$E128+'TCO TO BE- SW'!$E138+'TCO TO BE- SW'!$E148</f>
        <v>2258520</v>
      </c>
    </row>
    <row r="11" spans="1:13" x14ac:dyDescent="0.3">
      <c r="A11" s="191"/>
      <c r="B11" s="189" t="s">
        <v>357</v>
      </c>
      <c r="C11" s="95">
        <f t="shared" si="0"/>
        <v>0</v>
      </c>
      <c r="D11" s="110">
        <f>'TCO TO BE- SW'!E171+'TCO TO BE- SW'!E181</f>
        <v>0</v>
      </c>
      <c r="E11" s="92">
        <f>'TCO TO BE- SW'!E172+'TCO TO BE- SW'!E182</f>
        <v>0</v>
      </c>
      <c r="F11" s="92">
        <f>'TCO TO BE- SW'!E173+'TCO TO BE- SW'!E183</f>
        <v>0</v>
      </c>
      <c r="G11" s="92">
        <f>'TCO TO BE- SW'!E174+'TCO TO BE- SW'!E184</f>
        <v>0</v>
      </c>
      <c r="H11" s="92">
        <f>'TCO TO BE- SW'!E175+'TCO TO BE- SW'!E185</f>
        <v>0</v>
      </c>
      <c r="I11" s="92">
        <f>'TCO TO BE- SW'!E176+'TCO TO BE- SW'!E186</f>
        <v>0</v>
      </c>
      <c r="J11" s="92">
        <f>'TCO TO BE- SW'!E177+'TCO TO BE- SW'!E187</f>
        <v>0</v>
      </c>
      <c r="K11" s="92">
        <f>'TCO TO BE- SW'!E178+'TCO TO BE- SW'!E188</f>
        <v>0</v>
      </c>
      <c r="L11" s="92">
        <f>'TCO TO BE- SW'!E179+'TCO TO BE- SW'!E189</f>
        <v>0</v>
      </c>
      <c r="M11" s="111">
        <f>'TCO TO BE- SW'!E180+'TCO TO BE- SW'!E190</f>
        <v>0</v>
      </c>
    </row>
    <row r="12" spans="1:13" x14ac:dyDescent="0.3">
      <c r="A12" s="191"/>
      <c r="B12" s="189" t="s">
        <v>106</v>
      </c>
      <c r="C12" s="95">
        <f t="shared" si="0"/>
        <v>0</v>
      </c>
      <c r="D12" s="110">
        <f>'TCO TO BE - HW'!$E4+'TCO TO BE - HW'!$E14+'TCO TO BE - HW'!$E24</f>
        <v>0</v>
      </c>
      <c r="E12" s="92">
        <f>'TCO TO BE - HW'!$E5+'TCO TO BE - HW'!$E15+'TCO TO BE - HW'!$E25</f>
        <v>0</v>
      </c>
      <c r="F12" s="92">
        <f>'TCO TO BE - HW'!$E6+'TCO TO BE - HW'!$E16+'TCO TO BE - HW'!$E26</f>
        <v>0</v>
      </c>
      <c r="G12" s="92">
        <f>'TCO TO BE - HW'!$E7+'TCO TO BE - HW'!$E17+'TCO TO BE - HW'!$E27</f>
        <v>0</v>
      </c>
      <c r="H12" s="92">
        <f>'TCO TO BE - HW'!$E8+'TCO TO BE - HW'!$E18+'TCO TO BE - HW'!$E28</f>
        <v>0</v>
      </c>
      <c r="I12" s="92">
        <f>'TCO TO BE - HW'!$E9+'TCO TO BE - HW'!$E19+'TCO TO BE - HW'!$E29</f>
        <v>0</v>
      </c>
      <c r="J12" s="92">
        <f>'TCO TO BE - HW'!$E10+'TCO TO BE - HW'!$E20+'TCO TO BE - HW'!$E30</f>
        <v>0</v>
      </c>
      <c r="K12" s="92">
        <f>'TCO TO BE - HW'!$E11+'TCO TO BE - HW'!$E21+'TCO TO BE - HW'!$E31</f>
        <v>0</v>
      </c>
      <c r="L12" s="92">
        <f>'TCO TO BE - HW'!$E12+'TCO TO BE - HW'!$E22+'TCO TO BE - HW'!$E32</f>
        <v>0</v>
      </c>
      <c r="M12" s="111">
        <f>'TCO TO BE - HW'!$E13+'TCO TO BE - HW'!$E23+'TCO TO BE - HW'!$E33</f>
        <v>0</v>
      </c>
    </row>
    <row r="13" spans="1:13" x14ac:dyDescent="0.3">
      <c r="A13" s="191"/>
      <c r="B13" s="189" t="s">
        <v>107</v>
      </c>
      <c r="C13" s="95">
        <f t="shared" si="0"/>
        <v>0</v>
      </c>
      <c r="D13" s="110">
        <f>'TCO TO BE - HW'!$E35+'TCO TO BE - HW'!$E45+'TCO TO BE - HW'!$E55+'TCO TO BE - HW'!$E65+'TCO TO BE - HW'!$E75</f>
        <v>0</v>
      </c>
      <c r="E13" s="92">
        <f>'TCO TO BE - HW'!$E36+'TCO TO BE - HW'!$E46+'TCO TO BE - HW'!$E56+'TCO TO BE - HW'!$E66+'TCO TO BE - HW'!$E76</f>
        <v>0</v>
      </c>
      <c r="F13" s="92">
        <f>'TCO TO BE - HW'!$E37+'TCO TO BE - HW'!$E47+'TCO TO BE - HW'!$E57+'TCO TO BE - HW'!$E67+'TCO TO BE - HW'!$E77</f>
        <v>0</v>
      </c>
      <c r="G13" s="92">
        <f>'TCO TO BE - HW'!$E38+'TCO TO BE - HW'!$E48+'TCO TO BE - HW'!$E58+'TCO TO BE - HW'!$E68+'TCO TO BE - HW'!$E78</f>
        <v>0</v>
      </c>
      <c r="H13" s="92">
        <f>'TCO TO BE - HW'!$E39+'TCO TO BE - HW'!$E49+'TCO TO BE - HW'!$E59+'TCO TO BE - HW'!$E69+'TCO TO BE - HW'!$E79</f>
        <v>0</v>
      </c>
      <c r="I13" s="92">
        <f>'TCO TO BE - HW'!$E40+'TCO TO BE - HW'!$E50+'TCO TO BE - HW'!$E60+'TCO TO BE - HW'!$E70+'TCO TO BE - HW'!$E80</f>
        <v>0</v>
      </c>
      <c r="J13" s="92">
        <f>'TCO TO BE - HW'!$E41+'TCO TO BE - HW'!$E51+'TCO TO BE - HW'!$E61+'TCO TO BE - HW'!$E71+'TCO TO BE - HW'!$E81</f>
        <v>0</v>
      </c>
      <c r="K13" s="92">
        <f>'TCO TO BE - HW'!$E42+'TCO TO BE - HW'!$E52+'TCO TO BE - HW'!$E62+'TCO TO BE - HW'!$E72+'TCO TO BE - HW'!$E82</f>
        <v>0</v>
      </c>
      <c r="L13" s="92">
        <f>'TCO TO BE - HW'!$E43+'TCO TO BE - HW'!$E53+'TCO TO BE - HW'!$E63+'TCO TO BE - HW'!$E73+'TCO TO BE - HW'!$E83</f>
        <v>0</v>
      </c>
      <c r="M13" s="111">
        <f>'TCO TO BE - HW'!$E44+'TCO TO BE - HW'!$E54+'TCO TO BE - HW'!$E64+'TCO TO BE - HW'!$E74+'TCO TO BE - HW'!$E84</f>
        <v>0</v>
      </c>
    </row>
    <row r="14" spans="1:13" ht="15" thickBot="1" x14ac:dyDescent="0.35">
      <c r="A14" s="191"/>
      <c r="B14" s="466" t="s">
        <v>449</v>
      </c>
      <c r="C14" s="596">
        <f t="shared" si="0"/>
        <v>494150.98999999993</v>
      </c>
      <c r="D14" s="470">
        <f>'TCO TO BE- SW'!E150+'TCO TO BE- SW'!E160</f>
        <v>321198.14349999995</v>
      </c>
      <c r="E14" s="471">
        <f>'TCO TO BE- SW'!E151+'TCO TO BE- SW'!E161</f>
        <v>172952.84649999999</v>
      </c>
      <c r="F14" s="471">
        <f>'TCO TO BE- SW'!E152+'TCO TO BE- SW'!E162</f>
        <v>0</v>
      </c>
      <c r="G14" s="471">
        <f>'TCO TO BE- SW'!E153+'TCO TO BE- SW'!E163</f>
        <v>0</v>
      </c>
      <c r="H14" s="471">
        <f>'TCO TO BE- SW'!E154+'TCO TO BE- SW'!E164</f>
        <v>0</v>
      </c>
      <c r="I14" s="471">
        <f>'TCO TO BE- SW'!E155+'TCO TO BE- SW'!E165</f>
        <v>0</v>
      </c>
      <c r="J14" s="471">
        <f>'TCO TO BE- SW'!E156+'TCO TO BE- SW'!E166</f>
        <v>0</v>
      </c>
      <c r="K14" s="471">
        <f>'TCO TO BE- SW'!E157+'TCO TO BE- SW'!E167</f>
        <v>0</v>
      </c>
      <c r="L14" s="471">
        <f>'TCO TO BE- SW'!E158+'TCO TO BE- SW'!E168</f>
        <v>0</v>
      </c>
      <c r="M14" s="472">
        <f>'TCO TO BE- SW'!E159+'TCO TO BE- SW'!E169</f>
        <v>0</v>
      </c>
    </row>
    <row r="15" spans="1:13" ht="15" thickBot="1" x14ac:dyDescent="0.35">
      <c r="A15" s="192"/>
      <c r="B15" s="190" t="s">
        <v>108</v>
      </c>
      <c r="C15" s="97">
        <f>SUM(C7:C14)</f>
        <v>30115011.789999999</v>
      </c>
      <c r="D15" s="93">
        <f>SUM(D7:D13)</f>
        <v>3631954.72</v>
      </c>
      <c r="E15" s="85">
        <f t="shared" ref="E15:M15" si="1">SUM(E7:E13)</f>
        <v>7920746.0800000001</v>
      </c>
      <c r="F15" s="85">
        <f t="shared" si="1"/>
        <v>2258520</v>
      </c>
      <c r="G15" s="85">
        <f t="shared" si="1"/>
        <v>2258520</v>
      </c>
      <c r="H15" s="85">
        <f t="shared" si="1"/>
        <v>2258520</v>
      </c>
      <c r="I15" s="85">
        <f t="shared" si="1"/>
        <v>2258520</v>
      </c>
      <c r="J15" s="85">
        <f t="shared" si="1"/>
        <v>2258520</v>
      </c>
      <c r="K15" s="85">
        <f t="shared" si="1"/>
        <v>2258520</v>
      </c>
      <c r="L15" s="99">
        <f t="shared" si="1"/>
        <v>2258520</v>
      </c>
      <c r="M15" s="98">
        <f t="shared" si="1"/>
        <v>2258520</v>
      </c>
    </row>
    <row r="16" spans="1:13" x14ac:dyDescent="0.3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</row>
    <row r="17" spans="1:13" x14ac:dyDescent="0.3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13" ht="32.25" customHeight="1" x14ac:dyDescent="0.3">
      <c r="A18" s="717" t="s">
        <v>120</v>
      </c>
      <c r="B18" s="717"/>
      <c r="C18" s="717"/>
      <c r="D18" s="89"/>
      <c r="E18" s="88"/>
      <c r="F18" s="88"/>
      <c r="G18" s="88"/>
      <c r="H18" s="88"/>
      <c r="I18" s="88"/>
      <c r="J18" s="88"/>
      <c r="K18" s="88"/>
      <c r="L18" s="88"/>
      <c r="M18" s="82"/>
    </row>
    <row r="19" spans="1:13" x14ac:dyDescent="0.3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ht="15" thickBot="1" x14ac:dyDescent="0.35">
      <c r="B20" s="83"/>
      <c r="C20" s="87"/>
      <c r="D20" s="716" t="s">
        <v>105</v>
      </c>
      <c r="E20" s="716"/>
      <c r="F20" s="716"/>
      <c r="G20" s="716"/>
      <c r="H20" s="716"/>
      <c r="I20" s="716"/>
      <c r="J20" s="716"/>
      <c r="K20" s="716"/>
      <c r="L20" s="716"/>
      <c r="M20" s="716"/>
    </row>
    <row r="21" spans="1:13" ht="17.100000000000001" customHeight="1" x14ac:dyDescent="0.3">
      <c r="A21" s="162"/>
      <c r="B21" s="187" t="s">
        <v>233</v>
      </c>
      <c r="C21" s="94" t="s">
        <v>109</v>
      </c>
      <c r="D21" s="107" t="s">
        <v>25</v>
      </c>
      <c r="E21" s="108" t="s">
        <v>26</v>
      </c>
      <c r="F21" s="108" t="s">
        <v>27</v>
      </c>
      <c r="G21" s="108" t="s">
        <v>28</v>
      </c>
      <c r="H21" s="108" t="s">
        <v>29</v>
      </c>
      <c r="I21" s="108" t="s">
        <v>30</v>
      </c>
      <c r="J21" s="108" t="s">
        <v>31</v>
      </c>
      <c r="K21" s="108" t="s">
        <v>32</v>
      </c>
      <c r="L21" s="108" t="s">
        <v>33</v>
      </c>
      <c r="M21" s="109" t="s">
        <v>34</v>
      </c>
    </row>
    <row r="22" spans="1:13" ht="15" customHeight="1" x14ac:dyDescent="0.3">
      <c r="A22" s="191"/>
      <c r="B22" s="105" t="s">
        <v>112</v>
      </c>
      <c r="C22" s="95">
        <v>0</v>
      </c>
      <c r="D22" s="110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111">
        <v>0</v>
      </c>
    </row>
    <row r="23" spans="1:13" ht="17.25" customHeight="1" x14ac:dyDescent="0.3">
      <c r="A23" s="191"/>
      <c r="B23" s="105" t="s">
        <v>113</v>
      </c>
      <c r="C23" s="95">
        <f>SUM(D23:M23)</f>
        <v>0</v>
      </c>
      <c r="D23" s="110">
        <f>'TCO AS IS - SW'!E5+'TCO AS IS - SW'!E15</f>
        <v>0</v>
      </c>
      <c r="E23" s="92">
        <f>'TCO AS IS - SW'!E6+'TCO AS IS - SW'!E16</f>
        <v>0</v>
      </c>
      <c r="F23" s="92">
        <f>'TCO AS IS - SW'!E7+'TCO AS IS - SW'!E17</f>
        <v>0</v>
      </c>
      <c r="G23" s="92">
        <f>'TCO AS IS - SW'!E8+'TCO AS IS - SW'!E18</f>
        <v>0</v>
      </c>
      <c r="H23" s="92">
        <f>'TCO AS IS - SW'!E9+'TCO AS IS - SW'!E19</f>
        <v>0</v>
      </c>
      <c r="I23" s="92">
        <f>'TCO AS IS - SW'!E10+'TCO AS IS - SW'!E20</f>
        <v>0</v>
      </c>
      <c r="J23" s="92">
        <f>'TCO AS IS - SW'!E11+'TCO AS IS - SW'!E21</f>
        <v>0</v>
      </c>
      <c r="K23" s="92">
        <f>'TCO AS IS - SW'!E12+'TCO AS IS - SW'!E22</f>
        <v>0</v>
      </c>
      <c r="L23" s="92">
        <f>'TCO AS IS - SW'!E13+'TCO AS IS - SW'!E23</f>
        <v>0</v>
      </c>
      <c r="M23" s="111">
        <f>'TCO AS IS - SW'!E14+'TCO AS IS - SW'!E24</f>
        <v>0</v>
      </c>
    </row>
    <row r="24" spans="1:13" x14ac:dyDescent="0.3">
      <c r="A24" s="191"/>
      <c r="B24" s="105" t="s">
        <v>114</v>
      </c>
      <c r="C24" s="95">
        <v>0</v>
      </c>
      <c r="D24" s="110">
        <v>0</v>
      </c>
      <c r="E24" s="92">
        <v>0</v>
      </c>
      <c r="F24" s="92">
        <v>0</v>
      </c>
      <c r="G24" s="92">
        <v>0</v>
      </c>
      <c r="H24" s="92">
        <v>0</v>
      </c>
      <c r="I24" s="92">
        <v>0</v>
      </c>
      <c r="J24" s="92">
        <v>0</v>
      </c>
      <c r="K24" s="92">
        <v>0</v>
      </c>
      <c r="L24" s="92">
        <v>0</v>
      </c>
      <c r="M24" s="111">
        <v>0</v>
      </c>
    </row>
    <row r="25" spans="1:13" x14ac:dyDescent="0.3">
      <c r="A25" s="191"/>
      <c r="B25" s="105" t="s">
        <v>115</v>
      </c>
      <c r="C25" s="95">
        <f>SUM(D25:M25)</f>
        <v>19113600</v>
      </c>
      <c r="D25" s="110">
        <f>'TCO AS IS - SW'!E26+'TCO AS IS - SW'!E36+'TCO AS IS - SW'!E46+'TCO AS IS - SW'!E56+'TCO AS IS - SW'!E66</f>
        <v>1911360</v>
      </c>
      <c r="E25" s="92">
        <f>'TCO AS IS - SW'!E27+'TCO AS IS - SW'!E37+'TCO AS IS - SW'!E47+'TCO AS IS - SW'!E57+'TCO AS IS - SW'!E67</f>
        <v>1911360</v>
      </c>
      <c r="F25" s="92">
        <f>'TCO AS IS - SW'!E28+'TCO AS IS - SW'!E38+'TCO AS IS - SW'!E48+'TCO AS IS - SW'!E58+'TCO AS IS - SW'!E68</f>
        <v>1911360</v>
      </c>
      <c r="G25" s="92">
        <f>'TCO AS IS - SW'!E29+'TCO AS IS - SW'!E39+'TCO AS IS - SW'!E49+'TCO AS IS - SW'!E59+'TCO AS IS - SW'!E69</f>
        <v>1911360</v>
      </c>
      <c r="H25" s="92">
        <f>'TCO AS IS - SW'!E30+'TCO AS IS - SW'!E40+'TCO AS IS - SW'!E50+'TCO AS IS - SW'!E60+'TCO AS IS - SW'!E70</f>
        <v>1911360</v>
      </c>
      <c r="I25" s="92">
        <f>'TCO AS IS - SW'!E31+'TCO AS IS - SW'!E41+'TCO AS IS - SW'!E51+'TCO AS IS - SW'!E61+'TCO AS IS - SW'!E71</f>
        <v>1911360</v>
      </c>
      <c r="J25" s="92">
        <f>'TCO AS IS - SW'!E32+'TCO AS IS - SW'!E42+'TCO AS IS - SW'!E52+'TCO AS IS - SW'!E62+'TCO AS IS - SW'!E72</f>
        <v>1911360</v>
      </c>
      <c r="K25" s="92">
        <f>'TCO AS IS - SW'!E33+'TCO AS IS - SW'!E43+'TCO AS IS - SW'!E53+'TCO AS IS - SW'!E63+'TCO AS IS - SW'!E73</f>
        <v>1911360</v>
      </c>
      <c r="L25" s="92">
        <f>'TCO AS IS - SW'!E34+'TCO AS IS - SW'!E44+'TCO AS IS - SW'!E54+'TCO AS IS - SW'!E64+'TCO AS IS - SW'!E74</f>
        <v>1911360</v>
      </c>
      <c r="M25" s="111">
        <f>'TCO AS IS - SW'!E35+'TCO AS IS - SW'!E45+'TCO AS IS - SW'!E55+'TCO AS IS - SW'!E65+'TCO AS IS - SW'!E75</f>
        <v>1911360</v>
      </c>
    </row>
    <row r="26" spans="1:13" x14ac:dyDescent="0.3">
      <c r="A26" s="191"/>
      <c r="B26" s="105" t="s">
        <v>106</v>
      </c>
      <c r="C26" s="95">
        <v>0</v>
      </c>
      <c r="D26" s="110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111">
        <v>0</v>
      </c>
    </row>
    <row r="27" spans="1:13" ht="15" thickBot="1" x14ac:dyDescent="0.35">
      <c r="A27" s="191"/>
      <c r="B27" s="106" t="s">
        <v>107</v>
      </c>
      <c r="C27" s="96">
        <f>SUM(D27:M27)</f>
        <v>0</v>
      </c>
      <c r="D27" s="112">
        <f>'TCO AS IS - HW'!E4+'TCO AS IS - HW'!E14+'TCO AS IS - HW'!E24+'TCO AS IS - HW'!E34+'TCO AS IS - HW'!E44</f>
        <v>0</v>
      </c>
      <c r="E27" s="113">
        <f>'TCO AS IS - HW'!E5+'TCO AS IS - HW'!E15+'TCO AS IS - HW'!E25+'TCO AS IS - HW'!E35+'TCO AS IS - HW'!E45</f>
        <v>0</v>
      </c>
      <c r="F27" s="113">
        <f>'TCO AS IS - HW'!E6+'TCO AS IS - HW'!E16+'TCO AS IS - HW'!E26+'TCO AS IS - HW'!E36+'TCO AS IS - HW'!E46</f>
        <v>0</v>
      </c>
      <c r="G27" s="113">
        <f>'TCO AS IS - HW'!E7+'TCO AS IS - HW'!E17+'TCO AS IS - HW'!E27+'TCO AS IS - HW'!E37+'TCO AS IS - HW'!E47</f>
        <v>0</v>
      </c>
      <c r="H27" s="113">
        <f>'TCO AS IS - HW'!E8+'TCO AS IS - HW'!E18+'TCO AS IS - HW'!E28+'TCO AS IS - HW'!E38+'TCO AS IS - HW'!E48</f>
        <v>0</v>
      </c>
      <c r="I27" s="113">
        <f>'TCO AS IS - HW'!E9+'TCO AS IS - HW'!E19+'TCO AS IS - HW'!E29+'TCO AS IS - HW'!E39+'TCO AS IS - HW'!E49</f>
        <v>0</v>
      </c>
      <c r="J27" s="113">
        <f>'TCO AS IS - HW'!E10+'TCO AS IS - HW'!E20+'TCO AS IS - HW'!E30+'TCO AS IS - HW'!E40+'TCO AS IS - HW'!E50</f>
        <v>0</v>
      </c>
      <c r="K27" s="113">
        <f>'TCO AS IS - HW'!E11+'TCO AS IS - HW'!E21+'TCO AS IS - HW'!E31+'TCO AS IS - HW'!E41+'TCO AS IS - HW'!E51</f>
        <v>0</v>
      </c>
      <c r="L27" s="113">
        <f>'TCO AS IS - HW'!E12+'TCO AS IS - HW'!E22+'TCO AS IS - HW'!E32+'TCO AS IS - HW'!E42+'TCO AS IS - HW'!E52</f>
        <v>0</v>
      </c>
      <c r="M27" s="114">
        <f>'TCO AS IS - HW'!E13+'TCO AS IS - HW'!E23+'TCO AS IS - HW'!E33+'TCO AS IS - HW'!E43+'TCO AS IS - HW'!E53</f>
        <v>0</v>
      </c>
    </row>
    <row r="28" spans="1:13" ht="15" thickBot="1" x14ac:dyDescent="0.35">
      <c r="A28" s="192"/>
      <c r="B28" s="91" t="s">
        <v>108</v>
      </c>
      <c r="C28" s="97">
        <f t="shared" ref="C28:M28" si="2">SUM(C22:C27)</f>
        <v>19113600</v>
      </c>
      <c r="D28" s="93">
        <f t="shared" si="2"/>
        <v>1911360</v>
      </c>
      <c r="E28" s="85">
        <f t="shared" si="2"/>
        <v>1911360</v>
      </c>
      <c r="F28" s="85">
        <f t="shared" si="2"/>
        <v>1911360</v>
      </c>
      <c r="G28" s="85">
        <f t="shared" si="2"/>
        <v>1911360</v>
      </c>
      <c r="H28" s="85">
        <f t="shared" si="2"/>
        <v>1911360</v>
      </c>
      <c r="I28" s="85">
        <f t="shared" si="2"/>
        <v>1911360</v>
      </c>
      <c r="J28" s="85">
        <f t="shared" si="2"/>
        <v>1911360</v>
      </c>
      <c r="K28" s="85">
        <f t="shared" si="2"/>
        <v>1911360</v>
      </c>
      <c r="L28" s="99">
        <f t="shared" si="2"/>
        <v>1911360</v>
      </c>
      <c r="M28" s="98">
        <f t="shared" si="2"/>
        <v>1911360</v>
      </c>
    </row>
    <row r="29" spans="1:13" x14ac:dyDescent="0.3">
      <c r="A29" s="184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</row>
    <row r="32" spans="1:13" ht="15.75" customHeight="1" x14ac:dyDescent="0.3">
      <c r="A32" s="717" t="s">
        <v>219</v>
      </c>
      <c r="B32" s="717"/>
      <c r="C32" s="717"/>
    </row>
    <row r="34" spans="1:13" ht="15" thickBot="1" x14ac:dyDescent="0.35"/>
    <row r="35" spans="1:13" x14ac:dyDescent="0.3">
      <c r="A35" s="162"/>
      <c r="B35" s="187" t="s">
        <v>162</v>
      </c>
      <c r="C35" s="147" t="s">
        <v>109</v>
      </c>
      <c r="D35" s="148" t="s">
        <v>25</v>
      </c>
      <c r="E35" s="149" t="s">
        <v>26</v>
      </c>
      <c r="F35" s="149" t="s">
        <v>27</v>
      </c>
      <c r="G35" s="149" t="s">
        <v>28</v>
      </c>
      <c r="H35" s="149" t="s">
        <v>29</v>
      </c>
      <c r="I35" s="149" t="s">
        <v>30</v>
      </c>
      <c r="J35" s="149" t="s">
        <v>31</v>
      </c>
      <c r="K35" s="149" t="s">
        <v>32</v>
      </c>
      <c r="L35" s="149" t="s">
        <v>33</v>
      </c>
      <c r="M35" s="150" t="s">
        <v>34</v>
      </c>
    </row>
    <row r="36" spans="1:13" x14ac:dyDescent="0.3">
      <c r="A36" s="191"/>
      <c r="B36" s="151" t="s">
        <v>112</v>
      </c>
      <c r="C36" s="95">
        <f>SUM(D36:M36)</f>
        <v>0</v>
      </c>
      <c r="D36" s="110">
        <f t="shared" ref="D36:M36" si="3">D7-D22</f>
        <v>0</v>
      </c>
      <c r="E36" s="92">
        <f t="shared" si="3"/>
        <v>0</v>
      </c>
      <c r="F36" s="92">
        <f t="shared" si="3"/>
        <v>0</v>
      </c>
      <c r="G36" s="92">
        <f t="shared" si="3"/>
        <v>0</v>
      </c>
      <c r="H36" s="92">
        <f t="shared" si="3"/>
        <v>0</v>
      </c>
      <c r="I36" s="92">
        <f t="shared" si="3"/>
        <v>0</v>
      </c>
      <c r="J36" s="92">
        <f t="shared" si="3"/>
        <v>0</v>
      </c>
      <c r="K36" s="92">
        <f t="shared" si="3"/>
        <v>0</v>
      </c>
      <c r="L36" s="92">
        <f t="shared" si="3"/>
        <v>0</v>
      </c>
      <c r="M36" s="152">
        <f t="shared" si="3"/>
        <v>0</v>
      </c>
    </row>
    <row r="37" spans="1:13" x14ac:dyDescent="0.3">
      <c r="A37" s="191"/>
      <c r="B37" s="105" t="s">
        <v>113</v>
      </c>
      <c r="C37" s="95">
        <f t="shared" ref="C37:C43" si="4">SUM(D37:M37)</f>
        <v>0</v>
      </c>
      <c r="D37" s="110">
        <f t="shared" ref="D37:M37" si="5">D8-D23</f>
        <v>0</v>
      </c>
      <c r="E37" s="92">
        <f t="shared" si="5"/>
        <v>0</v>
      </c>
      <c r="F37" s="92">
        <f t="shared" si="5"/>
        <v>0</v>
      </c>
      <c r="G37" s="92">
        <f t="shared" si="5"/>
        <v>0</v>
      </c>
      <c r="H37" s="92">
        <f t="shared" si="5"/>
        <v>0</v>
      </c>
      <c r="I37" s="92">
        <f t="shared" si="5"/>
        <v>0</v>
      </c>
      <c r="J37" s="92">
        <f t="shared" si="5"/>
        <v>0</v>
      </c>
      <c r="K37" s="92">
        <f t="shared" si="5"/>
        <v>0</v>
      </c>
      <c r="L37" s="153">
        <f t="shared" si="5"/>
        <v>0</v>
      </c>
      <c r="M37" s="111">
        <f t="shared" si="5"/>
        <v>0</v>
      </c>
    </row>
    <row r="38" spans="1:13" x14ac:dyDescent="0.3">
      <c r="A38" s="191"/>
      <c r="B38" s="151" t="s">
        <v>114</v>
      </c>
      <c r="C38" s="95">
        <f t="shared" si="4"/>
        <v>7729980.8000000007</v>
      </c>
      <c r="D38" s="110">
        <f t="shared" ref="D38:M38" si="6">D9-D24</f>
        <v>1720594.7200000002</v>
      </c>
      <c r="E38" s="92">
        <f t="shared" si="6"/>
        <v>6009386.0800000001</v>
      </c>
      <c r="F38" s="92">
        <f t="shared" si="6"/>
        <v>0</v>
      </c>
      <c r="G38" s="92">
        <f t="shared" si="6"/>
        <v>0</v>
      </c>
      <c r="H38" s="92">
        <f t="shared" si="6"/>
        <v>0</v>
      </c>
      <c r="I38" s="92">
        <f t="shared" si="6"/>
        <v>0</v>
      </c>
      <c r="J38" s="92">
        <f t="shared" si="6"/>
        <v>0</v>
      </c>
      <c r="K38" s="92">
        <f t="shared" si="6"/>
        <v>0</v>
      </c>
      <c r="L38" s="153">
        <f t="shared" si="6"/>
        <v>0</v>
      </c>
      <c r="M38" s="111">
        <f t="shared" si="6"/>
        <v>0</v>
      </c>
    </row>
    <row r="39" spans="1:13" x14ac:dyDescent="0.3">
      <c r="A39" s="191"/>
      <c r="B39" s="105" t="s">
        <v>115</v>
      </c>
      <c r="C39" s="95">
        <f t="shared" si="4"/>
        <v>2777280</v>
      </c>
      <c r="D39" s="110">
        <f t="shared" ref="D39:M39" si="7">D10-D25</f>
        <v>0</v>
      </c>
      <c r="E39" s="92">
        <f t="shared" si="7"/>
        <v>0</v>
      </c>
      <c r="F39" s="92">
        <f t="shared" si="7"/>
        <v>347160</v>
      </c>
      <c r="G39" s="92">
        <f t="shared" si="7"/>
        <v>347160</v>
      </c>
      <c r="H39" s="92">
        <f t="shared" si="7"/>
        <v>347160</v>
      </c>
      <c r="I39" s="92">
        <f t="shared" si="7"/>
        <v>347160</v>
      </c>
      <c r="J39" s="92">
        <f t="shared" si="7"/>
        <v>347160</v>
      </c>
      <c r="K39" s="92">
        <f t="shared" si="7"/>
        <v>347160</v>
      </c>
      <c r="L39" s="153">
        <f t="shared" si="7"/>
        <v>347160</v>
      </c>
      <c r="M39" s="111">
        <f t="shared" si="7"/>
        <v>347160</v>
      </c>
    </row>
    <row r="40" spans="1:13" x14ac:dyDescent="0.3">
      <c r="A40" s="191"/>
      <c r="B40" s="105" t="s">
        <v>357</v>
      </c>
      <c r="C40" s="95">
        <f t="shared" si="4"/>
        <v>0</v>
      </c>
      <c r="D40" s="110">
        <f t="shared" ref="D40:M40" si="8">D11</f>
        <v>0</v>
      </c>
      <c r="E40" s="92">
        <f t="shared" si="8"/>
        <v>0</v>
      </c>
      <c r="F40" s="92">
        <f t="shared" si="8"/>
        <v>0</v>
      </c>
      <c r="G40" s="92">
        <f t="shared" si="8"/>
        <v>0</v>
      </c>
      <c r="H40" s="92">
        <f t="shared" si="8"/>
        <v>0</v>
      </c>
      <c r="I40" s="92">
        <f t="shared" si="8"/>
        <v>0</v>
      </c>
      <c r="J40" s="92">
        <f t="shared" si="8"/>
        <v>0</v>
      </c>
      <c r="K40" s="92">
        <f t="shared" si="8"/>
        <v>0</v>
      </c>
      <c r="L40" s="153">
        <f t="shared" si="8"/>
        <v>0</v>
      </c>
      <c r="M40" s="111">
        <f t="shared" si="8"/>
        <v>0</v>
      </c>
    </row>
    <row r="41" spans="1:13" x14ac:dyDescent="0.3">
      <c r="A41" s="191"/>
      <c r="B41" s="105" t="s">
        <v>164</v>
      </c>
      <c r="C41" s="95">
        <f t="shared" si="4"/>
        <v>0</v>
      </c>
      <c r="D41" s="110">
        <f t="shared" ref="D41:M41" si="9">D12-D26</f>
        <v>0</v>
      </c>
      <c r="E41" s="92">
        <f t="shared" si="9"/>
        <v>0</v>
      </c>
      <c r="F41" s="92">
        <f t="shared" si="9"/>
        <v>0</v>
      </c>
      <c r="G41" s="92">
        <f t="shared" si="9"/>
        <v>0</v>
      </c>
      <c r="H41" s="92">
        <f t="shared" si="9"/>
        <v>0</v>
      </c>
      <c r="I41" s="92">
        <f t="shared" si="9"/>
        <v>0</v>
      </c>
      <c r="J41" s="92">
        <f t="shared" si="9"/>
        <v>0</v>
      </c>
      <c r="K41" s="92">
        <f t="shared" si="9"/>
        <v>0</v>
      </c>
      <c r="L41" s="153">
        <f t="shared" si="9"/>
        <v>0</v>
      </c>
      <c r="M41" s="111">
        <f t="shared" si="9"/>
        <v>0</v>
      </c>
    </row>
    <row r="42" spans="1:13" x14ac:dyDescent="0.3">
      <c r="A42" s="191"/>
      <c r="B42" s="106" t="s">
        <v>165</v>
      </c>
      <c r="C42" s="96">
        <f t="shared" si="4"/>
        <v>0</v>
      </c>
      <c r="D42" s="110">
        <f t="shared" ref="D42:M42" si="10">D13-D27</f>
        <v>0</v>
      </c>
      <c r="E42" s="92">
        <f t="shared" si="10"/>
        <v>0</v>
      </c>
      <c r="F42" s="92">
        <f t="shared" si="10"/>
        <v>0</v>
      </c>
      <c r="G42" s="92">
        <f t="shared" si="10"/>
        <v>0</v>
      </c>
      <c r="H42" s="92">
        <f t="shared" si="10"/>
        <v>0</v>
      </c>
      <c r="I42" s="92">
        <f t="shared" si="10"/>
        <v>0</v>
      </c>
      <c r="J42" s="92">
        <f t="shared" si="10"/>
        <v>0</v>
      </c>
      <c r="K42" s="92">
        <f t="shared" si="10"/>
        <v>0</v>
      </c>
      <c r="L42" s="153">
        <f t="shared" si="10"/>
        <v>0</v>
      </c>
      <c r="M42" s="111">
        <f t="shared" si="10"/>
        <v>0</v>
      </c>
    </row>
    <row r="43" spans="1:13" ht="15" thickBot="1" x14ac:dyDescent="0.35">
      <c r="A43" s="191"/>
      <c r="B43" s="105" t="s">
        <v>325</v>
      </c>
      <c r="C43" s="95">
        <f t="shared" si="4"/>
        <v>494150.98999999993</v>
      </c>
      <c r="D43" s="110">
        <f t="shared" ref="D43:M43" si="11">D14</f>
        <v>321198.14349999995</v>
      </c>
      <c r="E43" s="92">
        <f t="shared" si="11"/>
        <v>172952.84649999999</v>
      </c>
      <c r="F43" s="92">
        <f t="shared" si="11"/>
        <v>0</v>
      </c>
      <c r="G43" s="92">
        <f t="shared" si="11"/>
        <v>0</v>
      </c>
      <c r="H43" s="92">
        <f t="shared" si="11"/>
        <v>0</v>
      </c>
      <c r="I43" s="92">
        <f t="shared" si="11"/>
        <v>0</v>
      </c>
      <c r="J43" s="92">
        <f t="shared" si="11"/>
        <v>0</v>
      </c>
      <c r="K43" s="92">
        <f t="shared" si="11"/>
        <v>0</v>
      </c>
      <c r="L43" s="153">
        <f t="shared" si="11"/>
        <v>0</v>
      </c>
      <c r="M43" s="111">
        <f t="shared" si="11"/>
        <v>0</v>
      </c>
    </row>
    <row r="44" spans="1:13" ht="15" thickBot="1" x14ac:dyDescent="0.35">
      <c r="A44" s="192"/>
      <c r="B44" s="91" t="s">
        <v>108</v>
      </c>
      <c r="C44" s="97">
        <f>SUM(D44:M44)</f>
        <v>10828458.943500001</v>
      </c>
      <c r="D44" s="93">
        <f>SUM(D36:D43)</f>
        <v>2041792.8635000002</v>
      </c>
      <c r="E44" s="85">
        <f t="shared" ref="E44:M44" si="12">SUM(E36:E42)</f>
        <v>6009386.0800000001</v>
      </c>
      <c r="F44" s="85">
        <f t="shared" si="12"/>
        <v>347160</v>
      </c>
      <c r="G44" s="85">
        <f t="shared" si="12"/>
        <v>347160</v>
      </c>
      <c r="H44" s="85">
        <f t="shared" si="12"/>
        <v>347160</v>
      </c>
      <c r="I44" s="85">
        <f t="shared" si="12"/>
        <v>347160</v>
      </c>
      <c r="J44" s="85">
        <f t="shared" si="12"/>
        <v>347160</v>
      </c>
      <c r="K44" s="85">
        <f t="shared" si="12"/>
        <v>347160</v>
      </c>
      <c r="L44" s="99">
        <f t="shared" si="12"/>
        <v>347160</v>
      </c>
      <c r="M44" s="98">
        <f t="shared" si="12"/>
        <v>347160</v>
      </c>
    </row>
  </sheetData>
  <mergeCells count="4">
    <mergeCell ref="D5:M5"/>
    <mergeCell ref="A18:C18"/>
    <mergeCell ref="D20:M20"/>
    <mergeCell ref="A32:C32"/>
  </mergeCells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Úvod</vt:lpstr>
      <vt:lpstr>Zoznam hárkov</vt:lpstr>
      <vt:lpstr>Sumarizácia</vt:lpstr>
      <vt:lpstr>CBA - Agendové IS</vt:lpstr>
      <vt:lpstr>Analyza citlivosti - AgendovéIS</vt:lpstr>
      <vt:lpstr>Prínosy - Agendové IS</vt:lpstr>
      <vt:lpstr>Výdavky - Agendové IS</vt:lpstr>
      <vt:lpstr>Parametre - Agendové IS</vt:lpstr>
      <vt:lpstr>TCO</vt:lpstr>
      <vt:lpstr>TCO AS IS - SW</vt:lpstr>
      <vt:lpstr>TCO AS IS - HW</vt:lpstr>
      <vt:lpstr>TCO TO BE- SW</vt:lpstr>
      <vt:lpstr>TCO TO BE - HW</vt:lpstr>
      <vt:lpstr>Indikatívny rozpočet_Prirucka</vt:lpstr>
      <vt:lpstr>Rozpočet - vývoj Aplikácií</vt:lpstr>
      <vt:lpstr>Harmonogram dodavky</vt:lpstr>
      <vt:lpstr>Rozpočet - HW a licencie</vt:lpstr>
      <vt:lpstr>Slepý rozpočet</vt:lpstr>
      <vt:lpstr>Faktory</vt:lpstr>
      <vt:lpstr>Procesné mapy</vt:lpstr>
      <vt:lpstr>Procesy - AS IS</vt:lpstr>
      <vt:lpstr>Procesy - TO BE</vt:lpstr>
      <vt:lpstr>Rozdelenie prínosov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Krok Martin</dc:creator>
  <cp:lastModifiedBy>USER1</cp:lastModifiedBy>
  <cp:lastPrinted>2018-08-24T09:21:09Z</cp:lastPrinted>
  <dcterms:created xsi:type="dcterms:W3CDTF">2015-01-29T13:50:20Z</dcterms:created>
  <dcterms:modified xsi:type="dcterms:W3CDTF">2023-04-20T11:16:12Z</dcterms:modified>
</cp:coreProperties>
</file>