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ivotTables/pivotTable1.xml" ContentType="application/vnd.openxmlformats-officedocument.spreadsheetml.pivot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codeName="Tento_zošit"/>
  <mc:AlternateContent xmlns:mc="http://schemas.openxmlformats.org/markup-compatibility/2006">
    <mc:Choice Requires="x15">
      <x15ac:absPath xmlns:x15ac="http://schemas.microsoft.com/office/spreadsheetml/2010/11/ac" url="https://d.docs.live.net/eb9448974367b7b2/DOHODY/DOHODA MV SR/Projektové návrhy LVÚ 2024/MASTER VERZIE ALL/Výstup PPA_LVU_31102024/VSTUPY_pre_617_v3/"/>
    </mc:Choice>
  </mc:AlternateContent>
  <xr:revisionPtr revIDLastSave="650" documentId="13_ncr:1_{19BC44B1-1B76-4772-9E26-1A388407D409}" xr6:coauthVersionLast="47" xr6:coauthVersionMax="47" xr10:uidLastSave="{4859F437-D9AB-B944-A0F4-78EE947E87F6}"/>
  <bookViews>
    <workbookView xWindow="55340" yWindow="5460" windowWidth="41080" windowHeight="20980" activeTab="3" xr2:uid="{11F2ABD8-D9D0-43B2-934C-4EF11A5C72FB}"/>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rínosy - Agendové IS" sheetId="4" r:id="rId7"/>
    <sheet name="Parametre - Agendové IS" sheetId="3" r:id="rId8"/>
    <sheet name="PPA statistiky 2023" sheetId="49" r:id="rId9"/>
    <sheet name="MODULY_CBA" sheetId="32" r:id="rId10"/>
    <sheet name="Parametre_ECF_TCF" sheetId="43" state="hidden" r:id="rId11"/>
    <sheet name="INKREMENTY" sheetId="36" r:id="rId12"/>
    <sheet name="PIVOT_Poziadavky" sheetId="48" r:id="rId13"/>
    <sheet name="PODAktivity_Parametrizacia" sheetId="47" r:id="rId14"/>
    <sheet name="PODAktivity_Alokacie" sheetId="45" r:id="rId15"/>
    <sheet name="KATALOG_POZIADAVKY" sheetId="30" r:id="rId16"/>
    <sheet name="TCF_v02" sheetId="33" r:id="rId17"/>
    <sheet name="ECF_v02" sheetId="34" r:id="rId18"/>
    <sheet name="UAW_v02" sheetId="35" r:id="rId19"/>
    <sheet name="AKTIVITY_POZICIE" sheetId="29" r:id="rId20"/>
    <sheet name="POZICIE_INTERNE" sheetId="37" r:id="rId21"/>
    <sheet name="Rozpocet - Vyvoj aplikacii" sheetId="26" r:id="rId22"/>
    <sheet name="ISCO_Prevodnik" sheetId="44" state="hidden" r:id="rId23"/>
    <sheet name="Rozpočet - HW a licencie" sheetId="27" r:id="rId24"/>
    <sheet name="Harmonogram" sheetId="28" r:id="rId25"/>
    <sheet name="ZIADOST" sheetId="50" r:id="rId26"/>
    <sheet name="TCO" sheetId="11" r:id="rId27"/>
    <sheet name="TCO AS IS - SW" sheetId="17" r:id="rId28"/>
    <sheet name="TCO AS IS - HW" sheetId="18" r:id="rId29"/>
    <sheet name="TCO TO BE- SW" sheetId="9" r:id="rId30"/>
    <sheet name="TCO TO BE - HW" sheetId="10" r:id="rId31"/>
    <sheet name="Faktory" sheetId="1" r:id="rId32"/>
    <sheet name="Ciselnik" sheetId="38" r:id="rId33"/>
    <sheet name="Procesné mapy" sheetId="22" r:id="rId34"/>
    <sheet name="Procesy - AS IS" sheetId="23" r:id="rId35"/>
    <sheet name="Procesy - TO BE" sheetId="24" r:id="rId36"/>
    <sheet name="Analyza citlivosti - AgendovéIS" sheetId="7" r:id="rId37"/>
    <sheet name="Rozdelenie prínosov" sheetId="14" state="hidden" r:id="rId38"/>
  </sheets>
  <externalReferences>
    <externalReference r:id="rId39"/>
    <externalReference r:id="rId40"/>
    <externalReference r:id="rId41"/>
    <externalReference r:id="rId42"/>
  </externalReferences>
  <definedNames>
    <definedName name="_xlnm._FilterDatabase" localSheetId="15" hidden="1">KATALOG_POZIADAVKY!$A$2:$AF$149</definedName>
    <definedName name="_xlnm._FilterDatabase" localSheetId="21" hidden="1">'Rozpocet - Vyvoj aplikacii'!$B$2:$L$65</definedName>
    <definedName name="_xlnm._FilterDatabase" localSheetId="23" hidden="1">'Rozpočet - HW a licencie'!$A$2:$K$44</definedName>
    <definedName name="_ftn1" localSheetId="30">'TCO TO BE - HW'!$AB$81</definedName>
    <definedName name="_ftnref1" localSheetId="30">'TCO TO BE - HW'!$AB$76</definedName>
    <definedName name="Aktivity">Ciselnik!$C$2:$C$11</definedName>
    <definedName name="Bezpecnost">ISCO_Prevodnik!$J$2:$J$3</definedName>
    <definedName name="Databazy">ISCO_Prevodnik!$H$2:$H$3</definedName>
    <definedName name="Faza" localSheetId="20">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20">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8"/>
  <pivotCaches>
    <pivotCache cacheId="1" r:id="rId4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37" l="1"/>
  <c r="H1" i="47"/>
  <c r="E9" i="50"/>
  <c r="D9" i="50"/>
  <c r="D8" i="50"/>
  <c r="E8" i="50"/>
  <c r="B9" i="50"/>
  <c r="B8" i="50"/>
  <c r="U19" i="39"/>
  <c r="V19" i="39"/>
  <c r="L47" i="30" l="1"/>
  <c r="R47" i="30"/>
  <c r="I34" i="29"/>
  <c r="G34" i="29"/>
  <c r="I33" i="29"/>
  <c r="G33" i="29"/>
  <c r="I32" i="29"/>
  <c r="G32" i="29"/>
  <c r="I31" i="29"/>
  <c r="G31" i="29"/>
  <c r="I30" i="29"/>
  <c r="G30" i="29"/>
  <c r="I29" i="29"/>
  <c r="G29" i="29"/>
  <c r="I28" i="29"/>
  <c r="G28" i="29"/>
  <c r="I27" i="29"/>
  <c r="G27" i="29"/>
  <c r="I26" i="29"/>
  <c r="G26" i="29"/>
  <c r="I25" i="29"/>
  <c r="G25" i="29"/>
  <c r="I24" i="29"/>
  <c r="G24" i="29"/>
  <c r="I23" i="29"/>
  <c r="G23" i="29"/>
  <c r="I22" i="29"/>
  <c r="G22" i="29"/>
  <c r="I21" i="29"/>
  <c r="G21" i="29"/>
  <c r="I20" i="29"/>
  <c r="G20" i="29"/>
  <c r="I19" i="29"/>
  <c r="G19" i="29"/>
  <c r="I18" i="29"/>
  <c r="G18" i="29"/>
  <c r="I17" i="29"/>
  <c r="G17" i="29"/>
  <c r="I16" i="29"/>
  <c r="G16" i="29"/>
  <c r="I15" i="29"/>
  <c r="G15" i="29"/>
  <c r="I14" i="29"/>
  <c r="G14" i="29"/>
  <c r="I13" i="29"/>
  <c r="G13" i="29"/>
  <c r="I12" i="29"/>
  <c r="G12" i="29"/>
  <c r="I11" i="29"/>
  <c r="G11" i="29"/>
  <c r="I10" i="29"/>
  <c r="G10" i="29"/>
  <c r="I9" i="29"/>
  <c r="G9" i="29"/>
  <c r="I8" i="29"/>
  <c r="G8" i="29"/>
  <c r="I7" i="29"/>
  <c r="G7" i="29"/>
  <c r="I6" i="29"/>
  <c r="G6" i="29"/>
  <c r="I5" i="29"/>
  <c r="G5" i="29"/>
  <c r="I4" i="29"/>
  <c r="G4" i="29"/>
  <c r="I35" i="29" l="1"/>
  <c r="G35" i="29"/>
  <c r="G15" i="49"/>
  <c r="G14" i="49"/>
  <c r="G13" i="49"/>
  <c r="D135" i="3"/>
  <c r="D134" i="3"/>
  <c r="D133" i="3"/>
  <c r="D132" i="3"/>
  <c r="D131" i="3"/>
  <c r="D130" i="3"/>
  <c r="D129" i="3"/>
  <c r="D128" i="3"/>
  <c r="D127" i="3"/>
  <c r="D126" i="3"/>
  <c r="D105" i="3"/>
  <c r="D104" i="3"/>
  <c r="D103" i="3"/>
  <c r="D102" i="3"/>
  <c r="D101" i="3"/>
  <c r="D100" i="3"/>
  <c r="D99" i="3"/>
  <c r="D98" i="3"/>
  <c r="D97" i="3"/>
  <c r="D96" i="3"/>
  <c r="F64" i="3"/>
  <c r="E64" i="3"/>
  <c r="D64" i="3"/>
  <c r="F63" i="3"/>
  <c r="E63" i="3"/>
  <c r="D63" i="3"/>
  <c r="F62" i="3"/>
  <c r="E62" i="3"/>
  <c r="D62" i="3"/>
  <c r="F61" i="3"/>
  <c r="E61" i="3"/>
  <c r="D61" i="3"/>
  <c r="F60" i="3"/>
  <c r="E60" i="3"/>
  <c r="D60" i="3"/>
  <c r="F59" i="3"/>
  <c r="E59" i="3"/>
  <c r="D59" i="3"/>
  <c r="F58" i="3"/>
  <c r="E58" i="3"/>
  <c r="D58" i="3"/>
  <c r="F57" i="3"/>
  <c r="E57" i="3"/>
  <c r="D57" i="3"/>
  <c r="F56" i="3"/>
  <c r="E56" i="3"/>
  <c r="D56" i="3"/>
  <c r="F55" i="3"/>
  <c r="E55" i="3"/>
  <c r="D55" i="3"/>
  <c r="E54" i="3"/>
  <c r="D54" i="3"/>
  <c r="E53" i="3"/>
  <c r="D53" i="3"/>
  <c r="E52" i="3"/>
  <c r="D52" i="3"/>
  <c r="E51" i="3"/>
  <c r="D51" i="3"/>
  <c r="E50" i="3"/>
  <c r="D50" i="3"/>
  <c r="E49" i="3"/>
  <c r="D49" i="3"/>
  <c r="E48" i="3"/>
  <c r="D48" i="3"/>
  <c r="E47" i="3"/>
  <c r="D47" i="3"/>
  <c r="E46" i="3"/>
  <c r="D46" i="3"/>
  <c r="E45" i="3"/>
  <c r="D45" i="3"/>
  <c r="H5" i="3"/>
  <c r="H6" i="3" s="1"/>
  <c r="G5" i="3"/>
  <c r="K40" i="30"/>
  <c r="L40" i="30"/>
  <c r="R40" i="30"/>
  <c r="R87" i="30"/>
  <c r="L87" i="30"/>
  <c r="R86" i="30"/>
  <c r="L86" i="30"/>
  <c r="D5" i="35"/>
  <c r="D9" i="49"/>
  <c r="D8" i="49"/>
  <c r="E13" i="49"/>
  <c r="E22" i="49"/>
  <c r="E21" i="49"/>
  <c r="E20" i="49"/>
  <c r="E19" i="49"/>
  <c r="E18" i="49"/>
  <c r="E17" i="49"/>
  <c r="E16" i="49"/>
  <c r="E15" i="49"/>
  <c r="E14" i="49"/>
  <c r="D22" i="49"/>
  <c r="D21" i="49"/>
  <c r="D20" i="49"/>
  <c r="D19" i="49"/>
  <c r="D18" i="49"/>
  <c r="D17" i="49"/>
  <c r="D16" i="49"/>
  <c r="D15" i="49"/>
  <c r="D14" i="49"/>
  <c r="D13" i="49"/>
  <c r="F13" i="49" s="1"/>
  <c r="F14" i="49" l="1"/>
  <c r="D5" i="3"/>
  <c r="H7" i="3"/>
  <c r="E5" i="3"/>
  <c r="P90" i="3"/>
  <c r="F17" i="49"/>
  <c r="G17" i="49" s="1"/>
  <c r="H13" i="49"/>
  <c r="F15" i="49"/>
  <c r="F16" i="49"/>
  <c r="G16" i="49" s="1"/>
  <c r="F18" i="49"/>
  <c r="G18" i="49" s="1"/>
  <c r="H14" i="49"/>
  <c r="H36" i="3" s="1"/>
  <c r="F19" i="49"/>
  <c r="G19" i="49" s="1"/>
  <c r="F20" i="49"/>
  <c r="G20" i="49" s="1"/>
  <c r="F21" i="49"/>
  <c r="G21" i="49" s="1"/>
  <c r="F22" i="49"/>
  <c r="G22" i="49" s="1"/>
  <c r="H22" i="49" l="1"/>
  <c r="H44" i="3" s="1"/>
  <c r="H35" i="3"/>
  <c r="G35" i="3"/>
  <c r="G36" i="3" s="1"/>
  <c r="G37" i="3" s="1"/>
  <c r="G38" i="3" s="1"/>
  <c r="G39" i="3" s="1"/>
  <c r="G40" i="3" s="1"/>
  <c r="G41" i="3" s="1"/>
  <c r="G42" i="3" s="1"/>
  <c r="G43" i="3" s="1"/>
  <c r="G44" i="3" s="1"/>
  <c r="H16" i="49"/>
  <c r="H38" i="3" s="1"/>
  <c r="H8" i="3"/>
  <c r="G6" i="3"/>
  <c r="H18" i="49"/>
  <c r="H40" i="3" s="1"/>
  <c r="H19" i="49" l="1"/>
  <c r="H41" i="3" s="1"/>
  <c r="H21" i="49"/>
  <c r="H43" i="3" s="1"/>
  <c r="H17" i="49"/>
  <c r="H39" i="3" s="1"/>
  <c r="G7" i="3"/>
  <c r="D6" i="3"/>
  <c r="H15" i="49"/>
  <c r="H37" i="3" s="1"/>
  <c r="H20" i="49"/>
  <c r="H42" i="3" s="1"/>
  <c r="H9" i="3"/>
  <c r="L119" i="30"/>
  <c r="R119" i="30"/>
  <c r="K119" i="30"/>
  <c r="R25" i="30"/>
  <c r="L25" i="30"/>
  <c r="R24" i="30"/>
  <c r="L24" i="30"/>
  <c r="R23" i="30"/>
  <c r="L23" i="30"/>
  <c r="R22" i="30"/>
  <c r="L22" i="30"/>
  <c r="R133" i="30"/>
  <c r="L133" i="30"/>
  <c r="R26" i="30"/>
  <c r="L26" i="30"/>
  <c r="R21" i="30"/>
  <c r="L21" i="30"/>
  <c r="R143" i="30"/>
  <c r="L143" i="30"/>
  <c r="R11" i="30"/>
  <c r="L11" i="30"/>
  <c r="R20" i="30"/>
  <c r="L20" i="30"/>
  <c r="R19" i="30"/>
  <c r="L19" i="30"/>
  <c r="R18" i="30"/>
  <c r="L18" i="30"/>
  <c r="R17" i="30"/>
  <c r="L17" i="30"/>
  <c r="R16" i="30"/>
  <c r="L16" i="30"/>
  <c r="R15" i="30"/>
  <c r="L15" i="30"/>
  <c r="R14" i="30"/>
  <c r="L14" i="30"/>
  <c r="R13" i="30"/>
  <c r="L13" i="30"/>
  <c r="R118" i="30"/>
  <c r="L118" i="30"/>
  <c r="R148" i="30"/>
  <c r="L148" i="30"/>
  <c r="R147" i="30"/>
  <c r="L147" i="30"/>
  <c r="R146" i="30"/>
  <c r="L146" i="30"/>
  <c r="R145" i="30"/>
  <c r="L145" i="30"/>
  <c r="R142" i="30"/>
  <c r="L142" i="30"/>
  <c r="R141" i="30"/>
  <c r="L141" i="30"/>
  <c r="R140" i="30"/>
  <c r="L140" i="30"/>
  <c r="R139" i="30"/>
  <c r="L139" i="30"/>
  <c r="R138" i="30"/>
  <c r="L138" i="30"/>
  <c r="R137" i="30"/>
  <c r="L137" i="30"/>
  <c r="R136" i="30"/>
  <c r="L136" i="30"/>
  <c r="R135" i="30"/>
  <c r="L135" i="30"/>
  <c r="R134" i="30"/>
  <c r="L134" i="30"/>
  <c r="R149" i="30"/>
  <c r="L149" i="30"/>
  <c r="R144" i="30"/>
  <c r="L144" i="30"/>
  <c r="R132" i="30"/>
  <c r="L132" i="30"/>
  <c r="R131" i="30"/>
  <c r="L131" i="30"/>
  <c r="R130" i="30"/>
  <c r="L130" i="30"/>
  <c r="R129" i="30"/>
  <c r="L129" i="30"/>
  <c r="R128" i="30"/>
  <c r="L128" i="30"/>
  <c r="R127" i="30"/>
  <c r="L127" i="30"/>
  <c r="R126" i="30"/>
  <c r="L126" i="30"/>
  <c r="R125" i="30"/>
  <c r="L125" i="30"/>
  <c r="R124" i="30"/>
  <c r="L124" i="30"/>
  <c r="R123" i="30"/>
  <c r="L123" i="30"/>
  <c r="R122" i="30"/>
  <c r="L122" i="30"/>
  <c r="R121" i="30"/>
  <c r="L121" i="30"/>
  <c r="R120" i="30"/>
  <c r="L120" i="30"/>
  <c r="R117" i="30"/>
  <c r="L117" i="30"/>
  <c r="R116" i="30"/>
  <c r="L116" i="30"/>
  <c r="R115" i="30"/>
  <c r="L115" i="30"/>
  <c r="R114" i="30"/>
  <c r="L114" i="30"/>
  <c r="R113" i="30"/>
  <c r="L113" i="30"/>
  <c r="R112" i="30"/>
  <c r="L112" i="30"/>
  <c r="R111" i="30"/>
  <c r="L111" i="30"/>
  <c r="R110" i="30"/>
  <c r="L110" i="30"/>
  <c r="R109" i="30"/>
  <c r="L109" i="30"/>
  <c r="R108" i="30"/>
  <c r="L108" i="30"/>
  <c r="R107" i="30"/>
  <c r="L107" i="30"/>
  <c r="R106" i="30"/>
  <c r="L106" i="30"/>
  <c r="R105" i="30"/>
  <c r="L105" i="30"/>
  <c r="R104" i="30"/>
  <c r="L104" i="30"/>
  <c r="R103" i="30"/>
  <c r="L103" i="30"/>
  <c r="R102" i="30"/>
  <c r="L102" i="30"/>
  <c r="R101" i="30"/>
  <c r="L101" i="30"/>
  <c r="R100" i="30"/>
  <c r="L100" i="30"/>
  <c r="R99" i="30"/>
  <c r="L99" i="30"/>
  <c r="R98" i="30"/>
  <c r="L98" i="30"/>
  <c r="R97" i="30"/>
  <c r="L97" i="30"/>
  <c r="R96" i="30"/>
  <c r="L96" i="30"/>
  <c r="R95" i="30"/>
  <c r="L95" i="30"/>
  <c r="R94" i="30"/>
  <c r="L94" i="30"/>
  <c r="R93" i="30"/>
  <c r="L93" i="30"/>
  <c r="R92" i="30"/>
  <c r="L92" i="30"/>
  <c r="R91" i="30"/>
  <c r="L91" i="30"/>
  <c r="R90" i="30"/>
  <c r="L90" i="30"/>
  <c r="R89" i="30"/>
  <c r="L89" i="30"/>
  <c r="R88" i="30"/>
  <c r="L88" i="30"/>
  <c r="R85" i="30"/>
  <c r="L85" i="30"/>
  <c r="R84" i="30"/>
  <c r="L84" i="30"/>
  <c r="R83" i="30"/>
  <c r="L83" i="30"/>
  <c r="R82" i="30"/>
  <c r="L82" i="30"/>
  <c r="R81" i="30"/>
  <c r="L81" i="30"/>
  <c r="R80" i="30"/>
  <c r="L80" i="30"/>
  <c r="R79" i="30"/>
  <c r="L79" i="30"/>
  <c r="R78" i="30"/>
  <c r="L78" i="30"/>
  <c r="R77" i="30"/>
  <c r="L77" i="30"/>
  <c r="R76" i="30"/>
  <c r="L76" i="30"/>
  <c r="R75" i="30"/>
  <c r="L75" i="30"/>
  <c r="R74" i="30"/>
  <c r="L74" i="30"/>
  <c r="R73" i="30"/>
  <c r="L73" i="30"/>
  <c r="R71" i="30"/>
  <c r="L71" i="30"/>
  <c r="R70" i="30"/>
  <c r="L70" i="30"/>
  <c r="R69" i="30"/>
  <c r="L69" i="30"/>
  <c r="R68" i="30"/>
  <c r="L68" i="30"/>
  <c r="R67" i="30"/>
  <c r="L67" i="30"/>
  <c r="R66" i="30"/>
  <c r="L66" i="30"/>
  <c r="R65" i="30"/>
  <c r="L65" i="30"/>
  <c r="R64" i="30"/>
  <c r="L64" i="30"/>
  <c r="R63" i="30"/>
  <c r="L63" i="30"/>
  <c r="R62" i="30"/>
  <c r="L62" i="30"/>
  <c r="R61" i="30"/>
  <c r="L61" i="30"/>
  <c r="R60" i="30"/>
  <c r="L60" i="30"/>
  <c r="R59" i="30"/>
  <c r="L59" i="30"/>
  <c r="R58" i="30"/>
  <c r="L58" i="30"/>
  <c r="R57" i="30"/>
  <c r="L57" i="30"/>
  <c r="R56" i="30"/>
  <c r="L56" i="30"/>
  <c r="R55" i="30"/>
  <c r="L55" i="30"/>
  <c r="R54" i="30"/>
  <c r="L54" i="30"/>
  <c r="R53" i="30"/>
  <c r="L53" i="30"/>
  <c r="R52" i="30"/>
  <c r="L52" i="30"/>
  <c r="R51" i="30"/>
  <c r="L51" i="30"/>
  <c r="R50" i="30"/>
  <c r="L50" i="30"/>
  <c r="R49" i="30"/>
  <c r="L49" i="30"/>
  <c r="R48" i="30"/>
  <c r="L48" i="30"/>
  <c r="R46" i="30"/>
  <c r="L46" i="30"/>
  <c r="R45" i="30"/>
  <c r="L45" i="30"/>
  <c r="R43" i="30"/>
  <c r="L43" i="30"/>
  <c r="R42" i="30"/>
  <c r="L42" i="30"/>
  <c r="R41" i="30"/>
  <c r="L41" i="30"/>
  <c r="R39" i="30"/>
  <c r="L39" i="30"/>
  <c r="R37" i="30"/>
  <c r="L37" i="30"/>
  <c r="R36" i="30"/>
  <c r="L36" i="30"/>
  <c r="R35" i="30"/>
  <c r="L35" i="30"/>
  <c r="R34" i="30"/>
  <c r="L34" i="30"/>
  <c r="R33" i="30"/>
  <c r="L33" i="30"/>
  <c r="R32" i="30"/>
  <c r="L32" i="30"/>
  <c r="R31" i="30"/>
  <c r="L31" i="30"/>
  <c r="R30" i="30"/>
  <c r="L30" i="30"/>
  <c r="R29" i="30"/>
  <c r="L29" i="30"/>
  <c r="R28" i="30"/>
  <c r="L28" i="30"/>
  <c r="R27" i="30"/>
  <c r="L27" i="30"/>
  <c r="R12" i="30"/>
  <c r="L12" i="30"/>
  <c r="R10" i="30"/>
  <c r="L10" i="30"/>
  <c r="R9" i="30"/>
  <c r="L9" i="30"/>
  <c r="R7" i="30"/>
  <c r="L7" i="30"/>
  <c r="R6" i="30"/>
  <c r="L6" i="30"/>
  <c r="R5" i="30"/>
  <c r="L5" i="30"/>
  <c r="R4" i="30"/>
  <c r="L4" i="30"/>
  <c r="A13" i="35"/>
  <c r="A8" i="35"/>
  <c r="A9" i="35"/>
  <c r="A10" i="35"/>
  <c r="A11" i="35"/>
  <c r="A12" i="35"/>
  <c r="A14" i="35"/>
  <c r="A15" i="35"/>
  <c r="A16" i="35"/>
  <c r="M8" i="30"/>
  <c r="R8" i="30"/>
  <c r="O8" i="30"/>
  <c r="N8" i="30"/>
  <c r="L8" i="30"/>
  <c r="R44" i="30"/>
  <c r="L44" i="30"/>
  <c r="R38" i="30"/>
  <c r="L38" i="30"/>
  <c r="K43" i="30"/>
  <c r="K53" i="30"/>
  <c r="K31" i="30"/>
  <c r="K27" i="30"/>
  <c r="K28" i="30"/>
  <c r="K30" i="30"/>
  <c r="K35" i="30"/>
  <c r="K34" i="30"/>
  <c r="K33" i="30"/>
  <c r="K32" i="30"/>
  <c r="F8" i="47"/>
  <c r="F9" i="47"/>
  <c r="F10" i="47"/>
  <c r="K84" i="30"/>
  <c r="K77" i="30"/>
  <c r="K65" i="30"/>
  <c r="E6" i="3" l="1"/>
  <c r="E7" i="3"/>
  <c r="H10" i="3"/>
  <c r="G8" i="3"/>
  <c r="D7" i="3"/>
  <c r="P8" i="30"/>
  <c r="Q8" i="30" s="1"/>
  <c r="K113" i="30"/>
  <c r="K116" i="30"/>
  <c r="H7" i="47"/>
  <c r="H27" i="47"/>
  <c r="H26" i="47"/>
  <c r="H11" i="47"/>
  <c r="G9" i="3" l="1"/>
  <c r="D8" i="3"/>
  <c r="H11" i="3"/>
  <c r="E8" i="3"/>
  <c r="H5" i="47"/>
  <c r="H4" i="47"/>
  <c r="H3" i="47"/>
  <c r="H20" i="47"/>
  <c r="H19" i="47"/>
  <c r="H18" i="47"/>
  <c r="E9" i="3" l="1"/>
  <c r="H12" i="3"/>
  <c r="G10" i="3"/>
  <c r="D9" i="3"/>
  <c r="K66" i="30"/>
  <c r="K64" i="30"/>
  <c r="D3" i="45"/>
  <c r="G11" i="3" l="1"/>
  <c r="D10" i="3"/>
  <c r="H13" i="3"/>
  <c r="E10" i="3"/>
  <c r="H6" i="47"/>
  <c r="D2" i="45" s="1"/>
  <c r="H25" i="47"/>
  <c r="D10" i="45" s="1"/>
  <c r="H24" i="47"/>
  <c r="H23" i="47"/>
  <c r="H22" i="47"/>
  <c r="D9" i="45" s="1"/>
  <c r="H17" i="47"/>
  <c r="H16" i="47"/>
  <c r="H15" i="47"/>
  <c r="H14" i="47"/>
  <c r="H13" i="47"/>
  <c r="H12" i="47"/>
  <c r="H10" i="47"/>
  <c r="H9" i="47"/>
  <c r="H8" i="47"/>
  <c r="E11" i="3" l="1"/>
  <c r="H14" i="3"/>
  <c r="G12" i="3"/>
  <c r="D11" i="3"/>
  <c r="D6" i="45"/>
  <c r="G21" i="47"/>
  <c r="H21" i="47" s="1"/>
  <c r="D8" i="45" s="1"/>
  <c r="D5" i="45"/>
  <c r="D4" i="45"/>
  <c r="J10" i="32"/>
  <c r="J11" i="32"/>
  <c r="J12" i="32"/>
  <c r="J13" i="32"/>
  <c r="J14" i="32"/>
  <c r="J15" i="32"/>
  <c r="J16" i="32"/>
  <c r="J17" i="32"/>
  <c r="J18" i="32"/>
  <c r="J19" i="32"/>
  <c r="J20" i="32"/>
  <c r="J21" i="32"/>
  <c r="J22" i="32"/>
  <c r="J23" i="32"/>
  <c r="H64" i="37"/>
  <c r="A63" i="37"/>
  <c r="A64" i="37"/>
  <c r="B64" i="37"/>
  <c r="G13" i="3" l="1"/>
  <c r="D12" i="3"/>
  <c r="E12" i="3"/>
  <c r="I5" i="4"/>
  <c r="I4" i="4"/>
  <c r="H5" i="4"/>
  <c r="H4" i="4"/>
  <c r="G5" i="4"/>
  <c r="G4" i="4"/>
  <c r="F5" i="4"/>
  <c r="F4" i="4"/>
  <c r="K51" i="30"/>
  <c r="K50" i="30"/>
  <c r="K41" i="30"/>
  <c r="K46" i="30"/>
  <c r="K44" i="30"/>
  <c r="K42" i="30"/>
  <c r="K45" i="30"/>
  <c r="K106" i="30"/>
  <c r="K107" i="30"/>
  <c r="K59" i="30"/>
  <c r="K5" i="30"/>
  <c r="K6" i="30"/>
  <c r="K7" i="30"/>
  <c r="R3" i="30"/>
  <c r="L3" i="30"/>
  <c r="K3" i="30"/>
  <c r="K4" i="30"/>
  <c r="K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H21" i="39"/>
  <c r="H20" i="39"/>
  <c r="H18" i="39"/>
  <c r="H17" i="39"/>
  <c r="H16" i="39"/>
  <c r="H15" i="39"/>
  <c r="H14" i="39"/>
  <c r="H13" i="39"/>
  <c r="H12" i="39"/>
  <c r="H11" i="39"/>
  <c r="H10" i="39"/>
  <c r="H9" i="39"/>
  <c r="H8" i="39"/>
  <c r="H7" i="39"/>
  <c r="H6" i="39"/>
  <c r="H4" i="39"/>
  <c r="H3" i="39"/>
  <c r="C5" i="35"/>
  <c r="E5" i="35"/>
  <c r="F5" i="35"/>
  <c r="G5" i="35"/>
  <c r="H5" i="35"/>
  <c r="I5" i="35"/>
  <c r="J5" i="35"/>
  <c r="K5" i="35"/>
  <c r="L5" i="35"/>
  <c r="M5" i="35"/>
  <c r="N5" i="35"/>
  <c r="O5" i="35"/>
  <c r="P5" i="35"/>
  <c r="G3" i="39"/>
  <c r="S3" i="39" s="1"/>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5" i="10" s="1"/>
  <c r="J6" i="27"/>
  <c r="G2" i="10"/>
  <c r="G7" i="10" s="1"/>
  <c r="J5" i="27"/>
  <c r="J4" i="27"/>
  <c r="H2" i="9"/>
  <c r="H7" i="9" s="1"/>
  <c r="H6" i="9"/>
  <c r="H9" i="9"/>
  <c r="G2" i="9"/>
  <c r="G10" i="9" s="1"/>
  <c r="F2" i="10"/>
  <c r="F11" i="10" s="1"/>
  <c r="F10" i="10"/>
  <c r="F14" i="10"/>
  <c r="F2" i="9"/>
  <c r="G2" i="3" s="1"/>
  <c r="A2" i="14" s="1"/>
  <c r="J3" i="27"/>
  <c r="BR66" i="3"/>
  <c r="K67" i="3" s="1"/>
  <c r="BR45" i="3"/>
  <c r="BR35" i="3"/>
  <c r="BR126" i="3"/>
  <c r="K127" i="3" s="1"/>
  <c r="G40" i="37"/>
  <c r="S11" i="37" s="1"/>
  <c r="G41" i="37"/>
  <c r="H41" i="37"/>
  <c r="G42" i="37"/>
  <c r="H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4" i="37"/>
  <c r="G16" i="37"/>
  <c r="G5" i="33"/>
  <c r="G6" i="33"/>
  <c r="G7" i="33"/>
  <c r="G8" i="33"/>
  <c r="G9" i="33"/>
  <c r="G10" i="33"/>
  <c r="G11" i="33"/>
  <c r="G12" i="33"/>
  <c r="G13" i="33"/>
  <c r="G14" i="33"/>
  <c r="G15" i="33"/>
  <c r="G16" i="33"/>
  <c r="G17" i="33"/>
  <c r="G5" i="37"/>
  <c r="G6" i="37"/>
  <c r="G7" i="37"/>
  <c r="G8" i="37"/>
  <c r="G9" i="37"/>
  <c r="G10" i="37"/>
  <c r="G11" i="37"/>
  <c r="G12" i="37"/>
  <c r="G13" i="37"/>
  <c r="H13" i="37"/>
  <c r="G14" i="37"/>
  <c r="H14" i="37"/>
  <c r="G15" i="37"/>
  <c r="H15" i="37"/>
  <c r="G17" i="37"/>
  <c r="G18" i="37"/>
  <c r="G19" i="37"/>
  <c r="G20" i="37"/>
  <c r="G21" i="37"/>
  <c r="G22" i="37"/>
  <c r="G23" i="37"/>
  <c r="G24" i="37"/>
  <c r="G25" i="37"/>
  <c r="G26" i="37"/>
  <c r="H26" i="37"/>
  <c r="G27" i="37"/>
  <c r="H27" i="37"/>
  <c r="G28" i="37"/>
  <c r="G29" i="37"/>
  <c r="G30" i="37"/>
  <c r="G31" i="37"/>
  <c r="G32" i="37"/>
  <c r="G33" i="37"/>
  <c r="G34" i="37"/>
  <c r="G35" i="37"/>
  <c r="G36" i="37"/>
  <c r="G37" i="37"/>
  <c r="G38" i="37"/>
  <c r="H38" i="37"/>
  <c r="G39" i="37"/>
  <c r="H39" i="37"/>
  <c r="K41" i="29"/>
  <c r="S27" i="37"/>
  <c r="S21" i="37"/>
  <c r="S14" i="37"/>
  <c r="S13" i="37"/>
  <c r="S7" i="37"/>
  <c r="T10" i="37"/>
  <c r="T15" i="37"/>
  <c r="T17" i="37"/>
  <c r="T18" i="37"/>
  <c r="T24" i="37"/>
  <c r="T25" i="37"/>
  <c r="T26" i="37"/>
  <c r="S10" i="37"/>
  <c r="S15" i="37"/>
  <c r="S17" i="37"/>
  <c r="S18"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31" i="37" s="1"/>
  <c r="Q6" i="37"/>
  <c r="R6" i="37" s="1"/>
  <c r="H30" i="37" s="1"/>
  <c r="Q7" i="37"/>
  <c r="R7" i="37" s="1"/>
  <c r="H25" i="37" s="1"/>
  <c r="Q8" i="37"/>
  <c r="R8" i="37" s="1"/>
  <c r="H32" i="37" s="1"/>
  <c r="Q9" i="37"/>
  <c r="R9" i="37" s="1"/>
  <c r="H12" i="37" s="1"/>
  <c r="Q10" i="37"/>
  <c r="R10" i="37" s="1"/>
  <c r="Q11" i="37"/>
  <c r="R11" i="37" s="1"/>
  <c r="H40" i="37" s="1"/>
  <c r="Q12" i="37"/>
  <c r="R12" i="37" s="1"/>
  <c r="H28" i="37" s="1"/>
  <c r="Q13" i="37"/>
  <c r="R13" i="37" s="1"/>
  <c r="Q14" i="37"/>
  <c r="R14" i="37" s="1"/>
  <c r="Q15" i="37"/>
  <c r="R15" i="37" s="1"/>
  <c r="Q16" i="37"/>
  <c r="R16" i="37" s="1"/>
  <c r="Q17" i="37"/>
  <c r="R17" i="37" s="1"/>
  <c r="Q18" i="37"/>
  <c r="R18" i="37" s="1"/>
  <c r="Q19" i="37"/>
  <c r="R19" i="37" s="1"/>
  <c r="H23" i="37" s="1"/>
  <c r="Q21" i="37"/>
  <c r="R21" i="37" s="1"/>
  <c r="Q22" i="37"/>
  <c r="R22" i="37" s="1"/>
  <c r="H33" i="37" s="1"/>
  <c r="Q23" i="37"/>
  <c r="R23" i="37" s="1"/>
  <c r="H34" i="37" s="1"/>
  <c r="Q24" i="37"/>
  <c r="R24" i="37" s="1"/>
  <c r="Q25" i="37"/>
  <c r="R25" i="37" s="1"/>
  <c r="Q4" i="37"/>
  <c r="R4" i="37" s="1"/>
  <c r="U14" i="29"/>
  <c r="V14" i="29" s="1"/>
  <c r="U17" i="29"/>
  <c r="U18" i="29"/>
  <c r="U21" i="29"/>
  <c r="U22" i="29"/>
  <c r="U23"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6" i="29"/>
  <c r="I37" i="29"/>
  <c r="I38" i="29"/>
  <c r="I39" i="29"/>
  <c r="G36" i="29"/>
  <c r="G37" i="29"/>
  <c r="G38" i="29"/>
  <c r="G39" i="29"/>
  <c r="P22" i="39"/>
  <c r="R22" i="39"/>
  <c r="K64" i="29"/>
  <c r="K63" i="29"/>
  <c r="K62" i="29"/>
  <c r="K61" i="29"/>
  <c r="K60" i="29"/>
  <c r="K59" i="29"/>
  <c r="K58" i="29"/>
  <c r="K57" i="29"/>
  <c r="K56" i="29"/>
  <c r="K55" i="29"/>
  <c r="K54" i="29"/>
  <c r="K53" i="29"/>
  <c r="U19" i="29"/>
  <c r="K52" i="29"/>
  <c r="K51" i="29"/>
  <c r="K50" i="29"/>
  <c r="K49" i="29"/>
  <c r="K48" i="29"/>
  <c r="K47" i="29"/>
  <c r="K46" i="29"/>
  <c r="K45" i="29"/>
  <c r="M45" i="29" s="1"/>
  <c r="K44" i="29"/>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G12" i="34"/>
  <c r="G11" i="34"/>
  <c r="G10" i="34"/>
  <c r="G9" i="34"/>
  <c r="G8" i="34"/>
  <c r="G7" i="34"/>
  <c r="G6" i="34"/>
  <c r="G5" i="34"/>
  <c r="C23" i="32"/>
  <c r="C22" i="32"/>
  <c r="C21" i="32"/>
  <c r="C20" i="32"/>
  <c r="C19" i="32"/>
  <c r="C18" i="32"/>
  <c r="C17" i="32"/>
  <c r="C16" i="32"/>
  <c r="C15" i="32"/>
  <c r="C14" i="32"/>
  <c r="C13" i="32"/>
  <c r="C12" i="32"/>
  <c r="C11" i="32"/>
  <c r="C10" i="32"/>
  <c r="S16" i="37"/>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E44" i="10"/>
  <c r="E43" i="10"/>
  <c r="E42" i="10"/>
  <c r="E41" i="10"/>
  <c r="E40" i="10"/>
  <c r="E39" i="10"/>
  <c r="E38" i="10"/>
  <c r="E37" i="10"/>
  <c r="E36" i="10"/>
  <c r="E35" i="10"/>
  <c r="C3" i="28"/>
  <c r="C4" i="28"/>
  <c r="C5" i="28"/>
  <c r="C6" i="28"/>
  <c r="Z2" i="9"/>
  <c r="I2" i="9"/>
  <c r="J2" i="9"/>
  <c r="K2" i="9"/>
  <c r="V2" i="3" s="1"/>
  <c r="L2" i="9"/>
  <c r="L6" i="9" s="1"/>
  <c r="M2" i="9"/>
  <c r="M9" i="9" s="1"/>
  <c r="N2" i="9"/>
  <c r="N8" i="9" s="1"/>
  <c r="O2" i="9"/>
  <c r="P2" i="9"/>
  <c r="P10" i="9" s="1"/>
  <c r="Q2" i="9"/>
  <c r="Q10" i="9" s="1"/>
  <c r="R2" i="9"/>
  <c r="S2" i="9"/>
  <c r="T2" i="9"/>
  <c r="AW2" i="3" s="1"/>
  <c r="U2" i="9"/>
  <c r="U10" i="9" s="1"/>
  <c r="V2" i="9"/>
  <c r="BC2" i="3"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E98" i="28" s="1"/>
  <c r="D93" i="28"/>
  <c r="E93" i="28" s="1"/>
  <c r="D88" i="28"/>
  <c r="F88" i="28" s="1"/>
  <c r="D83" i="28"/>
  <c r="F83" i="28" s="1"/>
  <c r="D78" i="28"/>
  <c r="F78" i="28" s="1"/>
  <c r="D73" i="28"/>
  <c r="F73" i="28" s="1"/>
  <c r="D68" i="28"/>
  <c r="F68" i="28" s="1"/>
  <c r="D63" i="28"/>
  <c r="F63" i="28" s="1"/>
  <c r="D58" i="28"/>
  <c r="F58" i="28" s="1"/>
  <c r="D53" i="28"/>
  <c r="F53" i="28" s="1"/>
  <c r="D48" i="28"/>
  <c r="F48" i="28" s="1"/>
  <c r="D43" i="28"/>
  <c r="F43" i="28" s="1"/>
  <c r="D38" i="28"/>
  <c r="E38" i="28" s="1"/>
  <c r="D33" i="28"/>
  <c r="E33" i="28" s="1"/>
  <c r="D28" i="28"/>
  <c r="D23" i="28"/>
  <c r="E23" i="28" s="1"/>
  <c r="D18" i="28"/>
  <c r="F18" i="28" s="1"/>
  <c r="D13" i="28"/>
  <c r="F13" i="28" s="1"/>
  <c r="D8" i="28"/>
  <c r="F8" i="28" s="1"/>
  <c r="D3" i="28"/>
  <c r="F3" i="28" s="1"/>
  <c r="H107" i="28"/>
  <c r="H106" i="28"/>
  <c r="J106" i="28" s="1"/>
  <c r="H105" i="28"/>
  <c r="J105" i="28"/>
  <c r="H104" i="28"/>
  <c r="J104" i="28" s="1"/>
  <c r="H102" i="28"/>
  <c r="H101" i="28"/>
  <c r="J101" i="28" s="1"/>
  <c r="H100" i="28"/>
  <c r="J100" i="28"/>
  <c r="H99" i="28"/>
  <c r="J99" i="28"/>
  <c r="H97" i="28"/>
  <c r="H96" i="28"/>
  <c r="J96" i="28" s="1"/>
  <c r="H95" i="28"/>
  <c r="J95" i="28" s="1"/>
  <c r="H94" i="28"/>
  <c r="J94" i="28"/>
  <c r="H92" i="28"/>
  <c r="H91" i="28"/>
  <c r="J91" i="28"/>
  <c r="H90" i="28"/>
  <c r="J90" i="28"/>
  <c r="H89" i="28"/>
  <c r="J89" i="28" s="1"/>
  <c r="H87" i="28"/>
  <c r="H86" i="28"/>
  <c r="J86" i="28" s="1"/>
  <c r="H85" i="28"/>
  <c r="J85" i="28" s="1"/>
  <c r="H84" i="28"/>
  <c r="J84" i="28" s="1"/>
  <c r="H82" i="28"/>
  <c r="H81" i="28"/>
  <c r="J81" i="28"/>
  <c r="H80" i="28"/>
  <c r="J80" i="28"/>
  <c r="H79" i="28"/>
  <c r="J79" i="28" s="1"/>
  <c r="H77" i="28"/>
  <c r="H76" i="28"/>
  <c r="J76" i="28"/>
  <c r="H75" i="28"/>
  <c r="J75" i="28" s="1"/>
  <c r="H74" i="28"/>
  <c r="J74" i="28" s="1"/>
  <c r="H72" i="28"/>
  <c r="H71" i="28"/>
  <c r="J71" i="28"/>
  <c r="H70" i="28"/>
  <c r="J70" i="28" s="1"/>
  <c r="H69" i="28"/>
  <c r="J69" i="28"/>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c r="H37" i="28"/>
  <c r="H36" i="28"/>
  <c r="J36" i="28" s="1"/>
  <c r="H35" i="28"/>
  <c r="J35" i="28" s="1"/>
  <c r="H34" i="28"/>
  <c r="J34" i="28" s="1"/>
  <c r="H32" i="28"/>
  <c r="H31" i="28"/>
  <c r="J31" i="28" s="1"/>
  <c r="H30" i="28"/>
  <c r="J30" i="28"/>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H11" i="11" s="1"/>
  <c r="E177" i="9"/>
  <c r="E178" i="9"/>
  <c r="E179" i="9"/>
  <c r="E180" i="9"/>
  <c r="E181" i="9"/>
  <c r="E182" i="9"/>
  <c r="E183" i="9"/>
  <c r="E184" i="9"/>
  <c r="F11" i="11" s="1"/>
  <c r="E185" i="9"/>
  <c r="E186" i="9"/>
  <c r="E187" i="9"/>
  <c r="E188" i="9"/>
  <c r="E189" i="9"/>
  <c r="E190" i="9"/>
  <c r="E191" i="9"/>
  <c r="G3" i="36"/>
  <c r="G4" i="36"/>
  <c r="H5" i="39"/>
  <c r="E77" i="10"/>
  <c r="I2" i="10"/>
  <c r="J2" i="10"/>
  <c r="K2" i="10"/>
  <c r="L2" i="10"/>
  <c r="M2" i="10"/>
  <c r="M6" i="10" s="1"/>
  <c r="N2" i="10"/>
  <c r="O2" i="10"/>
  <c r="P2" i="10"/>
  <c r="Q2" i="10"/>
  <c r="Q8" i="10" s="1"/>
  <c r="R2" i="10"/>
  <c r="S2" i="10"/>
  <c r="S9" i="10" s="1"/>
  <c r="T2" i="10"/>
  <c r="U2" i="10"/>
  <c r="U10" i="10" s="1"/>
  <c r="V2" i="10"/>
  <c r="V9" i="10" s="1"/>
  <c r="W2" i="10"/>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J9" i="27"/>
  <c r="J8" i="27"/>
  <c r="J7" i="27"/>
  <c r="J10" i="27"/>
  <c r="J11" i="27"/>
  <c r="E2" i="36"/>
  <c r="I10" i="32"/>
  <c r="I11" i="32"/>
  <c r="I12" i="32"/>
  <c r="I13" i="32"/>
  <c r="I14" i="32"/>
  <c r="I15" i="32"/>
  <c r="I16" i="32"/>
  <c r="I17" i="32"/>
  <c r="I18" i="32"/>
  <c r="I19" i="32"/>
  <c r="I20" i="32"/>
  <c r="I21" i="32"/>
  <c r="I22" i="32"/>
  <c r="I23" i="32"/>
  <c r="A6" i="35"/>
  <c r="A7"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K29" i="30"/>
  <c r="K9" i="30"/>
  <c r="K8" i="30"/>
  <c r="K10" i="30"/>
  <c r="K39" i="30"/>
  <c r="K48" i="30"/>
  <c r="K49" i="30"/>
  <c r="K54" i="30"/>
  <c r="K55" i="30"/>
  <c r="K74" i="30"/>
  <c r="K75" i="30"/>
  <c r="K76" i="30"/>
  <c r="K69" i="30"/>
  <c r="K57" i="30"/>
  <c r="K58" i="30"/>
  <c r="K103" i="30"/>
  <c r="K104" i="30"/>
  <c r="K105" i="30"/>
  <c r="K121" i="30"/>
  <c r="K120" i="30"/>
  <c r="K117" i="30"/>
  <c r="K114" i="30"/>
  <c r="K89" i="30"/>
  <c r="K88" i="30"/>
  <c r="K90" i="30"/>
  <c r="K85" i="30"/>
  <c r="K70" i="30"/>
  <c r="K62" i="30"/>
  <c r="K67" i="30"/>
  <c r="D8" i="1"/>
  <c r="AB79" i="3" s="1"/>
  <c r="AB82" i="3"/>
  <c r="AB84" i="3"/>
  <c r="AB126" i="3"/>
  <c r="AB127" i="3"/>
  <c r="AB128" i="3"/>
  <c r="AB129" i="3"/>
  <c r="AB130" i="3"/>
  <c r="AB131" i="3"/>
  <c r="AB132" i="3"/>
  <c r="AB133" i="3"/>
  <c r="AB134" i="3"/>
  <c r="AB135" i="3"/>
  <c r="Y84" i="3"/>
  <c r="Y85" i="3"/>
  <c r="Y126" i="3"/>
  <c r="Y127" i="3"/>
  <c r="Y128" i="3"/>
  <c r="Y129" i="3"/>
  <c r="Y130" i="3"/>
  <c r="Y131" i="3"/>
  <c r="Y132" i="3"/>
  <c r="Y133" i="3"/>
  <c r="Y134" i="3"/>
  <c r="Y135" i="3"/>
  <c r="V77" i="3"/>
  <c r="V78" i="3"/>
  <c r="V81" i="3"/>
  <c r="V82" i="3"/>
  <c r="V83" i="3"/>
  <c r="V126" i="3"/>
  <c r="V127" i="3"/>
  <c r="V128" i="3"/>
  <c r="V129" i="3"/>
  <c r="V130" i="3"/>
  <c r="V131" i="3"/>
  <c r="V132" i="3"/>
  <c r="V133" i="3"/>
  <c r="V134" i="3"/>
  <c r="V135" i="3"/>
  <c r="S76" i="3"/>
  <c r="S78" i="3"/>
  <c r="S83" i="3"/>
  <c r="S85" i="3"/>
  <c r="S126" i="3"/>
  <c r="S127" i="3"/>
  <c r="S128" i="3"/>
  <c r="S129" i="3"/>
  <c r="S130" i="3"/>
  <c r="S131" i="3"/>
  <c r="S132" i="3"/>
  <c r="S133" i="3"/>
  <c r="S134" i="3"/>
  <c r="S135" i="3"/>
  <c r="P82" i="3"/>
  <c r="P83" i="3"/>
  <c r="P85" i="3"/>
  <c r="P126" i="3"/>
  <c r="P127" i="3"/>
  <c r="P128" i="3"/>
  <c r="P129" i="3"/>
  <c r="P130" i="3"/>
  <c r="P131" i="3"/>
  <c r="P132" i="3"/>
  <c r="P133" i="3"/>
  <c r="P134" i="3"/>
  <c r="P135" i="3"/>
  <c r="M77" i="3"/>
  <c r="M80" i="3"/>
  <c r="M81" i="3"/>
  <c r="M126" i="3"/>
  <c r="M127" i="3"/>
  <c r="M128" i="3"/>
  <c r="M129" i="3"/>
  <c r="M130" i="3"/>
  <c r="M131" i="3"/>
  <c r="M132" i="3"/>
  <c r="M133" i="3"/>
  <c r="M134" i="3"/>
  <c r="M135" i="3"/>
  <c r="J78"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D120" i="3" s="1"/>
  <c r="AB121" i="3"/>
  <c r="AB122" i="3"/>
  <c r="AB123" i="3"/>
  <c r="AB124" i="3"/>
  <c r="AD124" i="3" s="1"/>
  <c r="AB125" i="3"/>
  <c r="Z116" i="3"/>
  <c r="Y116" i="3"/>
  <c r="Z117" i="3"/>
  <c r="Y117" i="3"/>
  <c r="Z118" i="3"/>
  <c r="Y118" i="3"/>
  <c r="Z119" i="3"/>
  <c r="Y119" i="3"/>
  <c r="Z120" i="3"/>
  <c r="Y120" i="3"/>
  <c r="Z121" i="3"/>
  <c r="Y121" i="3"/>
  <c r="Z122" i="3"/>
  <c r="Y122" i="3"/>
  <c r="Z123" i="3"/>
  <c r="Y123" i="3"/>
  <c r="Z124" i="3"/>
  <c r="Y124" i="3"/>
  <c r="Z125" i="3"/>
  <c r="Y125" i="3"/>
  <c r="W116" i="3"/>
  <c r="V116" i="3"/>
  <c r="W117" i="3"/>
  <c r="V117" i="3"/>
  <c r="W118" i="3"/>
  <c r="V118" i="3"/>
  <c r="W119" i="3"/>
  <c r="V119" i="3"/>
  <c r="W120" i="3"/>
  <c r="V120" i="3"/>
  <c r="W121" i="3"/>
  <c r="V121" i="3"/>
  <c r="W122" i="3"/>
  <c r="V122" i="3"/>
  <c r="W123" i="3"/>
  <c r="V123" i="3"/>
  <c r="W124" i="3"/>
  <c r="V124" i="3"/>
  <c r="W125" i="3"/>
  <c r="V125" i="3"/>
  <c r="T116" i="3"/>
  <c r="S116" i="3"/>
  <c r="T117" i="3"/>
  <c r="S117" i="3"/>
  <c r="T118" i="3"/>
  <c r="S118" i="3"/>
  <c r="T119" i="3"/>
  <c r="S119" i="3"/>
  <c r="T120" i="3"/>
  <c r="S120" i="3"/>
  <c r="T121" i="3"/>
  <c r="S121" i="3"/>
  <c r="T122" i="3"/>
  <c r="S122" i="3"/>
  <c r="T123" i="3"/>
  <c r="S123" i="3"/>
  <c r="T124" i="3"/>
  <c r="S124" i="3"/>
  <c r="S125" i="3"/>
  <c r="Q116" i="3"/>
  <c r="P116" i="3"/>
  <c r="Q117" i="3"/>
  <c r="P117" i="3"/>
  <c r="Q118" i="3"/>
  <c r="P118" i="3"/>
  <c r="Q119" i="3"/>
  <c r="P119" i="3"/>
  <c r="Q120" i="3"/>
  <c r="P120" i="3"/>
  <c r="Q121" i="3"/>
  <c r="P121" i="3"/>
  <c r="Q122" i="3"/>
  <c r="P122" i="3"/>
  <c r="Q123" i="3"/>
  <c r="P123" i="3"/>
  <c r="Q124" i="3"/>
  <c r="P124" i="3"/>
  <c r="Q125" i="3"/>
  <c r="P125" i="3"/>
  <c r="N116" i="3"/>
  <c r="M116" i="3"/>
  <c r="N117" i="3"/>
  <c r="M117" i="3"/>
  <c r="N118" i="3"/>
  <c r="M118" i="3"/>
  <c r="N119" i="3"/>
  <c r="M119" i="3"/>
  <c r="N120" i="3"/>
  <c r="M120" i="3"/>
  <c r="N121" i="3"/>
  <c r="M121" i="3"/>
  <c r="N122" i="3"/>
  <c r="M122" i="3"/>
  <c r="N123" i="3"/>
  <c r="M123" i="3"/>
  <c r="N124" i="3"/>
  <c r="M124" i="3"/>
  <c r="N125" i="3"/>
  <c r="M125" i="3"/>
  <c r="K116" i="3"/>
  <c r="J116" i="3"/>
  <c r="K117" i="3"/>
  <c r="J117" i="3"/>
  <c r="K118" i="3"/>
  <c r="J118" i="3"/>
  <c r="K119" i="3"/>
  <c r="J119" i="3"/>
  <c r="K120" i="3"/>
  <c r="J120" i="3"/>
  <c r="K121" i="3"/>
  <c r="J121" i="3"/>
  <c r="K122" i="3"/>
  <c r="J122" i="3"/>
  <c r="K123" i="3"/>
  <c r="J123" i="3"/>
  <c r="K124" i="3"/>
  <c r="J124" i="3"/>
  <c r="K125" i="3"/>
  <c r="J125" i="3"/>
  <c r="H116" i="3"/>
  <c r="G116" i="3"/>
  <c r="H117" i="3"/>
  <c r="G117" i="3"/>
  <c r="H118" i="3"/>
  <c r="G118" i="3"/>
  <c r="H119" i="3"/>
  <c r="G119" i="3"/>
  <c r="H120" i="3"/>
  <c r="G120" i="3"/>
  <c r="H121" i="3"/>
  <c r="G121" i="3"/>
  <c r="H122" i="3"/>
  <c r="G122" i="3"/>
  <c r="H123" i="3"/>
  <c r="G123" i="3"/>
  <c r="H124" i="3"/>
  <c r="G124" i="3"/>
  <c r="H125" i="3"/>
  <c r="Z171" i="9"/>
  <c r="Y14" i="20" s="1"/>
  <c r="Y171" i="9"/>
  <c r="X14" i="20" s="1"/>
  <c r="X171" i="9"/>
  <c r="W14" i="20" s="1"/>
  <c r="W171" i="9"/>
  <c r="V14" i="20" s="1"/>
  <c r="V171" i="9"/>
  <c r="U14" i="20" s="1"/>
  <c r="U171" i="9"/>
  <c r="T14" i="20"/>
  <c r="T171" i="9"/>
  <c r="S14" i="20" s="1"/>
  <c r="S171" i="9"/>
  <c r="R14" i="20"/>
  <c r="R171" i="9"/>
  <c r="Q14" i="20" s="1"/>
  <c r="Q171" i="9"/>
  <c r="P14" i="20"/>
  <c r="P171" i="9"/>
  <c r="O14" i="20" s="1"/>
  <c r="O171" i="9"/>
  <c r="N14" i="20" s="1"/>
  <c r="N171" i="9"/>
  <c r="M14" i="20" s="1"/>
  <c r="M171" i="9"/>
  <c r="L14" i="20" s="1"/>
  <c r="L171" i="9"/>
  <c r="K14" i="20" s="1"/>
  <c r="K171" i="9"/>
  <c r="J14" i="20"/>
  <c r="J171" i="9"/>
  <c r="I14" i="20" s="1"/>
  <c r="I171" i="9"/>
  <c r="H14" i="20" s="1"/>
  <c r="H171" i="9"/>
  <c r="G14" i="20"/>
  <c r="G171" i="9"/>
  <c r="F14" i="20" s="1"/>
  <c r="F171" i="9"/>
  <c r="E14" i="20"/>
  <c r="AC106" i="3"/>
  <c r="AD106" i="3" s="1"/>
  <c r="AC107" i="3"/>
  <c r="AC108" i="3"/>
  <c r="AC109" i="3"/>
  <c r="AC110" i="3"/>
  <c r="AD110" i="3" s="1"/>
  <c r="AC111" i="3"/>
  <c r="AC112" i="3"/>
  <c r="AC113" i="3"/>
  <c r="AC114" i="3"/>
  <c r="AD114" i="3" s="1"/>
  <c r="AC115" i="3"/>
  <c r="AD115" i="3" s="1"/>
  <c r="AB106" i="3"/>
  <c r="AB107" i="3"/>
  <c r="AD107" i="3" s="1"/>
  <c r="AB108" i="3"/>
  <c r="AD108" i="3" s="1"/>
  <c r="AB109" i="3"/>
  <c r="AB110" i="3"/>
  <c r="AB111" i="3"/>
  <c r="AD111" i="3" s="1"/>
  <c r="AB112" i="3"/>
  <c r="AB113" i="3"/>
  <c r="AB114" i="3"/>
  <c r="AB115" i="3"/>
  <c r="Z106" i="3"/>
  <c r="Y106" i="3"/>
  <c r="Z107" i="3"/>
  <c r="Y107" i="3"/>
  <c r="Z108" i="3"/>
  <c r="Y108" i="3"/>
  <c r="Z109" i="3"/>
  <c r="Y109" i="3"/>
  <c r="Z110" i="3"/>
  <c r="Y110" i="3"/>
  <c r="Z111" i="3"/>
  <c r="Y111" i="3"/>
  <c r="AA111" i="3" s="1"/>
  <c r="Z112" i="3"/>
  <c r="Y112" i="3"/>
  <c r="Z113" i="3"/>
  <c r="Y113" i="3"/>
  <c r="Z114" i="3"/>
  <c r="Y114" i="3"/>
  <c r="Z115" i="3"/>
  <c r="Y115" i="3"/>
  <c r="W106" i="3"/>
  <c r="V106" i="3"/>
  <c r="W107" i="3"/>
  <c r="V107" i="3"/>
  <c r="W108" i="3"/>
  <c r="V108" i="3"/>
  <c r="W109" i="3"/>
  <c r="V109" i="3"/>
  <c r="W110" i="3"/>
  <c r="V110" i="3"/>
  <c r="W111" i="3"/>
  <c r="V111" i="3"/>
  <c r="W112" i="3"/>
  <c r="V112" i="3"/>
  <c r="W113" i="3"/>
  <c r="V113" i="3"/>
  <c r="X113" i="3" s="1"/>
  <c r="W114" i="3"/>
  <c r="V114" i="3"/>
  <c r="W115" i="3"/>
  <c r="V115" i="3"/>
  <c r="T106" i="3"/>
  <c r="S106" i="3"/>
  <c r="T107" i="3"/>
  <c r="S107" i="3"/>
  <c r="T108" i="3"/>
  <c r="S108" i="3"/>
  <c r="T109" i="3"/>
  <c r="S109" i="3"/>
  <c r="T110" i="3"/>
  <c r="S110" i="3"/>
  <c r="T111" i="3"/>
  <c r="S111" i="3"/>
  <c r="T112" i="3"/>
  <c r="S112" i="3"/>
  <c r="T113" i="3"/>
  <c r="S113" i="3"/>
  <c r="T114" i="3"/>
  <c r="S114" i="3"/>
  <c r="S115" i="3"/>
  <c r="Q106" i="3"/>
  <c r="P106" i="3"/>
  <c r="Q107" i="3"/>
  <c r="P107" i="3"/>
  <c r="Q108" i="3"/>
  <c r="P108" i="3"/>
  <c r="Q109" i="3"/>
  <c r="P109" i="3"/>
  <c r="Q110" i="3"/>
  <c r="P110" i="3"/>
  <c r="Q111" i="3"/>
  <c r="P111" i="3"/>
  <c r="Q112" i="3"/>
  <c r="P112" i="3"/>
  <c r="Q113" i="3"/>
  <c r="P113" i="3"/>
  <c r="Q114" i="3"/>
  <c r="P114" i="3"/>
  <c r="R114" i="3" s="1"/>
  <c r="Q115" i="3"/>
  <c r="P115" i="3"/>
  <c r="N106" i="3"/>
  <c r="M106" i="3"/>
  <c r="N107" i="3"/>
  <c r="M107" i="3"/>
  <c r="N108" i="3"/>
  <c r="M108" i="3"/>
  <c r="N109" i="3"/>
  <c r="M109" i="3"/>
  <c r="N110" i="3"/>
  <c r="M110" i="3"/>
  <c r="N111" i="3"/>
  <c r="M111" i="3"/>
  <c r="N112" i="3"/>
  <c r="M112" i="3"/>
  <c r="N113" i="3"/>
  <c r="M113" i="3"/>
  <c r="N114" i="3"/>
  <c r="M114" i="3"/>
  <c r="N115" i="3"/>
  <c r="M115" i="3"/>
  <c r="K106" i="3"/>
  <c r="J106" i="3"/>
  <c r="K107" i="3"/>
  <c r="J107" i="3"/>
  <c r="K108" i="3"/>
  <c r="J108" i="3"/>
  <c r="K109" i="3"/>
  <c r="J109" i="3"/>
  <c r="L109" i="3" s="1"/>
  <c r="K110" i="3"/>
  <c r="J110" i="3"/>
  <c r="K111" i="3"/>
  <c r="J111" i="3"/>
  <c r="K112" i="3"/>
  <c r="J112" i="3"/>
  <c r="K113" i="3"/>
  <c r="J113" i="3"/>
  <c r="K114" i="3"/>
  <c r="J114" i="3"/>
  <c r="K115" i="3"/>
  <c r="J115" i="3"/>
  <c r="H106" i="3"/>
  <c r="G106" i="3"/>
  <c r="H107" i="3"/>
  <c r="G107" i="3"/>
  <c r="H108" i="3"/>
  <c r="G108" i="3"/>
  <c r="H109" i="3"/>
  <c r="G109" i="3"/>
  <c r="H110" i="3"/>
  <c r="G110" i="3"/>
  <c r="H111" i="3"/>
  <c r="G111" i="3"/>
  <c r="H112" i="3"/>
  <c r="G112" i="3"/>
  <c r="H113" i="3"/>
  <c r="G113" i="3"/>
  <c r="H114" i="3"/>
  <c r="G114" i="3"/>
  <c r="H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P7" i="4" s="1"/>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D125" i="3"/>
  <c r="AF125" i="3"/>
  <c r="AE125" i="3"/>
  <c r="AI125" i="3"/>
  <c r="AH125" i="3"/>
  <c r="AL125" i="3"/>
  <c r="AM125" i="3"/>
  <c r="AK125" i="3"/>
  <c r="AO125" i="3"/>
  <c r="AP125" i="3" s="1"/>
  <c r="AN125" i="3"/>
  <c r="AR125" i="3"/>
  <c r="AQ125" i="3"/>
  <c r="AU125" i="3"/>
  <c r="AT125" i="3"/>
  <c r="AV125" i="3" s="1"/>
  <c r="AX125" i="3"/>
  <c r="AY125" i="3" s="1"/>
  <c r="AW125" i="3"/>
  <c r="BA125" i="3"/>
  <c r="AZ125" i="3"/>
  <c r="BB125" i="3"/>
  <c r="BD125" i="3"/>
  <c r="BC125" i="3"/>
  <c r="BG125" i="3"/>
  <c r="BH125" i="3"/>
  <c r="BF125" i="3"/>
  <c r="BJ125" i="3"/>
  <c r="BK125" i="3" s="1"/>
  <c r="BI125" i="3"/>
  <c r="BM125" i="3"/>
  <c r="BN125" i="3"/>
  <c r="BL125" i="3"/>
  <c r="BP125" i="3"/>
  <c r="BO125" i="3"/>
  <c r="AF124" i="3"/>
  <c r="AG124" i="3" s="1"/>
  <c r="AE124" i="3"/>
  <c r="AI124" i="3"/>
  <c r="AH124" i="3"/>
  <c r="AJ124" i="3" s="1"/>
  <c r="AL124" i="3"/>
  <c r="AK124" i="3"/>
  <c r="AO124" i="3"/>
  <c r="AP124" i="3" s="1"/>
  <c r="AN124" i="3"/>
  <c r="AR124" i="3"/>
  <c r="AQ124" i="3"/>
  <c r="AU124" i="3"/>
  <c r="AT124" i="3"/>
  <c r="AX124" i="3"/>
  <c r="AY124" i="3" s="1"/>
  <c r="AW124" i="3"/>
  <c r="BA124" i="3"/>
  <c r="BB124" i="3" s="1"/>
  <c r="AZ124" i="3"/>
  <c r="BD124" i="3"/>
  <c r="BE124" i="3" s="1"/>
  <c r="BC124" i="3"/>
  <c r="BG124" i="3"/>
  <c r="BF124" i="3"/>
  <c r="BJ124" i="3"/>
  <c r="BI124" i="3"/>
  <c r="BM124" i="3"/>
  <c r="BL124" i="3"/>
  <c r="BN124" i="3" s="1"/>
  <c r="BP124" i="3"/>
  <c r="BQ124" i="3" s="1"/>
  <c r="BO124" i="3"/>
  <c r="AF123" i="3"/>
  <c r="AE123" i="3"/>
  <c r="AI123" i="3"/>
  <c r="AJ123" i="3" s="1"/>
  <c r="AH123" i="3"/>
  <c r="AL123" i="3"/>
  <c r="AM123" i="3" s="1"/>
  <c r="AK123" i="3"/>
  <c r="AO123" i="3"/>
  <c r="AN123" i="3"/>
  <c r="AR123" i="3"/>
  <c r="AQ123" i="3"/>
  <c r="AU123" i="3"/>
  <c r="AT123" i="3"/>
  <c r="AX123" i="3"/>
  <c r="AW123" i="3"/>
  <c r="BA123" i="3"/>
  <c r="AZ123" i="3"/>
  <c r="BD123" i="3"/>
  <c r="BC123" i="3"/>
  <c r="BE123" i="3" s="1"/>
  <c r="BG123" i="3"/>
  <c r="BF123" i="3"/>
  <c r="BH123" i="3" s="1"/>
  <c r="BJ123" i="3"/>
  <c r="BI123" i="3"/>
  <c r="BM123" i="3"/>
  <c r="BL123" i="3"/>
  <c r="BN123" i="3" s="1"/>
  <c r="BP123" i="3"/>
  <c r="BQ123" i="3" s="1"/>
  <c r="BO123" i="3"/>
  <c r="AF122" i="3"/>
  <c r="AE122" i="3"/>
  <c r="AI122" i="3"/>
  <c r="AH122" i="3"/>
  <c r="AL122" i="3"/>
  <c r="AK122" i="3"/>
  <c r="AM122" i="3" s="1"/>
  <c r="AO122" i="3"/>
  <c r="AN122" i="3"/>
  <c r="AR122" i="3"/>
  <c r="AS122" i="3" s="1"/>
  <c r="AQ122" i="3"/>
  <c r="AU122" i="3"/>
  <c r="AT122" i="3"/>
  <c r="AV122" i="3"/>
  <c r="AX122" i="3"/>
  <c r="AW122" i="3"/>
  <c r="BA122" i="3"/>
  <c r="AZ122" i="3"/>
  <c r="BD122" i="3"/>
  <c r="BE122" i="3" s="1"/>
  <c r="BC122" i="3"/>
  <c r="BG122" i="3"/>
  <c r="BF122" i="3"/>
  <c r="BJ122" i="3"/>
  <c r="BI122" i="3"/>
  <c r="BM122" i="3"/>
  <c r="BL122" i="3"/>
  <c r="BN122" i="3" s="1"/>
  <c r="BP122" i="3"/>
  <c r="BQ122" i="3" s="1"/>
  <c r="BO122" i="3"/>
  <c r="AF121" i="3"/>
  <c r="AE121" i="3"/>
  <c r="AI121" i="3"/>
  <c r="AJ121" i="3" s="1"/>
  <c r="AH121" i="3"/>
  <c r="AL121" i="3"/>
  <c r="AM121" i="3"/>
  <c r="AK121" i="3"/>
  <c r="AO121" i="3"/>
  <c r="AN121" i="3"/>
  <c r="AP121" i="3" s="1"/>
  <c r="AR121" i="3"/>
  <c r="AQ121" i="3"/>
  <c r="AU121" i="3"/>
  <c r="AV121" i="3"/>
  <c r="AT121" i="3"/>
  <c r="AX121" i="3"/>
  <c r="AY121" i="3" s="1"/>
  <c r="AW121" i="3"/>
  <c r="BA121" i="3"/>
  <c r="BB121" i="3"/>
  <c r="AZ121" i="3"/>
  <c r="BD121" i="3"/>
  <c r="BC121" i="3"/>
  <c r="BG121" i="3"/>
  <c r="BF121" i="3"/>
  <c r="BH121" i="3" s="1"/>
  <c r="BJ121" i="3"/>
  <c r="BK121" i="3" s="1"/>
  <c r="BI121" i="3"/>
  <c r="BM121" i="3"/>
  <c r="BL121" i="3"/>
  <c r="BN121" i="3" s="1"/>
  <c r="BP121" i="3"/>
  <c r="BQ121" i="3" s="1"/>
  <c r="BO121" i="3"/>
  <c r="AF120" i="3"/>
  <c r="AG120" i="3" s="1"/>
  <c r="AE120" i="3"/>
  <c r="AI120" i="3"/>
  <c r="AH120" i="3"/>
  <c r="AL120" i="3"/>
  <c r="AK120" i="3"/>
  <c r="AO120" i="3"/>
  <c r="AP120" i="3" s="1"/>
  <c r="AN120" i="3"/>
  <c r="AR120" i="3"/>
  <c r="AS120" i="3" s="1"/>
  <c r="AQ120" i="3"/>
  <c r="AU120" i="3"/>
  <c r="AT120" i="3"/>
  <c r="AV120" i="3" s="1"/>
  <c r="AX120" i="3"/>
  <c r="AW120" i="3"/>
  <c r="BA120" i="3"/>
  <c r="BB120" i="3" s="1"/>
  <c r="AZ120" i="3"/>
  <c r="BD120" i="3"/>
  <c r="BE120" i="3"/>
  <c r="BC120" i="3"/>
  <c r="BG120" i="3"/>
  <c r="BH120" i="3" s="1"/>
  <c r="BF120" i="3"/>
  <c r="BJ120" i="3"/>
  <c r="BI120" i="3"/>
  <c r="BM120" i="3"/>
  <c r="BN120" i="3" s="1"/>
  <c r="BL120" i="3"/>
  <c r="BP120" i="3"/>
  <c r="BO120" i="3"/>
  <c r="AF119" i="3"/>
  <c r="AG119" i="3"/>
  <c r="AE119" i="3"/>
  <c r="AI119" i="3"/>
  <c r="AH119" i="3"/>
  <c r="AL119" i="3"/>
  <c r="AK119" i="3"/>
  <c r="AM119" i="3"/>
  <c r="AO119" i="3"/>
  <c r="AN119" i="3"/>
  <c r="AR119" i="3"/>
  <c r="AS119" i="3"/>
  <c r="AQ119" i="3"/>
  <c r="AU119" i="3"/>
  <c r="AT119" i="3"/>
  <c r="AV119" i="3" s="1"/>
  <c r="AX119" i="3"/>
  <c r="AY119" i="3" s="1"/>
  <c r="AW119" i="3"/>
  <c r="BA119" i="3"/>
  <c r="AZ119" i="3"/>
  <c r="BD119" i="3"/>
  <c r="BC119" i="3"/>
  <c r="BE119" i="3" s="1"/>
  <c r="BG119" i="3"/>
  <c r="BF119" i="3"/>
  <c r="BH119" i="3" s="1"/>
  <c r="BJ119" i="3"/>
  <c r="BI119" i="3"/>
  <c r="BM119" i="3"/>
  <c r="BN119" i="3" s="1"/>
  <c r="BL119" i="3"/>
  <c r="BP119" i="3"/>
  <c r="BO119" i="3"/>
  <c r="AF118" i="3"/>
  <c r="AG118" i="3" s="1"/>
  <c r="AE118" i="3"/>
  <c r="AI118" i="3"/>
  <c r="AJ118" i="3" s="1"/>
  <c r="AH118" i="3"/>
  <c r="AL118" i="3"/>
  <c r="AM118" i="3" s="1"/>
  <c r="AK118" i="3"/>
  <c r="AO118" i="3"/>
  <c r="AN118" i="3"/>
  <c r="AP118" i="3" s="1"/>
  <c r="AR118" i="3"/>
  <c r="AQ118" i="3"/>
  <c r="AU118" i="3"/>
  <c r="AT118" i="3"/>
  <c r="AX118" i="3"/>
  <c r="AW118" i="3"/>
  <c r="AY118" i="3"/>
  <c r="BA118" i="3"/>
  <c r="BB118" i="3" s="1"/>
  <c r="AZ118" i="3"/>
  <c r="BD118" i="3"/>
  <c r="BE118" i="3" s="1"/>
  <c r="BC118" i="3"/>
  <c r="BG118" i="3"/>
  <c r="BF118" i="3"/>
  <c r="BH118" i="3" s="1"/>
  <c r="BJ118" i="3"/>
  <c r="BK118" i="3" s="1"/>
  <c r="BI118" i="3"/>
  <c r="BM118" i="3"/>
  <c r="BL118" i="3"/>
  <c r="BP118" i="3"/>
  <c r="BO118" i="3"/>
  <c r="BQ118" i="3" s="1"/>
  <c r="AD117" i="3"/>
  <c r="AF117" i="3"/>
  <c r="AE117" i="3"/>
  <c r="AG117" i="3"/>
  <c r="AI117" i="3"/>
  <c r="AH117" i="3"/>
  <c r="AL117" i="3"/>
  <c r="AM117" i="3" s="1"/>
  <c r="AK117" i="3"/>
  <c r="AO117" i="3"/>
  <c r="AN117" i="3"/>
  <c r="AR117" i="3"/>
  <c r="AQ117" i="3"/>
  <c r="AS117" i="3"/>
  <c r="AU117" i="3"/>
  <c r="AT117" i="3"/>
  <c r="AX117" i="3"/>
  <c r="AW117" i="3"/>
  <c r="BA117" i="3"/>
  <c r="AZ117" i="3"/>
  <c r="BB117" i="3"/>
  <c r="BD117" i="3"/>
  <c r="BC117" i="3"/>
  <c r="BE117" i="3" s="1"/>
  <c r="BG117" i="3"/>
  <c r="BF117" i="3"/>
  <c r="BH117" i="3" s="1"/>
  <c r="BJ117" i="3"/>
  <c r="BI117" i="3"/>
  <c r="BM117" i="3"/>
  <c r="BL117" i="3"/>
  <c r="BN117" i="3" s="1"/>
  <c r="BP117" i="3"/>
  <c r="BO117" i="3"/>
  <c r="BQ117" i="3" s="1"/>
  <c r="AF116" i="3"/>
  <c r="AE116" i="3"/>
  <c r="AG116" i="3" s="1"/>
  <c r="AI116" i="3"/>
  <c r="AH116" i="3"/>
  <c r="AL116" i="3"/>
  <c r="AK116" i="3"/>
  <c r="AM116" i="3" s="1"/>
  <c r="AO116" i="3"/>
  <c r="AN116" i="3"/>
  <c r="AR116" i="3"/>
  <c r="AQ116" i="3"/>
  <c r="AU116" i="3"/>
  <c r="AT116" i="3"/>
  <c r="AX116" i="3"/>
  <c r="AW116" i="3"/>
  <c r="BA116" i="3"/>
  <c r="BB116" i="3" s="1"/>
  <c r="AZ116" i="3"/>
  <c r="BD116" i="3"/>
  <c r="BE116" i="3" s="1"/>
  <c r="BC116" i="3"/>
  <c r="BG116" i="3"/>
  <c r="BH116" i="3"/>
  <c r="BF116" i="3"/>
  <c r="BJ116" i="3"/>
  <c r="BK116" i="3" s="1"/>
  <c r="BI116" i="3"/>
  <c r="BM116" i="3"/>
  <c r="BN116" i="3" s="1"/>
  <c r="BL116" i="3"/>
  <c r="BP116" i="3"/>
  <c r="BO116" i="3"/>
  <c r="AF115" i="3"/>
  <c r="AI115" i="3"/>
  <c r="AL115" i="3"/>
  <c r="AM115" i="3" s="1"/>
  <c r="AO115" i="3"/>
  <c r="AR115" i="3"/>
  <c r="AS115" i="3" s="1"/>
  <c r="AU115" i="3"/>
  <c r="AV115" i="3" s="1"/>
  <c r="AX115" i="3"/>
  <c r="BA115" i="3"/>
  <c r="BB115" i="3" s="1"/>
  <c r="BD115" i="3"/>
  <c r="BG115" i="3"/>
  <c r="BH115" i="3" s="1"/>
  <c r="BJ115" i="3"/>
  <c r="BM115" i="3"/>
  <c r="BP115" i="3"/>
  <c r="BQ115" i="3" s="1"/>
  <c r="AE115" i="3"/>
  <c r="AH115" i="3"/>
  <c r="AK115" i="3"/>
  <c r="AN115" i="3"/>
  <c r="AQ115" i="3"/>
  <c r="AT115" i="3"/>
  <c r="AW115" i="3"/>
  <c r="AY115" i="3" s="1"/>
  <c r="AZ115" i="3"/>
  <c r="BC115" i="3"/>
  <c r="BF115" i="3"/>
  <c r="BI115" i="3"/>
  <c r="BL115" i="3"/>
  <c r="BO115" i="3"/>
  <c r="AF114" i="3"/>
  <c r="AI114" i="3"/>
  <c r="AJ114" i="3" s="1"/>
  <c r="AL114" i="3"/>
  <c r="AM114" i="3" s="1"/>
  <c r="AO114" i="3"/>
  <c r="AR114" i="3"/>
  <c r="AU114" i="3"/>
  <c r="AX114" i="3"/>
  <c r="AY114" i="3" s="1"/>
  <c r="BA114" i="3"/>
  <c r="BD114" i="3"/>
  <c r="BE114" i="3" s="1"/>
  <c r="BG114" i="3"/>
  <c r="BJ114" i="3"/>
  <c r="BM114" i="3"/>
  <c r="BP114" i="3"/>
  <c r="BQ114" i="3" s="1"/>
  <c r="AE114" i="3"/>
  <c r="AH114" i="3"/>
  <c r="AK114" i="3"/>
  <c r="AN114" i="3"/>
  <c r="AQ114" i="3"/>
  <c r="AT114" i="3"/>
  <c r="AW114" i="3"/>
  <c r="AZ114" i="3"/>
  <c r="BC114" i="3"/>
  <c r="BF114" i="3"/>
  <c r="BI114" i="3"/>
  <c r="BL114" i="3"/>
  <c r="BO114" i="3"/>
  <c r="AF113" i="3"/>
  <c r="AI113" i="3"/>
  <c r="AJ113" i="3" s="1"/>
  <c r="AL113" i="3"/>
  <c r="AO113" i="3"/>
  <c r="AP113" i="3" s="1"/>
  <c r="AR113" i="3"/>
  <c r="AU113" i="3"/>
  <c r="AX113" i="3"/>
  <c r="BA113" i="3"/>
  <c r="BB113" i="3" s="1"/>
  <c r="BD113" i="3"/>
  <c r="BE113" i="3" s="1"/>
  <c r="BG113" i="3"/>
  <c r="BJ113" i="3"/>
  <c r="BM113" i="3"/>
  <c r="BP113" i="3"/>
  <c r="AE113" i="3"/>
  <c r="AH113" i="3"/>
  <c r="AK113" i="3"/>
  <c r="AN113" i="3"/>
  <c r="AQ113" i="3"/>
  <c r="AS113" i="3" s="1"/>
  <c r="AT113" i="3"/>
  <c r="AW113" i="3"/>
  <c r="AZ113" i="3"/>
  <c r="BC113" i="3"/>
  <c r="BF113" i="3"/>
  <c r="BI113" i="3"/>
  <c r="BK113" i="3" s="1"/>
  <c r="BL113" i="3"/>
  <c r="BO113" i="3"/>
  <c r="AF112" i="3"/>
  <c r="AI112" i="3"/>
  <c r="AL112" i="3"/>
  <c r="AO112" i="3"/>
  <c r="AR112" i="3"/>
  <c r="AS112" i="3" s="1"/>
  <c r="AU112" i="3"/>
  <c r="AV112" i="3" s="1"/>
  <c r="AX112" i="3"/>
  <c r="AY112" i="3" s="1"/>
  <c r="BA112" i="3"/>
  <c r="BB112" i="3" s="1"/>
  <c r="BD112" i="3"/>
  <c r="BG112" i="3"/>
  <c r="BH112" i="3" s="1"/>
  <c r="BJ112" i="3"/>
  <c r="BM112" i="3"/>
  <c r="BN112" i="3" s="1"/>
  <c r="BP112" i="3"/>
  <c r="AE112" i="3"/>
  <c r="AH112" i="3"/>
  <c r="AK112" i="3"/>
  <c r="AN112" i="3"/>
  <c r="AP112" i="3" s="1"/>
  <c r="AQ112" i="3"/>
  <c r="AT112" i="3"/>
  <c r="AW112" i="3"/>
  <c r="AZ112" i="3"/>
  <c r="BC112" i="3"/>
  <c r="BE112" i="3" s="1"/>
  <c r="BF112" i="3"/>
  <c r="BI112" i="3"/>
  <c r="BK112" i="3" s="1"/>
  <c r="BL112" i="3"/>
  <c r="BO112" i="3"/>
  <c r="AF111" i="3"/>
  <c r="AI111" i="3"/>
  <c r="AJ111" i="3" s="1"/>
  <c r="AL111" i="3"/>
  <c r="AO111" i="3"/>
  <c r="AP111" i="3" s="1"/>
  <c r="AR111" i="3"/>
  <c r="AU111" i="3"/>
  <c r="AX111" i="3"/>
  <c r="BA111" i="3"/>
  <c r="BD111" i="3"/>
  <c r="BG111" i="3"/>
  <c r="BJ111" i="3"/>
  <c r="BK111" i="3" s="1"/>
  <c r="BM111" i="3"/>
  <c r="BN111" i="3" s="1"/>
  <c r="BP111" i="3"/>
  <c r="AE111" i="3"/>
  <c r="AG111" i="3" s="1"/>
  <c r="AH111" i="3"/>
  <c r="AK111" i="3"/>
  <c r="AN111" i="3"/>
  <c r="AQ111" i="3"/>
  <c r="AS111" i="3" s="1"/>
  <c r="AT111" i="3"/>
  <c r="AV111" i="3" s="1"/>
  <c r="AW111" i="3"/>
  <c r="AZ111" i="3"/>
  <c r="BC111" i="3"/>
  <c r="BF111" i="3"/>
  <c r="BI111" i="3"/>
  <c r="BL111" i="3"/>
  <c r="BO111" i="3"/>
  <c r="AF110" i="3"/>
  <c r="AG110" i="3" s="1"/>
  <c r="AI110" i="3"/>
  <c r="AJ110" i="3" s="1"/>
  <c r="AL110" i="3"/>
  <c r="AM110" i="3" s="1"/>
  <c r="AO110" i="3"/>
  <c r="AP110" i="3" s="1"/>
  <c r="AR110" i="3"/>
  <c r="AU110" i="3"/>
  <c r="AV110" i="3" s="1"/>
  <c r="AX110" i="3"/>
  <c r="BA110" i="3"/>
  <c r="BB110" i="3" s="1"/>
  <c r="BD110" i="3"/>
  <c r="BG110" i="3"/>
  <c r="BJ110" i="3"/>
  <c r="BM110" i="3"/>
  <c r="BP110" i="3"/>
  <c r="AE110" i="3"/>
  <c r="AH110" i="3"/>
  <c r="AK110" i="3"/>
  <c r="AN110" i="3"/>
  <c r="AQ110" i="3"/>
  <c r="AT110" i="3"/>
  <c r="AW110" i="3"/>
  <c r="AZ110" i="3"/>
  <c r="BC110" i="3"/>
  <c r="BF110" i="3"/>
  <c r="BI110" i="3"/>
  <c r="BK110" i="3" s="1"/>
  <c r="BL110" i="3"/>
  <c r="BO110" i="3"/>
  <c r="BQ110" i="3" s="1"/>
  <c r="AF109" i="3"/>
  <c r="AI109" i="3"/>
  <c r="AL109" i="3"/>
  <c r="AO109" i="3"/>
  <c r="AR109" i="3"/>
  <c r="AU109" i="3"/>
  <c r="AX109" i="3"/>
  <c r="AY109" i="3" s="1"/>
  <c r="BA109" i="3"/>
  <c r="BB109" i="3" s="1"/>
  <c r="BD109" i="3"/>
  <c r="BE109" i="3" s="1"/>
  <c r="BG109" i="3"/>
  <c r="BH109" i="3" s="1"/>
  <c r="BJ109" i="3"/>
  <c r="BM109" i="3"/>
  <c r="BP109" i="3"/>
  <c r="AE109" i="3"/>
  <c r="AH109" i="3"/>
  <c r="AJ109" i="3" s="1"/>
  <c r="AK109" i="3"/>
  <c r="AN109" i="3"/>
  <c r="AQ109" i="3"/>
  <c r="AT109" i="3"/>
  <c r="AW109" i="3"/>
  <c r="AZ109" i="3"/>
  <c r="BC109" i="3"/>
  <c r="BF109" i="3"/>
  <c r="BI109" i="3"/>
  <c r="BL109" i="3"/>
  <c r="BO109" i="3"/>
  <c r="AF108" i="3"/>
  <c r="AI108" i="3"/>
  <c r="AJ108" i="3" s="1"/>
  <c r="AL108" i="3"/>
  <c r="AO108" i="3"/>
  <c r="AP108" i="3" s="1"/>
  <c r="AR108" i="3"/>
  <c r="AU108" i="3"/>
  <c r="AX108" i="3"/>
  <c r="BA108" i="3"/>
  <c r="BD108" i="3"/>
  <c r="BG108" i="3"/>
  <c r="BJ108" i="3"/>
  <c r="BM108" i="3"/>
  <c r="BP108" i="3"/>
  <c r="BQ108" i="3" s="1"/>
  <c r="AE108" i="3"/>
  <c r="AH108" i="3"/>
  <c r="AK108" i="3"/>
  <c r="AM108" i="3" s="1"/>
  <c r="AN108" i="3"/>
  <c r="AQ108" i="3"/>
  <c r="AT108" i="3"/>
  <c r="AW108" i="3"/>
  <c r="AZ108" i="3"/>
  <c r="BC108" i="3"/>
  <c r="BF108" i="3"/>
  <c r="BI108" i="3"/>
  <c r="BL108" i="3"/>
  <c r="BO108" i="3"/>
  <c r="AF107" i="3"/>
  <c r="AG107" i="3" s="1"/>
  <c r="AI107" i="3"/>
  <c r="AL107" i="3"/>
  <c r="AM107" i="3" s="1"/>
  <c r="AO107" i="3"/>
  <c r="AP107" i="3" s="1"/>
  <c r="AR107" i="3"/>
  <c r="AU107" i="3"/>
  <c r="AV107" i="3" s="1"/>
  <c r="AX107" i="3"/>
  <c r="BA107" i="3"/>
  <c r="BB107" i="3" s="1"/>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E106" i="3" s="1"/>
  <c r="BG106" i="3"/>
  <c r="BH106" i="3" s="1"/>
  <c r="BJ106" i="3"/>
  <c r="BK106" i="3" s="1"/>
  <c r="BM106" i="3"/>
  <c r="BN106" i="3" s="1"/>
  <c r="BP106" i="3"/>
  <c r="AE106" i="3"/>
  <c r="AH106" i="3"/>
  <c r="AK106" i="3"/>
  <c r="AN106" i="3"/>
  <c r="AQ106" i="3"/>
  <c r="AT106" i="3"/>
  <c r="AW106" i="3"/>
  <c r="AZ106" i="3"/>
  <c r="BC106" i="3"/>
  <c r="BF106" i="3"/>
  <c r="BI106" i="3"/>
  <c r="BL106" i="3"/>
  <c r="BO106" i="3"/>
  <c r="BQ106" i="3" s="1"/>
  <c r="H95" i="3"/>
  <c r="K95" i="3"/>
  <c r="J95" i="3"/>
  <c r="N95" i="3"/>
  <c r="M95" i="3"/>
  <c r="Q95" i="3"/>
  <c r="P95" i="3"/>
  <c r="S95" i="3"/>
  <c r="W95" i="3"/>
  <c r="V95" i="3"/>
  <c r="Z95" i="3"/>
  <c r="Y95" i="3"/>
  <c r="AC95" i="3"/>
  <c r="AB95" i="3"/>
  <c r="AF95" i="3"/>
  <c r="AE95" i="3"/>
  <c r="AI95" i="3"/>
  <c r="AH95" i="3"/>
  <c r="AL95" i="3"/>
  <c r="AK95" i="3"/>
  <c r="AM95" i="3" s="1"/>
  <c r="AO95" i="3"/>
  <c r="AN95" i="3"/>
  <c r="AP95" i="3"/>
  <c r="AR95" i="3"/>
  <c r="AQ95" i="3"/>
  <c r="AS95" i="3" s="1"/>
  <c r="AU95" i="3"/>
  <c r="AV95" i="3" s="1"/>
  <c r="AT95" i="3"/>
  <c r="AX95" i="3"/>
  <c r="AW95" i="3"/>
  <c r="BA95" i="3"/>
  <c r="AZ95" i="3"/>
  <c r="BD95" i="3"/>
  <c r="BC95" i="3"/>
  <c r="BG95" i="3"/>
  <c r="BF95" i="3"/>
  <c r="BJ95" i="3"/>
  <c r="BK95" i="3" s="1"/>
  <c r="BI95" i="3"/>
  <c r="BM95" i="3"/>
  <c r="BN95" i="3" s="1"/>
  <c r="BL95" i="3"/>
  <c r="BP95" i="3"/>
  <c r="BQ95" i="3" s="1"/>
  <c r="BO95" i="3"/>
  <c r="H94" i="3"/>
  <c r="G94" i="3"/>
  <c r="K94" i="3"/>
  <c r="J94" i="3"/>
  <c r="N94" i="3"/>
  <c r="M94" i="3"/>
  <c r="Q94" i="3"/>
  <c r="P94" i="3"/>
  <c r="T94" i="3"/>
  <c r="S94" i="3"/>
  <c r="W94" i="3"/>
  <c r="V94" i="3"/>
  <c r="Z94" i="3"/>
  <c r="Y94" i="3"/>
  <c r="AC94" i="3"/>
  <c r="AD94" i="3" s="1"/>
  <c r="AB94" i="3"/>
  <c r="AF94" i="3"/>
  <c r="AE94" i="3"/>
  <c r="AI94" i="3"/>
  <c r="AH94" i="3"/>
  <c r="AJ94" i="3" s="1"/>
  <c r="AL94" i="3"/>
  <c r="AK94" i="3"/>
  <c r="AM94" i="3" s="1"/>
  <c r="AO94" i="3"/>
  <c r="AP94" i="3"/>
  <c r="AN94" i="3"/>
  <c r="AR94" i="3"/>
  <c r="AQ94" i="3"/>
  <c r="AU94" i="3"/>
  <c r="AT94" i="3"/>
  <c r="AX94" i="3"/>
  <c r="AY94" i="3" s="1"/>
  <c r="AW94" i="3"/>
  <c r="BA94" i="3"/>
  <c r="AZ94" i="3"/>
  <c r="BD94" i="3"/>
  <c r="BE94" i="3" s="1"/>
  <c r="BC94" i="3"/>
  <c r="BG94" i="3"/>
  <c r="BH94" i="3" s="1"/>
  <c r="BF94" i="3"/>
  <c r="BJ94" i="3"/>
  <c r="BK94" i="3" s="1"/>
  <c r="BI94" i="3"/>
  <c r="BM94" i="3"/>
  <c r="BL94" i="3"/>
  <c r="BP94" i="3"/>
  <c r="BO94" i="3"/>
  <c r="H93" i="3"/>
  <c r="G93" i="3"/>
  <c r="K93" i="3"/>
  <c r="J93" i="3"/>
  <c r="N93" i="3"/>
  <c r="M93" i="3"/>
  <c r="Q93" i="3"/>
  <c r="P93" i="3"/>
  <c r="T93" i="3"/>
  <c r="S93" i="3"/>
  <c r="W93" i="3"/>
  <c r="V93" i="3"/>
  <c r="Z93" i="3"/>
  <c r="Y93" i="3"/>
  <c r="AC93" i="3"/>
  <c r="AB93" i="3"/>
  <c r="AF93" i="3"/>
  <c r="AE93" i="3"/>
  <c r="AI93" i="3"/>
  <c r="AH93" i="3"/>
  <c r="AJ93" i="3" s="1"/>
  <c r="AL93" i="3"/>
  <c r="AK93" i="3"/>
  <c r="AO93" i="3"/>
  <c r="AN93" i="3"/>
  <c r="AR93" i="3"/>
  <c r="AS93" i="3" s="1"/>
  <c r="AQ93" i="3"/>
  <c r="AU93" i="3"/>
  <c r="AT93" i="3"/>
  <c r="AV93" i="3" s="1"/>
  <c r="AX93" i="3"/>
  <c r="AW93" i="3"/>
  <c r="AY93" i="3" s="1"/>
  <c r="BA93" i="3"/>
  <c r="AZ93" i="3"/>
  <c r="BD93" i="3"/>
  <c r="BC93" i="3"/>
  <c r="BE93" i="3"/>
  <c r="BG93" i="3"/>
  <c r="BH93" i="3" s="1"/>
  <c r="BF93" i="3"/>
  <c r="BJ93" i="3"/>
  <c r="BI93" i="3"/>
  <c r="BM93" i="3"/>
  <c r="BL93" i="3"/>
  <c r="BN93" i="3"/>
  <c r="BP93" i="3"/>
  <c r="BO93" i="3"/>
  <c r="H92" i="3"/>
  <c r="D10" i="14" s="1"/>
  <c r="G92" i="3"/>
  <c r="K92" i="3"/>
  <c r="L92" i="3" s="1"/>
  <c r="J92" i="3"/>
  <c r="N92" i="3"/>
  <c r="M92" i="3"/>
  <c r="Q92" i="3"/>
  <c r="P92" i="3"/>
  <c r="T92" i="3"/>
  <c r="S92" i="3"/>
  <c r="W92" i="3"/>
  <c r="V92" i="3"/>
  <c r="Z92" i="3"/>
  <c r="Y92" i="3"/>
  <c r="AC92" i="3"/>
  <c r="AD92" i="3" s="1"/>
  <c r="AB92" i="3"/>
  <c r="AF92" i="3"/>
  <c r="AE92" i="3"/>
  <c r="AI92" i="3"/>
  <c r="AH92" i="3"/>
  <c r="AJ92" i="3" s="1"/>
  <c r="AL92" i="3"/>
  <c r="AK92" i="3"/>
  <c r="AO92" i="3"/>
  <c r="AN92" i="3"/>
  <c r="AR92" i="3"/>
  <c r="AS92" i="3" s="1"/>
  <c r="AQ92" i="3"/>
  <c r="AU92" i="3"/>
  <c r="AT92" i="3"/>
  <c r="AX92" i="3"/>
  <c r="AW92" i="3"/>
  <c r="BA92" i="3"/>
  <c r="AZ92" i="3"/>
  <c r="BD92" i="3"/>
  <c r="BC92" i="3"/>
  <c r="BG92" i="3"/>
  <c r="BF92" i="3"/>
  <c r="BH92" i="3" s="1"/>
  <c r="BJ92" i="3"/>
  <c r="D45" i="14" s="1"/>
  <c r="BI92" i="3"/>
  <c r="BM92" i="3"/>
  <c r="BL92" i="3"/>
  <c r="BP92" i="3"/>
  <c r="BO92" i="3"/>
  <c r="BQ92" i="3"/>
  <c r="H91" i="3"/>
  <c r="G91" i="3"/>
  <c r="K91" i="3"/>
  <c r="J91" i="3"/>
  <c r="N91" i="3"/>
  <c r="M91" i="3"/>
  <c r="Q91" i="3"/>
  <c r="P91" i="3"/>
  <c r="T91" i="3"/>
  <c r="S91" i="3"/>
  <c r="W91" i="3"/>
  <c r="V91" i="3"/>
  <c r="Z91" i="3"/>
  <c r="Y91" i="3"/>
  <c r="AC91" i="3"/>
  <c r="AD91" i="3" s="1"/>
  <c r="AB91" i="3"/>
  <c r="AF91" i="3"/>
  <c r="AE91" i="3"/>
  <c r="AI91" i="3"/>
  <c r="AH91" i="3"/>
  <c r="AJ91" i="3" s="1"/>
  <c r="AL91" i="3"/>
  <c r="AK91" i="3"/>
  <c r="AO91" i="3"/>
  <c r="AN91" i="3"/>
  <c r="AP91" i="3" s="1"/>
  <c r="AR91" i="3"/>
  <c r="AQ91" i="3"/>
  <c r="AU91" i="3"/>
  <c r="AV91" i="3" s="1"/>
  <c r="AT91" i="3"/>
  <c r="AX91" i="3"/>
  <c r="AY91" i="3" s="1"/>
  <c r="AW91" i="3"/>
  <c r="BA91" i="3"/>
  <c r="AZ91" i="3"/>
  <c r="BD91" i="3"/>
  <c r="BC91" i="3"/>
  <c r="BG91" i="3"/>
  <c r="BF91" i="3"/>
  <c r="BH91" i="3"/>
  <c r="BJ91" i="3"/>
  <c r="BK91" i="3" s="1"/>
  <c r="BI91" i="3"/>
  <c r="BM91" i="3"/>
  <c r="BL91" i="3"/>
  <c r="BP91" i="3"/>
  <c r="D114" i="14" s="1"/>
  <c r="BO91" i="3"/>
  <c r="H90" i="3"/>
  <c r="G90" i="3"/>
  <c r="K90" i="3"/>
  <c r="J90" i="3"/>
  <c r="N90" i="3"/>
  <c r="M90" i="3"/>
  <c r="Q90" i="3"/>
  <c r="T90" i="3"/>
  <c r="S90" i="3"/>
  <c r="W90" i="3"/>
  <c r="V90" i="3"/>
  <c r="Z90" i="3"/>
  <c r="Y90" i="3"/>
  <c r="AC90" i="3"/>
  <c r="AB90" i="3"/>
  <c r="AF90" i="3"/>
  <c r="AG90" i="3" s="1"/>
  <c r="AE90" i="3"/>
  <c r="AI90" i="3"/>
  <c r="AH90" i="3"/>
  <c r="AJ90" i="3" s="1"/>
  <c r="AL90" i="3"/>
  <c r="AM90" i="3"/>
  <c r="AK90" i="3"/>
  <c r="AO90" i="3"/>
  <c r="AN90" i="3"/>
  <c r="AR90" i="3"/>
  <c r="AQ90" i="3"/>
  <c r="AU90" i="3"/>
  <c r="AT90" i="3"/>
  <c r="AV90" i="3" s="1"/>
  <c r="AX90" i="3"/>
  <c r="AW90" i="3"/>
  <c r="BA90" i="3"/>
  <c r="AZ90" i="3"/>
  <c r="BD90" i="3"/>
  <c r="BC90" i="3"/>
  <c r="BE90" i="3" s="1"/>
  <c r="BG90" i="3"/>
  <c r="BH90" i="3" s="1"/>
  <c r="BF90" i="3"/>
  <c r="BJ90" i="3"/>
  <c r="BK90" i="3" s="1"/>
  <c r="BI90" i="3"/>
  <c r="BM90" i="3"/>
  <c r="BL90" i="3"/>
  <c r="BP90" i="3"/>
  <c r="BQ90" i="3" s="1"/>
  <c r="BO90" i="3"/>
  <c r="H89" i="3"/>
  <c r="G89" i="3"/>
  <c r="K89" i="3"/>
  <c r="J89" i="3"/>
  <c r="N89" i="3"/>
  <c r="M89" i="3"/>
  <c r="Q89" i="3"/>
  <c r="P89" i="3"/>
  <c r="T89" i="3"/>
  <c r="S89" i="3"/>
  <c r="W89" i="3"/>
  <c r="V89" i="3"/>
  <c r="Z89" i="3"/>
  <c r="Y89" i="3"/>
  <c r="AC89" i="3"/>
  <c r="AD89" i="3" s="1"/>
  <c r="AB89" i="3"/>
  <c r="AF89" i="3"/>
  <c r="AE89" i="3"/>
  <c r="AG89" i="3" s="1"/>
  <c r="AI89" i="3"/>
  <c r="AJ89" i="3" s="1"/>
  <c r="AH89" i="3"/>
  <c r="AL89" i="3"/>
  <c r="AK89" i="3"/>
  <c r="AM89" i="3"/>
  <c r="AO89" i="3"/>
  <c r="AN89" i="3"/>
  <c r="AR89" i="3"/>
  <c r="AQ89" i="3"/>
  <c r="AS89" i="3" s="1"/>
  <c r="AU89" i="3"/>
  <c r="AT89" i="3"/>
  <c r="AV89" i="3"/>
  <c r="AX89" i="3"/>
  <c r="AY89" i="3" s="1"/>
  <c r="AW89" i="3"/>
  <c r="BA89" i="3"/>
  <c r="AZ89" i="3"/>
  <c r="BD89" i="3"/>
  <c r="BC89" i="3"/>
  <c r="BG89" i="3"/>
  <c r="BF89" i="3"/>
  <c r="BJ89" i="3"/>
  <c r="BI89" i="3"/>
  <c r="BM89" i="3"/>
  <c r="BN89" i="3"/>
  <c r="BL89" i="3"/>
  <c r="BP89" i="3"/>
  <c r="BO89" i="3"/>
  <c r="BQ89" i="3" s="1"/>
  <c r="H88" i="3"/>
  <c r="G88" i="3"/>
  <c r="K88" i="3"/>
  <c r="J88" i="3"/>
  <c r="N88" i="3"/>
  <c r="M88" i="3"/>
  <c r="Q88" i="3"/>
  <c r="P88" i="3"/>
  <c r="T88" i="3"/>
  <c r="S88" i="3"/>
  <c r="W88" i="3"/>
  <c r="V88" i="3"/>
  <c r="Z88" i="3"/>
  <c r="Y88" i="3"/>
  <c r="AC88" i="3"/>
  <c r="AB88" i="3"/>
  <c r="AD88" i="3" s="1"/>
  <c r="AF88" i="3"/>
  <c r="AE88" i="3"/>
  <c r="AG88" i="3" s="1"/>
  <c r="AI88" i="3"/>
  <c r="AH88" i="3"/>
  <c r="AL88" i="3"/>
  <c r="AK88" i="3"/>
  <c r="AM88" i="3" s="1"/>
  <c r="AO88" i="3"/>
  <c r="AN88" i="3"/>
  <c r="AR88" i="3"/>
  <c r="AQ88" i="3"/>
  <c r="AS88" i="3" s="1"/>
  <c r="AU88" i="3"/>
  <c r="AT88" i="3"/>
  <c r="AV88" i="3" s="1"/>
  <c r="AX88" i="3"/>
  <c r="AW88" i="3"/>
  <c r="BA88" i="3"/>
  <c r="AZ88" i="3"/>
  <c r="BD88" i="3"/>
  <c r="BC88" i="3"/>
  <c r="BG88" i="3"/>
  <c r="BH88" i="3" s="1"/>
  <c r="BF88" i="3"/>
  <c r="BJ88" i="3"/>
  <c r="BK88" i="3" s="1"/>
  <c r="BI88" i="3"/>
  <c r="BM88" i="3"/>
  <c r="D76" i="14" s="1"/>
  <c r="BL88" i="3"/>
  <c r="BP88" i="3"/>
  <c r="BO88" i="3"/>
  <c r="BQ88" i="3"/>
  <c r="H87" i="3"/>
  <c r="D5" i="14" s="1"/>
  <c r="G87" i="3"/>
  <c r="K87" i="3"/>
  <c r="J87" i="3"/>
  <c r="N87" i="3"/>
  <c r="M87" i="3"/>
  <c r="Q87" i="3"/>
  <c r="P87" i="3"/>
  <c r="T87" i="3"/>
  <c r="S87" i="3"/>
  <c r="W87" i="3"/>
  <c r="V87" i="3"/>
  <c r="Z87" i="3"/>
  <c r="Y87" i="3"/>
  <c r="AC87" i="3"/>
  <c r="AB87" i="3"/>
  <c r="AF87" i="3"/>
  <c r="AE87" i="3"/>
  <c r="AI87" i="3"/>
  <c r="AH87" i="3"/>
  <c r="AJ87" i="3"/>
  <c r="AL87" i="3"/>
  <c r="AK87" i="3"/>
  <c r="AM87" i="3" s="1"/>
  <c r="AO87" i="3"/>
  <c r="AN87" i="3"/>
  <c r="AP87" i="3" s="1"/>
  <c r="AR87" i="3"/>
  <c r="AQ87" i="3"/>
  <c r="AU87" i="3"/>
  <c r="AV87" i="3" s="1"/>
  <c r="AT87" i="3"/>
  <c r="AX87" i="3"/>
  <c r="AY87" i="3" s="1"/>
  <c r="AW87" i="3"/>
  <c r="BA87" i="3"/>
  <c r="AZ87" i="3"/>
  <c r="BD87" i="3"/>
  <c r="BC87" i="3"/>
  <c r="BG87" i="3"/>
  <c r="BF87" i="3"/>
  <c r="BJ87" i="3"/>
  <c r="BK87" i="3" s="1"/>
  <c r="BI87" i="3"/>
  <c r="BM87" i="3"/>
  <c r="BL87" i="3"/>
  <c r="BP87" i="3"/>
  <c r="BO87" i="3"/>
  <c r="BQ87" i="3" s="1"/>
  <c r="H86" i="3"/>
  <c r="G86" i="3"/>
  <c r="K86" i="3"/>
  <c r="J86" i="3"/>
  <c r="N86" i="3"/>
  <c r="M86" i="3"/>
  <c r="Q86" i="3"/>
  <c r="P86" i="3"/>
  <c r="T86" i="3"/>
  <c r="S86" i="3"/>
  <c r="W86" i="3"/>
  <c r="V86" i="3"/>
  <c r="Z86" i="3"/>
  <c r="Y86" i="3"/>
  <c r="AC86" i="3"/>
  <c r="AB86" i="3"/>
  <c r="AF86" i="3"/>
  <c r="AG86" i="3" s="1"/>
  <c r="AE86" i="3"/>
  <c r="AI86" i="3"/>
  <c r="AH86" i="3"/>
  <c r="AL86" i="3"/>
  <c r="AM86" i="3" s="1"/>
  <c r="AK86" i="3"/>
  <c r="AO86" i="3"/>
  <c r="AN86" i="3"/>
  <c r="AP86" i="3" s="1"/>
  <c r="AR86" i="3"/>
  <c r="AQ86" i="3"/>
  <c r="AU86" i="3"/>
  <c r="AT86" i="3"/>
  <c r="AX86" i="3"/>
  <c r="AY86" i="3" s="1"/>
  <c r="AW86" i="3"/>
  <c r="BA86" i="3"/>
  <c r="AZ86" i="3"/>
  <c r="BD86" i="3"/>
  <c r="BE86" i="3" s="1"/>
  <c r="BC86" i="3"/>
  <c r="BG86" i="3"/>
  <c r="BH86" i="3" s="1"/>
  <c r="BF86" i="3"/>
  <c r="BJ86" i="3"/>
  <c r="BI86" i="3"/>
  <c r="BM86" i="3"/>
  <c r="BL86" i="3"/>
  <c r="BP86" i="3"/>
  <c r="BQ86" i="3"/>
  <c r="BO86" i="3"/>
  <c r="AH84" i="3"/>
  <c r="AK84" i="3"/>
  <c r="AN84" i="3"/>
  <c r="AQ84" i="3"/>
  <c r="AT84" i="3"/>
  <c r="AW84" i="3"/>
  <c r="AW83" i="3"/>
  <c r="BF83" i="3"/>
  <c r="AE82" i="3"/>
  <c r="AH81" i="3"/>
  <c r="AN81" i="3"/>
  <c r="AQ81" i="3"/>
  <c r="AW81" i="3"/>
  <c r="AZ80" i="3"/>
  <c r="BC80" i="3"/>
  <c r="BF80" i="3"/>
  <c r="BI80" i="3"/>
  <c r="AE79" i="3"/>
  <c r="AH78" i="3"/>
  <c r="AQ78" i="3"/>
  <c r="AT78" i="3"/>
  <c r="AZ78" i="3"/>
  <c r="BC78" i="3"/>
  <c r="BC77" i="3"/>
  <c r="BI77" i="3"/>
  <c r="BL77" i="3"/>
  <c r="BO77" i="3"/>
  <c r="G76" i="3"/>
  <c r="BO76"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I63" i="3"/>
  <c r="L63" i="3"/>
  <c r="O63" i="3"/>
  <c r="R63" i="3"/>
  <c r="U63" i="3"/>
  <c r="X63" i="3"/>
  <c r="AA63" i="3"/>
  <c r="AD63" i="3"/>
  <c r="AG63" i="3"/>
  <c r="AJ63" i="3"/>
  <c r="AM63" i="3"/>
  <c r="AP63" i="3"/>
  <c r="AS63" i="3"/>
  <c r="AV63" i="3"/>
  <c r="AY63" i="3"/>
  <c r="BB63" i="3"/>
  <c r="BE63" i="3"/>
  <c r="BH63" i="3"/>
  <c r="BK63" i="3"/>
  <c r="BN63" i="3"/>
  <c r="BQ63" i="3"/>
  <c r="I62" i="3"/>
  <c r="L62" i="3"/>
  <c r="O62" i="3"/>
  <c r="R62" i="3"/>
  <c r="U62" i="3"/>
  <c r="X62" i="3"/>
  <c r="AA62" i="3"/>
  <c r="AD62" i="3"/>
  <c r="AG62" i="3"/>
  <c r="AJ62" i="3"/>
  <c r="AM62" i="3"/>
  <c r="AP62" i="3"/>
  <c r="AS62" i="3"/>
  <c r="AV62" i="3"/>
  <c r="AY62" i="3"/>
  <c r="BB62" i="3"/>
  <c r="BE62" i="3"/>
  <c r="BH62" i="3"/>
  <c r="BK62" i="3"/>
  <c r="BN62" i="3"/>
  <c r="BQ62" i="3"/>
  <c r="I61" i="3"/>
  <c r="L61" i="3"/>
  <c r="O61" i="3"/>
  <c r="R61" i="3"/>
  <c r="U61" i="3"/>
  <c r="X61" i="3"/>
  <c r="AA61" i="3"/>
  <c r="AD61" i="3"/>
  <c r="AG61" i="3"/>
  <c r="AJ61" i="3"/>
  <c r="AM61" i="3"/>
  <c r="AP61" i="3"/>
  <c r="AS61" i="3"/>
  <c r="AV61" i="3"/>
  <c r="AY61" i="3"/>
  <c r="BB61" i="3"/>
  <c r="BE61" i="3"/>
  <c r="BH61" i="3"/>
  <c r="BK61" i="3"/>
  <c r="BN61" i="3"/>
  <c r="BQ61" i="3"/>
  <c r="I60" i="3"/>
  <c r="L60" i="3"/>
  <c r="O60" i="3"/>
  <c r="R60" i="3"/>
  <c r="U60" i="3"/>
  <c r="X60" i="3"/>
  <c r="AA60" i="3"/>
  <c r="AD60" i="3"/>
  <c r="AG60" i="3"/>
  <c r="AJ60" i="3"/>
  <c r="AM60" i="3"/>
  <c r="AP60" i="3"/>
  <c r="AS60" i="3"/>
  <c r="AV60" i="3"/>
  <c r="AY60" i="3"/>
  <c r="BB60" i="3"/>
  <c r="BE60" i="3"/>
  <c r="BH60" i="3"/>
  <c r="BK60" i="3"/>
  <c r="BN60" i="3"/>
  <c r="BQ60" i="3"/>
  <c r="I59" i="3"/>
  <c r="L59" i="3"/>
  <c r="O59" i="3"/>
  <c r="R59" i="3"/>
  <c r="U59" i="3"/>
  <c r="X59" i="3"/>
  <c r="AA59" i="3"/>
  <c r="AD59" i="3"/>
  <c r="AG59" i="3"/>
  <c r="AJ59" i="3"/>
  <c r="AM59" i="3"/>
  <c r="AP59" i="3"/>
  <c r="AS59" i="3"/>
  <c r="AV59" i="3"/>
  <c r="AY59" i="3"/>
  <c r="BB59" i="3"/>
  <c r="BE59" i="3"/>
  <c r="BH59" i="3"/>
  <c r="BK59" i="3"/>
  <c r="BN59" i="3"/>
  <c r="BQ59" i="3"/>
  <c r="I58" i="3"/>
  <c r="L58" i="3"/>
  <c r="O58" i="3"/>
  <c r="R58" i="3"/>
  <c r="U58" i="3"/>
  <c r="X58" i="3"/>
  <c r="AA58" i="3"/>
  <c r="AD58" i="3"/>
  <c r="AG58" i="3"/>
  <c r="AJ58" i="3"/>
  <c r="AM58" i="3"/>
  <c r="AP58" i="3"/>
  <c r="AS58" i="3"/>
  <c r="AV58" i="3"/>
  <c r="AY58" i="3"/>
  <c r="BB58" i="3"/>
  <c r="BE58" i="3"/>
  <c r="BH58" i="3"/>
  <c r="BK58" i="3"/>
  <c r="BN58" i="3"/>
  <c r="BQ58" i="3"/>
  <c r="I57" i="3"/>
  <c r="L57" i="3"/>
  <c r="O57" i="3"/>
  <c r="R57" i="3"/>
  <c r="U57" i="3"/>
  <c r="X57" i="3"/>
  <c r="AA57" i="3"/>
  <c r="AD57" i="3"/>
  <c r="AG57" i="3"/>
  <c r="AJ57" i="3"/>
  <c r="AM57" i="3"/>
  <c r="AP57" i="3"/>
  <c r="AS57" i="3"/>
  <c r="AV57" i="3"/>
  <c r="AY57" i="3"/>
  <c r="BB57" i="3"/>
  <c r="BE57" i="3"/>
  <c r="BH57" i="3"/>
  <c r="BK57" i="3"/>
  <c r="BN57" i="3"/>
  <c r="BQ57" i="3"/>
  <c r="I56" i="3"/>
  <c r="L56" i="3"/>
  <c r="O56" i="3"/>
  <c r="R56" i="3"/>
  <c r="U56" i="3"/>
  <c r="X56" i="3"/>
  <c r="AA56" i="3"/>
  <c r="AD56" i="3"/>
  <c r="AG56" i="3"/>
  <c r="AJ56" i="3"/>
  <c r="AM56" i="3"/>
  <c r="AP56" i="3"/>
  <c r="AS56" i="3"/>
  <c r="AV56" i="3"/>
  <c r="AY56" i="3"/>
  <c r="BB56" i="3"/>
  <c r="BE56" i="3"/>
  <c r="BH56" i="3"/>
  <c r="BK56" i="3"/>
  <c r="BN56" i="3"/>
  <c r="BQ56" i="3"/>
  <c r="I55" i="3"/>
  <c r="L55" i="3"/>
  <c r="O55" i="3"/>
  <c r="R55" i="3"/>
  <c r="U55" i="3"/>
  <c r="X55" i="3"/>
  <c r="AA55" i="3"/>
  <c r="AD55" i="3"/>
  <c r="AG55" i="3"/>
  <c r="AJ55" i="3"/>
  <c r="AM55" i="3"/>
  <c r="AP55" i="3"/>
  <c r="AS55" i="3"/>
  <c r="AV55" i="3"/>
  <c r="AY55" i="3"/>
  <c r="BB55" i="3"/>
  <c r="BE55" i="3"/>
  <c r="BH55" i="3"/>
  <c r="BK55" i="3"/>
  <c r="BN55" i="3"/>
  <c r="BQ55" i="3"/>
  <c r="F54" i="3"/>
  <c r="F52" i="3"/>
  <c r="F49" i="3"/>
  <c r="F48" i="3"/>
  <c r="L14" i="3"/>
  <c r="O14" i="3"/>
  <c r="R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BO2" i="3"/>
  <c r="A107" i="14" s="1"/>
  <c r="BL2" i="3"/>
  <c r="A72" i="14" s="1"/>
  <c r="BI2" i="3"/>
  <c r="A37" i="14" s="1"/>
  <c r="BF2" i="3"/>
  <c r="AN2" i="3"/>
  <c r="AK2" i="3"/>
  <c r="AE2" i="3"/>
  <c r="AB2" i="3"/>
  <c r="M2" i="3"/>
  <c r="J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P115" i="3"/>
  <c r="AG106" i="3"/>
  <c r="AY111" i="3"/>
  <c r="AS107" i="3"/>
  <c r="AD112" i="3"/>
  <c r="AM109" i="3"/>
  <c r="AJ107" i="3"/>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3" i="32"/>
  <c r="H4" i="32"/>
  <c r="H5" i="32"/>
  <c r="H6" i="32"/>
  <c r="H7" i="32"/>
  <c r="H8" i="32"/>
  <c r="H9" i="32"/>
  <c r="H10" i="32"/>
  <c r="H11" i="32"/>
  <c r="H12" i="32"/>
  <c r="H13" i="32"/>
  <c r="H14" i="32"/>
  <c r="H15" i="32"/>
  <c r="H16" i="32"/>
  <c r="H17" i="32"/>
  <c r="H18" i="32"/>
  <c r="H19" i="32"/>
  <c r="H20" i="32"/>
  <c r="H21" i="32"/>
  <c r="H22" i="32"/>
  <c r="H23" i="32"/>
  <c r="H24" i="28"/>
  <c r="J24" i="28" s="1"/>
  <c r="H19" i="28"/>
  <c r="J19" i="28" s="1"/>
  <c r="H14" i="28"/>
  <c r="J14" i="28" s="1"/>
  <c r="H9" i="28"/>
  <c r="J9" i="28"/>
  <c r="H25" i="28"/>
  <c r="J25" i="28" s="1"/>
  <c r="H27" i="28"/>
  <c r="H26" i="28"/>
  <c r="J26" i="28" s="1"/>
  <c r="H22" i="28"/>
  <c r="H21" i="28"/>
  <c r="J21" i="28" s="1"/>
  <c r="H20" i="28"/>
  <c r="J20" i="28" s="1"/>
  <c r="H17" i="28"/>
  <c r="H16" i="28"/>
  <c r="J16" i="28" s="1"/>
  <c r="H15" i="28"/>
  <c r="J15" i="28" s="1"/>
  <c r="H12" i="28"/>
  <c r="H11" i="28"/>
  <c r="J11" i="28" s="1"/>
  <c r="H10" i="28"/>
  <c r="J10" i="28"/>
  <c r="H7" i="28"/>
  <c r="H5" i="28"/>
  <c r="J5" i="28" s="1"/>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1" i="3"/>
  <c r="E138" i="14"/>
  <c r="E137" i="14"/>
  <c r="E136" i="14"/>
  <c r="E135" i="14"/>
  <c r="E134" i="14"/>
  <c r="E133" i="14"/>
  <c r="E132" i="14"/>
  <c r="E131" i="14"/>
  <c r="E130" i="14"/>
  <c r="E129" i="14"/>
  <c r="E128" i="14"/>
  <c r="D128" i="14" s="1"/>
  <c r="E127" i="14"/>
  <c r="D127" i="14" s="1"/>
  <c r="E126" i="14"/>
  <c r="D126" i="14" s="1"/>
  <c r="E125" i="14"/>
  <c r="D125" i="14"/>
  <c r="E124" i="14"/>
  <c r="D124" i="14"/>
  <c r="E123" i="14"/>
  <c r="D123" i="14" s="1"/>
  <c r="E122" i="14"/>
  <c r="D122" i="14"/>
  <c r="E121" i="14"/>
  <c r="D121" i="14"/>
  <c r="E120" i="14"/>
  <c r="D120" i="14"/>
  <c r="E119" i="14"/>
  <c r="D119" i="14" s="1"/>
  <c r="E118" i="14"/>
  <c r="E117" i="14"/>
  <c r="D117" i="14" s="1"/>
  <c r="E116" i="14"/>
  <c r="E115" i="14"/>
  <c r="D115" i="14" s="1"/>
  <c r="E114" i="14"/>
  <c r="E113" i="14"/>
  <c r="D113" i="14" s="1"/>
  <c r="E112" i="14"/>
  <c r="E111" i="14"/>
  <c r="E110" i="14"/>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c r="E56" i="14"/>
  <c r="D56" i="14" s="1"/>
  <c r="E55" i="14"/>
  <c r="D55" i="14" s="1"/>
  <c r="E54" i="14"/>
  <c r="D54" i="14" s="1"/>
  <c r="E53" i="14"/>
  <c r="D53" i="14" s="1"/>
  <c r="E52" i="14"/>
  <c r="D52" i="14" s="1"/>
  <c r="E51" i="14"/>
  <c r="D51" i="14"/>
  <c r="E50" i="14"/>
  <c r="D50" i="14" s="1"/>
  <c r="E49" i="14"/>
  <c r="D49" i="14" s="1"/>
  <c r="E48" i="14"/>
  <c r="D48" i="14" s="1"/>
  <c r="E47" i="14"/>
  <c r="E46" i="14"/>
  <c r="D46" i="14" s="1"/>
  <c r="E45" i="14"/>
  <c r="E44" i="14"/>
  <c r="E43" i="14"/>
  <c r="E42" i="14"/>
  <c r="E41" i="14"/>
  <c r="E40" i="14"/>
  <c r="E39" i="14"/>
  <c r="D39" i="14" s="1"/>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c r="E16" i="14"/>
  <c r="D16" i="14" s="1"/>
  <c r="E15" i="14"/>
  <c r="D15" i="14" s="1"/>
  <c r="E14" i="14"/>
  <c r="D14" i="14" s="1"/>
  <c r="E13" i="14"/>
  <c r="E12" i="14"/>
  <c r="E11" i="14"/>
  <c r="E10" i="14"/>
  <c r="E9" i="14"/>
  <c r="E8" i="14"/>
  <c r="E7" i="14"/>
  <c r="E6" i="14"/>
  <c r="E5" i="14"/>
  <c r="E4" i="14"/>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D110" i="14"/>
  <c r="BQ54" i="3"/>
  <c r="BN54" i="3"/>
  <c r="BK54" i="3"/>
  <c r="I54" i="3"/>
  <c r="BQ53" i="3"/>
  <c r="BN53" i="3"/>
  <c r="BK53" i="3"/>
  <c r="I53" i="3"/>
  <c r="F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J11" i="11"/>
  <c r="L11" i="11"/>
  <c r="BK15" i="3"/>
  <c r="BK16" i="3"/>
  <c r="BN17" i="3"/>
  <c r="BN21" i="3"/>
  <c r="I19" i="3"/>
  <c r="I23" i="3"/>
  <c r="I18" i="3"/>
  <c r="I22" i="3"/>
  <c r="D112" i="14"/>
  <c r="I15" i="3"/>
  <c r="I17" i="3"/>
  <c r="I21" i="3"/>
  <c r="BK17" i="3"/>
  <c r="BQ17" i="3"/>
  <c r="BN109" i="3"/>
  <c r="BQ111" i="3"/>
  <c r="BQ18" i="3"/>
  <c r="BQ19" i="3"/>
  <c r="BK20" i="3"/>
  <c r="BK21" i="3"/>
  <c r="BQ22" i="3"/>
  <c r="BK23" i="3"/>
  <c r="BK24" i="3"/>
  <c r="BQ24" i="3"/>
  <c r="BQ15" i="3"/>
  <c r="BQ16" i="3"/>
  <c r="I16" i="3"/>
  <c r="BN15" i="3"/>
  <c r="BN16" i="3"/>
  <c r="D25" i="11"/>
  <c r="I4" i="6" s="1"/>
  <c r="E25" i="17"/>
  <c r="E3" i="17" s="1"/>
  <c r="AF14" i="20"/>
  <c r="BH108" i="3"/>
  <c r="BH111" i="3"/>
  <c r="BN114" i="3"/>
  <c r="E22" i="32"/>
  <c r="E18" i="32"/>
  <c r="T27" i="37"/>
  <c r="T14" i="37"/>
  <c r="T13" i="37"/>
  <c r="K40" i="11"/>
  <c r="BH124" i="3"/>
  <c r="AP92" i="3"/>
  <c r="AG94" i="3"/>
  <c r="AJ116" i="3"/>
  <c r="B10" i="35"/>
  <c r="E7" i="32" s="1"/>
  <c r="B18" i="35"/>
  <c r="T21" i="37"/>
  <c r="T16" i="37"/>
  <c r="U15" i="29"/>
  <c r="V15" i="29" s="1"/>
  <c r="O3" i="39"/>
  <c r="U3" i="39" s="1"/>
  <c r="T3" i="39"/>
  <c r="Q3" i="39"/>
  <c r="V3" i="39" s="1"/>
  <c r="H10" i="37" l="1"/>
  <c r="B11" i="35"/>
  <c r="E8" i="32" s="1"/>
  <c r="M146" i="30" s="1"/>
  <c r="H35" i="37"/>
  <c r="H37" i="37"/>
  <c r="S22" i="37"/>
  <c r="S5" i="37"/>
  <c r="H22" i="37"/>
  <c r="H9" i="37"/>
  <c r="H21" i="37"/>
  <c r="I21" i="37" s="1"/>
  <c r="H18" i="37"/>
  <c r="I18" i="37" s="1"/>
  <c r="H24" i="37"/>
  <c r="H36" i="37"/>
  <c r="H11" i="37"/>
  <c r="I11" i="37" s="1"/>
  <c r="S23" i="37"/>
  <c r="S19" i="37"/>
  <c r="S6" i="37"/>
  <c r="H7" i="37"/>
  <c r="I7" i="37" s="1"/>
  <c r="H20" i="37"/>
  <c r="I20" i="37" s="1"/>
  <c r="H29" i="37"/>
  <c r="I29" i="37" s="1"/>
  <c r="Y83" i="3"/>
  <c r="Y79" i="3"/>
  <c r="S4" i="37"/>
  <c r="S12" i="37"/>
  <c r="H8" i="37"/>
  <c r="I8" i="37" s="1"/>
  <c r="AA113" i="3"/>
  <c r="E112" i="3"/>
  <c r="E106" i="3"/>
  <c r="D111" i="3"/>
  <c r="E124" i="3"/>
  <c r="E118" i="3"/>
  <c r="L122" i="3"/>
  <c r="D66" i="3"/>
  <c r="D74" i="3"/>
  <c r="D110" i="3"/>
  <c r="E123" i="3"/>
  <c r="D11" i="4" s="1"/>
  <c r="W11" i="4" s="1"/>
  <c r="E117" i="3"/>
  <c r="D5" i="4" s="1"/>
  <c r="W5" i="4" s="1"/>
  <c r="F5" i="3"/>
  <c r="D122" i="3"/>
  <c r="E113" i="3"/>
  <c r="S11" i="6" s="1"/>
  <c r="E107" i="3"/>
  <c r="D119" i="3"/>
  <c r="D112" i="3"/>
  <c r="D106" i="3"/>
  <c r="E119" i="3"/>
  <c r="D124" i="3"/>
  <c r="D118" i="3"/>
  <c r="F9" i="3"/>
  <c r="E111" i="3"/>
  <c r="D123" i="3"/>
  <c r="C11" i="4" s="1"/>
  <c r="V11" i="4" s="1"/>
  <c r="D117" i="3"/>
  <c r="D70" i="3"/>
  <c r="E110" i="3"/>
  <c r="D116" i="3"/>
  <c r="D109" i="3"/>
  <c r="E122" i="3"/>
  <c r="E116" i="3"/>
  <c r="E109" i="3"/>
  <c r="D121" i="3"/>
  <c r="D114" i="3"/>
  <c r="D108" i="3"/>
  <c r="R6" i="6" s="1"/>
  <c r="U6" i="6" s="1"/>
  <c r="E121" i="3"/>
  <c r="D9" i="4" s="1"/>
  <c r="W9" i="4" s="1"/>
  <c r="E114" i="3"/>
  <c r="E108" i="3"/>
  <c r="D120" i="3"/>
  <c r="D68" i="3"/>
  <c r="D72" i="3"/>
  <c r="D113" i="3"/>
  <c r="D107" i="3"/>
  <c r="E120" i="3"/>
  <c r="F6" i="3"/>
  <c r="F10" i="3"/>
  <c r="F13" i="3"/>
  <c r="D67" i="3"/>
  <c r="D71" i="3"/>
  <c r="F8" i="3"/>
  <c r="F12" i="3"/>
  <c r="E13" i="3"/>
  <c r="F7" i="3"/>
  <c r="F11" i="3"/>
  <c r="D69" i="3"/>
  <c r="D73" i="3"/>
  <c r="G14" i="3"/>
  <c r="D13" i="3"/>
  <c r="D90" i="3"/>
  <c r="D86" i="3"/>
  <c r="E86" i="3"/>
  <c r="D87" i="3"/>
  <c r="D88" i="3"/>
  <c r="D89" i="3"/>
  <c r="D91" i="3"/>
  <c r="D92" i="3"/>
  <c r="D93" i="3"/>
  <c r="D94" i="3"/>
  <c r="E87" i="3"/>
  <c r="E88" i="3"/>
  <c r="E89" i="3"/>
  <c r="E90" i="3"/>
  <c r="E91" i="3"/>
  <c r="E92" i="3"/>
  <c r="E93" i="3"/>
  <c r="E94" i="3"/>
  <c r="L93" i="3"/>
  <c r="AA106" i="3"/>
  <c r="U118" i="3"/>
  <c r="X122" i="3"/>
  <c r="Y2" i="3"/>
  <c r="M64" i="29"/>
  <c r="B19" i="35"/>
  <c r="L106" i="3"/>
  <c r="AA122" i="3"/>
  <c r="AA107" i="3"/>
  <c r="U87" i="3"/>
  <c r="U109" i="3"/>
  <c r="I94" i="3"/>
  <c r="AA95" i="3"/>
  <c r="AA94" i="3"/>
  <c r="L88" i="3"/>
  <c r="D7" i="14"/>
  <c r="L107" i="3"/>
  <c r="U113" i="3"/>
  <c r="AA109" i="3"/>
  <c r="X119" i="3"/>
  <c r="AA117" i="3"/>
  <c r="L91" i="3"/>
  <c r="L112" i="3"/>
  <c r="L120" i="3"/>
  <c r="U88" i="3"/>
  <c r="O92" i="3"/>
  <c r="AI4" i="20"/>
  <c r="L121" i="3"/>
  <c r="L114" i="3"/>
  <c r="L123" i="3"/>
  <c r="L87" i="3"/>
  <c r="AI17" i="20"/>
  <c r="AI16" i="20" s="1"/>
  <c r="F4" i="20"/>
  <c r="X89" i="3"/>
  <c r="X115" i="3"/>
  <c r="X94" i="3"/>
  <c r="X107" i="3"/>
  <c r="X88" i="3"/>
  <c r="X121" i="3"/>
  <c r="AA88" i="3"/>
  <c r="O114" i="3"/>
  <c r="R107" i="3"/>
  <c r="R112" i="3"/>
  <c r="U112" i="3"/>
  <c r="U117" i="3"/>
  <c r="U108" i="3"/>
  <c r="U90" i="3"/>
  <c r="U111" i="3"/>
  <c r="U123" i="3"/>
  <c r="U94" i="3"/>
  <c r="R111" i="3"/>
  <c r="R93" i="3"/>
  <c r="R124" i="3"/>
  <c r="O108" i="3"/>
  <c r="AA119" i="3"/>
  <c r="AA115" i="3"/>
  <c r="AA121" i="3"/>
  <c r="AA89" i="3"/>
  <c r="AA110" i="3"/>
  <c r="AA120" i="3"/>
  <c r="X91" i="3"/>
  <c r="X120" i="3"/>
  <c r="X125" i="3"/>
  <c r="X87" i="3"/>
  <c r="U122" i="3"/>
  <c r="U121" i="3"/>
  <c r="U110" i="3"/>
  <c r="U124" i="3"/>
  <c r="R120" i="3"/>
  <c r="R118" i="3"/>
  <c r="R108" i="3"/>
  <c r="R89" i="3"/>
  <c r="R94" i="3"/>
  <c r="R95" i="3"/>
  <c r="R122" i="3"/>
  <c r="R88" i="3"/>
  <c r="R92" i="3"/>
  <c r="R117" i="3"/>
  <c r="I123" i="3"/>
  <c r="I113" i="3"/>
  <c r="D9" i="14"/>
  <c r="I93" i="3"/>
  <c r="I91" i="3"/>
  <c r="I108" i="3"/>
  <c r="I118" i="3"/>
  <c r="U86" i="3"/>
  <c r="U116" i="3"/>
  <c r="X116" i="3"/>
  <c r="X106" i="3"/>
  <c r="AA86" i="3"/>
  <c r="AA116" i="3"/>
  <c r="R4" i="6"/>
  <c r="U4" i="6" s="1"/>
  <c r="L4" i="20"/>
  <c r="O122" i="3"/>
  <c r="O86" i="3"/>
  <c r="O91" i="3"/>
  <c r="O115" i="3"/>
  <c r="O120" i="3"/>
  <c r="O89" i="3"/>
  <c r="O119" i="3"/>
  <c r="O124" i="3"/>
  <c r="O88" i="3"/>
  <c r="O113" i="3"/>
  <c r="O118" i="3"/>
  <c r="R5" i="6"/>
  <c r="O107" i="3"/>
  <c r="O125" i="3"/>
  <c r="I122" i="3"/>
  <c r="D11" i="14"/>
  <c r="D10" i="4"/>
  <c r="W10" i="4" s="1"/>
  <c r="I88" i="3"/>
  <c r="I114" i="3"/>
  <c r="I111" i="3"/>
  <c r="D4" i="14"/>
  <c r="M119" i="30"/>
  <c r="M11" i="30"/>
  <c r="M118" i="30"/>
  <c r="M148" i="30"/>
  <c r="M147" i="30"/>
  <c r="M149" i="30"/>
  <c r="M65" i="30"/>
  <c r="M58" i="30"/>
  <c r="M57" i="30"/>
  <c r="M144" i="30"/>
  <c r="M121" i="30"/>
  <c r="M117" i="30"/>
  <c r="M116" i="30"/>
  <c r="M109" i="30"/>
  <c r="M93" i="30"/>
  <c r="M75" i="30"/>
  <c r="M39" i="30"/>
  <c r="M10" i="30"/>
  <c r="I3" i="32"/>
  <c r="F42" i="9" s="1"/>
  <c r="I8" i="32"/>
  <c r="I9" i="32"/>
  <c r="L45" i="9" s="1"/>
  <c r="B14" i="35"/>
  <c r="E21" i="32"/>
  <c r="Z15" i="9"/>
  <c r="Z14" i="9"/>
  <c r="W5" i="10"/>
  <c r="W11" i="10"/>
  <c r="W14" i="10"/>
  <c r="K11" i="9"/>
  <c r="K12" i="9"/>
  <c r="K15" i="9"/>
  <c r="O8" i="10"/>
  <c r="O7" i="10"/>
  <c r="O11" i="10"/>
  <c r="O12" i="10"/>
  <c r="O6" i="9"/>
  <c r="O8" i="9"/>
  <c r="O10" i="9"/>
  <c r="O12" i="9"/>
  <c r="O14" i="9"/>
  <c r="H17" i="37"/>
  <c r="H6" i="37"/>
  <c r="I6" i="37" s="1"/>
  <c r="H19" i="37"/>
  <c r="I19" i="37" s="1"/>
  <c r="I4" i="32"/>
  <c r="G41" i="9" s="1"/>
  <c r="I6" i="32"/>
  <c r="I7" i="32"/>
  <c r="J65" i="9" s="1"/>
  <c r="B1" i="34"/>
  <c r="B2" i="34" s="1"/>
  <c r="D5" i="32" s="1"/>
  <c r="B21" i="35"/>
  <c r="B9" i="35"/>
  <c r="E6" i="32" s="1"/>
  <c r="B17" i="35"/>
  <c r="B12" i="35"/>
  <c r="E9" i="32" s="1"/>
  <c r="B23" i="35"/>
  <c r="B20" i="35"/>
  <c r="B13" i="35"/>
  <c r="B25" i="35"/>
  <c r="B22" i="35"/>
  <c r="B26" i="35"/>
  <c r="B15" i="35"/>
  <c r="E58" i="28"/>
  <c r="E63" i="28"/>
  <c r="E103" i="28"/>
  <c r="E48" i="28"/>
  <c r="E88" i="28"/>
  <c r="H20" i="10"/>
  <c r="G12" i="9"/>
  <c r="G20" i="10"/>
  <c r="G12" i="10"/>
  <c r="G21" i="10"/>
  <c r="G13" i="10"/>
  <c r="G19" i="10"/>
  <c r="G11" i="10"/>
  <c r="G18" i="10"/>
  <c r="G10" i="10"/>
  <c r="G17" i="10"/>
  <c r="G9" i="10"/>
  <c r="G16" i="10"/>
  <c r="G8" i="10"/>
  <c r="G24" i="10"/>
  <c r="G15" i="10"/>
  <c r="G23" i="10"/>
  <c r="G14" i="10"/>
  <c r="G5" i="10"/>
  <c r="E3" i="28"/>
  <c r="G3" i="28" s="1"/>
  <c r="H3" i="28" s="1"/>
  <c r="J3" i="28" s="1"/>
  <c r="E8" i="28"/>
  <c r="F33" i="28"/>
  <c r="F98" i="28"/>
  <c r="F38" i="28"/>
  <c r="E83" i="28"/>
  <c r="F93" i="28"/>
  <c r="E13" i="28"/>
  <c r="E18" i="28"/>
  <c r="H14" i="9"/>
  <c r="H15" i="9"/>
  <c r="H12" i="9"/>
  <c r="H11" i="9"/>
  <c r="E43" i="28"/>
  <c r="H10" i="9"/>
  <c r="H8" i="9"/>
  <c r="F23" i="28"/>
  <c r="S9" i="37"/>
  <c r="H5" i="37"/>
  <c r="I5" i="37" s="1"/>
  <c r="I31" i="37"/>
  <c r="I23" i="37"/>
  <c r="C40" i="37"/>
  <c r="S8" i="37"/>
  <c r="M47" i="29"/>
  <c r="M49" i="29"/>
  <c r="M50" i="29"/>
  <c r="H40" i="11"/>
  <c r="M8" i="6"/>
  <c r="N8" i="6" s="1"/>
  <c r="P5" i="4"/>
  <c r="E53" i="28"/>
  <c r="BN86" i="3"/>
  <c r="O87" i="3"/>
  <c r="AJ88" i="3"/>
  <c r="O93" i="3"/>
  <c r="BH114" i="3"/>
  <c r="AM124" i="3"/>
  <c r="I106" i="3"/>
  <c r="L108" i="3"/>
  <c r="O111" i="3"/>
  <c r="X112" i="3"/>
  <c r="E40" i="11"/>
  <c r="M5" i="6"/>
  <c r="N5" i="6" s="1"/>
  <c r="E19" i="32"/>
  <c r="S6" i="9"/>
  <c r="S7" i="9"/>
  <c r="AT2" i="3"/>
  <c r="S8" i="9"/>
  <c r="P9" i="4"/>
  <c r="M40" i="11"/>
  <c r="BH87" i="3"/>
  <c r="BE88" i="3"/>
  <c r="BE92" i="3"/>
  <c r="AG93" i="3"/>
  <c r="AY95" i="3"/>
  <c r="AS106" i="3"/>
  <c r="AG121" i="3"/>
  <c r="AG125" i="3"/>
  <c r="L115" i="3"/>
  <c r="D7" i="4"/>
  <c r="W7" i="4" s="1"/>
  <c r="R8" i="6"/>
  <c r="BB88" i="3"/>
  <c r="BB89" i="3"/>
  <c r="BB119" i="3"/>
  <c r="BK123" i="3"/>
  <c r="O116" i="3"/>
  <c r="E17" i="32"/>
  <c r="Q13" i="9"/>
  <c r="Q6" i="9"/>
  <c r="Q8" i="9"/>
  <c r="V6" i="10"/>
  <c r="I40" i="11"/>
  <c r="M9" i="6"/>
  <c r="N9" i="6" s="1"/>
  <c r="E171" i="9"/>
  <c r="C20" i="39" s="1"/>
  <c r="AJ86" i="3"/>
  <c r="AG87" i="3"/>
  <c r="AY108" i="3"/>
  <c r="AP109" i="3"/>
  <c r="AG109" i="3"/>
  <c r="BB111" i="3"/>
  <c r="G4" i="20"/>
  <c r="O109" i="3"/>
  <c r="H10" i="4"/>
  <c r="U120" i="3"/>
  <c r="B1" i="33"/>
  <c r="B2" i="33" s="1"/>
  <c r="E16" i="32"/>
  <c r="D47" i="14"/>
  <c r="AZ17" i="20"/>
  <c r="AZ16" i="20" s="1"/>
  <c r="E15" i="32"/>
  <c r="D11" i="11"/>
  <c r="E78" i="28"/>
  <c r="E20" i="32"/>
  <c r="D116" i="14"/>
  <c r="AY92" i="3"/>
  <c r="AA93" i="3"/>
  <c r="AS94" i="3"/>
  <c r="AY120" i="3"/>
  <c r="C10" i="4"/>
  <c r="V10" i="4" s="1"/>
  <c r="BQ125" i="3"/>
  <c r="L113" i="3"/>
  <c r="I117" i="3"/>
  <c r="R125" i="3"/>
  <c r="Q11" i="9"/>
  <c r="Y5" i="10"/>
  <c r="Y11" i="10"/>
  <c r="I5" i="10"/>
  <c r="I9" i="10"/>
  <c r="M7" i="9"/>
  <c r="M11" i="9"/>
  <c r="M12" i="9"/>
  <c r="M13" i="9"/>
  <c r="M14" i="9"/>
  <c r="Y14" i="10"/>
  <c r="D14" i="20"/>
  <c r="I116" i="3"/>
  <c r="X13" i="10"/>
  <c r="X5" i="10"/>
  <c r="S9" i="9"/>
  <c r="Y13" i="10"/>
  <c r="AV92" i="3"/>
  <c r="BQ120" i="3"/>
  <c r="I124" i="3"/>
  <c r="AD123" i="3"/>
  <c r="BB86" i="3"/>
  <c r="AD86" i="3"/>
  <c r="AA87" i="3"/>
  <c r="BQ91" i="3"/>
  <c r="AA91" i="3"/>
  <c r="D4" i="4"/>
  <c r="W4" i="4" s="1"/>
  <c r="AA123" i="3"/>
  <c r="AD122" i="3"/>
  <c r="U9" i="9"/>
  <c r="Z5" i="10"/>
  <c r="D41" i="14"/>
  <c r="D43" i="14"/>
  <c r="AG108" i="3"/>
  <c r="BK109" i="3"/>
  <c r="AS110" i="3"/>
  <c r="AM113" i="3"/>
  <c r="G13" i="9"/>
  <c r="B24" i="35"/>
  <c r="B16" i="35"/>
  <c r="U5" i="10"/>
  <c r="U12" i="10"/>
  <c r="U13" i="10"/>
  <c r="U14" i="10"/>
  <c r="AV86" i="3"/>
  <c r="AP88" i="3"/>
  <c r="AP93" i="3"/>
  <c r="BH95" i="3"/>
  <c r="O95" i="3"/>
  <c r="AY117" i="3"/>
  <c r="AV118" i="3"/>
  <c r="AY123" i="3"/>
  <c r="X114" i="3"/>
  <c r="L124" i="3"/>
  <c r="F13" i="10"/>
  <c r="I8" i="10"/>
  <c r="I6" i="10"/>
  <c r="G8" i="9"/>
  <c r="G9" i="9"/>
  <c r="G14" i="9"/>
  <c r="G15" i="9"/>
  <c r="X86" i="3"/>
  <c r="BN87" i="3"/>
  <c r="U89" i="3"/>
  <c r="AP90" i="3"/>
  <c r="AM91" i="3"/>
  <c r="BK92" i="3"/>
  <c r="AM92" i="3"/>
  <c r="BE95" i="3"/>
  <c r="AJ95" i="3"/>
  <c r="BN118" i="3"/>
  <c r="BE121" i="3"/>
  <c r="AG122" i="3"/>
  <c r="BK124" i="3"/>
  <c r="I107" i="3"/>
  <c r="I121" i="3"/>
  <c r="S10" i="6"/>
  <c r="BQ116" i="3"/>
  <c r="BK120" i="3"/>
  <c r="AG123" i="3"/>
  <c r="I112" i="3"/>
  <c r="AA118" i="3"/>
  <c r="O10" i="10"/>
  <c r="G40" i="11"/>
  <c r="AH2" i="3"/>
  <c r="F47" i="3"/>
  <c r="AW78" i="3"/>
  <c r="AH82" i="3"/>
  <c r="AS86" i="3"/>
  <c r="AS87" i="3"/>
  <c r="BN88" i="3"/>
  <c r="AY90" i="3"/>
  <c r="AD90" i="3"/>
  <c r="BQ93" i="3"/>
  <c r="AD93" i="3"/>
  <c r="BQ94" i="3"/>
  <c r="BK108" i="3"/>
  <c r="BB108" i="3"/>
  <c r="AS109" i="3"/>
  <c r="BN110" i="3"/>
  <c r="BH113" i="3"/>
  <c r="AG115" i="3"/>
  <c r="AP117" i="3"/>
  <c r="AS118" i="3"/>
  <c r="BK119" i="3"/>
  <c r="AP119" i="3"/>
  <c r="AJ122" i="3"/>
  <c r="BB123" i="3"/>
  <c r="O110" i="3"/>
  <c r="X111" i="3"/>
  <c r="AA114" i="3"/>
  <c r="AA124" i="3"/>
  <c r="M82" i="3"/>
  <c r="P84" i="3"/>
  <c r="S79" i="3"/>
  <c r="V80" i="3"/>
  <c r="Y81" i="3"/>
  <c r="K14" i="9"/>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AV113" i="3"/>
  <c r="H7" i="4"/>
  <c r="AG112" i="3"/>
  <c r="F50" i="3"/>
  <c r="AH79" i="3"/>
  <c r="AZ84" i="3"/>
  <c r="D42" i="14"/>
  <c r="AS90" i="3"/>
  <c r="X90" i="3"/>
  <c r="U91" i="3"/>
  <c r="BE107" i="3"/>
  <c r="AV108" i="3"/>
  <c r="BQ109" i="3"/>
  <c r="BH110" i="3"/>
  <c r="AY110" i="3"/>
  <c r="BN115" i="3"/>
  <c r="BE115" i="3"/>
  <c r="AJ117" i="3"/>
  <c r="AJ120" i="3"/>
  <c r="AY122" i="3"/>
  <c r="AS124" i="3"/>
  <c r="AS125" i="3"/>
  <c r="S7" i="6"/>
  <c r="AA112" i="3"/>
  <c r="AD119" i="3"/>
  <c r="J76" i="3"/>
  <c r="I15" i="37"/>
  <c r="O11" i="9"/>
  <c r="W13" i="10"/>
  <c r="D6" i="14"/>
  <c r="D83" i="14"/>
  <c r="BF77" i="3"/>
  <c r="AT81" i="3"/>
  <c r="AE85" i="3"/>
  <c r="AD87" i="3"/>
  <c r="AY88" i="3"/>
  <c r="AG91" i="3"/>
  <c r="BB93" i="3"/>
  <c r="BB94" i="3"/>
  <c r="L94" i="3"/>
  <c r="BB95" i="3"/>
  <c r="AV109" i="3"/>
  <c r="AG113" i="3"/>
  <c r="BK114" i="3"/>
  <c r="AY116" i="3"/>
  <c r="AV117" i="3"/>
  <c r="BQ119" i="3"/>
  <c r="BE125" i="3"/>
  <c r="AJ125" i="3"/>
  <c r="O112" i="3"/>
  <c r="R115" i="3"/>
  <c r="C12" i="4"/>
  <c r="V12" i="4" s="1"/>
  <c r="C7" i="4"/>
  <c r="V7" i="4" s="1"/>
  <c r="AD118" i="3"/>
  <c r="AB85" i="3"/>
  <c r="R123" i="3"/>
  <c r="M55" i="29"/>
  <c r="M59" i="29"/>
  <c r="M63" i="29"/>
  <c r="M54" i="29"/>
  <c r="M57" i="29"/>
  <c r="M61" i="29"/>
  <c r="M44" i="29"/>
  <c r="M48" i="29"/>
  <c r="M52" i="29"/>
  <c r="M56" i="29"/>
  <c r="M60" i="29"/>
  <c r="I54" i="37"/>
  <c r="I35" i="37"/>
  <c r="I27" i="37"/>
  <c r="I10" i="37"/>
  <c r="C4" i="37"/>
  <c r="I32" i="37"/>
  <c r="I24" i="37"/>
  <c r="I39" i="37"/>
  <c r="I14" i="37"/>
  <c r="I57" i="37"/>
  <c r="I56" i="37"/>
  <c r="I55" i="37"/>
  <c r="I61" i="37"/>
  <c r="I60" i="37"/>
  <c r="I52" i="37"/>
  <c r="I59" i="37"/>
  <c r="M62" i="29"/>
  <c r="M46" i="29"/>
  <c r="M43" i="29"/>
  <c r="M42" i="29"/>
  <c r="M58" i="29"/>
  <c r="AS123" i="3"/>
  <c r="L89" i="3"/>
  <c r="AS116" i="3"/>
  <c r="BK117" i="3"/>
  <c r="J6" i="9"/>
  <c r="J10" i="9"/>
  <c r="J14" i="9"/>
  <c r="J7" i="9"/>
  <c r="J8" i="9"/>
  <c r="J9" i="9"/>
  <c r="J11" i="9"/>
  <c r="J12" i="9"/>
  <c r="J13" i="9"/>
  <c r="J15" i="9"/>
  <c r="O121" i="3"/>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44" i="9"/>
  <c r="I9" i="9"/>
  <c r="I43" i="9"/>
  <c r="I13" i="9"/>
  <c r="I61" i="9"/>
  <c r="I40" i="9"/>
  <c r="I6" i="9"/>
  <c r="I7" i="9"/>
  <c r="I8" i="9"/>
  <c r="I10" i="9"/>
  <c r="I11" i="9"/>
  <c r="I12" i="9"/>
  <c r="I14" i="9"/>
  <c r="I15" i="9"/>
  <c r="AH17" i="20"/>
  <c r="AH16" i="20" s="1"/>
  <c r="C5" i="4"/>
  <c r="V5" i="4" s="1"/>
  <c r="F17" i="20"/>
  <c r="F16" i="20" s="1"/>
  <c r="R86" i="3"/>
  <c r="BB90" i="3"/>
  <c r="AM93" i="3"/>
  <c r="AS121" i="3"/>
  <c r="L111" i="3"/>
  <c r="I4" i="20"/>
  <c r="AK4" i="20"/>
  <c r="F40" i="11"/>
  <c r="M6" i="6"/>
  <c r="N6" i="6" s="1"/>
  <c r="O17" i="20"/>
  <c r="O16" i="20" s="1"/>
  <c r="P2" i="3"/>
  <c r="I89"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79" i="9"/>
  <c r="F43" i="9"/>
  <c r="F63" i="9"/>
  <c r="F89" i="9"/>
  <c r="F120" i="9"/>
  <c r="F100" i="9"/>
  <c r="F60" i="9"/>
  <c r="F13" i="9"/>
  <c r="F62" i="9"/>
  <c r="F39" i="9"/>
  <c r="F45" i="9"/>
  <c r="F46" i="9"/>
  <c r="F6" i="9"/>
  <c r="F7" i="9"/>
  <c r="F8" i="9"/>
  <c r="F9" i="9"/>
  <c r="F10" i="9"/>
  <c r="F11" i="9"/>
  <c r="F12" i="9"/>
  <c r="F14" i="9"/>
  <c r="F15" i="9"/>
  <c r="Z13" i="9"/>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BE87" i="3"/>
  <c r="E10" i="32"/>
  <c r="E14" i="32"/>
  <c r="E12" i="32"/>
  <c r="E13" i="32"/>
  <c r="E11" i="32"/>
  <c r="J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10" i="10"/>
  <c r="J20" i="10"/>
  <c r="J21" i="10"/>
  <c r="J22" i="10"/>
  <c r="J23" i="10"/>
  <c r="J24" i="10"/>
  <c r="J5" i="10"/>
  <c r="J9" i="10"/>
  <c r="J15" i="10"/>
  <c r="J16" i="10"/>
  <c r="J17" i="10"/>
  <c r="J18" i="10"/>
  <c r="J19" i="10"/>
  <c r="J6" i="10"/>
  <c r="J56" i="10" s="1"/>
  <c r="J7" i="10"/>
  <c r="J8" i="10"/>
  <c r="J11" i="10"/>
  <c r="J12" i="10"/>
  <c r="J13" i="10"/>
  <c r="J14" i="10"/>
  <c r="AA108" i="3"/>
  <c r="AX4" i="20"/>
  <c r="V4" i="20"/>
  <c r="X124" i="3"/>
  <c r="D12" i="4"/>
  <c r="W12" i="4" s="1"/>
  <c r="R90" i="3"/>
  <c r="X110" i="3"/>
  <c r="AU4" i="20"/>
  <c r="BK93" i="3"/>
  <c r="AV116" i="3"/>
  <c r="I109" i="3"/>
  <c r="U119" i="3"/>
  <c r="M41" i="29"/>
  <c r="U20" i="29"/>
  <c r="K2" i="29"/>
  <c r="D41" i="29"/>
  <c r="J4" i="20"/>
  <c r="AK17" i="20"/>
  <c r="AK16" i="20" s="1"/>
  <c r="I17" i="20"/>
  <c r="I16" i="20" s="1"/>
  <c r="E68" i="28"/>
  <c r="BK89" i="3"/>
  <c r="BB92" i="3"/>
  <c r="P4" i="4"/>
  <c r="P12" i="4"/>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C8" i="4"/>
  <c r="V8" i="4" s="1"/>
  <c r="P11" i="4"/>
  <c r="S20" i="37"/>
  <c r="G2" i="37"/>
  <c r="L40" i="11"/>
  <c r="M12" i="6"/>
  <c r="N12" i="6" s="1"/>
  <c r="AX17" i="20"/>
  <c r="AX16" i="20" s="1"/>
  <c r="V17" i="20"/>
  <c r="V16" i="20" s="1"/>
  <c r="O90" i="3"/>
  <c r="U93" i="3"/>
  <c r="D8" i="4"/>
  <c r="I120" i="3"/>
  <c r="C4" i="4"/>
  <c r="D118" i="14"/>
  <c r="I87" i="3"/>
  <c r="AS91" i="3"/>
  <c r="D12" i="14"/>
  <c r="L95" i="3"/>
  <c r="P10" i="4"/>
  <c r="AN4" i="20"/>
  <c r="AQ17" i="20"/>
  <c r="AQ16" i="20" s="1"/>
  <c r="S2" i="3"/>
  <c r="G20" i="39"/>
  <c r="G21" i="39"/>
  <c r="D44" i="14"/>
  <c r="D74" i="14"/>
  <c r="AK76" i="3"/>
  <c r="BL80" i="3"/>
  <c r="BC83" i="3"/>
  <c r="AV94" i="3"/>
  <c r="R113" i="3"/>
  <c r="R106" i="3"/>
  <c r="M4" i="20"/>
  <c r="AO4" i="20"/>
  <c r="X4" i="20"/>
  <c r="AZ4" i="20"/>
  <c r="X118" i="3"/>
  <c r="AU17" i="20"/>
  <c r="AU16" i="20" s="1"/>
  <c r="D6" i="4"/>
  <c r="W6" i="4" s="1"/>
  <c r="J77" i="3"/>
  <c r="M78" i="3"/>
  <c r="P81" i="3"/>
  <c r="S77" i="3"/>
  <c r="V79" i="3"/>
  <c r="Y82" i="3"/>
  <c r="L117" i="3"/>
  <c r="M17" i="20"/>
  <c r="M16" i="20" s="1"/>
  <c r="R116" i="3"/>
  <c r="AO17" i="20"/>
  <c r="AO16" i="20" s="1"/>
  <c r="X123" i="3"/>
  <c r="P13" i="4"/>
  <c r="AH4" i="20"/>
  <c r="L110" i="3"/>
  <c r="AG92" i="3"/>
  <c r="AL17" i="20"/>
  <c r="AL16" i="20" s="1"/>
  <c r="C11" i="11"/>
  <c r="S17" i="20"/>
  <c r="S16" i="20" s="1"/>
  <c r="C6" i="4"/>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T21" i="10"/>
  <c r="T8" i="10"/>
  <c r="T9" i="10"/>
  <c r="T15" i="10"/>
  <c r="T16" i="10"/>
  <c r="T13" i="10"/>
  <c r="T17" i="10"/>
  <c r="T18" i="10"/>
  <c r="T19" i="10"/>
  <c r="T20" i="10"/>
  <c r="T22" i="10"/>
  <c r="T23" i="10"/>
  <c r="T24" i="10"/>
  <c r="T5" i="10"/>
  <c r="T6" i="10"/>
  <c r="T7" i="10"/>
  <c r="T10" i="10"/>
  <c r="T11" i="10"/>
  <c r="T12" i="10"/>
  <c r="T14" i="10"/>
  <c r="R87" i="3"/>
  <c r="AP123" i="3"/>
  <c r="AQ4" i="20"/>
  <c r="O4" i="20"/>
  <c r="BH89" i="3"/>
  <c r="I92" i="3"/>
  <c r="BK122" i="3"/>
  <c r="R110" i="3"/>
  <c r="U106" i="3"/>
  <c r="L116" i="3"/>
  <c r="G17" i="20"/>
  <c r="G16" i="20" s="1"/>
  <c r="AP89" i="3"/>
  <c r="BA17" i="20"/>
  <c r="BA16" i="20" s="1"/>
  <c r="AD116" i="3"/>
  <c r="I86" i="3"/>
  <c r="BN90" i="3"/>
  <c r="L90" i="3"/>
  <c r="BB91" i="3"/>
  <c r="R91" i="3"/>
  <c r="BN92" i="3"/>
  <c r="AD95" i="3"/>
  <c r="U4" i="20"/>
  <c r="AA125" i="3"/>
  <c r="BB87" i="3"/>
  <c r="AG95" i="3"/>
  <c r="AJ119" i="3"/>
  <c r="AP122" i="3"/>
  <c r="D40" i="14"/>
  <c r="D82" i="14"/>
  <c r="C11" i="6"/>
  <c r="F11" i="4"/>
  <c r="BE89" i="3"/>
  <c r="AA92" i="3"/>
  <c r="AL4" i="20"/>
  <c r="O106" i="3"/>
  <c r="R109" i="3"/>
  <c r="R4" i="20"/>
  <c r="AT4" i="20"/>
  <c r="M7" i="10"/>
  <c r="F10" i="4"/>
  <c r="C10" i="6"/>
  <c r="C12" i="6"/>
  <c r="F12" i="4"/>
  <c r="D8" i="14"/>
  <c r="I90" i="3"/>
  <c r="AJ112" i="3"/>
  <c r="S4" i="20"/>
  <c r="X108" i="3"/>
  <c r="Y17" i="20"/>
  <c r="Y16" i="20" s="1"/>
  <c r="C13" i="6"/>
  <c r="F13" i="4"/>
  <c r="BB114" i="3"/>
  <c r="N19" i="10"/>
  <c r="N6" i="10"/>
  <c r="N24" i="10"/>
  <c r="N11" i="10"/>
  <c r="N15" i="10"/>
  <c r="N16" i="10"/>
  <c r="N17" i="10"/>
  <c r="N18" i="10"/>
  <c r="N20" i="10"/>
  <c r="N21" i="10"/>
  <c r="N22" i="10"/>
  <c r="N23" i="10"/>
  <c r="N5" i="10"/>
  <c r="N7" i="10"/>
  <c r="N8" i="10"/>
  <c r="N9" i="10"/>
  <c r="N10" i="10"/>
  <c r="N12" i="10"/>
  <c r="N13" i="10"/>
  <c r="N14" i="10"/>
  <c r="L86" i="3"/>
  <c r="BE91" i="3"/>
  <c r="AW4" i="20"/>
  <c r="F46" i="3"/>
  <c r="AM106" i="3"/>
  <c r="BQ107" i="3"/>
  <c r="BN113" i="3"/>
  <c r="C9" i="4"/>
  <c r="V9" i="4" s="1"/>
  <c r="J17" i="20"/>
  <c r="J16" i="20" s="1"/>
  <c r="O117" i="3"/>
  <c r="U17" i="20"/>
  <c r="U16" i="20" s="1"/>
  <c r="X17" i="20"/>
  <c r="X16" i="20" s="1"/>
  <c r="P8" i="4"/>
  <c r="P6" i="4"/>
  <c r="M15" i="10"/>
  <c r="M11" i="10"/>
  <c r="M16" i="10"/>
  <c r="M17" i="10"/>
  <c r="M18" i="10"/>
  <c r="M19" i="10"/>
  <c r="M20" i="10"/>
  <c r="M21" i="10"/>
  <c r="M22" i="10"/>
  <c r="M23" i="10"/>
  <c r="M8" i="10"/>
  <c r="M24" i="10"/>
  <c r="M13" i="10"/>
  <c r="M14" i="10"/>
  <c r="M5" i="10"/>
  <c r="M9" i="10"/>
  <c r="M10" i="10"/>
  <c r="M12" i="10"/>
  <c r="AJ106" i="3"/>
  <c r="BN107" i="3"/>
  <c r="AV114" i="3"/>
  <c r="G11" i="39"/>
  <c r="L21" i="10"/>
  <c r="L16" i="10"/>
  <c r="L23" i="10"/>
  <c r="L6" i="10"/>
  <c r="L24" i="10"/>
  <c r="L10" i="10"/>
  <c r="L14" i="10"/>
  <c r="L15" i="10"/>
  <c r="L17" i="10"/>
  <c r="L18" i="10"/>
  <c r="L19" i="10"/>
  <c r="L20" i="10"/>
  <c r="L22" i="10"/>
  <c r="L5" i="10"/>
  <c r="L7" i="10"/>
  <c r="L8" i="10"/>
  <c r="L9" i="10"/>
  <c r="L11" i="10"/>
  <c r="L12" i="10"/>
  <c r="L13" i="10"/>
  <c r="BN91" i="3"/>
  <c r="U92" i="3"/>
  <c r="O94" i="3"/>
  <c r="BK107" i="3"/>
  <c r="AS114" i="3"/>
  <c r="I110" i="3"/>
  <c r="BA4" i="20"/>
  <c r="Y4" i="20"/>
  <c r="L125" i="3"/>
  <c r="O123" i="3"/>
  <c r="R119" i="3"/>
  <c r="K23" i="10"/>
  <c r="K5" i="10"/>
  <c r="K12" i="10"/>
  <c r="K15" i="10"/>
  <c r="K16" i="10"/>
  <c r="K17" i="10"/>
  <c r="K18" i="10"/>
  <c r="K19" i="10"/>
  <c r="K20" i="10"/>
  <c r="K21" i="10"/>
  <c r="K22" i="10"/>
  <c r="K24" i="10"/>
  <c r="K11" i="10"/>
  <c r="K13" i="10"/>
  <c r="K14" i="10"/>
  <c r="K6" i="10"/>
  <c r="K7" i="10"/>
  <c r="K8" i="10"/>
  <c r="K9" i="10"/>
  <c r="K10" i="10"/>
  <c r="T38" i="9"/>
  <c r="T39" i="9"/>
  <c r="T40" i="9"/>
  <c r="T60" i="9"/>
  <c r="T64" i="9"/>
  <c r="T41" i="9"/>
  <c r="T61" i="9"/>
  <c r="T62" i="9"/>
  <c r="T63" i="9"/>
  <c r="T7" i="9"/>
  <c r="T45" i="9"/>
  <c r="T57" i="9"/>
  <c r="T43" i="9"/>
  <c r="T46" i="9"/>
  <c r="T65" i="9"/>
  <c r="T37" i="9"/>
  <c r="T8" i="9"/>
  <c r="T59" i="9"/>
  <c r="T12" i="9"/>
  <c r="T58" i="9"/>
  <c r="T42" i="9"/>
  <c r="T66" i="9"/>
  <c r="T44" i="9"/>
  <c r="T100" i="9"/>
  <c r="T6" i="9"/>
  <c r="T9" i="9"/>
  <c r="T10" i="9"/>
  <c r="T11" i="9"/>
  <c r="T13" i="9"/>
  <c r="T14" i="9"/>
  <c r="T15" i="9"/>
  <c r="F56" i="10"/>
  <c r="F23" i="10"/>
  <c r="F8" i="10"/>
  <c r="F15" i="10"/>
  <c r="F12" i="10"/>
  <c r="F19" i="10"/>
  <c r="F16" i="10"/>
  <c r="F17" i="10"/>
  <c r="F18" i="10"/>
  <c r="F20" i="10"/>
  <c r="F21" i="10"/>
  <c r="F22" i="10"/>
  <c r="F24" i="10"/>
  <c r="F5" i="10"/>
  <c r="F6" i="10"/>
  <c r="F7" i="10"/>
  <c r="F9" i="10"/>
  <c r="BH122" i="3"/>
  <c r="L119" i="3"/>
  <c r="S39" i="9"/>
  <c r="S37" i="9"/>
  <c r="S40" i="9"/>
  <c r="S60" i="9"/>
  <c r="S64" i="9"/>
  <c r="S41" i="9"/>
  <c r="S42" i="9"/>
  <c r="S45" i="9"/>
  <c r="S13" i="9"/>
  <c r="S43" i="9"/>
  <c r="S65" i="9"/>
  <c r="S10" i="9"/>
  <c r="S62" i="9"/>
  <c r="S59" i="9"/>
  <c r="S15" i="9"/>
  <c r="S61" i="9"/>
  <c r="S38" i="9"/>
  <c r="S58" i="9"/>
  <c r="S66" i="9"/>
  <c r="S44" i="9"/>
  <c r="S63" i="9"/>
  <c r="S46" i="9"/>
  <c r="S102" i="9" s="1"/>
  <c r="S57" i="9"/>
  <c r="S12" i="9"/>
  <c r="S14" i="9"/>
  <c r="I44" i="37"/>
  <c r="Q13" i="10"/>
  <c r="R38" i="9"/>
  <c r="R41" i="9"/>
  <c r="R42" i="9"/>
  <c r="R43" i="9"/>
  <c r="R40" i="9"/>
  <c r="R60" i="9"/>
  <c r="R39" i="9"/>
  <c r="R37" i="9"/>
  <c r="R62" i="9"/>
  <c r="R59" i="9"/>
  <c r="R45" i="9"/>
  <c r="R61" i="9"/>
  <c r="R64" i="9"/>
  <c r="R58" i="9"/>
  <c r="R9" i="9"/>
  <c r="R66" i="9"/>
  <c r="R44" i="9"/>
  <c r="R63" i="9"/>
  <c r="R46" i="9"/>
  <c r="R57" i="9"/>
  <c r="R65" i="9"/>
  <c r="R6" i="9"/>
  <c r="R7" i="9"/>
  <c r="R8" i="9"/>
  <c r="R10" i="9"/>
  <c r="R11" i="9"/>
  <c r="R12" i="9"/>
  <c r="R13" i="9"/>
  <c r="R14" i="9"/>
  <c r="R15" i="9"/>
  <c r="Q12" i="10"/>
  <c r="L118" i="3"/>
  <c r="AW17" i="20"/>
  <c r="AW16" i="20" s="1"/>
  <c r="Q11" i="10"/>
  <c r="Q9" i="10"/>
  <c r="M51" i="29"/>
  <c r="M53" i="29"/>
  <c r="D53" i="29"/>
  <c r="F6" i="4"/>
  <c r="C6" i="6"/>
  <c r="S18" i="10"/>
  <c r="S13" i="10"/>
  <c r="S20" i="10"/>
  <c r="S21" i="10"/>
  <c r="S22" i="10"/>
  <c r="S23" i="10"/>
  <c r="S24" i="10"/>
  <c r="S6" i="10"/>
  <c r="S15" i="10"/>
  <c r="S16" i="10"/>
  <c r="S17" i="10"/>
  <c r="S19" i="10"/>
  <c r="S5" i="10"/>
  <c r="S7" i="10"/>
  <c r="S8" i="10"/>
  <c r="S14" i="10"/>
  <c r="F7" i="4"/>
  <c r="C7" i="6"/>
  <c r="R17" i="10"/>
  <c r="R8" i="10"/>
  <c r="R15" i="10"/>
  <c r="R16" i="10"/>
  <c r="R18" i="10"/>
  <c r="R19" i="10"/>
  <c r="R12" i="10"/>
  <c r="R20" i="10"/>
  <c r="R21" i="10"/>
  <c r="R22" i="10"/>
  <c r="R23" i="10"/>
  <c r="R24" i="10"/>
  <c r="R5" i="10"/>
  <c r="R6" i="10"/>
  <c r="R7" i="10"/>
  <c r="R9" i="10"/>
  <c r="R10" i="10"/>
  <c r="R11" i="10"/>
  <c r="R13" i="10"/>
  <c r="R14" i="10"/>
  <c r="S12" i="10"/>
  <c r="AQ2" i="3"/>
  <c r="Q23" i="10"/>
  <c r="Q15" i="10"/>
  <c r="Q7" i="10"/>
  <c r="Q18" i="10"/>
  <c r="Q10" i="10"/>
  <c r="Q19" i="10"/>
  <c r="Q20" i="10"/>
  <c r="Q21" i="10"/>
  <c r="Q22" i="10"/>
  <c r="Q14" i="10"/>
  <c r="Q24" i="10"/>
  <c r="Q16" i="10"/>
  <c r="Q17" i="10"/>
  <c r="Q5" i="10"/>
  <c r="Q6" i="10"/>
  <c r="I9" i="37"/>
  <c r="C52" i="37"/>
  <c r="S11" i="10"/>
  <c r="F9" i="4"/>
  <c r="F14" i="4" s="1"/>
  <c r="C9" i="6"/>
  <c r="P22" i="10"/>
  <c r="P12" i="10"/>
  <c r="P15" i="10"/>
  <c r="P16" i="10"/>
  <c r="P17" i="10"/>
  <c r="P7" i="10"/>
  <c r="P18" i="10"/>
  <c r="P19" i="10"/>
  <c r="P20" i="10"/>
  <c r="P21" i="10"/>
  <c r="P23" i="10"/>
  <c r="P24" i="10"/>
  <c r="P5" i="10"/>
  <c r="P6" i="10"/>
  <c r="P8" i="10"/>
  <c r="P9" i="10"/>
  <c r="P10" i="10"/>
  <c r="P11" i="10"/>
  <c r="P13" i="10"/>
  <c r="P14" i="10"/>
  <c r="K43" i="9"/>
  <c r="K46" i="9"/>
  <c r="K13" i="9"/>
  <c r="K63" i="9"/>
  <c r="K64" i="9"/>
  <c r="K65" i="9"/>
  <c r="K7" i="9"/>
  <c r="K60" i="9"/>
  <c r="K44" i="9"/>
  <c r="K59" i="9"/>
  <c r="K6" i="9"/>
  <c r="K8" i="9"/>
  <c r="K9" i="9"/>
  <c r="I33" i="37"/>
  <c r="I25" i="37"/>
  <c r="I17" i="37"/>
  <c r="K10" i="9"/>
  <c r="S11" i="9"/>
  <c r="S10" i="10"/>
  <c r="O19" i="10"/>
  <c r="O16" i="10"/>
  <c r="O5" i="10"/>
  <c r="O17" i="10"/>
  <c r="O18" i="10"/>
  <c r="O20" i="10"/>
  <c r="O21" i="10"/>
  <c r="O9" i="10"/>
  <c r="O22" i="10"/>
  <c r="O23" i="10"/>
  <c r="O24" i="10"/>
  <c r="O13" i="10"/>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V14" i="9"/>
  <c r="O6" i="10"/>
  <c r="U9" i="10"/>
  <c r="W10" i="10"/>
  <c r="Y10" i="10"/>
  <c r="H62" i="9"/>
  <c r="I58" i="37"/>
  <c r="V13" i="9"/>
  <c r="U8" i="10"/>
  <c r="W8" i="10"/>
  <c r="Y9" i="10"/>
  <c r="I38" i="37"/>
  <c r="I30" i="37"/>
  <c r="I22" i="37"/>
  <c r="I13" i="37"/>
  <c r="I50" i="37"/>
  <c r="I42" i="37"/>
  <c r="N15" i="9"/>
  <c r="P13" i="9"/>
  <c r="V12" i="9"/>
  <c r="U6" i="10"/>
  <c r="W6" i="10"/>
  <c r="Y8" i="10"/>
  <c r="L15" i="9"/>
  <c r="N14" i="9"/>
  <c r="P12" i="9"/>
  <c r="V9" i="9"/>
  <c r="Y7" i="10"/>
  <c r="I37" i="37"/>
  <c r="I12" i="37"/>
  <c r="L14" i="9"/>
  <c r="N13" i="9"/>
  <c r="P11" i="9"/>
  <c r="V8" i="9"/>
  <c r="Y6" i="10"/>
  <c r="Q40" i="9"/>
  <c r="Q39" i="9"/>
  <c r="Q60" i="9"/>
  <c r="Q64" i="9"/>
  <c r="Q42" i="9"/>
  <c r="Q43" i="9"/>
  <c r="Q44" i="9"/>
  <c r="Q61" i="9"/>
  <c r="Q65" i="9"/>
  <c r="Q9" i="9"/>
  <c r="Q58" i="9"/>
  <c r="Q59" i="9"/>
  <c r="Q37" i="9"/>
  <c r="Q7" i="9"/>
  <c r="Q62" i="9"/>
  <c r="Q41" i="9"/>
  <c r="Q12" i="9"/>
  <c r="Q45" i="9"/>
  <c r="Q38" i="9"/>
  <c r="Q66" i="9"/>
  <c r="Q63"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19" i="10"/>
  <c r="I7" i="10"/>
  <c r="I11" i="10"/>
  <c r="I15" i="10"/>
  <c r="I16" i="10"/>
  <c r="I17" i="10"/>
  <c r="I18" i="10"/>
  <c r="I20" i="10"/>
  <c r="I21" i="10"/>
  <c r="I22" i="10"/>
  <c r="I23" i="10"/>
  <c r="I24" i="10"/>
  <c r="P40" i="9"/>
  <c r="P41" i="9"/>
  <c r="P43" i="9"/>
  <c r="P44" i="9"/>
  <c r="P61" i="9"/>
  <c r="P65" i="9"/>
  <c r="P45" i="9"/>
  <c r="P57" i="9"/>
  <c r="P58" i="9"/>
  <c r="P59" i="9"/>
  <c r="P60" i="9"/>
  <c r="P15" i="9"/>
  <c r="P38" i="9"/>
  <c r="P62" i="9"/>
  <c r="P14" i="9"/>
  <c r="P39" i="9"/>
  <c r="P64" i="9"/>
  <c r="P66" i="9"/>
  <c r="P6" i="9"/>
  <c r="P42" i="9"/>
  <c r="P63" i="9"/>
  <c r="P46" i="9"/>
  <c r="P37" i="9"/>
  <c r="I48" i="37"/>
  <c r="I40" i="37"/>
  <c r="L11" i="9"/>
  <c r="N9" i="9"/>
  <c r="P9" i="9"/>
  <c r="V11" i="10"/>
  <c r="G79" i="9"/>
  <c r="G39" i="9"/>
  <c r="G89" i="9"/>
  <c r="G120" i="9"/>
  <c r="G7" i="9"/>
  <c r="G40" i="9"/>
  <c r="G44" i="9"/>
  <c r="G46" i="9"/>
  <c r="G64" i="9"/>
  <c r="G6" i="9"/>
  <c r="G66" i="9"/>
  <c r="G11" i="9"/>
  <c r="G100" i="9"/>
  <c r="X65" i="10"/>
  <c r="X62" i="10"/>
  <c r="X59" i="10"/>
  <c r="X57" i="10"/>
  <c r="X64" i="10"/>
  <c r="X58" i="10"/>
  <c r="X63" i="10"/>
  <c r="X56" i="10"/>
  <c r="X17" i="10"/>
  <c r="X60" i="10"/>
  <c r="X18" i="10"/>
  <c r="X61" i="10"/>
  <c r="X15" i="10"/>
  <c r="X16" i="10"/>
  <c r="X19" i="10"/>
  <c r="X6" i="10"/>
  <c r="X20" i="10"/>
  <c r="X21" i="10"/>
  <c r="X22" i="10"/>
  <c r="X23" i="10"/>
  <c r="X10" i="10"/>
  <c r="X24" i="10"/>
  <c r="O41" i="9"/>
  <c r="O42" i="9"/>
  <c r="O44" i="9"/>
  <c r="O61" i="9"/>
  <c r="O65" i="9"/>
  <c r="O45" i="9"/>
  <c r="O57" i="9"/>
  <c r="O46" i="9"/>
  <c r="O40" i="9"/>
  <c r="O43" i="9"/>
  <c r="O38" i="9"/>
  <c r="O66" i="9"/>
  <c r="O39" i="9"/>
  <c r="O59" i="9"/>
  <c r="O9" i="9"/>
  <c r="O64" i="9"/>
  <c r="O58" i="9"/>
  <c r="O13" i="9"/>
  <c r="O63" i="9"/>
  <c r="O60" i="9"/>
  <c r="O37" i="9"/>
  <c r="O62" i="9"/>
  <c r="L10" i="9"/>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43" i="9"/>
  <c r="N45" i="9"/>
  <c r="N57" i="9"/>
  <c r="N46" i="9"/>
  <c r="N11" i="9"/>
  <c r="N44" i="9"/>
  <c r="N38" i="9"/>
  <c r="N66" i="9"/>
  <c r="N39" i="9"/>
  <c r="N12" i="9"/>
  <c r="N59" i="9"/>
  <c r="N41" i="9"/>
  <c r="N64" i="9"/>
  <c r="N58" i="9"/>
  <c r="N61" i="9"/>
  <c r="N42" i="9"/>
  <c r="N63" i="9"/>
  <c r="N40" i="9"/>
  <c r="N60" i="9"/>
  <c r="N37" i="9"/>
  <c r="N123" i="9"/>
  <c r="N62" i="9"/>
  <c r="N65" i="9"/>
  <c r="N128" i="9"/>
  <c r="L8" i="9"/>
  <c r="N7" i="9"/>
  <c r="P7" i="9"/>
  <c r="I13" i="10"/>
  <c r="X11" i="10"/>
  <c r="G14" i="39"/>
  <c r="V65" i="10"/>
  <c r="V62" i="10"/>
  <c r="V59" i="10"/>
  <c r="V56" i="10"/>
  <c r="V64" i="10"/>
  <c r="V58" i="10"/>
  <c r="V63" i="10"/>
  <c r="V57" i="10"/>
  <c r="V61" i="10"/>
  <c r="V14" i="10"/>
  <c r="V15" i="10"/>
  <c r="V13" i="10"/>
  <c r="V16" i="10"/>
  <c r="V17" i="10"/>
  <c r="V18" i="10"/>
  <c r="V19" i="10"/>
  <c r="V20" i="10"/>
  <c r="V21" i="10"/>
  <c r="V22" i="10"/>
  <c r="V5" i="10"/>
  <c r="V23" i="10"/>
  <c r="V24" i="10"/>
  <c r="V60" i="10"/>
  <c r="M42" i="9"/>
  <c r="M44" i="9"/>
  <c r="M61" i="9"/>
  <c r="M65" i="9"/>
  <c r="M46" i="9"/>
  <c r="M58" i="9"/>
  <c r="M62" i="9"/>
  <c r="M66" i="9"/>
  <c r="M39" i="9"/>
  <c r="M57" i="9"/>
  <c r="M37" i="9"/>
  <c r="M59" i="9"/>
  <c r="M41" i="9"/>
  <c r="M43" i="9"/>
  <c r="M64" i="9"/>
  <c r="M45" i="9"/>
  <c r="M6" i="9"/>
  <c r="M38" i="9"/>
  <c r="M63" i="9"/>
  <c r="M10" i="9"/>
  <c r="M40" i="9"/>
  <c r="M108" i="9"/>
  <c r="M60" i="9"/>
  <c r="M125" i="9"/>
  <c r="M123" i="9"/>
  <c r="M128" i="9"/>
  <c r="C16" i="37"/>
  <c r="I62" i="37"/>
  <c r="N6" i="9"/>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44" i="9"/>
  <c r="L7" i="9"/>
  <c r="L42" i="9"/>
  <c r="L9" i="9"/>
  <c r="L13" i="9"/>
  <c r="L61" i="9"/>
  <c r="L63" i="9"/>
  <c r="I34" i="37"/>
  <c r="I26" i="37"/>
  <c r="I46" i="37"/>
  <c r="M15" i="9"/>
  <c r="O15" i="9"/>
  <c r="Q14" i="9"/>
  <c r="I10" i="10"/>
  <c r="O14" i="10"/>
  <c r="V7" i="10"/>
  <c r="X8" i="10"/>
  <c r="H21" i="10"/>
  <c r="H43" i="9"/>
  <c r="H14" i="10"/>
  <c r="H56" i="10"/>
  <c r="H42" i="9"/>
  <c r="H19" i="10"/>
  <c r="H100" i="9"/>
  <c r="H40" i="9"/>
  <c r="H18" i="10"/>
  <c r="H65" i="9"/>
  <c r="H17" i="10"/>
  <c r="H16" i="10"/>
  <c r="H15" i="10"/>
  <c r="I53" i="37"/>
  <c r="I49" i="37"/>
  <c r="I41" i="37"/>
  <c r="H79" i="9"/>
  <c r="H41" i="9"/>
  <c r="H89" i="9"/>
  <c r="H59" i="9"/>
  <c r="H63" i="9"/>
  <c r="H120" i="9"/>
  <c r="H46" i="9"/>
  <c r="H39" i="9"/>
  <c r="H13" i="10"/>
  <c r="H66" i="9"/>
  <c r="H12" i="10"/>
  <c r="H60" i="9"/>
  <c r="H11" i="10"/>
  <c r="I47" i="37"/>
  <c r="H10" i="10"/>
  <c r="G56" i="10"/>
  <c r="G6" i="10"/>
  <c r="G63" i="10" s="1"/>
  <c r="G22" i="10"/>
  <c r="H9" i="10"/>
  <c r="H24" i="10"/>
  <c r="H8" i="10"/>
  <c r="H23" i="10"/>
  <c r="H7" i="10"/>
  <c r="H64" i="9"/>
  <c r="H61" i="9"/>
  <c r="H45" i="9"/>
  <c r="I36" i="37"/>
  <c r="I28" i="37"/>
  <c r="I45" i="37"/>
  <c r="H13" i="9"/>
  <c r="H86" i="9" s="1"/>
  <c r="H22" i="10"/>
  <c r="H6" i="10"/>
  <c r="H44" i="9"/>
  <c r="B7" i="35"/>
  <c r="E4" i="32" s="1"/>
  <c r="B6" i="35"/>
  <c r="E3" i="32" s="1"/>
  <c r="M47" i="30" s="1"/>
  <c r="B8" i="35"/>
  <c r="E5" i="32" s="1"/>
  <c r="F8" i="6"/>
  <c r="L28" i="11"/>
  <c r="I9" i="6"/>
  <c r="F11" i="6"/>
  <c r="G9" i="4"/>
  <c r="F12" i="6"/>
  <c r="G13" i="4"/>
  <c r="F7" i="6"/>
  <c r="I13" i="6"/>
  <c r="I8" i="6"/>
  <c r="I6" i="4"/>
  <c r="I10" i="4"/>
  <c r="I11" i="6"/>
  <c r="J28" i="11"/>
  <c r="G6" i="4"/>
  <c r="G10" i="4"/>
  <c r="F10" i="6"/>
  <c r="I12" i="6"/>
  <c r="I5" i="6"/>
  <c r="I7" i="6"/>
  <c r="C8" i="6"/>
  <c r="C25" i="11"/>
  <c r="D28" i="11"/>
  <c r="K28" i="11"/>
  <c r="C27" i="11"/>
  <c r="I28" i="11"/>
  <c r="P14" i="4"/>
  <c r="L14" i="4"/>
  <c r="L15" i="4"/>
  <c r="AF18" i="20" s="1"/>
  <c r="AF131" i="3"/>
  <c r="AG131" i="3" s="1"/>
  <c r="C14" i="6"/>
  <c r="AF134" i="3"/>
  <c r="AG134" i="3" s="1"/>
  <c r="AR130" i="3"/>
  <c r="AS130" i="3" s="1"/>
  <c r="H127" i="3"/>
  <c r="F28" i="11"/>
  <c r="AL134" i="3"/>
  <c r="AM134" i="3" s="1"/>
  <c r="T128" i="3"/>
  <c r="U128" i="3" s="1"/>
  <c r="BJ134" i="3"/>
  <c r="BK134" i="3" s="1"/>
  <c r="AC133" i="3"/>
  <c r="AD133" i="3" s="1"/>
  <c r="Z132" i="3"/>
  <c r="AA132" i="3" s="1"/>
  <c r="H134" i="3"/>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W129" i="3"/>
  <c r="X129" i="3" s="1"/>
  <c r="H131" i="3"/>
  <c r="T130" i="3"/>
  <c r="U130" i="3" s="1"/>
  <c r="AU134" i="3"/>
  <c r="AV134" i="3" s="1"/>
  <c r="BA130" i="3"/>
  <c r="BB130" i="3" s="1"/>
  <c r="BG132" i="3"/>
  <c r="BH132" i="3" s="1"/>
  <c r="BG129" i="3"/>
  <c r="BH129" i="3" s="1"/>
  <c r="W130" i="3"/>
  <c r="X130" i="3" s="1"/>
  <c r="H135" i="3"/>
  <c r="AC126" i="3"/>
  <c r="AD126" i="3" s="1"/>
  <c r="AO130" i="3"/>
  <c r="AP130" i="3" s="1"/>
  <c r="W133" i="3"/>
  <c r="X133" i="3" s="1"/>
  <c r="T131" i="3"/>
  <c r="U131" i="3" s="1"/>
  <c r="AU126" i="3"/>
  <c r="AV126" i="3" s="1"/>
  <c r="N132" i="3"/>
  <c r="O132" i="3" s="1"/>
  <c r="H128" i="3"/>
  <c r="N129" i="3"/>
  <c r="O129" i="3" s="1"/>
  <c r="N71" i="3"/>
  <c r="O71" i="3" s="1"/>
  <c r="N101" i="3" s="1"/>
  <c r="O101" i="3" s="1"/>
  <c r="BA69" i="3"/>
  <c r="BA79" i="3" s="1"/>
  <c r="BB79" i="3" s="1"/>
  <c r="BG74" i="3"/>
  <c r="BH74" i="3" s="1"/>
  <c r="BG104" i="3" s="1"/>
  <c r="BH104" i="3" s="1"/>
  <c r="AR70" i="3"/>
  <c r="AS70" i="3" s="1"/>
  <c r="AR100" i="3" s="1"/>
  <c r="AS100" i="3" s="1"/>
  <c r="BD69" i="3"/>
  <c r="BD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BJ69" i="3"/>
  <c r="BK69" i="3" s="1"/>
  <c r="BJ99" i="3" s="1"/>
  <c r="BK99" i="3" s="1"/>
  <c r="T74" i="3"/>
  <c r="U74" i="3" s="1"/>
  <c r="T104" i="3" s="1"/>
  <c r="U104" i="3" s="1"/>
  <c r="AX69" i="3"/>
  <c r="AX79" i="3" s="1"/>
  <c r="W75" i="3"/>
  <c r="X75" i="3" s="1"/>
  <c r="W105" i="3" s="1"/>
  <c r="X105" i="3" s="1"/>
  <c r="Z71" i="3"/>
  <c r="Z81" i="3" s="1"/>
  <c r="BG73" i="3"/>
  <c r="BH73" i="3" s="1"/>
  <c r="BG103" i="3" s="1"/>
  <c r="BH103" i="3" s="1"/>
  <c r="BP73" i="3"/>
  <c r="BQ73" i="3" s="1"/>
  <c r="BP103" i="3" s="1"/>
  <c r="BQ103" i="3" s="1"/>
  <c r="Z72" i="3"/>
  <c r="Z82" i="3" s="1"/>
  <c r="BM70" i="3"/>
  <c r="BN70" i="3" s="1"/>
  <c r="BM100" i="3" s="1"/>
  <c r="BN100" i="3" s="1"/>
  <c r="AU67" i="3"/>
  <c r="AU77" i="3" s="1"/>
  <c r="AV77" i="3" s="1"/>
  <c r="AU71" i="3"/>
  <c r="AV71" i="3" s="1"/>
  <c r="AU101" i="3" s="1"/>
  <c r="AV101" i="3" s="1"/>
  <c r="E167" i="9"/>
  <c r="E168" i="9"/>
  <c r="H4" i="37"/>
  <c r="I4" i="37" s="1"/>
  <c r="E169" i="9"/>
  <c r="E159" i="9"/>
  <c r="E157" i="9"/>
  <c r="E170" i="9"/>
  <c r="H16" i="37"/>
  <c r="I16" i="37" s="1"/>
  <c r="E160" i="9"/>
  <c r="E158" i="9"/>
  <c r="H73" i="3"/>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BJ66" i="3"/>
  <c r="BJ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F68" i="3"/>
  <c r="AF78" i="3" s="1"/>
  <c r="AG78" i="3" s="1"/>
  <c r="Z67" i="3"/>
  <c r="AA67" i="3" s="1"/>
  <c r="Z97" i="3" s="1"/>
  <c r="AA97" i="3" s="1"/>
  <c r="BP67" i="3"/>
  <c r="BQ67" i="3" s="1"/>
  <c r="BP97" i="3" s="1"/>
  <c r="BQ97" i="3" s="1"/>
  <c r="BG68" i="3"/>
  <c r="BH68" i="3" s="1"/>
  <c r="BG98" i="3" s="1"/>
  <c r="BH98" i="3" s="1"/>
  <c r="H72" i="3"/>
  <c r="N68" i="3"/>
  <c r="AX74" i="3"/>
  <c r="AX84" i="3" s="1"/>
  <c r="AY84" i="3" s="1"/>
  <c r="BD71" i="3"/>
  <c r="Q74" i="3"/>
  <c r="Q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BM73" i="3"/>
  <c r="BN73" i="3" s="1"/>
  <c r="BM103" i="3" s="1"/>
  <c r="BN103" i="3" s="1"/>
  <c r="N75" i="3"/>
  <c r="O75" i="3" s="1"/>
  <c r="N105" i="3" s="1"/>
  <c r="O105" i="3" s="1"/>
  <c r="AU69" i="3"/>
  <c r="AU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BD66" i="3"/>
  <c r="BE66" i="3" s="1"/>
  <c r="BD96" i="3" s="1"/>
  <c r="BE96" i="3" s="1"/>
  <c r="AF75" i="3"/>
  <c r="AG75" i="3" s="1"/>
  <c r="AF105" i="3" s="1"/>
  <c r="AG105" i="3" s="1"/>
  <c r="AC66" i="3"/>
  <c r="AC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T72" i="3"/>
  <c r="T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K74" i="3"/>
  <c r="L74" i="3" s="1"/>
  <c r="K104" i="3" s="1"/>
  <c r="L104" i="3" s="1"/>
  <c r="K135" i="3"/>
  <c r="K133" i="3"/>
  <c r="K131" i="3"/>
  <c r="L127" i="3"/>
  <c r="K134" i="3"/>
  <c r="K130" i="3"/>
  <c r="K126" i="3"/>
  <c r="K129" i="3"/>
  <c r="K132" i="3"/>
  <c r="K128" i="3"/>
  <c r="K71" i="3"/>
  <c r="K81" i="3" s="1"/>
  <c r="K70" i="3"/>
  <c r="K80" i="3" s="1"/>
  <c r="K69" i="3"/>
  <c r="K68" i="3"/>
  <c r="L68" i="3" s="1"/>
  <c r="K98" i="3" s="1"/>
  <c r="K75" i="3"/>
  <c r="K85" i="3" s="1"/>
  <c r="K73" i="3"/>
  <c r="K72" i="3"/>
  <c r="K77" i="3"/>
  <c r="L67" i="3"/>
  <c r="K66" i="3"/>
  <c r="D2" i="50" l="1"/>
  <c r="E2" i="50"/>
  <c r="E4" i="50"/>
  <c r="D4" i="50"/>
  <c r="D3" i="50"/>
  <c r="E3" i="50"/>
  <c r="D3" i="32"/>
  <c r="N47" i="30" s="1"/>
  <c r="D4" i="32"/>
  <c r="N14" i="30"/>
  <c r="N61" i="30"/>
  <c r="N52" i="30"/>
  <c r="N30" i="30"/>
  <c r="N37" i="30"/>
  <c r="N19" i="30"/>
  <c r="N94" i="30"/>
  <c r="N35" i="30"/>
  <c r="N27" i="30"/>
  <c r="N51" i="30"/>
  <c r="N12" i="30"/>
  <c r="N33" i="30"/>
  <c r="N54" i="30"/>
  <c r="N32" i="30"/>
  <c r="N60" i="30"/>
  <c r="N29" i="30"/>
  <c r="N31" i="30"/>
  <c r="N26" i="30"/>
  <c r="N96" i="30"/>
  <c r="N42" i="30"/>
  <c r="N34" i="30"/>
  <c r="N18" i="30"/>
  <c r="N53" i="30"/>
  <c r="N21" i="30"/>
  <c r="N20" i="30"/>
  <c r="N95" i="30"/>
  <c r="N50" i="30"/>
  <c r="N36" i="30"/>
  <c r="N28" i="30"/>
  <c r="N17" i="30"/>
  <c r="N68" i="30"/>
  <c r="N16" i="30"/>
  <c r="N82" i="30"/>
  <c r="N5" i="30"/>
  <c r="N13" i="30"/>
  <c r="N7" i="30"/>
  <c r="N83" i="30"/>
  <c r="N15" i="30"/>
  <c r="N98" i="30"/>
  <c r="N4" i="30"/>
  <c r="N6" i="30"/>
  <c r="N24" i="30"/>
  <c r="N105" i="30"/>
  <c r="N97" i="30"/>
  <c r="N80" i="30"/>
  <c r="N64" i="30"/>
  <c r="N102" i="30"/>
  <c r="N69" i="30"/>
  <c r="N99" i="30"/>
  <c r="N91" i="30"/>
  <c r="N66" i="30"/>
  <c r="N63" i="30"/>
  <c r="N67" i="30"/>
  <c r="N23" i="30"/>
  <c r="N71" i="30"/>
  <c r="N100" i="30"/>
  <c r="N101" i="30"/>
  <c r="N25" i="30"/>
  <c r="N81" i="30"/>
  <c r="N62" i="30"/>
  <c r="N56" i="30"/>
  <c r="N22" i="30"/>
  <c r="N103" i="30"/>
  <c r="N59" i="30"/>
  <c r="M145" i="30"/>
  <c r="T7" i="37"/>
  <c r="T19" i="37"/>
  <c r="T22" i="37"/>
  <c r="T5" i="37"/>
  <c r="T23" i="37"/>
  <c r="BE79" i="3"/>
  <c r="AS79" i="3"/>
  <c r="AV79" i="3"/>
  <c r="O82" i="3"/>
  <c r="AM77" i="3"/>
  <c r="BH77" i="3"/>
  <c r="BK76" i="3"/>
  <c r="AY79" i="3"/>
  <c r="AD76" i="3"/>
  <c r="BN78" i="3"/>
  <c r="AP85" i="3"/>
  <c r="T4" i="37"/>
  <c r="F120" i="3"/>
  <c r="D81" i="3"/>
  <c r="F90" i="3"/>
  <c r="D84" i="3"/>
  <c r="S12" i="4" s="1"/>
  <c r="Y12" i="4" s="1"/>
  <c r="F121" i="3"/>
  <c r="F123" i="3"/>
  <c r="D83" i="3"/>
  <c r="T115" i="3"/>
  <c r="E14" i="3"/>
  <c r="U14" i="3"/>
  <c r="T125" i="3"/>
  <c r="T95" i="3"/>
  <c r="F116" i="3"/>
  <c r="F119" i="3"/>
  <c r="F117" i="3"/>
  <c r="F118" i="3"/>
  <c r="D14" i="3"/>
  <c r="G95" i="3"/>
  <c r="G85" i="3"/>
  <c r="G125" i="3"/>
  <c r="G75" i="3"/>
  <c r="D75" i="3" s="1"/>
  <c r="G115" i="3"/>
  <c r="I14" i="3"/>
  <c r="D85" i="3"/>
  <c r="S13" i="4" s="1"/>
  <c r="Y13" i="4" s="1"/>
  <c r="F122" i="3"/>
  <c r="F89" i="3"/>
  <c r="F124" i="3"/>
  <c r="D80" i="3"/>
  <c r="S8" i="4" s="1"/>
  <c r="Y8" i="4" s="1"/>
  <c r="D76" i="3"/>
  <c r="D78" i="3"/>
  <c r="D77" i="3"/>
  <c r="F92" i="3"/>
  <c r="F94" i="3"/>
  <c r="F87" i="3"/>
  <c r="F91" i="3"/>
  <c r="F88" i="3"/>
  <c r="F93" i="3"/>
  <c r="D79" i="3"/>
  <c r="S7" i="4" s="1"/>
  <c r="Y7" i="4" s="1"/>
  <c r="D82" i="3"/>
  <c r="F86" i="3"/>
  <c r="E128" i="3"/>
  <c r="Q6" i="4" s="1"/>
  <c r="R6" i="4" s="1"/>
  <c r="E135" i="3"/>
  <c r="Q13" i="4" s="1"/>
  <c r="R13" i="4" s="1"/>
  <c r="E131" i="3"/>
  <c r="Q9" i="4" s="1"/>
  <c r="R9" i="4" s="1"/>
  <c r="E130" i="3"/>
  <c r="Q8" i="4" s="1"/>
  <c r="E126" i="3"/>
  <c r="Q4" i="4" s="1"/>
  <c r="E129" i="3"/>
  <c r="Q7" i="4" s="1"/>
  <c r="R7" i="4" s="1"/>
  <c r="E132" i="3"/>
  <c r="Q10" i="4" s="1"/>
  <c r="R10" i="4" s="1"/>
  <c r="E133" i="3"/>
  <c r="Q11" i="4" s="1"/>
  <c r="R11" i="4" s="1"/>
  <c r="E134" i="3"/>
  <c r="Q12" i="4" s="1"/>
  <c r="R12" i="4" s="1"/>
  <c r="E127" i="3"/>
  <c r="Q5" i="4" s="1"/>
  <c r="R5" i="4" s="1"/>
  <c r="E66" i="3"/>
  <c r="E70" i="3"/>
  <c r="E72" i="3"/>
  <c r="E69" i="3"/>
  <c r="E71" i="3"/>
  <c r="E67" i="3"/>
  <c r="E74" i="3"/>
  <c r="E75" i="3"/>
  <c r="E73" i="3"/>
  <c r="E68" i="3"/>
  <c r="I128" i="3"/>
  <c r="I135" i="3"/>
  <c r="D29" i="14"/>
  <c r="I130" i="3"/>
  <c r="I126" i="3"/>
  <c r="I129" i="3"/>
  <c r="I132" i="3"/>
  <c r="I133" i="3"/>
  <c r="I134" i="3"/>
  <c r="I127" i="3"/>
  <c r="I66" i="3"/>
  <c r="I70" i="3"/>
  <c r="I72" i="3"/>
  <c r="I69" i="3"/>
  <c r="I73" i="3"/>
  <c r="I68" i="3"/>
  <c r="M87" i="30"/>
  <c r="M40" i="30"/>
  <c r="M86" i="30"/>
  <c r="M73" i="30"/>
  <c r="J40" i="9"/>
  <c r="J64" i="9"/>
  <c r="J41" i="9"/>
  <c r="L64" i="9"/>
  <c r="K42" i="9"/>
  <c r="J61" i="9"/>
  <c r="J39" i="9"/>
  <c r="J63" i="9"/>
  <c r="L39" i="9"/>
  <c r="J66" i="9"/>
  <c r="L65" i="9"/>
  <c r="G62" i="9"/>
  <c r="J59" i="9"/>
  <c r="J42" i="9"/>
  <c r="L43" i="9"/>
  <c r="L62" i="9"/>
  <c r="G61" i="9"/>
  <c r="F66" i="9"/>
  <c r="F59" i="9"/>
  <c r="I46" i="9"/>
  <c r="I59" i="9"/>
  <c r="J46" i="9"/>
  <c r="J45" i="9"/>
  <c r="L59" i="9"/>
  <c r="I45" i="9"/>
  <c r="J62" i="9"/>
  <c r="L66" i="9"/>
  <c r="G43" i="9"/>
  <c r="I63" i="9"/>
  <c r="L46" i="9"/>
  <c r="K40" i="9"/>
  <c r="L60" i="9"/>
  <c r="G65" i="9"/>
  <c r="G60" i="9"/>
  <c r="G63" i="9"/>
  <c r="K66" i="9"/>
  <c r="F65" i="9"/>
  <c r="I39" i="9"/>
  <c r="I41" i="9"/>
  <c r="I66" i="9"/>
  <c r="J44" i="9"/>
  <c r="J43" i="9"/>
  <c r="G42" i="9"/>
  <c r="L40" i="9"/>
  <c r="L41" i="9"/>
  <c r="G45" i="9"/>
  <c r="G59" i="9"/>
  <c r="K41" i="9"/>
  <c r="K61" i="9"/>
  <c r="K62" i="9"/>
  <c r="F40" i="9"/>
  <c r="F44" i="9"/>
  <c r="I42" i="9"/>
  <c r="I65" i="9"/>
  <c r="I62" i="9"/>
  <c r="K39" i="9"/>
  <c r="K45" i="9"/>
  <c r="F64" i="9"/>
  <c r="I60" i="9"/>
  <c r="I64" i="9"/>
  <c r="J60" i="9"/>
  <c r="L80" i="3"/>
  <c r="AA82" i="3"/>
  <c r="L81" i="3"/>
  <c r="AJ4" i="20"/>
  <c r="H4" i="20"/>
  <c r="R84" i="3"/>
  <c r="AA81" i="3"/>
  <c r="W4" i="20"/>
  <c r="X5" i="4"/>
  <c r="AY17" i="20"/>
  <c r="AY16" i="20" s="1"/>
  <c r="AY4" i="20"/>
  <c r="X12" i="4"/>
  <c r="R7" i="6"/>
  <c r="U7" i="6" s="1"/>
  <c r="AV4" i="20"/>
  <c r="X84" i="3"/>
  <c r="X80" i="3"/>
  <c r="U82" i="3"/>
  <c r="R10" i="6"/>
  <c r="U10" i="6" s="1"/>
  <c r="B10" i="2" s="1"/>
  <c r="X9" i="4"/>
  <c r="X11" i="4"/>
  <c r="E9" i="4"/>
  <c r="F109" i="3"/>
  <c r="F112" i="3"/>
  <c r="F106" i="3"/>
  <c r="S4" i="6"/>
  <c r="T4" i="6" s="1"/>
  <c r="X10" i="4"/>
  <c r="H8" i="4"/>
  <c r="H6" i="4"/>
  <c r="X7" i="4"/>
  <c r="E6" i="4"/>
  <c r="E7" i="4"/>
  <c r="U5" i="6"/>
  <c r="B5" i="2" s="1"/>
  <c r="E4" i="4"/>
  <c r="O83" i="3"/>
  <c r="X6" i="4"/>
  <c r="E12" i="4"/>
  <c r="E10" i="4"/>
  <c r="E5" i="4"/>
  <c r="V4" i="4"/>
  <c r="B4" i="2" s="1"/>
  <c r="M92" i="30"/>
  <c r="M76" i="30"/>
  <c r="M70" i="30"/>
  <c r="M25" i="30"/>
  <c r="M24" i="30"/>
  <c r="M23" i="30"/>
  <c r="M22" i="30"/>
  <c r="M26" i="30"/>
  <c r="M21" i="30"/>
  <c r="M20" i="30"/>
  <c r="M19" i="30"/>
  <c r="M18" i="30"/>
  <c r="M17" i="30"/>
  <c r="M14" i="30"/>
  <c r="M16" i="30"/>
  <c r="M15" i="30"/>
  <c r="M13" i="30"/>
  <c r="M133" i="30"/>
  <c r="M143" i="30"/>
  <c r="M142" i="30"/>
  <c r="M141" i="30"/>
  <c r="M140" i="30"/>
  <c r="M139" i="30"/>
  <c r="M138" i="30"/>
  <c r="M137" i="30"/>
  <c r="M136" i="30"/>
  <c r="M135" i="30"/>
  <c r="M134" i="30"/>
  <c r="M105" i="30"/>
  <c r="M103" i="30"/>
  <c r="M102" i="30"/>
  <c r="M101" i="30"/>
  <c r="M100" i="30"/>
  <c r="M99" i="30"/>
  <c r="M98" i="30"/>
  <c r="M97" i="30"/>
  <c r="M91" i="30"/>
  <c r="M81" i="30"/>
  <c r="M80" i="30"/>
  <c r="M71" i="30"/>
  <c r="M69" i="30"/>
  <c r="M67" i="30"/>
  <c r="M66" i="30"/>
  <c r="M64" i="30"/>
  <c r="M63" i="30"/>
  <c r="M62" i="30"/>
  <c r="M59" i="30"/>
  <c r="M56" i="30"/>
  <c r="M104" i="30"/>
  <c r="M96" i="30"/>
  <c r="M95" i="30"/>
  <c r="M94" i="30"/>
  <c r="M90" i="30"/>
  <c r="M89" i="30"/>
  <c r="M88" i="30"/>
  <c r="M85" i="30"/>
  <c r="M84" i="30"/>
  <c r="M83" i="30"/>
  <c r="M82" i="30"/>
  <c r="M61" i="30"/>
  <c r="M60" i="30"/>
  <c r="M54" i="30"/>
  <c r="M53" i="30"/>
  <c r="M52" i="30"/>
  <c r="M51" i="30"/>
  <c r="M50" i="30"/>
  <c r="M42" i="30"/>
  <c r="M37" i="30"/>
  <c r="M36" i="30"/>
  <c r="M35" i="30"/>
  <c r="M34" i="30"/>
  <c r="M33" i="30"/>
  <c r="M32" i="30"/>
  <c r="M31" i="30"/>
  <c r="M30" i="30"/>
  <c r="M29" i="30"/>
  <c r="M28" i="30"/>
  <c r="M27" i="30"/>
  <c r="M3" i="30"/>
  <c r="M68" i="30"/>
  <c r="M7" i="30"/>
  <c r="M6" i="30"/>
  <c r="M5" i="30"/>
  <c r="M4" i="30"/>
  <c r="M132" i="30"/>
  <c r="M131" i="30"/>
  <c r="M130" i="30"/>
  <c r="M129" i="30"/>
  <c r="M128" i="30"/>
  <c r="M127" i="30"/>
  <c r="M126" i="30"/>
  <c r="M125" i="30"/>
  <c r="M124" i="30"/>
  <c r="M123" i="30"/>
  <c r="M122" i="30"/>
  <c r="M120" i="30"/>
  <c r="M115" i="30"/>
  <c r="M114" i="30"/>
  <c r="M113" i="30"/>
  <c r="M112" i="30"/>
  <c r="M111" i="30"/>
  <c r="M110" i="30"/>
  <c r="M108" i="30"/>
  <c r="M107" i="30"/>
  <c r="M106" i="30"/>
  <c r="M79" i="30"/>
  <c r="M78" i="30"/>
  <c r="M77" i="30"/>
  <c r="M74" i="30"/>
  <c r="M55" i="30"/>
  <c r="M49" i="30"/>
  <c r="M48" i="30"/>
  <c r="M46" i="30"/>
  <c r="M45" i="30"/>
  <c r="M43" i="30"/>
  <c r="M41" i="30"/>
  <c r="M12" i="30"/>
  <c r="M9" i="30"/>
  <c r="C5" i="32"/>
  <c r="C9" i="32"/>
  <c r="C8" i="32"/>
  <c r="D7" i="32"/>
  <c r="D9" i="32"/>
  <c r="D8" i="32"/>
  <c r="M122" i="9"/>
  <c r="M127" i="9"/>
  <c r="M129" i="9"/>
  <c r="M100" i="9"/>
  <c r="M107" i="9"/>
  <c r="M103" i="9"/>
  <c r="M101" i="9"/>
  <c r="M87" i="9"/>
  <c r="M93" i="9"/>
  <c r="M84" i="9"/>
  <c r="M90" i="9"/>
  <c r="M81" i="9"/>
  <c r="M95" i="9"/>
  <c r="M85" i="9"/>
  <c r="M96" i="9"/>
  <c r="M88" i="9"/>
  <c r="M89" i="9"/>
  <c r="M94" i="9"/>
  <c r="M80" i="9"/>
  <c r="M79" i="9"/>
  <c r="M83" i="9"/>
  <c r="M98" i="9"/>
  <c r="M86" i="9"/>
  <c r="M91" i="9"/>
  <c r="M92" i="9"/>
  <c r="M97" i="9"/>
  <c r="M82" i="9"/>
  <c r="M124" i="9"/>
  <c r="M102" i="9"/>
  <c r="M104" i="9"/>
  <c r="M105" i="9"/>
  <c r="M121" i="9"/>
  <c r="M106" i="9"/>
  <c r="M126" i="9"/>
  <c r="M120" i="9"/>
  <c r="M109" i="9"/>
  <c r="M64" i="10"/>
  <c r="M61" i="10"/>
  <c r="M58" i="10"/>
  <c r="M56" i="10"/>
  <c r="M57" i="10"/>
  <c r="M62" i="10"/>
  <c r="M60" i="10"/>
  <c r="M65" i="10"/>
  <c r="M59" i="10"/>
  <c r="M63" i="10"/>
  <c r="L100" i="9"/>
  <c r="L91" i="9"/>
  <c r="L82" i="9"/>
  <c r="L120" i="9"/>
  <c r="L84" i="9"/>
  <c r="L90" i="9"/>
  <c r="L81" i="9"/>
  <c r="L97" i="9"/>
  <c r="L88" i="9"/>
  <c r="L94" i="9"/>
  <c r="L86" i="9"/>
  <c r="L92" i="9"/>
  <c r="L87" i="9"/>
  <c r="L85" i="9"/>
  <c r="L96" i="9"/>
  <c r="L95" i="9"/>
  <c r="L89" i="9"/>
  <c r="L80" i="9"/>
  <c r="L79" i="9"/>
  <c r="L83" i="9"/>
  <c r="L93" i="9"/>
  <c r="L98" i="9"/>
  <c r="L64" i="10"/>
  <c r="L61" i="10"/>
  <c r="L58" i="10"/>
  <c r="L57" i="10"/>
  <c r="L62" i="10"/>
  <c r="L56" i="10"/>
  <c r="L60" i="10"/>
  <c r="L65" i="10"/>
  <c r="L59" i="10"/>
  <c r="L63" i="10"/>
  <c r="K81" i="9"/>
  <c r="K97" i="9"/>
  <c r="K88" i="9"/>
  <c r="K94" i="9"/>
  <c r="K85" i="9"/>
  <c r="K91" i="9"/>
  <c r="K83" i="9"/>
  <c r="K89" i="9"/>
  <c r="K84" i="9"/>
  <c r="K96" i="9"/>
  <c r="K90" i="9"/>
  <c r="K95" i="9"/>
  <c r="K80" i="9"/>
  <c r="K79" i="9"/>
  <c r="K87" i="9"/>
  <c r="K93" i="9"/>
  <c r="K86" i="9"/>
  <c r="K82" i="9"/>
  <c r="K92" i="9"/>
  <c r="K98" i="9"/>
  <c r="K100" i="9"/>
  <c r="K120" i="9"/>
  <c r="K57" i="10"/>
  <c r="K62" i="10"/>
  <c r="K63" i="10"/>
  <c r="K64" i="10"/>
  <c r="K61" i="10"/>
  <c r="K58" i="10"/>
  <c r="K56" i="10"/>
  <c r="K60" i="10"/>
  <c r="K65" i="10"/>
  <c r="K59" i="10"/>
  <c r="N96" i="9"/>
  <c r="N87" i="9"/>
  <c r="N93" i="9"/>
  <c r="N84" i="9"/>
  <c r="N90" i="9"/>
  <c r="N81" i="9"/>
  <c r="N98" i="9"/>
  <c r="N91" i="9"/>
  <c r="N85" i="9"/>
  <c r="N88" i="9"/>
  <c r="N95" i="9"/>
  <c r="N89" i="9"/>
  <c r="N94" i="9"/>
  <c r="N80" i="9"/>
  <c r="N79" i="9"/>
  <c r="N86" i="9"/>
  <c r="N97" i="9"/>
  <c r="N82" i="9"/>
  <c r="N83" i="9"/>
  <c r="N92" i="9"/>
  <c r="N100" i="9"/>
  <c r="N108" i="9"/>
  <c r="N101" i="9"/>
  <c r="N103" i="9"/>
  <c r="N104" i="9"/>
  <c r="N105" i="9"/>
  <c r="N102" i="9"/>
  <c r="N120" i="9"/>
  <c r="N125" i="9"/>
  <c r="N124" i="9"/>
  <c r="N129" i="9"/>
  <c r="N121" i="9"/>
  <c r="N126" i="9"/>
  <c r="N109" i="9"/>
  <c r="N107" i="9"/>
  <c r="N122" i="9"/>
  <c r="N127" i="9"/>
  <c r="N106" i="9"/>
  <c r="O120" i="9"/>
  <c r="O123" i="9"/>
  <c r="O100" i="9"/>
  <c r="O102" i="9"/>
  <c r="O103" i="9"/>
  <c r="O104" i="9"/>
  <c r="O122" i="9"/>
  <c r="O127" i="9"/>
  <c r="O107" i="9"/>
  <c r="O101" i="9"/>
  <c r="O125" i="9"/>
  <c r="O105" i="9"/>
  <c r="O124" i="9"/>
  <c r="O128" i="9"/>
  <c r="O121" i="9"/>
  <c r="O126" i="9"/>
  <c r="O109" i="9"/>
  <c r="O129" i="9"/>
  <c r="O106" i="9"/>
  <c r="O108" i="9"/>
  <c r="O96" i="9"/>
  <c r="O87" i="9"/>
  <c r="O93" i="9"/>
  <c r="O84" i="9"/>
  <c r="O90" i="9"/>
  <c r="O81" i="9"/>
  <c r="O79" i="9"/>
  <c r="O80" i="9"/>
  <c r="O82" i="9"/>
  <c r="O86" i="9"/>
  <c r="O97" i="9"/>
  <c r="O91" i="9"/>
  <c r="O85" i="9"/>
  <c r="O88" i="9"/>
  <c r="O95" i="9"/>
  <c r="O89" i="9"/>
  <c r="O94" i="9"/>
  <c r="O83" i="9"/>
  <c r="O98" i="9"/>
  <c r="O92" i="9"/>
  <c r="P120" i="9"/>
  <c r="P107" i="9"/>
  <c r="P101" i="9"/>
  <c r="P102" i="9"/>
  <c r="P103" i="9"/>
  <c r="P122" i="9"/>
  <c r="P127" i="9"/>
  <c r="P125" i="9"/>
  <c r="P105" i="9"/>
  <c r="P100" i="9"/>
  <c r="P124" i="9"/>
  <c r="P128" i="9"/>
  <c r="P121" i="9"/>
  <c r="P126" i="9"/>
  <c r="P109" i="9"/>
  <c r="P129" i="9"/>
  <c r="P104" i="9"/>
  <c r="P106" i="9"/>
  <c r="P108" i="9"/>
  <c r="P123" i="9"/>
  <c r="P80" i="9"/>
  <c r="P96" i="9"/>
  <c r="P87" i="9"/>
  <c r="P93" i="9"/>
  <c r="P84" i="9"/>
  <c r="P90" i="9"/>
  <c r="P82" i="9"/>
  <c r="P83" i="9"/>
  <c r="P92" i="9"/>
  <c r="P98" i="9"/>
  <c r="P86" i="9"/>
  <c r="P97" i="9"/>
  <c r="P91" i="9"/>
  <c r="P81" i="9"/>
  <c r="P85" i="9"/>
  <c r="P88" i="9"/>
  <c r="P95" i="9"/>
  <c r="P89" i="9"/>
  <c r="P94" i="9"/>
  <c r="P79" i="9"/>
  <c r="Q127" i="9"/>
  <c r="Q104" i="9"/>
  <c r="Q108" i="9"/>
  <c r="Q128" i="9"/>
  <c r="Q124" i="9"/>
  <c r="Q103" i="9"/>
  <c r="Q109" i="9"/>
  <c r="Q129" i="9"/>
  <c r="Q83" i="9"/>
  <c r="Q89" i="9"/>
  <c r="Q80" i="9"/>
  <c r="Q96" i="9"/>
  <c r="Q87" i="9"/>
  <c r="Q93" i="9"/>
  <c r="Q85" i="9"/>
  <c r="Q91" i="9"/>
  <c r="Q86" i="9"/>
  <c r="Q82" i="9"/>
  <c r="Q92" i="9"/>
  <c r="Q98" i="9"/>
  <c r="Q97" i="9"/>
  <c r="Q81" i="9"/>
  <c r="Q90" i="9"/>
  <c r="Q84" i="9"/>
  <c r="Q88" i="9"/>
  <c r="Q95" i="9"/>
  <c r="Q94" i="9"/>
  <c r="Q79" i="9"/>
  <c r="Q120" i="9"/>
  <c r="Q122" i="9"/>
  <c r="Q100" i="9"/>
  <c r="Q101" i="9"/>
  <c r="Q102" i="9"/>
  <c r="Q107" i="9"/>
  <c r="Q121" i="9"/>
  <c r="Q126" i="9"/>
  <c r="Q106" i="9"/>
  <c r="Q125" i="9"/>
  <c r="Q105" i="9"/>
  <c r="Q123" i="9"/>
  <c r="O60" i="10"/>
  <c r="O57" i="10"/>
  <c r="O64" i="10"/>
  <c r="O62" i="10"/>
  <c r="O63" i="10"/>
  <c r="O56" i="10"/>
  <c r="O61" i="10"/>
  <c r="O65" i="10"/>
  <c r="O59" i="10"/>
  <c r="O58" i="10"/>
  <c r="P63" i="10"/>
  <c r="P60" i="10"/>
  <c r="P57" i="10"/>
  <c r="P65" i="10"/>
  <c r="P62" i="10"/>
  <c r="P56" i="10"/>
  <c r="P61" i="10"/>
  <c r="P58" i="10"/>
  <c r="P59" i="10"/>
  <c r="P64" i="10"/>
  <c r="Q63" i="10"/>
  <c r="Q60" i="10"/>
  <c r="Q57" i="10"/>
  <c r="Q62" i="10"/>
  <c r="Q56" i="10"/>
  <c r="Q61" i="10"/>
  <c r="Q65" i="10"/>
  <c r="Q58" i="10"/>
  <c r="Q59" i="10"/>
  <c r="Q64" i="10"/>
  <c r="R63" i="10"/>
  <c r="R60" i="10"/>
  <c r="R57" i="10"/>
  <c r="R58" i="10"/>
  <c r="R62" i="10"/>
  <c r="R56" i="10"/>
  <c r="R61" i="10"/>
  <c r="R59" i="10"/>
  <c r="R64" i="10"/>
  <c r="R65" i="10"/>
  <c r="S56" i="10"/>
  <c r="S63" i="10"/>
  <c r="S60" i="10"/>
  <c r="S58" i="10"/>
  <c r="S57" i="10"/>
  <c r="S62" i="10"/>
  <c r="S61" i="10"/>
  <c r="S65" i="10"/>
  <c r="S59" i="10"/>
  <c r="S64" i="10"/>
  <c r="R86" i="9"/>
  <c r="R92" i="9"/>
  <c r="R83" i="9"/>
  <c r="R89" i="9"/>
  <c r="R80" i="9"/>
  <c r="R96" i="9"/>
  <c r="R88" i="9"/>
  <c r="R94" i="9"/>
  <c r="R82" i="9"/>
  <c r="R98" i="9"/>
  <c r="R91" i="9"/>
  <c r="R97" i="9"/>
  <c r="R81" i="9"/>
  <c r="R85" i="9"/>
  <c r="R90" i="9"/>
  <c r="R84" i="9"/>
  <c r="R95" i="9"/>
  <c r="R87" i="9"/>
  <c r="R79" i="9"/>
  <c r="R93" i="9"/>
  <c r="R102" i="9"/>
  <c r="R108" i="9"/>
  <c r="R107" i="9"/>
  <c r="R124" i="9"/>
  <c r="R103" i="9"/>
  <c r="R109" i="9"/>
  <c r="R122" i="9"/>
  <c r="R127" i="9"/>
  <c r="R104" i="9"/>
  <c r="R120" i="9"/>
  <c r="R106" i="9"/>
  <c r="R129" i="9"/>
  <c r="R100" i="9"/>
  <c r="R101" i="9"/>
  <c r="R128" i="9"/>
  <c r="R121" i="9"/>
  <c r="R126" i="9"/>
  <c r="R125" i="9"/>
  <c r="R105" i="9"/>
  <c r="R123" i="9"/>
  <c r="S122" i="9"/>
  <c r="S127" i="9"/>
  <c r="S104" i="9"/>
  <c r="S100" i="9"/>
  <c r="S123" i="9"/>
  <c r="S103" i="9"/>
  <c r="S108" i="9"/>
  <c r="S120" i="9"/>
  <c r="S101" i="9"/>
  <c r="S106" i="9"/>
  <c r="S126" i="9"/>
  <c r="S125" i="9"/>
  <c r="S105" i="9"/>
  <c r="S107" i="9"/>
  <c r="S124" i="9"/>
  <c r="S109" i="9"/>
  <c r="S95" i="9"/>
  <c r="S86" i="9"/>
  <c r="S92" i="9"/>
  <c r="S83" i="9"/>
  <c r="S89" i="9"/>
  <c r="S80" i="9"/>
  <c r="S97" i="9"/>
  <c r="S79" i="9"/>
  <c r="S82" i="9"/>
  <c r="S98" i="9"/>
  <c r="S91" i="9"/>
  <c r="S96" i="9"/>
  <c r="S81" i="9"/>
  <c r="S85" i="9"/>
  <c r="S90" i="9"/>
  <c r="S84" i="9"/>
  <c r="S88" i="9"/>
  <c r="S94" i="9"/>
  <c r="S93" i="9"/>
  <c r="S87" i="9"/>
  <c r="S121" i="9"/>
  <c r="S129" i="9"/>
  <c r="S128" i="9"/>
  <c r="T98" i="9"/>
  <c r="T95" i="9"/>
  <c r="T86" i="9"/>
  <c r="T92" i="9"/>
  <c r="T83" i="9"/>
  <c r="T89" i="9"/>
  <c r="T80" i="9"/>
  <c r="T79" i="9"/>
  <c r="T82" i="9"/>
  <c r="T97" i="9"/>
  <c r="T91" i="9"/>
  <c r="T96" i="9"/>
  <c r="T81" i="9"/>
  <c r="T85" i="9"/>
  <c r="T90" i="9"/>
  <c r="T84" i="9"/>
  <c r="T88" i="9"/>
  <c r="T93" i="9"/>
  <c r="T94" i="9"/>
  <c r="T87" i="9"/>
  <c r="T122" i="9"/>
  <c r="T125" i="9"/>
  <c r="T104" i="9"/>
  <c r="T107" i="9"/>
  <c r="T124" i="9"/>
  <c r="T109" i="9"/>
  <c r="T129" i="9"/>
  <c r="T105" i="9"/>
  <c r="T120" i="9"/>
  <c r="T127" i="9"/>
  <c r="T123" i="9"/>
  <c r="T128" i="9"/>
  <c r="T103" i="9"/>
  <c r="T108" i="9"/>
  <c r="T121" i="9"/>
  <c r="T101" i="9"/>
  <c r="T106" i="9"/>
  <c r="T126" i="9"/>
  <c r="T102" i="9"/>
  <c r="N57" i="10"/>
  <c r="N64" i="10"/>
  <c r="N61" i="10"/>
  <c r="N59" i="10"/>
  <c r="N63" i="10"/>
  <c r="N62" i="10"/>
  <c r="N56" i="10"/>
  <c r="N60" i="10"/>
  <c r="N65" i="10"/>
  <c r="N58" i="10"/>
  <c r="T59" i="10"/>
  <c r="T56" i="10"/>
  <c r="T63" i="10"/>
  <c r="T61" i="10"/>
  <c r="T64" i="10"/>
  <c r="T58" i="10"/>
  <c r="T57" i="10"/>
  <c r="T62" i="10"/>
  <c r="T60" i="10"/>
  <c r="T65" i="10"/>
  <c r="T12" i="37"/>
  <c r="T6" i="37"/>
  <c r="M44" i="30"/>
  <c r="M38" i="30"/>
  <c r="I64" i="10"/>
  <c r="I85" i="9"/>
  <c r="D6" i="32"/>
  <c r="N3" i="30"/>
  <c r="C3" i="32"/>
  <c r="C4" i="32"/>
  <c r="C7" i="32"/>
  <c r="C6" i="32"/>
  <c r="F15" i="4"/>
  <c r="J32" i="28"/>
  <c r="I32" i="28" s="1"/>
  <c r="G68" i="28"/>
  <c r="H68" i="28" s="1"/>
  <c r="J68" i="28" s="1"/>
  <c r="J67" i="28"/>
  <c r="I67" i="28" s="1"/>
  <c r="G93" i="28"/>
  <c r="H93" i="28" s="1"/>
  <c r="J93" i="28" s="1"/>
  <c r="J120" i="9"/>
  <c r="J91" i="9"/>
  <c r="J58" i="10"/>
  <c r="J88" i="9"/>
  <c r="J61" i="10"/>
  <c r="J100" i="9"/>
  <c r="J93" i="9"/>
  <c r="J81" i="9"/>
  <c r="J97" i="9"/>
  <c r="G53" i="28"/>
  <c r="H53" i="28" s="1"/>
  <c r="J53" i="28" s="1"/>
  <c r="J64" i="10"/>
  <c r="J87" i="9"/>
  <c r="J59" i="10"/>
  <c r="J86" i="9"/>
  <c r="J83" i="9"/>
  <c r="J80" i="9"/>
  <c r="J37" i="28"/>
  <c r="I37" i="28" s="1"/>
  <c r="J60" i="10"/>
  <c r="J79" i="9"/>
  <c r="J82" i="9"/>
  <c r="J84" i="9"/>
  <c r="J95" i="9"/>
  <c r="J63" i="10"/>
  <c r="J98" i="9"/>
  <c r="J90" i="9"/>
  <c r="J85" i="9"/>
  <c r="J62" i="10"/>
  <c r="J65" i="10"/>
  <c r="J92" i="9"/>
  <c r="J94" i="9"/>
  <c r="J57" i="10"/>
  <c r="J89" i="9"/>
  <c r="J96" i="9"/>
  <c r="I59" i="10"/>
  <c r="I80" i="9"/>
  <c r="I94" i="9"/>
  <c r="I61" i="10"/>
  <c r="I86" i="9"/>
  <c r="I81" i="9"/>
  <c r="I88" i="9"/>
  <c r="I60" i="10"/>
  <c r="I98" i="9"/>
  <c r="I95" i="9"/>
  <c r="I97" i="9"/>
  <c r="I63" i="10"/>
  <c r="I62" i="10"/>
  <c r="I92" i="9"/>
  <c r="I90" i="9"/>
  <c r="I120" i="9"/>
  <c r="I57" i="10"/>
  <c r="I65" i="10"/>
  <c r="I93" i="9"/>
  <c r="I79" i="9"/>
  <c r="I56" i="10"/>
  <c r="I58" i="10"/>
  <c r="I100" i="9"/>
  <c r="I87" i="9"/>
  <c r="I82" i="9"/>
  <c r="G78" i="28"/>
  <c r="H78" i="28" s="1"/>
  <c r="J78" i="28" s="1"/>
  <c r="J82" i="28"/>
  <c r="I82" i="28" s="1"/>
  <c r="J62" i="28"/>
  <c r="I62" i="28" s="1"/>
  <c r="I96" i="9"/>
  <c r="I83" i="9"/>
  <c r="I89" i="9"/>
  <c r="I91" i="9"/>
  <c r="G98" i="28"/>
  <c r="H98" i="28" s="1"/>
  <c r="J98" i="28" s="1"/>
  <c r="I84" i="9"/>
  <c r="J77" i="28"/>
  <c r="I77" i="28" s="1"/>
  <c r="G28" i="28"/>
  <c r="H28" i="28" s="1"/>
  <c r="J28" i="28" s="1"/>
  <c r="J17" i="28"/>
  <c r="I17" i="28" s="1"/>
  <c r="J7" i="28"/>
  <c r="I7" i="28" s="1"/>
  <c r="G8" i="28"/>
  <c r="H8" i="28" s="1"/>
  <c r="J8" i="28" s="1"/>
  <c r="J27" i="28"/>
  <c r="I27" i="28" s="1"/>
  <c r="G63" i="28"/>
  <c r="H63" i="28" s="1"/>
  <c r="J63" i="28" s="1"/>
  <c r="J72" i="28"/>
  <c r="I72" i="28" s="1"/>
  <c r="J12" i="28"/>
  <c r="I12" i="28" s="1"/>
  <c r="J57" i="28"/>
  <c r="I57" i="28" s="1"/>
  <c r="G18" i="28"/>
  <c r="H18" i="28" s="1"/>
  <c r="J18" i="28" s="1"/>
  <c r="G83" i="28"/>
  <c r="H83" i="28" s="1"/>
  <c r="J83" i="28" s="1"/>
  <c r="G73" i="28"/>
  <c r="H73" i="28" s="1"/>
  <c r="J73" i="28" s="1"/>
  <c r="G88" i="28"/>
  <c r="H88" i="28" s="1"/>
  <c r="J88" i="28" s="1"/>
  <c r="J52" i="28"/>
  <c r="I52" i="28" s="1"/>
  <c r="G58" i="28"/>
  <c r="H58" i="28" s="1"/>
  <c r="J58" i="28" s="1"/>
  <c r="G43" i="28"/>
  <c r="H43" i="28" s="1"/>
  <c r="J43" i="28" s="1"/>
  <c r="G13" i="28"/>
  <c r="H13" i="28" s="1"/>
  <c r="J13" i="28" s="1"/>
  <c r="J42" i="28"/>
  <c r="I42" i="28" s="1"/>
  <c r="G48" i="28"/>
  <c r="H48" i="28" s="1"/>
  <c r="J48" i="28" s="1"/>
  <c r="J102" i="28"/>
  <c r="I102" i="28" s="1"/>
  <c r="J87" i="28"/>
  <c r="I87" i="28" s="1"/>
  <c r="J97" i="28"/>
  <c r="I97" i="28" s="1"/>
  <c r="G23" i="28"/>
  <c r="H23" i="28" s="1"/>
  <c r="J23" i="28" s="1"/>
  <c r="G103" i="28"/>
  <c r="H103" i="28" s="1"/>
  <c r="J103" i="28" s="1"/>
  <c r="J22" i="28"/>
  <c r="I22" i="28" s="1"/>
  <c r="J92" i="28"/>
  <c r="I92" i="28" s="1"/>
  <c r="J47" i="28"/>
  <c r="I47" i="28" s="1"/>
  <c r="J107" i="28"/>
  <c r="I107" i="28" s="1"/>
  <c r="G38" i="28"/>
  <c r="H38" i="28" s="1"/>
  <c r="J38" i="28" s="1"/>
  <c r="G33" i="28"/>
  <c r="H33" i="28" s="1"/>
  <c r="J33" i="28" s="1"/>
  <c r="V20" i="37"/>
  <c r="T8" i="37"/>
  <c r="T9" i="37"/>
  <c r="V22" i="37"/>
  <c r="W11" i="20"/>
  <c r="E10" i="10"/>
  <c r="Y7" i="20"/>
  <c r="T7" i="20"/>
  <c r="Z55" i="10"/>
  <c r="Y11" i="20"/>
  <c r="H90" i="9"/>
  <c r="F95" i="9"/>
  <c r="AZ11" i="20"/>
  <c r="E11" i="10"/>
  <c r="W7" i="20"/>
  <c r="BA8" i="20"/>
  <c r="V7" i="20"/>
  <c r="H97" i="9"/>
  <c r="AX11" i="20"/>
  <c r="BA7" i="20"/>
  <c r="X7" i="20"/>
  <c r="AX7" i="20"/>
  <c r="AY11" i="20"/>
  <c r="Y78" i="9"/>
  <c r="Y12" i="20"/>
  <c r="AY7" i="20"/>
  <c r="U78" i="9"/>
  <c r="X11" i="20"/>
  <c r="AZ7" i="20"/>
  <c r="BA11" i="20"/>
  <c r="AV7" i="20"/>
  <c r="V11" i="20"/>
  <c r="X78" i="9"/>
  <c r="W78" i="9"/>
  <c r="BA12" i="20"/>
  <c r="Z78" i="9"/>
  <c r="T11" i="20"/>
  <c r="AV11" i="20"/>
  <c r="T12" i="20"/>
  <c r="Y55" i="10"/>
  <c r="V12" i="20"/>
  <c r="I14" i="4"/>
  <c r="AV8" i="20"/>
  <c r="AV12" i="20"/>
  <c r="U55" i="10"/>
  <c r="O5" i="9"/>
  <c r="V78" i="9"/>
  <c r="U8" i="6"/>
  <c r="B8" i="2" s="1"/>
  <c r="X8" i="20"/>
  <c r="S5" i="9"/>
  <c r="E11" i="4"/>
  <c r="F98" i="9"/>
  <c r="G18" i="39"/>
  <c r="D40" i="11"/>
  <c r="C40" i="11" s="1"/>
  <c r="M4" i="6"/>
  <c r="W55" i="10"/>
  <c r="V55" i="10"/>
  <c r="T11" i="37"/>
  <c r="G16" i="39"/>
  <c r="AZ12" i="20"/>
  <c r="F58" i="10"/>
  <c r="Q5" i="9"/>
  <c r="T17" i="20"/>
  <c r="T16" i="20" s="1"/>
  <c r="H8" i="20"/>
  <c r="S4" i="4"/>
  <c r="Y4" i="4" s="1"/>
  <c r="E4" i="2" s="1"/>
  <c r="T4" i="20"/>
  <c r="H81" i="9"/>
  <c r="X4" i="10"/>
  <c r="Z4" i="10"/>
  <c r="X12" i="20"/>
  <c r="H61" i="10"/>
  <c r="E14" i="10"/>
  <c r="H57" i="10"/>
  <c r="W12" i="20"/>
  <c r="F80" i="9"/>
  <c r="H62" i="10"/>
  <c r="U7" i="20"/>
  <c r="U11" i="20"/>
  <c r="F85" i="9"/>
  <c r="U12" i="20"/>
  <c r="X55" i="10"/>
  <c r="G5" i="9"/>
  <c r="Y8" i="20"/>
  <c r="H65" i="10"/>
  <c r="H60" i="10"/>
  <c r="AY12" i="20"/>
  <c r="V8" i="20"/>
  <c r="X5" i="9"/>
  <c r="E53" i="29"/>
  <c r="G17" i="39"/>
  <c r="G15" i="39"/>
  <c r="D28" i="37"/>
  <c r="Q36" i="9"/>
  <c r="D40" i="37"/>
  <c r="V4" i="37"/>
  <c r="V18" i="37"/>
  <c r="V25" i="37"/>
  <c r="V7" i="37"/>
  <c r="V21" i="37"/>
  <c r="V17" i="37"/>
  <c r="V27" i="37"/>
  <c r="V23" i="37"/>
  <c r="V26" i="37"/>
  <c r="V8" i="37"/>
  <c r="V13" i="37"/>
  <c r="V16" i="37"/>
  <c r="AV10" i="20"/>
  <c r="W36" i="9"/>
  <c r="Z36" i="9"/>
  <c r="X99" i="9"/>
  <c r="AZ10" i="20"/>
  <c r="AY10" i="20"/>
  <c r="X10" i="20"/>
  <c r="U10" i="20"/>
  <c r="S36" i="9"/>
  <c r="U36" i="9"/>
  <c r="U99" i="9"/>
  <c r="W99" i="9"/>
  <c r="AX6" i="20"/>
  <c r="Z99" i="9"/>
  <c r="BA6" i="20"/>
  <c r="W6" i="20"/>
  <c r="X6" i="20"/>
  <c r="Y99" i="9"/>
  <c r="T10" i="20"/>
  <c r="W10" i="20"/>
  <c r="V6" i="20"/>
  <c r="T6" i="20"/>
  <c r="AV6" i="20"/>
  <c r="Y36" i="9"/>
  <c r="AZ6" i="20"/>
  <c r="V10" i="20"/>
  <c r="X36" i="9"/>
  <c r="Y6" i="20"/>
  <c r="BA10" i="20"/>
  <c r="AY6" i="20"/>
  <c r="AX10" i="20"/>
  <c r="Y10" i="20"/>
  <c r="V36" i="9"/>
  <c r="M36" i="9"/>
  <c r="O36" i="9"/>
  <c r="N36" i="9"/>
  <c r="AW10" i="20"/>
  <c r="V99" i="9"/>
  <c r="R36" i="9"/>
  <c r="T36" i="9"/>
  <c r="AJ8" i="20"/>
  <c r="E8" i="10"/>
  <c r="Q11" i="39"/>
  <c r="V11" i="39" s="1"/>
  <c r="T11" i="39"/>
  <c r="S11" i="39"/>
  <c r="O11" i="39"/>
  <c r="U11" i="39" s="1"/>
  <c r="E13" i="10"/>
  <c r="S11" i="4"/>
  <c r="Y11" i="4" s="1"/>
  <c r="Q21" i="39"/>
  <c r="V21" i="39" s="1"/>
  <c r="O21" i="39"/>
  <c r="U21" i="39" s="1"/>
  <c r="T21" i="39"/>
  <c r="S21" i="39"/>
  <c r="H9" i="4"/>
  <c r="R9" i="6"/>
  <c r="U9" i="6" s="1"/>
  <c r="AX12" i="20"/>
  <c r="H59" i="10"/>
  <c r="G94" i="9"/>
  <c r="P5" i="9"/>
  <c r="E23" i="10"/>
  <c r="Q20" i="39"/>
  <c r="V20" i="39" s="1"/>
  <c r="T20" i="39"/>
  <c r="O20" i="39"/>
  <c r="U20" i="39" s="1"/>
  <c r="S20" i="39"/>
  <c r="U5" i="9"/>
  <c r="F108" i="3"/>
  <c r="S6" i="6"/>
  <c r="T6" i="6" s="1"/>
  <c r="F93" i="9"/>
  <c r="G97" i="9"/>
  <c r="G82" i="9"/>
  <c r="I4" i="10"/>
  <c r="L5" i="9"/>
  <c r="E9" i="10"/>
  <c r="F57" i="10"/>
  <c r="T5" i="9"/>
  <c r="Y4" i="10"/>
  <c r="M8" i="20"/>
  <c r="AO8" i="20"/>
  <c r="N4" i="10"/>
  <c r="E15" i="9"/>
  <c r="M7" i="11" s="1"/>
  <c r="M36" i="11" s="1"/>
  <c r="F87" i="9"/>
  <c r="F8" i="20"/>
  <c r="G4" i="10"/>
  <c r="P36" i="9"/>
  <c r="AW11" i="20"/>
  <c r="G64" i="10"/>
  <c r="H95" i="9"/>
  <c r="D16" i="37"/>
  <c r="G96" i="9"/>
  <c r="G91" i="9"/>
  <c r="AH8" i="20"/>
  <c r="E7" i="10"/>
  <c r="F63" i="10"/>
  <c r="AZ8" i="20"/>
  <c r="F107" i="3"/>
  <c r="S5" i="6"/>
  <c r="T5" i="6" s="1"/>
  <c r="AP17" i="20"/>
  <c r="AP16" i="20" s="1"/>
  <c r="N17" i="20"/>
  <c r="N16" i="20"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G80" i="9"/>
  <c r="AY8" i="20"/>
  <c r="AG8" i="20"/>
  <c r="E8" i="20"/>
  <c r="F4" i="10"/>
  <c r="E5" i="10"/>
  <c r="F64" i="10"/>
  <c r="S5" i="4"/>
  <c r="Y5" i="4" s="1"/>
  <c r="H11" i="4"/>
  <c r="R11" i="6"/>
  <c r="U11" i="6" s="1"/>
  <c r="J4" i="10"/>
  <c r="AK8" i="20"/>
  <c r="I8" i="20"/>
  <c r="E11" i="9"/>
  <c r="I7" i="11" s="1"/>
  <c r="I36" i="11" s="1"/>
  <c r="F94" i="9"/>
  <c r="V5" i="9"/>
  <c r="E24" i="10"/>
  <c r="F60" i="10"/>
  <c r="AU8" i="20"/>
  <c r="T4" i="10"/>
  <c r="S8" i="20"/>
  <c r="E10" i="9"/>
  <c r="H7" i="11" s="1"/>
  <c r="H36" i="11" s="1"/>
  <c r="E13" i="9"/>
  <c r="K7" i="11" s="1"/>
  <c r="K36" i="11" s="1"/>
  <c r="F88" i="9"/>
  <c r="Y5" i="9"/>
  <c r="W17" i="20"/>
  <c r="W16" i="20" s="1"/>
  <c r="E22" i="10"/>
  <c r="F61" i="10"/>
  <c r="E9" i="9"/>
  <c r="G7" i="11" s="1"/>
  <c r="G36" i="11" s="1"/>
  <c r="F81" i="9"/>
  <c r="AW7" i="20"/>
  <c r="G61" i="10"/>
  <c r="W4" i="10"/>
  <c r="E21" i="10"/>
  <c r="L4" i="10"/>
  <c r="AM8" i="20"/>
  <c r="K8" i="20"/>
  <c r="E8" i="4"/>
  <c r="W8" i="4"/>
  <c r="X8" i="4" s="1"/>
  <c r="M2" i="29"/>
  <c r="E41" i="29"/>
  <c r="E8" i="9"/>
  <c r="F7" i="11" s="1"/>
  <c r="F36" i="11" s="1"/>
  <c r="F96" i="9"/>
  <c r="V9" i="37"/>
  <c r="I5" i="9"/>
  <c r="F113" i="3"/>
  <c r="G60" i="10"/>
  <c r="AI8" i="20"/>
  <c r="K5" i="9"/>
  <c r="AX8" i="20"/>
  <c r="E20" i="10"/>
  <c r="F59" i="10"/>
  <c r="S8" i="6"/>
  <c r="T8" i="6" s="1"/>
  <c r="F110" i="3"/>
  <c r="W5" i="9"/>
  <c r="E7" i="9"/>
  <c r="E7" i="11" s="1"/>
  <c r="E36" i="11" s="1"/>
  <c r="F91" i="9"/>
  <c r="V14" i="37"/>
  <c r="AW8" i="20"/>
  <c r="V4" i="10"/>
  <c r="U8" i="20"/>
  <c r="H93" i="9"/>
  <c r="H85" i="9"/>
  <c r="G8" i="20"/>
  <c r="S8" i="39"/>
  <c r="Q8" i="39"/>
  <c r="V8" i="39" s="1"/>
  <c r="O8" i="39"/>
  <c r="U8" i="39" s="1"/>
  <c r="T8" i="39"/>
  <c r="G90" i="9"/>
  <c r="R5" i="9"/>
  <c r="E18" i="10"/>
  <c r="F62" i="10"/>
  <c r="K17" i="20"/>
  <c r="K16" i="20" s="1"/>
  <c r="AM17" i="20"/>
  <c r="AM16" i="20" s="1"/>
  <c r="E6" i="9"/>
  <c r="F5" i="9"/>
  <c r="V19" i="37"/>
  <c r="U6" i="20"/>
  <c r="G14" i="4"/>
  <c r="H96" i="9"/>
  <c r="G65" i="10"/>
  <c r="H92" i="9"/>
  <c r="H91" i="9"/>
  <c r="AW12" i="20"/>
  <c r="G81" i="9"/>
  <c r="AP8" i="20"/>
  <c r="N8" i="20"/>
  <c r="O4" i="10"/>
  <c r="R4" i="10"/>
  <c r="AS8" i="20"/>
  <c r="Q8" i="20"/>
  <c r="E17" i="10"/>
  <c r="F65" i="10"/>
  <c r="AL8" i="20"/>
  <c r="K4" i="10"/>
  <c r="J8" i="20"/>
  <c r="K4" i="20"/>
  <c r="AM4" i="20"/>
  <c r="H17" i="20"/>
  <c r="H16" i="20" s="1"/>
  <c r="AJ17" i="20"/>
  <c r="AJ16" i="20" s="1"/>
  <c r="S12" i="6"/>
  <c r="F114" i="3"/>
  <c r="V24" i="37"/>
  <c r="V6" i="37"/>
  <c r="G62" i="10"/>
  <c r="H82" i="9"/>
  <c r="T20" i="37"/>
  <c r="H83" i="9"/>
  <c r="H88" i="9"/>
  <c r="H58" i="10"/>
  <c r="G88" i="9"/>
  <c r="AV17" i="20"/>
  <c r="AV16" i="20" s="1"/>
  <c r="V11" i="37"/>
  <c r="F90" i="9"/>
  <c r="Z5" i="9"/>
  <c r="G98" i="9"/>
  <c r="G59" i="10"/>
  <c r="H98" i="9"/>
  <c r="H87" i="9"/>
  <c r="H94" i="9"/>
  <c r="H63" i="10"/>
  <c r="M5" i="9"/>
  <c r="H4" i="10"/>
  <c r="E16" i="10"/>
  <c r="H84" i="9"/>
  <c r="H64" i="10"/>
  <c r="G86" i="9"/>
  <c r="G93" i="9"/>
  <c r="AT8" i="20"/>
  <c r="R8" i="20"/>
  <c r="S4" i="10"/>
  <c r="E19" i="10"/>
  <c r="AN8" i="20"/>
  <c r="L8" i="20"/>
  <c r="M4" i="10"/>
  <c r="F111" i="3"/>
  <c r="S9" i="6"/>
  <c r="S6" i="4"/>
  <c r="Y6" i="4" s="1"/>
  <c r="E6" i="2" s="1"/>
  <c r="V10" i="37"/>
  <c r="F84" i="9"/>
  <c r="H5" i="9"/>
  <c r="J5" i="9"/>
  <c r="AW6" i="20"/>
  <c r="H80" i="9"/>
  <c r="G87" i="9"/>
  <c r="E12" i="10"/>
  <c r="S9" i="4"/>
  <c r="Y9" i="4" s="1"/>
  <c r="V12" i="37"/>
  <c r="F92" i="9"/>
  <c r="V5" i="37"/>
  <c r="G83" i="9"/>
  <c r="G57" i="10"/>
  <c r="N5" i="9"/>
  <c r="G92" i="9"/>
  <c r="G95" i="9"/>
  <c r="T8" i="20"/>
  <c r="AQ8" i="20"/>
  <c r="P4" i="10"/>
  <c r="O8" i="20"/>
  <c r="E15" i="10"/>
  <c r="S10" i="4"/>
  <c r="F97" i="9"/>
  <c r="F86" i="9"/>
  <c r="I15" i="4"/>
  <c r="G15" i="4"/>
  <c r="I14" i="6"/>
  <c r="B6" i="2"/>
  <c r="C28" i="11"/>
  <c r="D25" i="14"/>
  <c r="J14" i="11"/>
  <c r="P10" i="6" s="1"/>
  <c r="Q10" i="6" s="1"/>
  <c r="K14" i="11"/>
  <c r="P11" i="6" s="1"/>
  <c r="Q11" i="6" s="1"/>
  <c r="L14" i="11"/>
  <c r="L43" i="11" s="1"/>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BK135" i="3"/>
  <c r="D66" i="14"/>
  <c r="R23" i="20"/>
  <c r="AX23" i="20"/>
  <c r="D24" i="14"/>
  <c r="AP23" i="20"/>
  <c r="BQ129" i="3"/>
  <c r="BK132" i="3"/>
  <c r="BN131" i="3"/>
  <c r="D99" i="14"/>
  <c r="BQ130" i="3"/>
  <c r="BN129" i="3"/>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AC78" i="3"/>
  <c r="AD78" i="3" s="1"/>
  <c r="H83" i="3"/>
  <c r="BJ81" i="3"/>
  <c r="BK81" i="3" s="1"/>
  <c r="AF84" i="3"/>
  <c r="AG84" i="3" s="1"/>
  <c r="AI80" i="3"/>
  <c r="AJ80" i="3" s="1"/>
  <c r="BP80" i="3"/>
  <c r="BQ80" i="3" s="1"/>
  <c r="BM81" i="3"/>
  <c r="BN81" i="3" s="1"/>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M14" i="11"/>
  <c r="M43" i="11" s="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BG76" i="3"/>
  <c r="BH76" i="3" s="1"/>
  <c r="Z80" i="3"/>
  <c r="AA80" i="3" s="1"/>
  <c r="AF85" i="3"/>
  <c r="AG85" i="3" s="1"/>
  <c r="BD83" i="3"/>
  <c r="BE83" i="3" s="1"/>
  <c r="AO77" i="3"/>
  <c r="AP77" i="3" s="1"/>
  <c r="W83" i="3"/>
  <c r="X83" i="3" s="1"/>
  <c r="AR76" i="3"/>
  <c r="AS76" i="3" s="1"/>
  <c r="I1" i="37"/>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81" i="3"/>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77" i="3"/>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85" i="3"/>
  <c r="X67" i="3"/>
  <c r="W97" i="3" s="1"/>
  <c r="X97" i="3" s="1"/>
  <c r="BA84" i="3"/>
  <c r="BB84" i="3" s="1"/>
  <c r="H76" i="3"/>
  <c r="AG68" i="3"/>
  <c r="AF98" i="3" s="1"/>
  <c r="AG98" i="3" s="1"/>
  <c r="AR84" i="3"/>
  <c r="AS84" i="3" s="1"/>
  <c r="Q83" i="3"/>
  <c r="R83" i="3" s="1"/>
  <c r="AG70" i="3"/>
  <c r="AF100" i="3" s="1"/>
  <c r="AG100" i="3" s="1"/>
  <c r="AF80" i="3"/>
  <c r="AG80" i="3" s="1"/>
  <c r="AD75" i="3"/>
  <c r="AC105" i="3" s="1"/>
  <c r="AD105" i="3" s="1"/>
  <c r="AC85" i="3"/>
  <c r="AD85" i="3" s="1"/>
  <c r="AO76" i="3"/>
  <c r="AP76" i="3" s="1"/>
  <c r="H84" i="3"/>
  <c r="I74" i="3"/>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84" i="3"/>
  <c r="K78" i="3"/>
  <c r="L85" i="3"/>
  <c r="L131" i="3"/>
  <c r="L133" i="3"/>
  <c r="L135" i="3"/>
  <c r="L130" i="3"/>
  <c r="L134" i="3"/>
  <c r="L128" i="3"/>
  <c r="L132" i="3"/>
  <c r="L129" i="3"/>
  <c r="L126" i="3"/>
  <c r="L98" i="3"/>
  <c r="L73" i="3"/>
  <c r="L75" i="3"/>
  <c r="L69" i="3"/>
  <c r="K99" i="3" s="1"/>
  <c r="L99" i="3" s="1"/>
  <c r="K79" i="3"/>
  <c r="L70" i="3"/>
  <c r="K83" i="3"/>
  <c r="L71" i="3"/>
  <c r="L72" i="3"/>
  <c r="K82" i="3"/>
  <c r="L66" i="3"/>
  <c r="K76" i="3"/>
  <c r="K97" i="3"/>
  <c r="L77" i="3"/>
  <c r="N76" i="30" l="1"/>
  <c r="N70" i="30"/>
  <c r="N92" i="30"/>
  <c r="N121" i="30"/>
  <c r="N116" i="30"/>
  <c r="N39" i="30"/>
  <c r="N109" i="30"/>
  <c r="N148" i="30"/>
  <c r="N119" i="30"/>
  <c r="N75" i="30"/>
  <c r="N11" i="30"/>
  <c r="N104" i="30"/>
  <c r="N10" i="30"/>
  <c r="N147" i="30"/>
  <c r="N93" i="30"/>
  <c r="N117" i="30"/>
  <c r="N118" i="30"/>
  <c r="N144" i="30"/>
  <c r="O47" i="30"/>
  <c r="P47" i="30" s="1"/>
  <c r="Q47" i="30" s="1"/>
  <c r="O26" i="30"/>
  <c r="P26" i="30" s="1"/>
  <c r="Q26" i="30" s="1"/>
  <c r="O95" i="30"/>
  <c r="P95" i="30" s="1"/>
  <c r="Q95" i="30" s="1"/>
  <c r="O53" i="30"/>
  <c r="P53" i="30" s="1"/>
  <c r="Q53" i="30" s="1"/>
  <c r="O51" i="30"/>
  <c r="P51" i="30" s="1"/>
  <c r="Q51" i="30" s="1"/>
  <c r="O36" i="30"/>
  <c r="P36" i="30" s="1"/>
  <c r="Q36" i="30" s="1"/>
  <c r="O34" i="30"/>
  <c r="P34" i="30" s="1"/>
  <c r="Q34" i="30" s="1"/>
  <c r="O32" i="30"/>
  <c r="P32" i="30" s="1"/>
  <c r="Q32" i="30" s="1"/>
  <c r="O30" i="30"/>
  <c r="P30" i="30" s="1"/>
  <c r="Q30" i="30" s="1"/>
  <c r="O28" i="30"/>
  <c r="P28" i="30" s="1"/>
  <c r="Q28" i="30" s="1"/>
  <c r="O12" i="30"/>
  <c r="P12" i="30" s="1"/>
  <c r="Q12" i="30" s="1"/>
  <c r="O54" i="30"/>
  <c r="P54" i="30" s="1"/>
  <c r="Q54" i="30" s="1"/>
  <c r="O52" i="30"/>
  <c r="P52" i="30" s="1"/>
  <c r="Q52" i="30" s="1"/>
  <c r="O35" i="30"/>
  <c r="P35" i="30" s="1"/>
  <c r="Q35" i="30" s="1"/>
  <c r="O29" i="30"/>
  <c r="P29" i="30" s="1"/>
  <c r="Q29" i="30" s="1"/>
  <c r="O19" i="30"/>
  <c r="P19" i="30" s="1"/>
  <c r="Q19" i="30" s="1"/>
  <c r="O17" i="30"/>
  <c r="P17" i="30" s="1"/>
  <c r="Q17" i="30" s="1"/>
  <c r="O60" i="30"/>
  <c r="P60" i="30" s="1"/>
  <c r="Q60" i="30" s="1"/>
  <c r="O42" i="30"/>
  <c r="P42" i="30" s="1"/>
  <c r="Q42" i="30" s="1"/>
  <c r="O37" i="30"/>
  <c r="P37" i="30" s="1"/>
  <c r="Q37" i="30" s="1"/>
  <c r="O27" i="30"/>
  <c r="P27" i="30" s="1"/>
  <c r="Q27" i="30" s="1"/>
  <c r="O21" i="30"/>
  <c r="P21" i="30" s="1"/>
  <c r="Q21" i="30" s="1"/>
  <c r="O96" i="30"/>
  <c r="P96" i="30" s="1"/>
  <c r="Q96" i="30" s="1"/>
  <c r="O94" i="30"/>
  <c r="O20" i="30"/>
  <c r="O18" i="30"/>
  <c r="P18" i="30" s="1"/>
  <c r="Q18" i="30" s="1"/>
  <c r="O14" i="30"/>
  <c r="P14" i="30" s="1"/>
  <c r="Q14" i="30" s="1"/>
  <c r="O61" i="30"/>
  <c r="P61" i="30" s="1"/>
  <c r="Q61" i="30" s="1"/>
  <c r="O50" i="30"/>
  <c r="P50" i="30" s="1"/>
  <c r="Q50" i="30" s="1"/>
  <c r="O31" i="30"/>
  <c r="P31" i="30" s="1"/>
  <c r="Q31" i="30" s="1"/>
  <c r="O33" i="30"/>
  <c r="P33" i="30" s="1"/>
  <c r="Q33" i="30" s="1"/>
  <c r="P94" i="30"/>
  <c r="Q94" i="30" s="1"/>
  <c r="P20" i="30"/>
  <c r="Q20" i="30" s="1"/>
  <c r="O15" i="30"/>
  <c r="P15" i="30" s="1"/>
  <c r="Q15" i="30" s="1"/>
  <c r="O13" i="30"/>
  <c r="P13" i="30" s="1"/>
  <c r="Q13" i="30" s="1"/>
  <c r="O82" i="30"/>
  <c r="P82" i="30" s="1"/>
  <c r="Q82" i="30" s="1"/>
  <c r="O7" i="30"/>
  <c r="P7" i="30" s="1"/>
  <c r="Q7" i="30" s="1"/>
  <c r="O5" i="30"/>
  <c r="P5" i="30" s="1"/>
  <c r="Q5" i="30" s="1"/>
  <c r="O68" i="30"/>
  <c r="P68" i="30" s="1"/>
  <c r="Q68" i="30" s="1"/>
  <c r="O98" i="30"/>
  <c r="P98" i="30" s="1"/>
  <c r="Q98" i="30" s="1"/>
  <c r="O16" i="30"/>
  <c r="P16" i="30" s="1"/>
  <c r="Q16" i="30" s="1"/>
  <c r="O83" i="30"/>
  <c r="P83" i="30" s="1"/>
  <c r="Q83" i="30" s="1"/>
  <c r="O6" i="30"/>
  <c r="P6" i="30" s="1"/>
  <c r="Q6" i="30" s="1"/>
  <c r="O4" i="30"/>
  <c r="P4" i="30" s="1"/>
  <c r="Q4" i="30" s="1"/>
  <c r="O70" i="30"/>
  <c r="P70" i="30" s="1"/>
  <c r="Q70" i="30" s="1"/>
  <c r="O76" i="30"/>
  <c r="P76" i="30" s="1"/>
  <c r="Q76" i="30" s="1"/>
  <c r="O92" i="30"/>
  <c r="O93" i="30"/>
  <c r="O75" i="30"/>
  <c r="O39" i="30"/>
  <c r="O119" i="30"/>
  <c r="P119" i="30" s="1"/>
  <c r="Q119" i="30" s="1"/>
  <c r="O11" i="30"/>
  <c r="O148" i="30"/>
  <c r="O144" i="30"/>
  <c r="O117" i="30"/>
  <c r="O121" i="30"/>
  <c r="O104" i="30"/>
  <c r="O118" i="30"/>
  <c r="P118" i="30" s="1"/>
  <c r="Q118" i="30" s="1"/>
  <c r="O147" i="30"/>
  <c r="O116" i="30"/>
  <c r="O109" i="30"/>
  <c r="O10" i="30"/>
  <c r="O105" i="30"/>
  <c r="P105" i="30" s="1"/>
  <c r="Q105" i="30" s="1"/>
  <c r="O103" i="30"/>
  <c r="P103" i="30" s="1"/>
  <c r="Q103" i="30" s="1"/>
  <c r="O101" i="30"/>
  <c r="P101" i="30" s="1"/>
  <c r="Q101" i="30" s="1"/>
  <c r="O99" i="30"/>
  <c r="P99" i="30" s="1"/>
  <c r="Q99" i="30" s="1"/>
  <c r="O97" i="30"/>
  <c r="P97" i="30" s="1"/>
  <c r="Q97" i="30" s="1"/>
  <c r="O91" i="30"/>
  <c r="P91" i="30" s="1"/>
  <c r="Q91" i="30" s="1"/>
  <c r="O71" i="30"/>
  <c r="P71" i="30" s="1"/>
  <c r="Q71" i="30" s="1"/>
  <c r="O69" i="30"/>
  <c r="P69" i="30" s="1"/>
  <c r="Q69" i="30" s="1"/>
  <c r="O67" i="30"/>
  <c r="P67" i="30" s="1"/>
  <c r="Q67" i="30" s="1"/>
  <c r="O66" i="30"/>
  <c r="P66" i="30" s="1"/>
  <c r="Q66" i="30" s="1"/>
  <c r="O24" i="30"/>
  <c r="P24" i="30" s="1"/>
  <c r="Q24" i="30" s="1"/>
  <c r="O22" i="30"/>
  <c r="P22" i="30" s="1"/>
  <c r="Q22" i="30" s="1"/>
  <c r="O80" i="30"/>
  <c r="P80" i="30" s="1"/>
  <c r="Q80" i="30" s="1"/>
  <c r="O64" i="30"/>
  <c r="P64" i="30" s="1"/>
  <c r="Q64" i="30" s="1"/>
  <c r="O62" i="30"/>
  <c r="P62" i="30" s="1"/>
  <c r="Q62" i="30" s="1"/>
  <c r="O102" i="30"/>
  <c r="P102" i="30" s="1"/>
  <c r="Q102" i="30" s="1"/>
  <c r="O100" i="30"/>
  <c r="P100" i="30" s="1"/>
  <c r="Q100" i="30" s="1"/>
  <c r="O25" i="30"/>
  <c r="P25" i="30" s="1"/>
  <c r="Q25" i="30" s="1"/>
  <c r="O23" i="30"/>
  <c r="P23" i="30" s="1"/>
  <c r="Q23" i="30" s="1"/>
  <c r="O81" i="30"/>
  <c r="P81" i="30" s="1"/>
  <c r="Q81" i="30" s="1"/>
  <c r="O63" i="30"/>
  <c r="P63" i="30" s="1"/>
  <c r="Q63" i="30" s="1"/>
  <c r="O59" i="30"/>
  <c r="P59" i="30" s="1"/>
  <c r="Q59" i="30" s="1"/>
  <c r="O56" i="30"/>
  <c r="P56" i="30" s="1"/>
  <c r="Q56" i="30" s="1"/>
  <c r="G19" i="26"/>
  <c r="G22" i="26"/>
  <c r="G21" i="26"/>
  <c r="G18" i="26"/>
  <c r="G23" i="26"/>
  <c r="G20" i="26"/>
  <c r="N87" i="30"/>
  <c r="N40" i="30"/>
  <c r="N86" i="30"/>
  <c r="O87" i="30"/>
  <c r="O86" i="30"/>
  <c r="O40" i="30"/>
  <c r="F14" i="3"/>
  <c r="U95" i="3"/>
  <c r="E95" i="3"/>
  <c r="E82" i="3"/>
  <c r="T10" i="4" s="1"/>
  <c r="U10" i="4" s="1"/>
  <c r="D115" i="3"/>
  <c r="I115" i="3"/>
  <c r="AR17" i="20"/>
  <c r="AR16" i="20" s="1"/>
  <c r="E125" i="3"/>
  <c r="D13" i="4" s="1"/>
  <c r="U125" i="3"/>
  <c r="P17" i="20"/>
  <c r="P16" i="20" s="1"/>
  <c r="D125" i="3"/>
  <c r="C13" i="4" s="1"/>
  <c r="I125" i="3"/>
  <c r="P4" i="20"/>
  <c r="E115" i="3"/>
  <c r="U115" i="3"/>
  <c r="AR4" i="20"/>
  <c r="I95" i="3"/>
  <c r="F95" i="3" s="1"/>
  <c r="D95" i="3"/>
  <c r="E78" i="3"/>
  <c r="T6" i="4" s="1"/>
  <c r="U6" i="4" s="1"/>
  <c r="E79" i="3"/>
  <c r="T7" i="4" s="1"/>
  <c r="U7" i="4" s="1"/>
  <c r="E84" i="3"/>
  <c r="T12" i="4" s="1"/>
  <c r="U12" i="4" s="1"/>
  <c r="E83" i="3"/>
  <c r="T11" i="4" s="1"/>
  <c r="U11" i="4" s="1"/>
  <c r="E85" i="3"/>
  <c r="T13" i="4" s="1"/>
  <c r="E77" i="3"/>
  <c r="T5" i="4" s="1"/>
  <c r="U5" i="4" s="1"/>
  <c r="E81" i="3"/>
  <c r="T9" i="4" s="1"/>
  <c r="U9" i="4" s="1"/>
  <c r="E80" i="3"/>
  <c r="T8" i="4" s="1"/>
  <c r="U8" i="4" s="1"/>
  <c r="F131" i="3"/>
  <c r="F127" i="3"/>
  <c r="F134" i="3"/>
  <c r="F133" i="3"/>
  <c r="F132" i="3"/>
  <c r="F129" i="3"/>
  <c r="F126" i="3"/>
  <c r="F130" i="3"/>
  <c r="F135" i="3"/>
  <c r="F128" i="3"/>
  <c r="F74" i="3"/>
  <c r="F75" i="3"/>
  <c r="F67" i="3"/>
  <c r="F71" i="3"/>
  <c r="F68" i="3"/>
  <c r="F73" i="3"/>
  <c r="F69" i="3"/>
  <c r="F72" i="3"/>
  <c r="F70" i="3"/>
  <c r="F66" i="3"/>
  <c r="O76" i="3"/>
  <c r="G21" i="20" s="1"/>
  <c r="E76" i="3"/>
  <c r="T4" i="4" s="1"/>
  <c r="L82" i="3"/>
  <c r="L79" i="3"/>
  <c r="L78" i="3"/>
  <c r="E23" i="20"/>
  <c r="H104" i="3"/>
  <c r="E104" i="3" s="1"/>
  <c r="I84" i="3"/>
  <c r="I76" i="3"/>
  <c r="I85" i="3"/>
  <c r="F85" i="3" s="1"/>
  <c r="H105" i="3"/>
  <c r="I79" i="3"/>
  <c r="I77" i="3"/>
  <c r="F77" i="3" s="1"/>
  <c r="H97" i="3"/>
  <c r="E97" i="3" s="1"/>
  <c r="I81" i="3"/>
  <c r="F81" i="3" s="1"/>
  <c r="H101" i="3"/>
  <c r="I83" i="3"/>
  <c r="I80" i="3"/>
  <c r="F80" i="3" s="1"/>
  <c r="I82" i="3"/>
  <c r="I78" i="3"/>
  <c r="H98" i="3"/>
  <c r="E98" i="3" s="1"/>
  <c r="H103" i="3"/>
  <c r="H99" i="3"/>
  <c r="E99" i="3" s="1"/>
  <c r="H102" i="3"/>
  <c r="H100" i="3"/>
  <c r="O149" i="30"/>
  <c r="O58" i="30"/>
  <c r="O145" i="30"/>
  <c r="O65" i="30"/>
  <c r="O57" i="30"/>
  <c r="O146" i="30"/>
  <c r="N145" i="30"/>
  <c r="N65" i="30"/>
  <c r="N149" i="30"/>
  <c r="P149" i="30" s="1"/>
  <c r="Q149" i="30" s="1"/>
  <c r="N57" i="30"/>
  <c r="N146" i="30"/>
  <c r="N58" i="30"/>
  <c r="N79" i="30"/>
  <c r="N137" i="30"/>
  <c r="N130" i="30"/>
  <c r="N120" i="30"/>
  <c r="N89" i="30"/>
  <c r="N74" i="30"/>
  <c r="N41" i="30"/>
  <c r="N45" i="30"/>
  <c r="N139" i="30"/>
  <c r="N107" i="30"/>
  <c r="N77" i="30"/>
  <c r="N49" i="30"/>
  <c r="N9" i="30"/>
  <c r="N143" i="30"/>
  <c r="N142" i="30"/>
  <c r="N140" i="30"/>
  <c r="N138" i="30"/>
  <c r="N136" i="30"/>
  <c r="N134" i="30"/>
  <c r="N131" i="30"/>
  <c r="N129" i="30"/>
  <c r="N128" i="30"/>
  <c r="N127" i="30"/>
  <c r="N125" i="30"/>
  <c r="N123" i="30"/>
  <c r="N115" i="30"/>
  <c r="N114" i="30"/>
  <c r="N112" i="30"/>
  <c r="N110" i="30"/>
  <c r="N108" i="30"/>
  <c r="N106" i="30"/>
  <c r="N88" i="30"/>
  <c r="N84" i="30"/>
  <c r="N73" i="30"/>
  <c r="N135" i="30"/>
  <c r="N124" i="30"/>
  <c r="N111" i="30"/>
  <c r="N78" i="30"/>
  <c r="N43" i="30"/>
  <c r="N141" i="30"/>
  <c r="N122" i="30"/>
  <c r="N90" i="30"/>
  <c r="N55" i="30"/>
  <c r="N48" i="30"/>
  <c r="N133" i="30"/>
  <c r="N132" i="30"/>
  <c r="N126" i="30"/>
  <c r="N113" i="30"/>
  <c r="N85" i="30"/>
  <c r="N46" i="30"/>
  <c r="O114" i="30"/>
  <c r="O106" i="30"/>
  <c r="O88" i="30"/>
  <c r="O45" i="30"/>
  <c r="O107" i="30"/>
  <c r="O55" i="30"/>
  <c r="O43" i="30"/>
  <c r="O115" i="30"/>
  <c r="O108" i="30"/>
  <c r="O79" i="30"/>
  <c r="O73" i="30"/>
  <c r="O78" i="30"/>
  <c r="O41" i="30"/>
  <c r="O143" i="30"/>
  <c r="O142" i="30"/>
  <c r="O140" i="30"/>
  <c r="O138" i="30"/>
  <c r="O136" i="30"/>
  <c r="O134" i="30"/>
  <c r="O131" i="30"/>
  <c r="O129" i="30"/>
  <c r="O128" i="30"/>
  <c r="O127" i="30"/>
  <c r="O125" i="30"/>
  <c r="O123" i="30"/>
  <c r="O112" i="30"/>
  <c r="O110" i="30"/>
  <c r="O84" i="30"/>
  <c r="O77" i="30"/>
  <c r="O49" i="30"/>
  <c r="O9" i="30"/>
  <c r="O85" i="30"/>
  <c r="O74" i="30"/>
  <c r="O46" i="30"/>
  <c r="O111" i="30"/>
  <c r="O89" i="30"/>
  <c r="O48" i="30"/>
  <c r="O133" i="30"/>
  <c r="O141" i="30"/>
  <c r="O139" i="30"/>
  <c r="O137" i="30"/>
  <c r="O132" i="30"/>
  <c r="O130" i="30"/>
  <c r="O124" i="30"/>
  <c r="O120" i="30"/>
  <c r="O135" i="30"/>
  <c r="O126" i="30"/>
  <c r="O122" i="30"/>
  <c r="O113" i="30"/>
  <c r="O90" i="30"/>
  <c r="E65" i="9"/>
  <c r="E39" i="9"/>
  <c r="E66" i="9"/>
  <c r="E42" i="9"/>
  <c r="E44" i="9"/>
  <c r="E60" i="9"/>
  <c r="E40" i="9"/>
  <c r="E63" i="9"/>
  <c r="E62" i="9"/>
  <c r="E64" i="9"/>
  <c r="E45" i="9"/>
  <c r="E59" i="9"/>
  <c r="E43" i="9"/>
  <c r="E46" i="9"/>
  <c r="T7" i="6"/>
  <c r="T10" i="6"/>
  <c r="E5" i="2"/>
  <c r="E8" i="2"/>
  <c r="T11" i="6"/>
  <c r="E7" i="2"/>
  <c r="E12" i="2"/>
  <c r="S14" i="4"/>
  <c r="X4" i="4"/>
  <c r="O7" i="20"/>
  <c r="AP12" i="20"/>
  <c r="M11" i="20"/>
  <c r="AN11" i="20"/>
  <c r="S99" i="9"/>
  <c r="AR10" i="20"/>
  <c r="E56" i="10"/>
  <c r="D13" i="11" s="1"/>
  <c r="D42" i="11" s="1"/>
  <c r="T55" i="10"/>
  <c r="M12" i="20"/>
  <c r="AU10" i="20"/>
  <c r="S6" i="20"/>
  <c r="S78" i="9"/>
  <c r="R10" i="20"/>
  <c r="Q10" i="20"/>
  <c r="AS11" i="20"/>
  <c r="R55" i="10"/>
  <c r="AQ12" i="20"/>
  <c r="N12" i="20"/>
  <c r="P6" i="20"/>
  <c r="P7" i="20"/>
  <c r="Q78" i="9"/>
  <c r="N7" i="20"/>
  <c r="N6" i="20"/>
  <c r="M6" i="20"/>
  <c r="M10" i="20"/>
  <c r="AO11" i="20"/>
  <c r="AL12" i="20"/>
  <c r="AL7" i="20"/>
  <c r="L78" i="9"/>
  <c r="L12" i="20"/>
  <c r="M99" i="9"/>
  <c r="AL11" i="20"/>
  <c r="S10" i="20"/>
  <c r="S12" i="20"/>
  <c r="S11" i="20"/>
  <c r="AT7" i="20"/>
  <c r="AS7" i="20"/>
  <c r="R12" i="20"/>
  <c r="Q99" i="9"/>
  <c r="O6" i="20"/>
  <c r="N10" i="20"/>
  <c r="N78" i="9"/>
  <c r="M7" i="20"/>
  <c r="AM7" i="20"/>
  <c r="L6" i="20"/>
  <c r="M78" i="9"/>
  <c r="P99" i="9"/>
  <c r="O55" i="10"/>
  <c r="AU7" i="20"/>
  <c r="AP11" i="20"/>
  <c r="AO7" i="20"/>
  <c r="N11" i="20"/>
  <c r="AU6" i="20"/>
  <c r="AT6" i="20"/>
  <c r="P78" i="9"/>
  <c r="AO6" i="20"/>
  <c r="L55" i="10"/>
  <c r="M55" i="10"/>
  <c r="L7" i="20"/>
  <c r="AR12" i="20"/>
  <c r="P55" i="10"/>
  <c r="AQ7" i="20"/>
  <c r="O11" i="20"/>
  <c r="AS6" i="20"/>
  <c r="O10" i="20"/>
  <c r="L10" i="20"/>
  <c r="AR6" i="20"/>
  <c r="Q12" i="20"/>
  <c r="P11" i="20"/>
  <c r="AQ6" i="20"/>
  <c r="R11" i="20"/>
  <c r="R99" i="9"/>
  <c r="K78" i="9"/>
  <c r="T99" i="9"/>
  <c r="S7" i="20"/>
  <c r="R7" i="20"/>
  <c r="R78" i="9"/>
  <c r="AS12" i="20"/>
  <c r="J11" i="20"/>
  <c r="AQ10" i="20"/>
  <c r="P10" i="20"/>
  <c r="R6" i="20"/>
  <c r="AT12" i="20"/>
  <c r="K11" i="20"/>
  <c r="K7" i="20"/>
  <c r="AN7" i="20"/>
  <c r="AN10" i="20"/>
  <c r="Q6" i="20"/>
  <c r="O12" i="20"/>
  <c r="P12" i="20"/>
  <c r="Q55" i="10"/>
  <c r="N55" i="10"/>
  <c r="S55" i="10"/>
  <c r="L11" i="20"/>
  <c r="AP10" i="20"/>
  <c r="O99" i="9"/>
  <c r="J12" i="20"/>
  <c r="J7" i="20"/>
  <c r="K12" i="20"/>
  <c r="AM12" i="20"/>
  <c r="AR11" i="20"/>
  <c r="AM11" i="20"/>
  <c r="AN6" i="20"/>
  <c r="O78" i="9"/>
  <c r="AT10" i="20"/>
  <c r="AR7" i="20"/>
  <c r="AU12" i="20"/>
  <c r="AN12" i="20"/>
  <c r="AP6" i="20"/>
  <c r="T78" i="9"/>
  <c r="K55" i="10"/>
  <c r="Q7" i="20"/>
  <c r="AT11" i="20"/>
  <c r="Q11" i="20"/>
  <c r="AQ11" i="20"/>
  <c r="N99" i="9"/>
  <c r="AO10" i="20"/>
  <c r="AU11" i="20"/>
  <c r="AP7" i="20"/>
  <c r="AO12" i="20"/>
  <c r="AS10" i="20"/>
  <c r="O44" i="30"/>
  <c r="O38" i="30"/>
  <c r="N44" i="30"/>
  <c r="N38" i="30"/>
  <c r="G5" i="26"/>
  <c r="G14" i="26"/>
  <c r="G17" i="26"/>
  <c r="G7" i="26"/>
  <c r="G13" i="26"/>
  <c r="G16" i="26"/>
  <c r="G3" i="26"/>
  <c r="G12" i="26"/>
  <c r="G15" i="26"/>
  <c r="O3" i="30"/>
  <c r="P3" i="30" s="1"/>
  <c r="Q3" i="30" s="1"/>
  <c r="E100" i="9"/>
  <c r="E120" i="9"/>
  <c r="E79" i="9"/>
  <c r="AK12" i="20"/>
  <c r="I12" i="20"/>
  <c r="I7" i="20"/>
  <c r="AK11" i="20"/>
  <c r="AK7" i="20"/>
  <c r="I11" i="20"/>
  <c r="J78" i="9"/>
  <c r="J55" i="10"/>
  <c r="H7" i="20"/>
  <c r="AJ12" i="20"/>
  <c r="E89" i="9"/>
  <c r="H12" i="20"/>
  <c r="I55" i="10"/>
  <c r="H11" i="20"/>
  <c r="AJ7" i="20"/>
  <c r="AJ11" i="20"/>
  <c r="I78" i="9"/>
  <c r="U77" i="9"/>
  <c r="I12" i="11"/>
  <c r="Q4" i="9"/>
  <c r="G8" i="26"/>
  <c r="G11" i="26"/>
  <c r="G10" i="26"/>
  <c r="G9" i="26"/>
  <c r="G6" i="26"/>
  <c r="S4" i="9"/>
  <c r="J12" i="11"/>
  <c r="J41" i="11" s="1"/>
  <c r="W5" i="20"/>
  <c r="Y5" i="20"/>
  <c r="Z77" i="9"/>
  <c r="Y77" i="9"/>
  <c r="X5" i="20"/>
  <c r="AZ5" i="20"/>
  <c r="K12" i="11"/>
  <c r="K41" i="11" s="1"/>
  <c r="Y4" i="9"/>
  <c r="BA5" i="20"/>
  <c r="V5" i="20"/>
  <c r="W9" i="20"/>
  <c r="Y9" i="20"/>
  <c r="AZ9" i="20"/>
  <c r="BA9" i="20"/>
  <c r="T9" i="20"/>
  <c r="V9" i="20"/>
  <c r="E95" i="9"/>
  <c r="E80" i="9"/>
  <c r="AV9" i="20"/>
  <c r="AY9" i="20"/>
  <c r="AV5" i="20"/>
  <c r="W77" i="9"/>
  <c r="X77" i="9"/>
  <c r="X9" i="20"/>
  <c r="E63" i="10"/>
  <c r="K13" i="11" s="1"/>
  <c r="K42" i="11" s="1"/>
  <c r="E58" i="10"/>
  <c r="F13" i="11" s="1"/>
  <c r="F42" i="11" s="1"/>
  <c r="G7" i="20"/>
  <c r="E98" i="9"/>
  <c r="F78" i="9"/>
  <c r="L12" i="11"/>
  <c r="L41" i="11" s="1"/>
  <c r="AX5" i="20"/>
  <c r="AH7" i="20"/>
  <c r="E65" i="10"/>
  <c r="M13" i="11" s="1"/>
  <c r="M42" i="11" s="1"/>
  <c r="M12" i="11"/>
  <c r="M41" i="11" s="1"/>
  <c r="U4" i="9"/>
  <c r="Z4" i="9"/>
  <c r="T5" i="20"/>
  <c r="V77" i="9"/>
  <c r="O4" i="9"/>
  <c r="AY5" i="20"/>
  <c r="E85" i="9"/>
  <c r="P4" i="9"/>
  <c r="E86" i="9"/>
  <c r="AW5" i="20"/>
  <c r="E93" i="9"/>
  <c r="U9" i="20"/>
  <c r="M14" i="6"/>
  <c r="N4" i="6"/>
  <c r="G4" i="26"/>
  <c r="F12" i="20"/>
  <c r="G12" i="20"/>
  <c r="E88" i="9"/>
  <c r="X4" i="9"/>
  <c r="M15" i="6"/>
  <c r="T12" i="6"/>
  <c r="AX9" i="20"/>
  <c r="M4" i="9"/>
  <c r="W4" i="9"/>
  <c r="J43" i="11"/>
  <c r="V4" i="9"/>
  <c r="AW9" i="20"/>
  <c r="N4" i="9"/>
  <c r="R4" i="9"/>
  <c r="T4" i="9"/>
  <c r="B9" i="2"/>
  <c r="E9" i="2"/>
  <c r="B11" i="2"/>
  <c r="E11" i="2"/>
  <c r="I41" i="11"/>
  <c r="Y10" i="4"/>
  <c r="E10" i="2" s="1"/>
  <c r="E62" i="10"/>
  <c r="J13" i="11" s="1"/>
  <c r="J42" i="11" s="1"/>
  <c r="AG11" i="20"/>
  <c r="P12" i="6"/>
  <c r="Q12" i="6" s="1"/>
  <c r="E84" i="9"/>
  <c r="E91" i="9"/>
  <c r="AH11" i="20"/>
  <c r="G78" i="9"/>
  <c r="G12" i="11"/>
  <c r="AH12" i="20"/>
  <c r="G6" i="39"/>
  <c r="E96" i="9"/>
  <c r="E94" i="9"/>
  <c r="AI12" i="20"/>
  <c r="B7" i="2"/>
  <c r="E92" i="9"/>
  <c r="E87" i="9"/>
  <c r="U5" i="20"/>
  <c r="E4" i="10"/>
  <c r="D12" i="11"/>
  <c r="E81" i="9"/>
  <c r="F12" i="11"/>
  <c r="H55" i="10"/>
  <c r="AI7" i="20"/>
  <c r="D8" i="20"/>
  <c r="E11" i="20"/>
  <c r="AF8" i="20"/>
  <c r="G55" i="10"/>
  <c r="E59" i="10"/>
  <c r="G13" i="11" s="1"/>
  <c r="G42" i="11" s="1"/>
  <c r="T9" i="6"/>
  <c r="F7" i="20"/>
  <c r="E61" i="10"/>
  <c r="I13" i="11" s="1"/>
  <c r="I42" i="11" s="1"/>
  <c r="E60" i="10"/>
  <c r="H13" i="11" s="1"/>
  <c r="E12" i="11"/>
  <c r="E82" i="9"/>
  <c r="F11" i="20"/>
  <c r="AI11" i="20"/>
  <c r="H78" i="9"/>
  <c r="G11" i="20"/>
  <c r="E97" i="9"/>
  <c r="E83" i="9"/>
  <c r="E57" i="10"/>
  <c r="E13" i="11" s="1"/>
  <c r="E42" i="11" s="1"/>
  <c r="E12" i="20"/>
  <c r="AG12" i="20"/>
  <c r="F55" i="10"/>
  <c r="AG7" i="20"/>
  <c r="E90" i="9"/>
  <c r="E7" i="20"/>
  <c r="D7" i="11"/>
  <c r="G7" i="39"/>
  <c r="E5" i="9"/>
  <c r="E64" i="10"/>
  <c r="L13" i="11" s="1"/>
  <c r="L42" i="11" s="1"/>
  <c r="H12" i="11"/>
  <c r="H41" i="11" s="1"/>
  <c r="R8" i="4"/>
  <c r="K43" i="11"/>
  <c r="P13" i="6"/>
  <c r="Q13" i="6" s="1"/>
  <c r="AY23" i="20"/>
  <c r="W23" i="20"/>
  <c r="BA23" i="20"/>
  <c r="AG23" i="20"/>
  <c r="X23" i="20"/>
  <c r="Y23" i="20"/>
  <c r="AZ23" i="20"/>
  <c r="N20" i="20"/>
  <c r="Q16" i="39"/>
  <c r="V16" i="39" s="1"/>
  <c r="AM20" i="20"/>
  <c r="AT20" i="20"/>
  <c r="AY20" i="20"/>
  <c r="AL20" i="20"/>
  <c r="AZ21" i="20"/>
  <c r="AP20" i="20"/>
  <c r="S20" i="20"/>
  <c r="N21" i="20"/>
  <c r="AU21" i="20"/>
  <c r="V20" i="20"/>
  <c r="X20" i="20"/>
  <c r="W20" i="20"/>
  <c r="AX20" i="20"/>
  <c r="R21" i="20"/>
  <c r="O20" i="20"/>
  <c r="P20" i="20"/>
  <c r="AR21" i="20"/>
  <c r="AO21" i="20"/>
  <c r="AZ20" i="20"/>
  <c r="P21" i="20"/>
  <c r="M21" i="20"/>
  <c r="AY21" i="20"/>
  <c r="J21" i="20"/>
  <c r="L20" i="20"/>
  <c r="AL21" i="20"/>
  <c r="AJ21" i="20"/>
  <c r="X21" i="20"/>
  <c r="AN21" i="20"/>
  <c r="G20" i="20"/>
  <c r="BA21" i="20"/>
  <c r="AJ20" i="20"/>
  <c r="AW21" i="20"/>
  <c r="AT21" i="20"/>
  <c r="AM21" i="20"/>
  <c r="I20" i="20"/>
  <c r="O21" i="20"/>
  <c r="Q20" i="20"/>
  <c r="H21" i="20"/>
  <c r="M20" i="20"/>
  <c r="S21" i="20"/>
  <c r="T21" i="20"/>
  <c r="AX21" i="20"/>
  <c r="AP21" i="20"/>
  <c r="AR20" i="20"/>
  <c r="AQ20" i="20"/>
  <c r="U20" i="20"/>
  <c r="Q21" i="20"/>
  <c r="J20" i="20"/>
  <c r="K21" i="20"/>
  <c r="V21" i="20"/>
  <c r="AO20" i="20"/>
  <c r="AN20" i="20"/>
  <c r="AS20" i="20"/>
  <c r="AU20" i="20"/>
  <c r="AW20" i="20"/>
  <c r="Y20" i="20"/>
  <c r="L21" i="20"/>
  <c r="AS21" i="20"/>
  <c r="Y21" i="20"/>
  <c r="I21" i="20"/>
  <c r="AK21" i="20"/>
  <c r="AV21" i="20"/>
  <c r="AQ21" i="20"/>
  <c r="U21" i="20"/>
  <c r="K20" i="20"/>
  <c r="AK20" i="20"/>
  <c r="W21" i="20"/>
  <c r="H20" i="20"/>
  <c r="R20" i="20"/>
  <c r="AI20" i="20"/>
  <c r="L84" i="3"/>
  <c r="F23" i="20"/>
  <c r="AH23" i="20"/>
  <c r="R4" i="4"/>
  <c r="Q14" i="4"/>
  <c r="K100" i="3"/>
  <c r="K105" i="3"/>
  <c r="K102" i="3"/>
  <c r="K103" i="3"/>
  <c r="K101" i="3"/>
  <c r="L83" i="3"/>
  <c r="L97" i="3"/>
  <c r="L76" i="3"/>
  <c r="K96" i="3"/>
  <c r="BB99" i="3"/>
  <c r="P147" i="30" l="1"/>
  <c r="Q147" i="30" s="1"/>
  <c r="P11" i="30"/>
  <c r="Q11" i="30" s="1"/>
  <c r="P148" i="30"/>
  <c r="Q148" i="30" s="1"/>
  <c r="P104" i="30"/>
  <c r="Q104" i="30" s="1"/>
  <c r="P121" i="30"/>
  <c r="Q121" i="30" s="1"/>
  <c r="P39" i="30"/>
  <c r="Q39" i="30" s="1"/>
  <c r="P75" i="30"/>
  <c r="Q75" i="30" s="1"/>
  <c r="P92" i="30"/>
  <c r="Q92" i="30" s="1"/>
  <c r="P144" i="30"/>
  <c r="Q144" i="30" s="1"/>
  <c r="P117" i="30"/>
  <c r="Q117" i="30" s="1"/>
  <c r="P116" i="30"/>
  <c r="Q116" i="30" s="1"/>
  <c r="P10" i="30"/>
  <c r="Q10" i="30" s="1"/>
  <c r="P109" i="30"/>
  <c r="Q109" i="30" s="1"/>
  <c r="P93" i="30"/>
  <c r="Q93" i="30" s="1"/>
  <c r="P87" i="30"/>
  <c r="Q87" i="30" s="1"/>
  <c r="P86" i="30"/>
  <c r="Q86" i="30" s="1"/>
  <c r="P40" i="30"/>
  <c r="Q40" i="30" s="1"/>
  <c r="AI21" i="20"/>
  <c r="AI19" i="20" s="1"/>
  <c r="AI15" i="20" s="1"/>
  <c r="F83" i="3"/>
  <c r="Q4" i="20"/>
  <c r="AS4" i="20"/>
  <c r="S13" i="6"/>
  <c r="F115" i="3"/>
  <c r="F125" i="3"/>
  <c r="AG17" i="20"/>
  <c r="E17" i="20"/>
  <c r="V13" i="4"/>
  <c r="V14" i="4" s="1"/>
  <c r="C14" i="4"/>
  <c r="Q17" i="20"/>
  <c r="Q16" i="20" s="1"/>
  <c r="AS17" i="20"/>
  <c r="AS16" i="20" s="1"/>
  <c r="W13" i="4"/>
  <c r="E13" i="4"/>
  <c r="D14" i="4"/>
  <c r="AG4" i="20"/>
  <c r="AF4" i="20" s="1"/>
  <c r="E4" i="20"/>
  <c r="D4" i="20" s="1"/>
  <c r="H13" i="4"/>
  <c r="R13" i="6"/>
  <c r="F84" i="3"/>
  <c r="E21" i="20"/>
  <c r="AG21" i="20"/>
  <c r="E100" i="3"/>
  <c r="N8" i="4" s="1"/>
  <c r="Z8" i="4" s="1"/>
  <c r="E102" i="3"/>
  <c r="N10" i="4" s="1"/>
  <c r="Z10" i="4" s="1"/>
  <c r="E103" i="3"/>
  <c r="N11" i="4" s="1"/>
  <c r="Z11" i="4" s="1"/>
  <c r="E101" i="3"/>
  <c r="N9" i="4" s="1"/>
  <c r="Z9" i="4" s="1"/>
  <c r="E105" i="3"/>
  <c r="N13" i="4" s="1"/>
  <c r="Z13" i="4" s="1"/>
  <c r="F78" i="3"/>
  <c r="F79" i="3"/>
  <c r="F82" i="3"/>
  <c r="F76" i="3"/>
  <c r="I100" i="3"/>
  <c r="I102" i="3"/>
  <c r="I99" i="3"/>
  <c r="F99" i="3" s="1"/>
  <c r="N7" i="4"/>
  <c r="O7" i="4" s="1"/>
  <c r="I103" i="3"/>
  <c r="I98" i="3"/>
  <c r="F98" i="3" s="1"/>
  <c r="N6" i="4"/>
  <c r="O6" i="4" s="1"/>
  <c r="I101" i="3"/>
  <c r="I97" i="3"/>
  <c r="F97" i="3" s="1"/>
  <c r="N5" i="4"/>
  <c r="Z5" i="4" s="1"/>
  <c r="I105" i="3"/>
  <c r="I104" i="3"/>
  <c r="F104" i="3" s="1"/>
  <c r="N12" i="4"/>
  <c r="Z12" i="4" s="1"/>
  <c r="P141" i="30"/>
  <c r="Q141" i="30" s="1"/>
  <c r="P111" i="30"/>
  <c r="Q111" i="30" s="1"/>
  <c r="P49" i="30"/>
  <c r="Q49" i="30" s="1"/>
  <c r="P122" i="30"/>
  <c r="Q122" i="30" s="1"/>
  <c r="P74" i="30"/>
  <c r="Q74" i="30" s="1"/>
  <c r="P77" i="30"/>
  <c r="Q77" i="30" s="1"/>
  <c r="P114" i="30"/>
  <c r="Q114" i="30" s="1"/>
  <c r="P41" i="30"/>
  <c r="Q41" i="30" s="1"/>
  <c r="P58" i="30"/>
  <c r="Q58" i="30" s="1"/>
  <c r="P146" i="30"/>
  <c r="Q146" i="30" s="1"/>
  <c r="P125" i="30"/>
  <c r="Q125" i="30" s="1"/>
  <c r="P138" i="30"/>
  <c r="Q138" i="30" s="1"/>
  <c r="P89" i="30"/>
  <c r="Q89" i="30" s="1"/>
  <c r="P120" i="30"/>
  <c r="Q120" i="30" s="1"/>
  <c r="P137" i="30"/>
  <c r="Q137" i="30" s="1"/>
  <c r="P108" i="30"/>
  <c r="Q108" i="30" s="1"/>
  <c r="P123" i="30"/>
  <c r="Q123" i="30" s="1"/>
  <c r="P88" i="30"/>
  <c r="Q88" i="30" s="1"/>
  <c r="P136" i="30"/>
  <c r="Q136" i="30" s="1"/>
  <c r="P85" i="30"/>
  <c r="Q85" i="30" s="1"/>
  <c r="P106" i="30"/>
  <c r="Q106" i="30" s="1"/>
  <c r="P107" i="30"/>
  <c r="Q107" i="30" s="1"/>
  <c r="P130" i="30"/>
  <c r="Q130" i="30" s="1"/>
  <c r="P113" i="30"/>
  <c r="Q113" i="30" s="1"/>
  <c r="P90" i="30"/>
  <c r="Q90" i="30" s="1"/>
  <c r="P142" i="30"/>
  <c r="Q142" i="30" s="1"/>
  <c r="P133" i="30"/>
  <c r="Q133" i="30" s="1"/>
  <c r="P131" i="30"/>
  <c r="Q131" i="30" s="1"/>
  <c r="P9" i="30"/>
  <c r="Q9" i="30" s="1"/>
  <c r="P127" i="30"/>
  <c r="Q127" i="30" s="1"/>
  <c r="P140" i="30"/>
  <c r="Q140" i="30" s="1"/>
  <c r="P84" i="30"/>
  <c r="Q84" i="30" s="1"/>
  <c r="P65" i="30"/>
  <c r="Q65" i="30" s="1"/>
  <c r="P43" i="30"/>
  <c r="Q43" i="30" s="1"/>
  <c r="P115" i="30"/>
  <c r="Q115" i="30" s="1"/>
  <c r="P134" i="30"/>
  <c r="Q134" i="30" s="1"/>
  <c r="P145" i="30"/>
  <c r="Q145" i="30" s="1"/>
  <c r="P48" i="30"/>
  <c r="Q48" i="30" s="1"/>
  <c r="P46" i="30"/>
  <c r="Q46" i="30" s="1"/>
  <c r="P55" i="30"/>
  <c r="Q55" i="30" s="1"/>
  <c r="P78" i="30"/>
  <c r="Q78" i="30" s="1"/>
  <c r="L9" i="11"/>
  <c r="L38" i="11" s="1"/>
  <c r="P126" i="30"/>
  <c r="Q126" i="30" s="1"/>
  <c r="P135" i="30"/>
  <c r="Q135" i="30" s="1"/>
  <c r="P110" i="30"/>
  <c r="Q110" i="30" s="1"/>
  <c r="P128" i="30"/>
  <c r="Q128" i="30" s="1"/>
  <c r="P143" i="30"/>
  <c r="Q143" i="30" s="1"/>
  <c r="P139" i="30"/>
  <c r="Q139" i="30" s="1"/>
  <c r="P57" i="30"/>
  <c r="Q57" i="30" s="1"/>
  <c r="P124" i="30"/>
  <c r="Q124" i="30" s="1"/>
  <c r="P132" i="30"/>
  <c r="Q132" i="30" s="1"/>
  <c r="P73" i="30"/>
  <c r="Q73" i="30" s="1"/>
  <c r="P112" i="30"/>
  <c r="Q112" i="30" s="1"/>
  <c r="P129" i="30"/>
  <c r="Q129" i="30" s="1"/>
  <c r="P45" i="30"/>
  <c r="Q45" i="30" s="1"/>
  <c r="P79" i="30"/>
  <c r="Q79" i="30" s="1"/>
  <c r="M9" i="11"/>
  <c r="M38" i="11" s="1"/>
  <c r="F9" i="11"/>
  <c r="F38" i="11" s="1"/>
  <c r="I9" i="11"/>
  <c r="I38" i="11" s="1"/>
  <c r="K9" i="11"/>
  <c r="K38" i="11" s="1"/>
  <c r="G9" i="11"/>
  <c r="G38" i="11" s="1"/>
  <c r="J9" i="11"/>
  <c r="J38" i="11" s="1"/>
  <c r="N77" i="9"/>
  <c r="N9" i="20"/>
  <c r="AO5" i="20"/>
  <c r="L5" i="20"/>
  <c r="O5" i="20"/>
  <c r="S5" i="20"/>
  <c r="AT9" i="20"/>
  <c r="P44" i="30"/>
  <c r="Q44" i="30" s="1"/>
  <c r="R9" i="20"/>
  <c r="T77" i="9"/>
  <c r="M9" i="20"/>
  <c r="P5" i="20"/>
  <c r="R5" i="20"/>
  <c r="AQ5" i="20"/>
  <c r="AO9" i="20"/>
  <c r="AR5" i="20"/>
  <c r="M77" i="9"/>
  <c r="Y14" i="4"/>
  <c r="AP5" i="20"/>
  <c r="AN9" i="20"/>
  <c r="P9" i="20"/>
  <c r="L9" i="20"/>
  <c r="AS5" i="20"/>
  <c r="S9" i="20"/>
  <c r="N5" i="20"/>
  <c r="S77" i="9"/>
  <c r="Q77" i="9"/>
  <c r="Q5" i="20"/>
  <c r="O77" i="9"/>
  <c r="O9" i="20"/>
  <c r="AT5" i="20"/>
  <c r="M5" i="20"/>
  <c r="AQ9" i="20"/>
  <c r="AR9" i="20"/>
  <c r="AU5" i="20"/>
  <c r="Q9" i="20"/>
  <c r="P38" i="30"/>
  <c r="Q38" i="30" s="1"/>
  <c r="AS9" i="20"/>
  <c r="AN5" i="20"/>
  <c r="R77" i="9"/>
  <c r="P77" i="9"/>
  <c r="AU9" i="20"/>
  <c r="AP9" i="20"/>
  <c r="D10" i="11"/>
  <c r="D39" i="11" s="1"/>
  <c r="D8" i="11"/>
  <c r="D37" i="11" s="1"/>
  <c r="F12" i="45"/>
  <c r="F7" i="45"/>
  <c r="J5" i="32"/>
  <c r="F9" i="45"/>
  <c r="J4" i="32"/>
  <c r="D11" i="6"/>
  <c r="E11" i="6" s="1"/>
  <c r="G8" i="11"/>
  <c r="G37" i="11" s="1"/>
  <c r="E8" i="11"/>
  <c r="E37" i="11" s="1"/>
  <c r="D12" i="20"/>
  <c r="J8" i="11"/>
  <c r="M8" i="11"/>
  <c r="M37" i="11" s="1"/>
  <c r="L8" i="11"/>
  <c r="L37" i="11" s="1"/>
  <c r="D7" i="20"/>
  <c r="I8" i="11"/>
  <c r="I37" i="11" s="1"/>
  <c r="AF7" i="20"/>
  <c r="K8" i="11"/>
  <c r="K37" i="11" s="1"/>
  <c r="D9" i="6"/>
  <c r="E9" i="6" s="1"/>
  <c r="N15" i="6"/>
  <c r="N14" i="6"/>
  <c r="H8" i="11"/>
  <c r="C6" i="39"/>
  <c r="D13" i="6"/>
  <c r="E13" i="6" s="1"/>
  <c r="E41" i="11"/>
  <c r="D5" i="6"/>
  <c r="E5" i="6" s="1"/>
  <c r="D11" i="20"/>
  <c r="D8" i="6"/>
  <c r="E8" i="6" s="1"/>
  <c r="H42" i="11"/>
  <c r="C42" i="11" s="1"/>
  <c r="AF11" i="20"/>
  <c r="E78" i="9"/>
  <c r="G41" i="11"/>
  <c r="D7" i="6"/>
  <c r="E7" i="6" s="1"/>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U13"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O19" i="20"/>
  <c r="O15" i="20" s="1"/>
  <c r="AJ19" i="20"/>
  <c r="AJ15" i="20" s="1"/>
  <c r="W19" i="20"/>
  <c r="W15" i="20" s="1"/>
  <c r="X19" i="20"/>
  <c r="X15" i="20" s="1"/>
  <c r="I19" i="20"/>
  <c r="I15" i="20" s="1"/>
  <c r="R19" i="20"/>
  <c r="R15" i="20" s="1"/>
  <c r="AK19" i="20"/>
  <c r="AK15" i="20" s="1"/>
  <c r="L19" i="20"/>
  <c r="L15" i="20" s="1"/>
  <c r="AN19" i="20"/>
  <c r="AN15" i="20" s="1"/>
  <c r="M19" i="20"/>
  <c r="M15" i="20" s="1"/>
  <c r="AW19" i="20"/>
  <c r="AW15" i="20" s="1"/>
  <c r="U19" i="20"/>
  <c r="U15" i="20" s="1"/>
  <c r="G19" i="20"/>
  <c r="G15" i="20" s="1"/>
  <c r="J19" i="20"/>
  <c r="J15" i="20" s="1"/>
  <c r="AQ19" i="20"/>
  <c r="AQ15" i="20" s="1"/>
  <c r="K19" i="20"/>
  <c r="K15" i="20" s="1"/>
  <c r="H19" i="20"/>
  <c r="H15" i="20" s="1"/>
  <c r="AS19" i="20"/>
  <c r="Y19" i="20"/>
  <c r="Y15" i="20" s="1"/>
  <c r="R15" i="4"/>
  <c r="R14" i="4"/>
  <c r="L101" i="3"/>
  <c r="L103" i="3"/>
  <c r="L102" i="3"/>
  <c r="L105" i="3"/>
  <c r="L100" i="3"/>
  <c r="L96" i="3"/>
  <c r="T14" i="4"/>
  <c r="U4" i="4"/>
  <c r="T20" i="20"/>
  <c r="T19" i="20" s="1"/>
  <c r="T15" i="20" s="1"/>
  <c r="AV20" i="20"/>
  <c r="AV19" i="20" s="1"/>
  <c r="AV15" i="20" s="1"/>
  <c r="F21" i="20"/>
  <c r="AH21" i="20"/>
  <c r="J7" i="32" l="1"/>
  <c r="Z6" i="4"/>
  <c r="AA6" i="4" s="1"/>
  <c r="Q15" i="20"/>
  <c r="AF21" i="20"/>
  <c r="D21" i="20"/>
  <c r="X13" i="4"/>
  <c r="W14" i="4"/>
  <c r="U13" i="6"/>
  <c r="R14" i="6"/>
  <c r="E16" i="20"/>
  <c r="D16" i="20" s="1"/>
  <c r="D17" i="20"/>
  <c r="H14" i="4"/>
  <c r="H15" i="4"/>
  <c r="AF17" i="20"/>
  <c r="AG16" i="20"/>
  <c r="AF16" i="20" s="1"/>
  <c r="T13" i="6"/>
  <c r="S14" i="6"/>
  <c r="S15" i="6"/>
  <c r="Z7" i="4"/>
  <c r="AA7" i="4" s="1"/>
  <c r="AS15" i="20"/>
  <c r="E15" i="4"/>
  <c r="E14" i="4"/>
  <c r="O12" i="4"/>
  <c r="O5" i="4"/>
  <c r="F105" i="3"/>
  <c r="F101" i="3"/>
  <c r="F103" i="3"/>
  <c r="F102" i="3"/>
  <c r="F100" i="3"/>
  <c r="J9" i="32"/>
  <c r="F6" i="45"/>
  <c r="J8" i="32"/>
  <c r="F5" i="45"/>
  <c r="F10" i="45"/>
  <c r="F2" i="45"/>
  <c r="F4" i="45"/>
  <c r="F3" i="45"/>
  <c r="F11" i="45"/>
  <c r="J3" i="32"/>
  <c r="F8" i="45"/>
  <c r="J6" i="32"/>
  <c r="G4" i="6"/>
  <c r="H4" i="6" s="1"/>
  <c r="G7" i="6"/>
  <c r="H7" i="6" s="1"/>
  <c r="G12" i="6"/>
  <c r="H12" i="6" s="1"/>
  <c r="G13" i="6"/>
  <c r="H13" i="6" s="1"/>
  <c r="G5" i="6"/>
  <c r="H5" i="6" s="1"/>
  <c r="G11" i="6"/>
  <c r="H11" i="6" s="1"/>
  <c r="J37" i="11"/>
  <c r="G10" i="6"/>
  <c r="H10" i="6" s="1"/>
  <c r="G9" i="6"/>
  <c r="H9" i="6" s="1"/>
  <c r="G8" i="6"/>
  <c r="H8" i="6" s="1"/>
  <c r="H37" i="11"/>
  <c r="D15" i="6"/>
  <c r="E4" i="6"/>
  <c r="D14" i="6"/>
  <c r="F37" i="11"/>
  <c r="G6" i="6"/>
  <c r="C41" i="11"/>
  <c r="S13" i="39"/>
  <c r="O13" i="39"/>
  <c r="U13" i="39" s="1"/>
  <c r="T13" i="39"/>
  <c r="Q13" i="39"/>
  <c r="V13" i="39" s="1"/>
  <c r="C8" i="11"/>
  <c r="Q12" i="39"/>
  <c r="V12" i="39" s="1"/>
  <c r="T12" i="39"/>
  <c r="O12" i="39"/>
  <c r="U12" i="39" s="1"/>
  <c r="S12" i="39"/>
  <c r="C12" i="39"/>
  <c r="AA12" i="4"/>
  <c r="O8" i="4"/>
  <c r="O13" i="4"/>
  <c r="O10" i="4"/>
  <c r="O11" i="4"/>
  <c r="O9" i="4"/>
  <c r="AA5" i="4"/>
  <c r="F20" i="20"/>
  <c r="AH20" i="20"/>
  <c r="U15" i="4"/>
  <c r="U14" i="4"/>
  <c r="T14" i="6" l="1"/>
  <c r="T15" i="6"/>
  <c r="B13" i="2"/>
  <c r="B14" i="2" s="1"/>
  <c r="E13" i="2"/>
  <c r="E14" i="2" s="1"/>
  <c r="U14" i="6"/>
  <c r="X15" i="4"/>
  <c r="X14" i="4"/>
  <c r="F8" i="26"/>
  <c r="I8" i="26" s="1"/>
  <c r="F64" i="26"/>
  <c r="I64" i="26" s="1"/>
  <c r="F7" i="26"/>
  <c r="I7" i="26" s="1"/>
  <c r="F63" i="26"/>
  <c r="I63" i="26" s="1"/>
  <c r="F55" i="26"/>
  <c r="I55" i="26" s="1"/>
  <c r="F32" i="26"/>
  <c r="I32" i="26" s="1"/>
  <c r="F15" i="26"/>
  <c r="I15" i="26" s="1"/>
  <c r="F48" i="26"/>
  <c r="I48" i="26" s="1"/>
  <c r="F49" i="26"/>
  <c r="I49" i="26" s="1"/>
  <c r="F24" i="26"/>
  <c r="I24" i="26" s="1"/>
  <c r="F11" i="26"/>
  <c r="I11" i="26" s="1"/>
  <c r="F38" i="26"/>
  <c r="I38" i="26" s="1"/>
  <c r="F16" i="26"/>
  <c r="I16" i="26" s="1"/>
  <c r="F28" i="26"/>
  <c r="I28" i="26" s="1"/>
  <c r="F57" i="26"/>
  <c r="I57" i="26" s="1"/>
  <c r="F5" i="26"/>
  <c r="I5" i="26" s="1"/>
  <c r="F61" i="26"/>
  <c r="I61" i="26" s="1"/>
  <c r="F27" i="26"/>
  <c r="I27" i="26" s="1"/>
  <c r="F43" i="26"/>
  <c r="I43" i="26" s="1"/>
  <c r="F12" i="26"/>
  <c r="I12" i="26" s="1"/>
  <c r="F37" i="26"/>
  <c r="I37" i="26" s="1"/>
  <c r="F26" i="26"/>
  <c r="I26" i="26" s="1"/>
  <c r="F29" i="26"/>
  <c r="I29" i="26" s="1"/>
  <c r="F31" i="26"/>
  <c r="I31" i="26" s="1"/>
  <c r="F22" i="26"/>
  <c r="I22" i="26" s="1"/>
  <c r="J1" i="32"/>
  <c r="E11" i="45" s="1"/>
  <c r="F9" i="26"/>
  <c r="I9" i="26" s="1"/>
  <c r="F34" i="26"/>
  <c r="I34" i="26" s="1"/>
  <c r="F39" i="26"/>
  <c r="I39" i="26" s="1"/>
  <c r="F33" i="26"/>
  <c r="I33" i="26" s="1"/>
  <c r="F47" i="26"/>
  <c r="I47" i="26" s="1"/>
  <c r="F25" i="26"/>
  <c r="I25" i="26" s="1"/>
  <c r="D16" i="29"/>
  <c r="K16" i="29" s="1"/>
  <c r="F6" i="26"/>
  <c r="I6" i="26" s="1"/>
  <c r="D4" i="29"/>
  <c r="K12" i="29" s="1"/>
  <c r="M12" i="29" s="1"/>
  <c r="F54" i="26"/>
  <c r="I54" i="26" s="1"/>
  <c r="F51" i="26"/>
  <c r="I51" i="26" s="1"/>
  <c r="F18" i="26"/>
  <c r="I18" i="26" s="1"/>
  <c r="D28" i="29"/>
  <c r="K29" i="29" s="1"/>
  <c r="F58" i="26"/>
  <c r="I58" i="26" s="1"/>
  <c r="F19" i="26"/>
  <c r="I19" i="26" s="1"/>
  <c r="F56" i="26"/>
  <c r="I56" i="26" s="1"/>
  <c r="F44" i="26"/>
  <c r="I44" i="26" s="1"/>
  <c r="F30" i="26"/>
  <c r="I30" i="26" s="1"/>
  <c r="F40" i="26"/>
  <c r="I40" i="26" s="1"/>
  <c r="F21" i="26"/>
  <c r="I21" i="26" s="1"/>
  <c r="F50" i="26"/>
  <c r="I50" i="26" s="1"/>
  <c r="F59" i="26"/>
  <c r="I59" i="26" s="1"/>
  <c r="F53" i="26"/>
  <c r="I53" i="26" s="1"/>
  <c r="F20" i="26"/>
  <c r="I20" i="26" s="1"/>
  <c r="F52" i="26"/>
  <c r="I52" i="26" s="1"/>
  <c r="F36" i="26"/>
  <c r="I36" i="26" s="1"/>
  <c r="F35" i="26"/>
  <c r="I35" i="26" s="1"/>
  <c r="F60" i="26"/>
  <c r="I60" i="26" s="1"/>
  <c r="F45" i="26"/>
  <c r="I45" i="26" s="1"/>
  <c r="F10" i="26"/>
  <c r="I10" i="26" s="1"/>
  <c r="F4" i="26"/>
  <c r="I4" i="26" s="1"/>
  <c r="F65" i="26"/>
  <c r="I65" i="26" s="1"/>
  <c r="F62" i="26"/>
  <c r="I62" i="26" s="1"/>
  <c r="F3" i="26"/>
  <c r="I3" i="26" s="1"/>
  <c r="F46" i="26"/>
  <c r="I46" i="26" s="1"/>
  <c r="F23" i="26"/>
  <c r="I23" i="26" s="1"/>
  <c r="F41" i="26"/>
  <c r="I41" i="26" s="1"/>
  <c r="F42" i="26"/>
  <c r="I42" i="26" s="1"/>
  <c r="F17" i="26"/>
  <c r="I17" i="26" s="1"/>
  <c r="F13" i="26"/>
  <c r="I13" i="26" s="1"/>
  <c r="F14" i="26"/>
  <c r="I14" i="26" s="1"/>
  <c r="C37" i="11"/>
  <c r="H6" i="6"/>
  <c r="G15" i="6"/>
  <c r="G14" i="6"/>
  <c r="E15" i="6"/>
  <c r="E14" i="6"/>
  <c r="AA9" i="4"/>
  <c r="AA11" i="4"/>
  <c r="AA10" i="4"/>
  <c r="AA13" i="4"/>
  <c r="AA8" i="4"/>
  <c r="AH19" i="20"/>
  <c r="F19" i="20"/>
  <c r="G58" i="9" l="1"/>
  <c r="J58" i="9"/>
  <c r="I58" i="9"/>
  <c r="K58" i="9"/>
  <c r="L58" i="9"/>
  <c r="I1" i="26"/>
  <c r="B2" i="50" s="1"/>
  <c r="K57" i="9"/>
  <c r="L57" i="9"/>
  <c r="F61" i="9"/>
  <c r="E61" i="9" s="1"/>
  <c r="F58" i="9"/>
  <c r="H58" i="9"/>
  <c r="K11" i="29"/>
  <c r="M11" i="29" s="1"/>
  <c r="G57" i="9"/>
  <c r="K5" i="29"/>
  <c r="M5" i="29" s="1"/>
  <c r="K37" i="29"/>
  <c r="M37" i="29" s="1"/>
  <c r="K33" i="29"/>
  <c r="U12" i="29" s="1"/>
  <c r="H57" i="9"/>
  <c r="K31" i="29"/>
  <c r="M31" i="29" s="1"/>
  <c r="K15" i="29"/>
  <c r="M15" i="29" s="1"/>
  <c r="K8" i="29"/>
  <c r="M8" i="29" s="1"/>
  <c r="K4" i="29"/>
  <c r="I57" i="9"/>
  <c r="K34" i="29"/>
  <c r="M34" i="29" s="1"/>
  <c r="K35" i="29"/>
  <c r="M35" i="29" s="1"/>
  <c r="K32" i="29"/>
  <c r="M32" i="29" s="1"/>
  <c r="K38" i="29"/>
  <c r="M38" i="29" s="1"/>
  <c r="K14" i="29"/>
  <c r="M14" i="29" s="1"/>
  <c r="K7" i="29"/>
  <c r="M7" i="29" s="1"/>
  <c r="K36" i="29"/>
  <c r="M36" i="29" s="1"/>
  <c r="K30" i="29"/>
  <c r="M30" i="29" s="1"/>
  <c r="E9" i="45"/>
  <c r="K28" i="29"/>
  <c r="M28" i="29" s="1"/>
  <c r="K39" i="29"/>
  <c r="M39" i="29" s="1"/>
  <c r="J57" i="9"/>
  <c r="K6" i="29"/>
  <c r="E3" i="45"/>
  <c r="K10" i="29"/>
  <c r="M10" i="29" s="1"/>
  <c r="E12" i="45"/>
  <c r="K9" i="29"/>
  <c r="M9" i="29" s="1"/>
  <c r="E2" i="45"/>
  <c r="K13" i="29"/>
  <c r="M13" i="29" s="1"/>
  <c r="E5" i="45"/>
  <c r="K27" i="29"/>
  <c r="M27" i="29" s="1"/>
  <c r="K20" i="29"/>
  <c r="M20" i="29" s="1"/>
  <c r="K19" i="29"/>
  <c r="M19" i="29" s="1"/>
  <c r="E7" i="45"/>
  <c r="K22" i="29"/>
  <c r="M22" i="29" s="1"/>
  <c r="E6" i="45"/>
  <c r="K26" i="29"/>
  <c r="M26" i="29" s="1"/>
  <c r="K18" i="29"/>
  <c r="M18" i="29" s="1"/>
  <c r="K25" i="29"/>
  <c r="M25" i="29" s="1"/>
  <c r="D2" i="29"/>
  <c r="E8" i="45"/>
  <c r="K23" i="29"/>
  <c r="M23" i="29" s="1"/>
  <c r="E4" i="45"/>
  <c r="E10" i="45"/>
  <c r="K21" i="29"/>
  <c r="M21" i="29" s="1"/>
  <c r="K17" i="29"/>
  <c r="M17" i="29" s="1"/>
  <c r="K24" i="29"/>
  <c r="M24" i="29" s="1"/>
  <c r="F1" i="26"/>
  <c r="M29" i="29"/>
  <c r="U13" i="29"/>
  <c r="H15" i="6"/>
  <c r="H14" i="6"/>
  <c r="M16" i="29"/>
  <c r="U6" i="29"/>
  <c r="F57" i="9"/>
  <c r="AH15" i="20"/>
  <c r="F15" i="20"/>
  <c r="E6" i="50" l="1"/>
  <c r="D6" i="50"/>
  <c r="E7" i="50"/>
  <c r="D7" i="50"/>
  <c r="K1" i="29"/>
  <c r="O1" i="32" s="1"/>
  <c r="M4" i="29"/>
  <c r="U4" i="29"/>
  <c r="E58" i="9"/>
  <c r="M33" i="29"/>
  <c r="E28" i="29" s="1"/>
  <c r="M6" i="29"/>
  <c r="U9" i="29"/>
  <c r="U11" i="29"/>
  <c r="U10" i="29"/>
  <c r="U7" i="29"/>
  <c r="E57" i="9"/>
  <c r="U8" i="29"/>
  <c r="E13" i="45"/>
  <c r="U5" i="29"/>
  <c r="E16" i="29"/>
  <c r="E5" i="50" l="1"/>
  <c r="D5" i="50"/>
  <c r="M1" i="29"/>
  <c r="I64" i="37" s="1"/>
  <c r="I63" i="37" s="1"/>
  <c r="E4" i="29"/>
  <c r="H18" i="26" s="1"/>
  <c r="H19" i="26"/>
  <c r="H22" i="26"/>
  <c r="H20" i="26"/>
  <c r="H23" i="26"/>
  <c r="G5" i="39"/>
  <c r="Q5" i="39" s="1"/>
  <c r="V5" i="39" s="1"/>
  <c r="C28" i="29"/>
  <c r="E26" i="26" s="1"/>
  <c r="C16" i="29"/>
  <c r="E46" i="26" s="1"/>
  <c r="C4" i="29"/>
  <c r="V12" i="29"/>
  <c r="W7" i="29"/>
  <c r="W4" i="29"/>
  <c r="W8" i="29"/>
  <c r="V7" i="29"/>
  <c r="V8" i="29"/>
  <c r="V4" i="29"/>
  <c r="V6" i="29"/>
  <c r="V10" i="29"/>
  <c r="W15" i="29"/>
  <c r="W5" i="29"/>
  <c r="W10" i="29"/>
  <c r="W6" i="29"/>
  <c r="W13" i="29"/>
  <c r="W11" i="29"/>
  <c r="W14" i="29"/>
  <c r="W12" i="29"/>
  <c r="V13" i="29"/>
  <c r="V5" i="29"/>
  <c r="V9" i="29"/>
  <c r="V11" i="29"/>
  <c r="W9" i="29"/>
  <c r="H7" i="26"/>
  <c r="H16" i="26"/>
  <c r="H13" i="26"/>
  <c r="H5" i="26"/>
  <c r="H14" i="26"/>
  <c r="H17" i="26"/>
  <c r="H8" i="26"/>
  <c r="H11" i="26"/>
  <c r="H4" i="26"/>
  <c r="H10" i="26"/>
  <c r="O5" i="32"/>
  <c r="O19" i="32"/>
  <c r="O18" i="32"/>
  <c r="O11" i="32"/>
  <c r="O10" i="32"/>
  <c r="O22" i="32"/>
  <c r="O17" i="32"/>
  <c r="O9" i="32"/>
  <c r="O16" i="32"/>
  <c r="O8" i="32"/>
  <c r="O23" i="32"/>
  <c r="O15" i="32"/>
  <c r="O7" i="32"/>
  <c r="O14" i="32"/>
  <c r="O4" i="32"/>
  <c r="O6" i="32"/>
  <c r="O21" i="32"/>
  <c r="O13" i="32"/>
  <c r="O3" i="32"/>
  <c r="O20" i="32"/>
  <c r="O12" i="32"/>
  <c r="J46" i="26" l="1"/>
  <c r="K46" i="26" s="1"/>
  <c r="J26" i="26"/>
  <c r="K26" i="26" s="1"/>
  <c r="H15" i="26"/>
  <c r="D52" i="37"/>
  <c r="B10" i="50"/>
  <c r="H12" i="26"/>
  <c r="H9" i="26"/>
  <c r="H6" i="26"/>
  <c r="H21" i="26"/>
  <c r="H3" i="26"/>
  <c r="E18" i="26"/>
  <c r="J18" i="26" s="1"/>
  <c r="T5" i="39"/>
  <c r="S5" i="39"/>
  <c r="O5" i="39"/>
  <c r="U5" i="39" s="1"/>
  <c r="E12" i="26"/>
  <c r="J12" i="26" s="1"/>
  <c r="E60" i="26"/>
  <c r="E39" i="26"/>
  <c r="E19" i="26"/>
  <c r="J19" i="26" s="1"/>
  <c r="E54" i="26"/>
  <c r="E45" i="26"/>
  <c r="E36" i="26"/>
  <c r="E31" i="26"/>
  <c r="E32" i="26"/>
  <c r="E47" i="26"/>
  <c r="E53" i="26"/>
  <c r="E48" i="26"/>
  <c r="E41" i="26"/>
  <c r="E27" i="26"/>
  <c r="E30" i="26"/>
  <c r="E24" i="26"/>
  <c r="E43" i="26"/>
  <c r="E25" i="26"/>
  <c r="E22" i="26"/>
  <c r="E37" i="26"/>
  <c r="E21" i="26"/>
  <c r="J21" i="26" s="1"/>
  <c r="E58" i="26"/>
  <c r="E40" i="26"/>
  <c r="E34" i="26"/>
  <c r="E52" i="26"/>
  <c r="E61" i="26"/>
  <c r="E55" i="26"/>
  <c r="E64" i="26"/>
  <c r="E57" i="26"/>
  <c r="E49" i="26"/>
  <c r="E28" i="26"/>
  <c r="E51" i="26"/>
  <c r="E33" i="26"/>
  <c r="E65" i="26"/>
  <c r="E63" i="26"/>
  <c r="E42" i="26"/>
  <c r="E29" i="26"/>
  <c r="E59" i="26"/>
  <c r="E38" i="26"/>
  <c r="E56" i="26"/>
  <c r="E35" i="26"/>
  <c r="E44" i="26"/>
  <c r="E17" i="26"/>
  <c r="E23" i="26"/>
  <c r="E62" i="26"/>
  <c r="E20" i="26"/>
  <c r="E50" i="26"/>
  <c r="E14" i="26"/>
  <c r="E13" i="26"/>
  <c r="E16" i="26"/>
  <c r="E15" i="26"/>
  <c r="E3" i="26"/>
  <c r="J3" i="26" s="1"/>
  <c r="K3" i="26" s="1"/>
  <c r="E5" i="26"/>
  <c r="E4" i="26"/>
  <c r="E11" i="26"/>
  <c r="E10" i="26"/>
  <c r="E9" i="26"/>
  <c r="J9" i="26" s="1"/>
  <c r="E8" i="26"/>
  <c r="E7" i="26"/>
  <c r="E6" i="26"/>
  <c r="J6" i="26" s="1"/>
  <c r="J20" i="26" l="1"/>
  <c r="K20" i="26" s="1"/>
  <c r="J58" i="26"/>
  <c r="K58" i="26" s="1"/>
  <c r="J5" i="26"/>
  <c r="K5" i="26" s="1"/>
  <c r="K42" i="26"/>
  <c r="J42" i="26"/>
  <c r="J37" i="26"/>
  <c r="K37" i="26" s="1"/>
  <c r="J17" i="26"/>
  <c r="K17" i="26" s="1"/>
  <c r="J11" i="26"/>
  <c r="K11" i="26" s="1"/>
  <c r="K50" i="26"/>
  <c r="J50" i="26"/>
  <c r="J38" i="26"/>
  <c r="K38" i="26" s="1"/>
  <c r="J28" i="26"/>
  <c r="K28" i="26" s="1"/>
  <c r="J40" i="26"/>
  <c r="K40" i="26" s="1"/>
  <c r="K30" i="26"/>
  <c r="J30" i="26"/>
  <c r="J36" i="26"/>
  <c r="K36" i="26" s="1"/>
  <c r="J4" i="26"/>
  <c r="K4" i="26" s="1"/>
  <c r="J54" i="26"/>
  <c r="K54" i="26" s="1"/>
  <c r="K7" i="26"/>
  <c r="J7" i="26"/>
  <c r="J63" i="26"/>
  <c r="K63" i="26" s="1"/>
  <c r="J53" i="26"/>
  <c r="K53" i="26" s="1"/>
  <c r="J8" i="26"/>
  <c r="K8" i="26" s="1"/>
  <c r="K16" i="26"/>
  <c r="J16" i="26"/>
  <c r="J44" i="26"/>
  <c r="K44" i="26" s="1"/>
  <c r="J65" i="26"/>
  <c r="K65" i="26" s="1"/>
  <c r="J61" i="26"/>
  <c r="K61" i="26" s="1"/>
  <c r="K25" i="26"/>
  <c r="J25" i="26"/>
  <c r="J47" i="26"/>
  <c r="K47" i="26" s="1"/>
  <c r="J60" i="26"/>
  <c r="K60" i="26" s="1"/>
  <c r="J59" i="26"/>
  <c r="K59" i="26" s="1"/>
  <c r="J27" i="26"/>
  <c r="K27" i="26" s="1"/>
  <c r="J62" i="26"/>
  <c r="K62" i="26" s="1"/>
  <c r="J41" i="26"/>
  <c r="K41" i="26" s="1"/>
  <c r="K23" i="26"/>
  <c r="J23" i="26"/>
  <c r="J15" i="26"/>
  <c r="K15" i="26" s="1"/>
  <c r="K22" i="26"/>
  <c r="J22" i="26"/>
  <c r="J39" i="26"/>
  <c r="K39" i="26" s="1"/>
  <c r="J13" i="26"/>
  <c r="K13" i="26" s="1"/>
  <c r="J35" i="26"/>
  <c r="K35" i="26" s="1"/>
  <c r="K33" i="26"/>
  <c r="J33" i="26"/>
  <c r="J52" i="26"/>
  <c r="K52" i="26" s="1"/>
  <c r="J43" i="26"/>
  <c r="K43" i="26" s="1"/>
  <c r="J32" i="26"/>
  <c r="K32" i="26" s="1"/>
  <c r="K49" i="26"/>
  <c r="J49" i="26"/>
  <c r="J45" i="26"/>
  <c r="K45" i="26" s="1"/>
  <c r="J29" i="26"/>
  <c r="K29" i="26" s="1"/>
  <c r="J57" i="26"/>
  <c r="K57" i="26" s="1"/>
  <c r="K64" i="26"/>
  <c r="J64" i="26"/>
  <c r="J48" i="26"/>
  <c r="K48" i="26" s="1"/>
  <c r="J55" i="26"/>
  <c r="K55" i="26" s="1"/>
  <c r="J10" i="26"/>
  <c r="H38" i="9" s="1"/>
  <c r="K14" i="26"/>
  <c r="J14" i="26"/>
  <c r="J56" i="26"/>
  <c r="K56" i="26" s="1"/>
  <c r="J51" i="26"/>
  <c r="K51" i="26" s="1"/>
  <c r="J34" i="26"/>
  <c r="K34" i="26" s="1"/>
  <c r="K24" i="26"/>
  <c r="J24" i="26"/>
  <c r="J31" i="26"/>
  <c r="K31" i="26" s="1"/>
  <c r="G19" i="39"/>
  <c r="T19" i="39" s="1"/>
  <c r="I2" i="37"/>
  <c r="K12" i="26"/>
  <c r="E10" i="50"/>
  <c r="E11" i="50" s="1"/>
  <c r="D10" i="50"/>
  <c r="D11" i="50" s="1"/>
  <c r="K6" i="26"/>
  <c r="K21" i="26"/>
  <c r="J38" i="9"/>
  <c r="K18" i="26"/>
  <c r="L38" i="9"/>
  <c r="E1" i="26"/>
  <c r="K37" i="9"/>
  <c r="K19" i="26"/>
  <c r="L37" i="9"/>
  <c r="I37" i="9"/>
  <c r="J37" i="9"/>
  <c r="G37" i="9"/>
  <c r="H37" i="9"/>
  <c r="K10" i="26" l="1"/>
  <c r="S19" i="39"/>
  <c r="I38" i="9"/>
  <c r="I125" i="9" s="1"/>
  <c r="K38" i="9"/>
  <c r="K127" i="9" s="1"/>
  <c r="K9" i="26"/>
  <c r="K1" i="26" s="1"/>
  <c r="G38" i="9"/>
  <c r="G36" i="9" s="1"/>
  <c r="G4" i="9" s="1"/>
  <c r="J1" i="26"/>
  <c r="B5" i="50" s="1"/>
  <c r="B11" i="50" s="1"/>
  <c r="L101" i="9"/>
  <c r="J108" i="9"/>
  <c r="L127" i="9"/>
  <c r="L125" i="9"/>
  <c r="L102" i="9"/>
  <c r="L123" i="9"/>
  <c r="L104" i="9"/>
  <c r="L129" i="9"/>
  <c r="L124" i="9"/>
  <c r="L126" i="9"/>
  <c r="L108" i="9"/>
  <c r="L107" i="9"/>
  <c r="L128" i="9"/>
  <c r="L36" i="9"/>
  <c r="L4" i="9" s="1"/>
  <c r="L122" i="9"/>
  <c r="L106" i="9"/>
  <c r="L121" i="9"/>
  <c r="L105" i="9"/>
  <c r="L103" i="9"/>
  <c r="L109" i="9"/>
  <c r="F41" i="9"/>
  <c r="E41" i="9" s="1"/>
  <c r="H9" i="11" s="1"/>
  <c r="H38" i="11" s="1"/>
  <c r="F38" i="9"/>
  <c r="I103" i="9"/>
  <c r="I102" i="9"/>
  <c r="I122" i="9"/>
  <c r="I109" i="9"/>
  <c r="I123" i="9"/>
  <c r="I126" i="9"/>
  <c r="I121" i="9"/>
  <c r="I128" i="9"/>
  <c r="I105" i="9"/>
  <c r="J106" i="9"/>
  <c r="J103" i="9"/>
  <c r="I127" i="9"/>
  <c r="J109" i="9"/>
  <c r="J107" i="9"/>
  <c r="I101" i="9"/>
  <c r="J127" i="9"/>
  <c r="J124" i="9"/>
  <c r="J121" i="9"/>
  <c r="I129" i="9"/>
  <c r="J102" i="9"/>
  <c r="J125" i="9"/>
  <c r="J126" i="9"/>
  <c r="I36" i="9"/>
  <c r="I4" i="9" s="1"/>
  <c r="J122" i="9"/>
  <c r="J101" i="9"/>
  <c r="I104" i="9"/>
  <c r="I108" i="9"/>
  <c r="J105" i="9"/>
  <c r="J129" i="9"/>
  <c r="J123" i="9"/>
  <c r="J104" i="9"/>
  <c r="I107" i="9"/>
  <c r="J36" i="9"/>
  <c r="J4" i="9" s="1"/>
  <c r="J128" i="9"/>
  <c r="F37" i="9"/>
  <c r="H123" i="9"/>
  <c r="H108" i="9"/>
  <c r="H129" i="9"/>
  <c r="H36" i="9"/>
  <c r="H4" i="9" s="1"/>
  <c r="H102" i="9"/>
  <c r="H127" i="9"/>
  <c r="H104" i="9"/>
  <c r="H121" i="9"/>
  <c r="H105" i="9"/>
  <c r="H106" i="9"/>
  <c r="H103" i="9"/>
  <c r="H128" i="9"/>
  <c r="H101" i="9"/>
  <c r="H125" i="9"/>
  <c r="H107" i="9"/>
  <c r="H122" i="9"/>
  <c r="H109" i="9"/>
  <c r="H126" i="9"/>
  <c r="H124" i="9"/>
  <c r="I124" i="9" l="1"/>
  <c r="I106" i="9"/>
  <c r="G107" i="9"/>
  <c r="G129" i="9"/>
  <c r="G125" i="9"/>
  <c r="K105" i="9"/>
  <c r="K122" i="9"/>
  <c r="K108" i="9"/>
  <c r="K123" i="9"/>
  <c r="K107" i="9"/>
  <c r="K106" i="9"/>
  <c r="K125" i="9"/>
  <c r="G128" i="9"/>
  <c r="G126" i="9"/>
  <c r="K126" i="9"/>
  <c r="K121" i="9"/>
  <c r="K128" i="9"/>
  <c r="G121" i="9"/>
  <c r="G127" i="9"/>
  <c r="K109" i="9"/>
  <c r="K129" i="9"/>
  <c r="K124" i="9"/>
  <c r="K102" i="9"/>
  <c r="K36" i="9"/>
  <c r="K4" i="9" s="1"/>
  <c r="K104" i="9"/>
  <c r="K101" i="9"/>
  <c r="K103" i="9"/>
  <c r="G106" i="9"/>
  <c r="G109" i="9"/>
  <c r="G103" i="9"/>
  <c r="G105" i="9"/>
  <c r="G104" i="9"/>
  <c r="G124" i="9"/>
  <c r="G102" i="9"/>
  <c r="G122" i="9"/>
  <c r="G101" i="9"/>
  <c r="G108" i="9"/>
  <c r="G123" i="9"/>
  <c r="E38" i="9"/>
  <c r="E9" i="11" s="1"/>
  <c r="E38" i="11" s="1"/>
  <c r="K10" i="20"/>
  <c r="K9" i="20" s="1"/>
  <c r="AM6" i="20"/>
  <c r="AM5" i="20" s="1"/>
  <c r="AM10" i="20"/>
  <c r="AM9" i="20" s="1"/>
  <c r="L99" i="9"/>
  <c r="L77" i="9" s="1"/>
  <c r="K6" i="20"/>
  <c r="K5" i="20" s="1"/>
  <c r="AJ6" i="20"/>
  <c r="AJ5" i="20" s="1"/>
  <c r="AK6" i="20"/>
  <c r="AK5" i="20" s="1"/>
  <c r="AJ10" i="20"/>
  <c r="AJ9" i="20" s="1"/>
  <c r="J99" i="9"/>
  <c r="J77" i="9" s="1"/>
  <c r="I99" i="9"/>
  <c r="I77" i="9" s="1"/>
  <c r="I6" i="20"/>
  <c r="I5" i="20" s="1"/>
  <c r="H6" i="20"/>
  <c r="H5" i="20" s="1"/>
  <c r="I10" i="20"/>
  <c r="I9" i="20" s="1"/>
  <c r="H10" i="20"/>
  <c r="H9" i="20" s="1"/>
  <c r="AK10" i="20"/>
  <c r="AK9" i="20" s="1"/>
  <c r="G8" i="45"/>
  <c r="H8" i="45" s="1"/>
  <c r="G4" i="45"/>
  <c r="H4" i="45" s="1"/>
  <c r="G5" i="45"/>
  <c r="G6" i="45"/>
  <c r="H6" i="45" s="1"/>
  <c r="G11" i="45"/>
  <c r="G9" i="45"/>
  <c r="H9" i="45" s="1"/>
  <c r="G3" i="45"/>
  <c r="H3" i="45" s="1"/>
  <c r="G7" i="45"/>
  <c r="H7" i="45" s="1"/>
  <c r="G10" i="45"/>
  <c r="H10" i="45" s="1"/>
  <c r="G12" i="45"/>
  <c r="G2" i="45"/>
  <c r="H2" i="45" s="1"/>
  <c r="G6" i="20"/>
  <c r="G5" i="20" s="1"/>
  <c r="AI6" i="20"/>
  <c r="AI5" i="20" s="1"/>
  <c r="G10" i="20"/>
  <c r="G9" i="20" s="1"/>
  <c r="AI10" i="20"/>
  <c r="AI9" i="20" s="1"/>
  <c r="H99" i="9"/>
  <c r="H77" i="9" s="1"/>
  <c r="F127" i="9"/>
  <c r="F126" i="9"/>
  <c r="F108" i="9"/>
  <c r="F109" i="9"/>
  <c r="F102" i="9"/>
  <c r="F107" i="9"/>
  <c r="F104" i="9"/>
  <c r="F122" i="9"/>
  <c r="F101" i="9"/>
  <c r="F124" i="9"/>
  <c r="F123" i="9"/>
  <c r="F105" i="9"/>
  <c r="F129" i="9"/>
  <c r="F128" i="9"/>
  <c r="F103" i="9"/>
  <c r="F121" i="9"/>
  <c r="F125" i="9"/>
  <c r="F36" i="9"/>
  <c r="F4" i="9" s="1"/>
  <c r="F106" i="9"/>
  <c r="E37" i="9"/>
  <c r="E107" i="9" l="1"/>
  <c r="E125" i="9"/>
  <c r="E127" i="9"/>
  <c r="E126" i="9"/>
  <c r="E121" i="9"/>
  <c r="E128" i="9"/>
  <c r="E129" i="9"/>
  <c r="AL6" i="20"/>
  <c r="AL5" i="20" s="1"/>
  <c r="J6" i="20"/>
  <c r="J5" i="20" s="1"/>
  <c r="E105" i="9"/>
  <c r="E106" i="9"/>
  <c r="J10" i="20"/>
  <c r="J9" i="20" s="1"/>
  <c r="E109" i="9"/>
  <c r="AL10" i="20"/>
  <c r="AL9" i="20" s="1"/>
  <c r="K99" i="9"/>
  <c r="K77" i="9" s="1"/>
  <c r="E103" i="9"/>
  <c r="E124" i="9"/>
  <c r="E104" i="9"/>
  <c r="AH10" i="20"/>
  <c r="AH9" i="20" s="1"/>
  <c r="E122" i="9"/>
  <c r="E102" i="9"/>
  <c r="AH6" i="20"/>
  <c r="AH5" i="20" s="1"/>
  <c r="F10" i="20"/>
  <c r="F9" i="20" s="1"/>
  <c r="E108" i="9"/>
  <c r="G99" i="9"/>
  <c r="G77" i="9" s="1"/>
  <c r="E123" i="9"/>
  <c r="F6" i="20"/>
  <c r="F5" i="20" s="1"/>
  <c r="H5" i="45"/>
  <c r="G13" i="45"/>
  <c r="E101" i="9"/>
  <c r="E10" i="20"/>
  <c r="AG10" i="20"/>
  <c r="F99" i="9"/>
  <c r="F77" i="9" s="1"/>
  <c r="E6" i="20"/>
  <c r="AG6" i="20"/>
  <c r="D9" i="11"/>
  <c r="G4" i="39"/>
  <c r="E36" i="9"/>
  <c r="K10" i="11" l="1"/>
  <c r="I10" i="11"/>
  <c r="J9" i="6" s="1"/>
  <c r="K9" i="6" s="1"/>
  <c r="L10" i="11"/>
  <c r="J12" i="6" s="1"/>
  <c r="V12" i="6" s="1"/>
  <c r="J10" i="11"/>
  <c r="J15" i="11" s="1"/>
  <c r="M10" i="11"/>
  <c r="M15" i="11" s="1"/>
  <c r="H10" i="11"/>
  <c r="J8" i="6" s="1"/>
  <c r="K8" i="6" s="1"/>
  <c r="F10" i="11"/>
  <c r="F39" i="11" s="1"/>
  <c r="F44" i="11" s="1"/>
  <c r="G10" i="39"/>
  <c r="T10" i="39" s="1"/>
  <c r="G10" i="11"/>
  <c r="G39" i="11" s="1"/>
  <c r="G44" i="11" s="1"/>
  <c r="AG5" i="20"/>
  <c r="AF5" i="20" s="1"/>
  <c r="AF6" i="20"/>
  <c r="J11" i="6"/>
  <c r="K15" i="11"/>
  <c r="K39" i="11"/>
  <c r="K44" i="11" s="1"/>
  <c r="D6" i="20"/>
  <c r="E5" i="20"/>
  <c r="D5" i="20" s="1"/>
  <c r="D38" i="11"/>
  <c r="C38" i="11" s="1"/>
  <c r="J4" i="6"/>
  <c r="C9" i="11"/>
  <c r="S4" i="39"/>
  <c r="O4" i="39"/>
  <c r="U4" i="39" s="1"/>
  <c r="Q4" i="39"/>
  <c r="V4" i="39" s="1"/>
  <c r="T4" i="39"/>
  <c r="I39" i="11"/>
  <c r="I44" i="11" s="1"/>
  <c r="AG9" i="20"/>
  <c r="AF9" i="20" s="1"/>
  <c r="AF10" i="20"/>
  <c r="E4" i="9"/>
  <c r="C3" i="39"/>
  <c r="E9" i="20"/>
  <c r="D9" i="20" s="1"/>
  <c r="D10" i="20"/>
  <c r="E10" i="11"/>
  <c r="G9" i="39"/>
  <c r="E99" i="9"/>
  <c r="K12" i="6" l="1"/>
  <c r="L39" i="11"/>
  <c r="L44" i="11" s="1"/>
  <c r="L15" i="11"/>
  <c r="J10" i="6"/>
  <c r="K10" i="6" s="1"/>
  <c r="J39" i="11"/>
  <c r="J44" i="11" s="1"/>
  <c r="M39" i="11"/>
  <c r="M44" i="11" s="1"/>
  <c r="H39" i="11"/>
  <c r="H44" i="11" s="1"/>
  <c r="J13" i="6"/>
  <c r="K13" i="6" s="1"/>
  <c r="S10" i="39"/>
  <c r="O10" i="39"/>
  <c r="U10" i="39" s="1"/>
  <c r="Q10" i="39"/>
  <c r="V10" i="39" s="1"/>
  <c r="J6" i="6"/>
  <c r="K6" i="6" s="1"/>
  <c r="J7" i="6"/>
  <c r="K7" i="6" s="1"/>
  <c r="K4" i="6"/>
  <c r="E77" i="9"/>
  <c r="C9" i="39"/>
  <c r="E39" i="11"/>
  <c r="C10" i="11"/>
  <c r="J5" i="6"/>
  <c r="K5" i="6" s="1"/>
  <c r="Q164" i="9"/>
  <c r="Z156" i="9"/>
  <c r="W164" i="9"/>
  <c r="Z164" i="9"/>
  <c r="V162" i="9"/>
  <c r="S165" i="9"/>
  <c r="Y165" i="9"/>
  <c r="Y163" i="9"/>
  <c r="Q165" i="9"/>
  <c r="I161" i="9"/>
  <c r="X154" i="9"/>
  <c r="Z165" i="9"/>
  <c r="L165" i="9"/>
  <c r="H154" i="9"/>
  <c r="H166" i="9"/>
  <c r="F154" i="9"/>
  <c r="G165" i="9"/>
  <c r="R156" i="9"/>
  <c r="W151" i="9"/>
  <c r="K155" i="9"/>
  <c r="H165" i="9"/>
  <c r="P153" i="9"/>
  <c r="F162" i="9"/>
  <c r="U154" i="9"/>
  <c r="I152" i="9"/>
  <c r="O152" i="9"/>
  <c r="M153" i="9"/>
  <c r="S156" i="9"/>
  <c r="Y166" i="9"/>
  <c r="N151" i="9"/>
  <c r="W156" i="9"/>
  <c r="X165" i="9"/>
  <c r="T154" i="9"/>
  <c r="M161" i="9"/>
  <c r="N164" i="9"/>
  <c r="R152" i="9"/>
  <c r="H161" i="9"/>
  <c r="G163" i="9"/>
  <c r="M152" i="9"/>
  <c r="G152" i="9"/>
  <c r="U162" i="9"/>
  <c r="S153" i="9"/>
  <c r="W161" i="9"/>
  <c r="Y162" i="9"/>
  <c r="K164" i="9"/>
  <c r="P151" i="9"/>
  <c r="P162" i="9"/>
  <c r="I164" i="9"/>
  <c r="V156" i="9"/>
  <c r="J151" i="9"/>
  <c r="N166" i="9"/>
  <c r="Q153" i="9"/>
  <c r="U165" i="9"/>
  <c r="Z166" i="9"/>
  <c r="T151" i="9"/>
  <c r="T165" i="9"/>
  <c r="P165" i="9"/>
  <c r="G156" i="9"/>
  <c r="G151" i="9"/>
  <c r="H163" i="9"/>
  <c r="O164" i="9"/>
  <c r="Z153" i="9"/>
  <c r="W165" i="9"/>
  <c r="Y161" i="9"/>
  <c r="U161" i="9"/>
  <c r="T163" i="9"/>
  <c r="Z154" i="9"/>
  <c r="I155" i="9"/>
  <c r="L153" i="9"/>
  <c r="V154" i="9"/>
  <c r="S163" i="9"/>
  <c r="S164" i="9"/>
  <c r="K162" i="9"/>
  <c r="P156" i="9"/>
  <c r="M155" i="9"/>
  <c r="Z152" i="9"/>
  <c r="R166" i="9"/>
  <c r="S155" i="9"/>
  <c r="H155" i="9"/>
  <c r="H152" i="9"/>
  <c r="X155" i="9"/>
  <c r="F153" i="9"/>
  <c r="Y151" i="9"/>
  <c r="S161" i="9"/>
  <c r="N162" i="9"/>
  <c r="R162" i="9"/>
  <c r="X151" i="9"/>
  <c r="M165" i="9"/>
  <c r="M164" i="9"/>
  <c r="N156" i="9"/>
  <c r="J162" i="9"/>
  <c r="S154" i="9"/>
  <c r="V164" i="9"/>
  <c r="O166" i="9"/>
  <c r="P161" i="9"/>
  <c r="N161" i="9"/>
  <c r="I162" i="9"/>
  <c r="M162" i="9"/>
  <c r="Q156" i="9"/>
  <c r="L152" i="9"/>
  <c r="X156" i="9"/>
  <c r="W155" i="9"/>
  <c r="H156" i="9"/>
  <c r="F156" i="9"/>
  <c r="I165" i="9"/>
  <c r="G155" i="9"/>
  <c r="N152" i="9"/>
  <c r="S152" i="9"/>
  <c r="I154" i="9"/>
  <c r="N154" i="9"/>
  <c r="I166" i="9"/>
  <c r="O156" i="9"/>
  <c r="P166" i="9"/>
  <c r="U151" i="9"/>
  <c r="T162" i="9"/>
  <c r="Q152" i="9"/>
  <c r="F164" i="9"/>
  <c r="X164" i="9"/>
  <c r="R154" i="9"/>
  <c r="X153" i="9"/>
  <c r="N163" i="9"/>
  <c r="J166" i="9"/>
  <c r="L164" i="9"/>
  <c r="I153" i="9"/>
  <c r="X162" i="9"/>
  <c r="M156" i="9"/>
  <c r="Q154" i="9"/>
  <c r="K165" i="9"/>
  <c r="V161" i="9"/>
  <c r="V152" i="9"/>
  <c r="R165" i="9"/>
  <c r="Y156" i="9"/>
  <c r="Q155" i="9"/>
  <c r="S162" i="9"/>
  <c r="U152" i="9"/>
  <c r="X152" i="9"/>
  <c r="K166" i="9"/>
  <c r="W163" i="9"/>
  <c r="W162" i="9"/>
  <c r="T153" i="9"/>
  <c r="V163" i="9"/>
  <c r="K153" i="9"/>
  <c r="J165" i="9"/>
  <c r="O163" i="9"/>
  <c r="O161" i="9"/>
  <c r="M166" i="9"/>
  <c r="U155" i="9"/>
  <c r="P163" i="9"/>
  <c r="I156" i="9"/>
  <c r="U163" i="9"/>
  <c r="Y155" i="9"/>
  <c r="O151" i="9"/>
  <c r="Z151" i="9"/>
  <c r="G166" i="9"/>
  <c r="F151" i="9"/>
  <c r="X161" i="9"/>
  <c r="K151" i="9"/>
  <c r="L163" i="9"/>
  <c r="Q162" i="9"/>
  <c r="Y164" i="9"/>
  <c r="U164" i="9"/>
  <c r="L162" i="9"/>
  <c r="X166" i="9"/>
  <c r="J156" i="9"/>
  <c r="M163" i="9"/>
  <c r="J164" i="9"/>
  <c r="Z155" i="9"/>
  <c r="L151" i="9"/>
  <c r="K154" i="9"/>
  <c r="Y153" i="9"/>
  <c r="H164" i="9"/>
  <c r="F163" i="9"/>
  <c r="O162" i="9"/>
  <c r="F166" i="9"/>
  <c r="N155" i="9"/>
  <c r="H151" i="9"/>
  <c r="L154" i="9"/>
  <c r="R151" i="9"/>
  <c r="O153" i="9"/>
  <c r="W153" i="9"/>
  <c r="Q163" i="9"/>
  <c r="J163" i="9"/>
  <c r="U166" i="9"/>
  <c r="K161" i="9"/>
  <c r="M154" i="9"/>
  <c r="U153" i="9"/>
  <c r="T166" i="9"/>
  <c r="L155" i="9"/>
  <c r="P155" i="9"/>
  <c r="G153" i="9"/>
  <c r="J154" i="9"/>
  <c r="M151" i="9"/>
  <c r="R155" i="9"/>
  <c r="K152" i="9"/>
  <c r="J155" i="9"/>
  <c r="T152" i="9"/>
  <c r="O154" i="9"/>
  <c r="K163" i="9"/>
  <c r="J161" i="9"/>
  <c r="L166" i="9"/>
  <c r="L156" i="9"/>
  <c r="Q151" i="9"/>
  <c r="N165" i="9"/>
  <c r="V165" i="9"/>
  <c r="Z162" i="9"/>
  <c r="J153" i="9"/>
  <c r="G162" i="9"/>
  <c r="F152" i="9"/>
  <c r="O155" i="9"/>
  <c r="H153" i="9"/>
  <c r="P164" i="9"/>
  <c r="Y154" i="9"/>
  <c r="R164" i="9"/>
  <c r="R153" i="9"/>
  <c r="U156" i="9"/>
  <c r="T156" i="9"/>
  <c r="W154" i="9"/>
  <c r="I163" i="9"/>
  <c r="V155" i="9"/>
  <c r="F161" i="9"/>
  <c r="Z163" i="9"/>
  <c r="J152" i="9"/>
  <c r="Q166" i="9"/>
  <c r="S166" i="9"/>
  <c r="X163" i="9"/>
  <c r="R161" i="9"/>
  <c r="I151" i="9"/>
  <c r="Z161" i="9"/>
  <c r="V151" i="9"/>
  <c r="W166" i="9"/>
  <c r="N153" i="9"/>
  <c r="V153" i="9"/>
  <c r="Y152" i="9"/>
  <c r="H162" i="9"/>
  <c r="G164" i="9"/>
  <c r="F155" i="9"/>
  <c r="K156" i="9"/>
  <c r="T155" i="9"/>
  <c r="O165" i="9"/>
  <c r="T161" i="9"/>
  <c r="W152" i="9"/>
  <c r="L161" i="9"/>
  <c r="R163" i="9"/>
  <c r="Q161" i="9"/>
  <c r="V166" i="9"/>
  <c r="P154" i="9"/>
  <c r="P152" i="9"/>
  <c r="T164" i="9"/>
  <c r="S151" i="9"/>
  <c r="G161" i="9"/>
  <c r="G154" i="9"/>
  <c r="F165" i="9"/>
  <c r="K11" i="6"/>
  <c r="V11" i="6"/>
  <c r="T9" i="39"/>
  <c r="S9" i="39"/>
  <c r="Q9" i="39"/>
  <c r="V9" i="39" s="1"/>
  <c r="O9" i="39"/>
  <c r="U9" i="39" s="1"/>
  <c r="W12" i="6"/>
  <c r="F12" i="2"/>
  <c r="G12" i="2" s="1"/>
  <c r="J12" i="2" s="1"/>
  <c r="C12" i="2"/>
  <c r="D12" i="2" s="1"/>
  <c r="I12" i="2" s="1"/>
  <c r="V10" i="6" l="1"/>
  <c r="F10" i="2" s="1"/>
  <c r="G10" i="2" s="1"/>
  <c r="J10" i="2" s="1"/>
  <c r="V13" i="6"/>
  <c r="W13" i="6"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W11" i="6"/>
  <c r="F11" i="2"/>
  <c r="G11" i="2" s="1"/>
  <c r="J11" i="2" s="1"/>
  <c r="C11" i="2"/>
  <c r="D11" i="2" s="1"/>
  <c r="I11" i="2"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C10" i="2" l="1"/>
  <c r="D10" i="2" s="1"/>
  <c r="I10" i="2" s="1"/>
  <c r="W10" i="6"/>
  <c r="C13" i="2"/>
  <c r="D13" i="2" s="1"/>
  <c r="I13" i="2" s="1"/>
  <c r="F13" i="2"/>
  <c r="G13" i="2" s="1"/>
  <c r="J13" i="2" s="1"/>
  <c r="I14" i="11"/>
  <c r="P9" i="6" s="1"/>
  <c r="E14" i="11"/>
  <c r="E43" i="11" s="1"/>
  <c r="F14" i="11"/>
  <c r="F43" i="11" s="1"/>
  <c r="C17" i="39"/>
  <c r="D13" i="20"/>
  <c r="E3" i="20"/>
  <c r="D3" i="20" s="1"/>
  <c r="H14" i="11"/>
  <c r="C15" i="39"/>
  <c r="E150" i="9"/>
  <c r="D14" i="11"/>
  <c r="AG3" i="20"/>
  <c r="AF3" i="20" s="1"/>
  <c r="AF13" i="20"/>
  <c r="G14" i="11"/>
  <c r="I15" i="11" l="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V5" i="6" l="1"/>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C5" i="2" l="1"/>
  <c r="D5" i="2" s="1"/>
  <c r="I5" i="2" s="1"/>
  <c r="F5" i="2"/>
  <c r="G5" i="2" s="1"/>
  <c r="J5" i="2" s="1"/>
  <c r="C6" i="2"/>
  <c r="D6" i="2" s="1"/>
  <c r="I6" i="2" s="1"/>
  <c r="F6" i="2"/>
  <c r="G6" i="2" s="1"/>
  <c r="J6" i="2" s="1"/>
  <c r="V14" i="6"/>
  <c r="C4" i="2"/>
  <c r="V15" i="6"/>
  <c r="W4" i="6"/>
  <c r="W8" i="6"/>
  <c r="C8" i="2"/>
  <c r="D8" i="2" s="1"/>
  <c r="I8" i="2" s="1"/>
  <c r="F8" i="2"/>
  <c r="G8" i="2" s="1"/>
  <c r="J8" i="2" s="1"/>
  <c r="Q22" i="39"/>
  <c r="V15" i="39"/>
  <c r="Q15" i="6"/>
  <c r="Q14" i="6"/>
  <c r="U15" i="39"/>
  <c r="O22" i="39"/>
  <c r="W7" i="6"/>
  <c r="F7" i="2"/>
  <c r="G7" i="2" s="1"/>
  <c r="J7" i="2" s="1"/>
  <c r="C7" i="2"/>
  <c r="D7" i="2" s="1"/>
  <c r="I7" i="2" s="1"/>
  <c r="W15" i="6" l="1"/>
  <c r="W14" i="6"/>
  <c r="C14" i="2"/>
  <c r="D4" i="2"/>
  <c r="D14" i="2" l="1"/>
  <c r="I4" i="2"/>
  <c r="I14" i="2" s="1"/>
  <c r="J21" i="2" s="1"/>
  <c r="J18" i="2"/>
  <c r="D11" i="45" l="1"/>
  <c r="H11" i="45" s="1"/>
  <c r="D12" i="45"/>
  <c r="J7" i="47" l="1"/>
  <c r="D13" i="45"/>
  <c r="H13" i="45" s="1"/>
  <c r="J27" i="47" l="1"/>
  <c r="J26" i="47"/>
  <c r="J21" i="47"/>
  <c r="I1" i="47"/>
  <c r="H12" i="45"/>
  <c r="I45" i="3" l="1"/>
  <c r="F45" i="3"/>
  <c r="H96" i="3"/>
  <c r="E96" i="3" s="1"/>
  <c r="N4" i="4" l="1"/>
  <c r="Z4" i="4" s="1"/>
  <c r="I96" i="3"/>
  <c r="F96" i="3" s="1"/>
  <c r="O4" i="4" l="1"/>
  <c r="O15" i="4" s="1"/>
  <c r="N14" i="4"/>
  <c r="E20" i="20"/>
  <c r="AG20" i="20"/>
  <c r="F4" i="2"/>
  <c r="AA4" i="4"/>
  <c r="Z14" i="4"/>
  <c r="O14" i="4" l="1"/>
  <c r="AG19" i="20"/>
  <c r="AF20" i="20"/>
  <c r="E19" i="20"/>
  <c r="D20" i="20"/>
  <c r="G4" i="2"/>
  <c r="F14" i="2"/>
  <c r="AA14" i="4"/>
  <c r="AA15" i="4"/>
  <c r="AA16" i="4" s="1"/>
  <c r="J17" i="2" s="1"/>
  <c r="B2" i="7" s="1"/>
  <c r="D19" i="20" l="1"/>
  <c r="E15" i="20"/>
  <c r="D15" i="20" s="1"/>
  <c r="AF19" i="20"/>
  <c r="AG15" i="20"/>
  <c r="AF15" i="20" s="1"/>
  <c r="R7" i="7"/>
  <c r="L7" i="7"/>
  <c r="I7" i="7"/>
  <c r="C7" i="7"/>
  <c r="C26" i="7"/>
  <c r="C42" i="7"/>
  <c r="F7" i="7"/>
  <c r="O7" i="7"/>
  <c r="G14" i="2"/>
  <c r="J4" i="2"/>
  <c r="J19"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987AAB7B-2CB8-AA44-B1EC-E2766E2DE1A6}">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Potrebné vyplniť % ktorým da daný zdroj financovania bude podieľať na nákladoch projektu. 
</t>
        </r>
        <r>
          <rPr>
            <sz val="9"/>
            <color rgb="FF000000"/>
            <rFont val="Segoe UI"/>
            <family val="2"/>
            <charset val="1"/>
          </rPr>
          <t>Suma v danom riadku musí byť 100%, na čo upozorňuje aj hodnota v stĺpci G pre daný riadok</t>
        </r>
      </text>
    </comment>
    <comment ref="F20" authorId="0" shapeId="0" xr:uid="{00000000-0006-0000-03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8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8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8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8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8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8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8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8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8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8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800-00000B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xr:uid="{00000000-0006-0000-08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800-00000D00000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A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A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A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A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A00-000005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
  </authors>
  <commentList>
    <comment ref="A2" authorId="0" shapeId="0" xr:uid="{00000000-0006-0000-0B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ID pre danú požiadavku, pričom sa začína od ID_1 a následne sa pokračuje vždy po 1</t>
        </r>
      </text>
    </comment>
    <comment ref="B2" authorId="0" shapeId="0" xr:uid="{00000000-0006-0000-0B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xr:uid="{00000000-0006-0000-0B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xr:uid="{00000000-0006-0000-0B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xr:uid="{00000000-0006-0000-0B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xr:uid="{00000000-0006-0000-0B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xr:uid="{00000000-0006-0000-0B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V tejto časti vyberie žiadateľ, ku ktorému modulu sa požiadavka viaže. 
</t>
        </r>
        <r>
          <rPr>
            <sz val="9"/>
            <color rgb="FF000000"/>
            <rFont val="Segoe UI"/>
            <family val="2"/>
            <charset val="1"/>
          </rPr>
          <t>Ak jedna požiadavka patrí k viacerým modulom, je potrbené je zadefinovať viac krát.</t>
        </r>
      </text>
    </comment>
    <comment ref="I2" authorId="0" shapeId="0" xr:uid="{00000000-0006-0000-0B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Táto časť sa vypĺňa len pre funkčné požiadavky a predstavuje počet prístupových miest pre danú požiadavku:
</t>
        </r>
        <r>
          <rPr>
            <sz val="9"/>
            <color rgb="FF000000"/>
            <rFont val="Segoe UI"/>
            <family val="2"/>
            <charset val="1"/>
          </rPr>
          <t xml:space="preserve">- Call Centrum
</t>
        </r>
        <r>
          <rPr>
            <sz val="9"/>
            <color rgb="FF000000"/>
            <rFont val="Segoe UI"/>
            <family val="2"/>
            <charset val="1"/>
          </rPr>
          <t xml:space="preserve">- Integrované obslužné miesto
</t>
        </r>
        <r>
          <rPr>
            <sz val="9"/>
            <color rgb="FF000000"/>
            <rFont val="Segoe UI"/>
            <family val="2"/>
            <charset val="1"/>
          </rPr>
          <t xml:space="preserve">- Špecializovaný portál
</t>
        </r>
        <r>
          <rPr>
            <sz val="9"/>
            <color rgb="FF000000"/>
            <rFont val="Segoe UI"/>
            <family val="2"/>
            <charset val="1"/>
          </rPr>
          <t xml:space="preserve">- Klientske centrum štátnej správy
</t>
        </r>
        <r>
          <rPr>
            <sz val="9"/>
            <color rgb="FF000000"/>
            <rFont val="Segoe UI"/>
            <family val="2"/>
            <charset val="1"/>
          </rPr>
          <t xml:space="preserve">- Podateľná orgánu verenej moci
</t>
        </r>
        <r>
          <rPr>
            <sz val="9"/>
            <color rgb="FF000000"/>
            <rFont val="Segoe UI"/>
            <family val="2"/>
            <charset val="1"/>
          </rPr>
          <t xml:space="preserve">- Pracovicko OVM
</t>
        </r>
        <r>
          <rPr>
            <sz val="9"/>
            <color rgb="FF000000"/>
            <rFont val="Segoe UI"/>
            <family val="2"/>
            <charset val="1"/>
          </rPr>
          <t xml:space="preserve">- eGovApps na mobilných platformách
</t>
        </r>
        <r>
          <rPr>
            <sz val="9"/>
            <color rgb="FF000000"/>
            <rFont val="Segoe UI"/>
            <family val="2"/>
            <charset val="1"/>
          </rPr>
          <t xml:space="preserve">- GoTechApps – komerčné riešenie
</t>
        </r>
        <r>
          <rPr>
            <sz val="9"/>
            <color rgb="FF000000"/>
            <rFont val="Segoe UI"/>
            <family val="2"/>
            <charset val="1"/>
          </rPr>
          <t xml:space="preserve">- e-mail
</t>
        </r>
        <r>
          <rPr>
            <sz val="9"/>
            <color rgb="FF000000"/>
            <rFont val="Segoe UI"/>
            <family val="2"/>
            <charset val="1"/>
          </rPr>
          <t xml:space="preserve">- SMS
</t>
        </r>
        <r>
          <rPr>
            <sz val="9"/>
            <color rgb="FF000000"/>
            <rFont val="Segoe UI"/>
            <family val="2"/>
            <charset val="1"/>
          </rPr>
          <t>- Ústredný portál verejnej správy</t>
        </r>
      </text>
    </comment>
    <comment ref="J2" authorId="0" shapeId="0" xr:uid="{00000000-0006-0000-0B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L2" authorId="0" shapeId="0" xr:uid="{00000000-0006-0000-0B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súčim Poctu pristupovych kanalov a Zlozitosti poziadavky</t>
        </r>
      </text>
    </comment>
    <comment ref="M2" authorId="0" shapeId="0" xr:uid="{00000000-0006-0000-0B00-00000B000000}">
      <text>
        <r>
          <rPr>
            <b/>
            <sz val="9"/>
            <color indexed="81"/>
            <rFont val="Segoe UI"/>
            <family val="2"/>
          </rPr>
          <t>USER1:</t>
        </r>
        <r>
          <rPr>
            <sz val="9"/>
            <color indexed="81"/>
            <rFont val="Segoe UI"/>
            <family val="2"/>
          </rPr>
          <t xml:space="preserve">
Dotiahnutá vážená hodnota UAW pre daný modul</t>
        </r>
      </text>
    </comment>
    <comment ref="N2" authorId="0" shapeId="0" xr:uid="{00000000-0006-0000-0B00-00000C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Dotiahntuá hodnota zo záložky Moduly pre daný modul</t>
        </r>
      </text>
    </comment>
    <comment ref="O2" authorId="0" shapeId="0" xr:uid="{00000000-0006-0000-0B00-00000D000000}">
      <text>
        <r>
          <rPr>
            <b/>
            <sz val="9"/>
            <color indexed="81"/>
            <rFont val="Segoe UI"/>
            <family val="2"/>
          </rPr>
          <t>USER1:</t>
        </r>
        <r>
          <rPr>
            <sz val="9"/>
            <color indexed="81"/>
            <rFont val="Segoe UI"/>
            <family val="2"/>
          </rPr>
          <t xml:space="preserve">
Dotiahntuá hodnota zo záložky Moduly pre daný modul</t>
        </r>
      </text>
    </comment>
    <comment ref="P2" authorId="0" shapeId="0" xr:uid="{00000000-0006-0000-0B00-00000E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výpočet počtu Bodov Prípadov použitia, ktorý je základným faktorom pre výpočet následnej náročnosti, pričom výpočet je nasledovny:
</t>
        </r>
        <r>
          <rPr>
            <sz val="9"/>
            <color rgb="FF000000"/>
            <rFont val="Segoe UI"/>
            <family val="2"/>
            <charset val="1"/>
          </rPr>
          <t>(Zlozitost + UAW) * ECF * TCF</t>
        </r>
      </text>
    </comment>
    <comment ref="Q2" authorId="0" shapeId="0" xr:uid="{00000000-0006-0000-0B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R2" authorId="0" shapeId="0" xr:uid="{00000000-0006-0000-0B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 ref="D39" authorId="1" shapeId="0" xr:uid="{26E1CE84-9D0A-4235-A592-AF46C4CD2EB8}">
      <text>
        <r>
          <rPr>
            <sz val="11"/>
            <color rgb="FF000000"/>
            <rFont val="Calibri"/>
            <family val="2"/>
          </rPr>
          <t xml:space="preserve">======
</t>
        </r>
        <r>
          <rPr>
            <sz val="11"/>
            <color rgb="FF000000"/>
            <rFont val="Calibri"/>
            <family val="2"/>
          </rPr>
          <t xml:space="preserve">ID#AAABMjrLgIw
</t>
        </r>
        <r>
          <rPr>
            <sz val="11"/>
            <color rgb="FF000000"/>
            <rFont val="Calibri"/>
            <family val="2"/>
          </rPr>
          <t xml:space="preserve">tc={A0FE39F2-E290-4B37-958C-CB6DC9A0CA27}    (2024-04-30 07:51:37)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bije sa to s ID4 a ID8, navrhujem urobit oblast poziadaviek datova kvalita, a preskupit reelevantne ID odvolavajuce sa na duplicitu, stotoznovanie, docistovanie atd. ...</t>
        </r>
      </text>
    </comment>
    <comment ref="E103" authorId="1" shapeId="0" xr:uid="{64F8744F-8001-4666-9D32-CA698D182F97}">
      <text>
        <r>
          <rPr>
            <sz val="11"/>
            <color rgb="FF000000"/>
            <rFont val="Calibri"/>
            <family val="2"/>
          </rPr>
          <t xml:space="preserve">======
</t>
        </r>
        <r>
          <rPr>
            <sz val="11"/>
            <color rgb="FF000000"/>
            <rFont val="Calibri"/>
            <family val="2"/>
          </rPr>
          <t xml:space="preserve">ID#AAABMjrLgJ0
</t>
        </r>
        <r>
          <rPr>
            <sz val="11"/>
            <color rgb="FF000000"/>
            <rFont val="Calibri"/>
            <family val="2"/>
          </rPr>
          <t xml:space="preserve">tc={05EFEC86-9DFD-4638-8E9A-D3C5ED6CC25F}    (2024-04-30 07:51:37)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čo konkrétne z dátovej kvality ? profilovanie ? dočistovanie ?
</t>
        </r>
        <r>
          <rPr>
            <sz val="11"/>
            <color rgb="FF000000"/>
            <rFont val="Calibri"/>
            <family val="2"/>
          </rPr>
          <t xml:space="preserve">------
</t>
        </r>
        <r>
          <rPr>
            <sz val="11"/>
            <color rgb="FF000000"/>
            <rFont val="Calibri"/>
            <family val="2"/>
          </rPr>
          <t xml:space="preserve">ID#AAABMmN83P0
</t>
        </r>
        <r>
          <rPr>
            <sz val="11"/>
            <color rgb="FF000000"/>
            <rFont val="Calibri"/>
            <family val="2"/>
          </rPr>
          <t xml:space="preserve">Michal Kurej (SK)    (2024-04-30 08:22:29)
</t>
        </r>
        <r>
          <rPr>
            <sz val="11"/>
            <color rgb="FF000000"/>
            <rFont val="Calibri"/>
            <family val="2"/>
          </rPr>
          <t xml:space="preserve">modul datovej kvality bude pokryvat vsetko tykajuce sa datovej kvality, vsetky funkcionality a na vsetkych urovniach spracovania dat od extraktie cez transformaciu az po pripravu pre pouzivatela.Data sa nebudu docistovat, identifikovane "chybne" data budu musiet byt upravene na zdroji
</t>
        </r>
        <r>
          <rPr>
            <sz val="11"/>
            <color rgb="FF000000"/>
            <rFont val="Calibri"/>
            <family val="2"/>
          </rPr>
          <t xml:space="preserve">------
</t>
        </r>
        <r>
          <rPr>
            <sz val="11"/>
            <color rgb="FF000000"/>
            <rFont val="Calibri"/>
            <family val="2"/>
          </rPr>
          <t xml:space="preserve">ID#AAABMmN83Yc
</t>
        </r>
        <r>
          <rPr>
            <sz val="11"/>
            <color rgb="FF000000"/>
            <rFont val="Calibri"/>
            <family val="2"/>
          </rPr>
          <t xml:space="preserve">Michal Kurej (SK)    (2024-04-30 09:15:21)
</t>
        </r>
        <r>
          <rPr>
            <sz val="11"/>
            <color rgb="FF000000"/>
            <rFont val="Calibri"/>
            <family val="2"/>
          </rPr>
          <t>doplneny popis</t>
        </r>
      </text>
    </comment>
    <comment ref="B105" authorId="1" shapeId="0" xr:uid="{441967C4-BB4F-4646-B552-BBACA9F8514A}">
      <text>
        <r>
          <rPr>
            <sz val="11"/>
            <color theme="1"/>
            <rFont val="Calibri"/>
            <family val="2"/>
            <scheme val="minor"/>
          </rPr>
          <t>======
ID#AAABMmN83Ns
tc={208E0AF2-079C-4664-A0EF-B9256DA59342}    (2024-04-30 07:51:38)
[Threaded comment]
Your version of Excel allows you to read this threaded comment; however, any edits to it will get removed if the file is opened in a newer version of Excel. Learn more: https://go.microsoft.com/fwlink/?linkid=870924
Comment:
    Funkčná požiadavka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C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C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C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C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C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C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C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C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C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C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C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C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C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C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D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D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D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D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D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D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D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D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D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D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D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E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E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E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E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E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E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50D35FF9-EDA1-7B47-84D3-B568C5650CC3}">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AD02A0C5-4705-9B46-B241-2457FFD6288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7C22D120-B0AE-9E4C-82DA-11A8FDFB67E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09B28C2E-8328-7244-864F-04D039799666}">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9532D883-657E-324C-B6B2-9B5CC23D9DFC}">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F18E9CFB-927B-6447-A05C-A3A4D8B54A8B}">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CFB1640D-21AA-754C-B5D8-B2466C0C4D7E}">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D45870FB-D977-8F40-A432-72A961BD2482}">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C635572B-D596-6746-B679-092AC4E006FC}">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F8" authorId="0" shapeId="0" xr:uid="{9A817CFC-6235-4223-AC41-F81DD646A704}">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G8" authorId="0" shapeId="0" xr:uid="{70795B19-F08F-48DE-B1A8-AA287DB4DD11}">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H8" authorId="0" shapeId="0" xr:uid="{5CE12F1F-D45E-4256-87F8-F46337C7B5E2}">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9" authorId="0" shapeId="0" xr:uid="{0DC9E59B-16BB-E548-A0B3-EA86DEC60923}">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9" authorId="0" shapeId="0" xr:uid="{FCD1DBEA-7F58-FE4B-8425-FA5AEDFDC5E3}">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9" authorId="0" shapeId="0" xr:uid="{3D6AE990-17A6-6E43-8990-358A562C65E9}">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10" authorId="0" shapeId="0" xr:uid="{B280DB44-71BD-8241-BDEF-E67B6BE074DA}">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10" authorId="0" shapeId="0" xr:uid="{8DE616EB-BCC4-8C4C-B001-A43467FACFB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0" authorId="0" shapeId="0" xr:uid="{D0F4ABD2-C0AF-054D-BC66-36B730168826}">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11" authorId="0" shapeId="0" xr:uid="{F9A26204-62F9-6149-990C-79831573698B}">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11" authorId="0" shapeId="0" xr:uid="{7CC73581-464D-9D49-9B46-AA34C91FDA9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E11" authorId="0" shapeId="0" xr:uid="{D7637CD5-DF00-9347-A795-1C36D51C449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C12" authorId="0" shapeId="0" xr:uid="{C69BBD0D-36CA-3048-A205-F48282164B32}">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12" authorId="0" shapeId="0" xr:uid="{44295F29-A9BF-0844-B3E4-29ACBB9B9DC4}">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12" authorId="0" shapeId="0" xr:uid="{C01BDCC5-C289-944F-85E8-9EF86795F81D}">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F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F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F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F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t>
        </r>
      </text>
    </comment>
    <comment ref="J3" authorId="0" shapeId="0" xr:uid="{00000000-0006-0000-0F00-00000500000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xr:uid="{00000000-0006-0000-0F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Číselník pozícií vychádza z metodickej príručky o operačnému programu Integrovaná infraštrutkúra</t>
        </r>
      </text>
    </comment>
    <comment ref="R3" authorId="0" shapeId="0" xr:uid="{00000000-0006-0000-0F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predpokladanú hodnotu sadzby pre danú pozíciu. Hodnota nesmie prekročiť hranicu stanovanú metodickou príručkou. 
</t>
        </r>
        <r>
          <rPr>
            <sz val="9"/>
            <color rgb="FF000000"/>
            <rFont val="Segoe UI"/>
            <family val="2"/>
            <charset val="1"/>
          </rPr>
          <t xml:space="preserve">
</t>
        </r>
        <r>
          <rPr>
            <sz val="9"/>
            <color rgb="FF000000"/>
            <rFont val="Segoe UI"/>
            <family val="2"/>
            <charset val="1"/>
          </rPr>
          <t>Zároveň by mala byť aj pod hranicou sadzby, ktorá vyplýva z revízie výdavkou pre niektoré pozície. V opačnom prípade je zvýrazená oranžovou farbou.</t>
        </r>
      </text>
    </comment>
    <comment ref="W3" authorId="0" shapeId="0" xr:uid="{00000000-0006-0000-0F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F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10% - 35%</t>
        </r>
      </text>
    </comment>
    <comment ref="B16" authorId="0" shapeId="0" xr:uid="{00000000-0006-0000-0F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00000000-0006-0000-0F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15% - 30%</t>
        </r>
      </text>
    </comment>
    <comment ref="B40" authorId="0" shapeId="0" xr:uid="{00000000-0006-0000-0F00-00000C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fázy projektu, pričom následne sa táto hodnota využije na definovanie počtu MDs pre danú pozíciu na aktivite.</t>
        </r>
      </text>
    </comment>
    <comment ref="F40" authorId="0" shapeId="0" xr:uid="{00000000-0006-0000-0F00-00000D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00000000-0006-0000-0F00-00000E00000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1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Potrebne urcit hodnotu odvodoveho koeficienta - napr. 0,3495, alebo 0,352 podla typu zamestnaneckeho pomeru</t>
        </r>
      </text>
    </comment>
    <comment ref="Q2" authorId="0" shapeId="0" xr:uid="{00000000-0006-0000-10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10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10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dĺžku trvania danej fázy projektu, pričom následne sa táto hodnota využije na definovanie počtu MDs pre danú pozíciu na aktivite.</t>
        </r>
      </text>
    </comment>
    <comment ref="C3" authorId="0" shapeId="0" xr:uid="{00000000-0006-0000-10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Ide o sumár počtu MDs pre danú aktivitu za všetky pozície</t>
        </r>
      </text>
    </comment>
    <comment ref="D3" authorId="0" shapeId="0" xr:uid="{00000000-0006-0000-10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10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10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alokácie danej pozície na aktivite vyjadrenej v honote % z jej 100% pravocnej náplne.
</t>
        </r>
        <r>
          <rPr>
            <sz val="9"/>
            <color rgb="FF000000"/>
            <rFont val="Segoe UI"/>
            <family val="2"/>
            <charset val="1"/>
          </rPr>
          <t xml:space="preserve">
</t>
        </r>
        <r>
          <rPr>
            <sz val="9"/>
            <color rgb="FF000000"/>
            <rFont val="Segoe UI"/>
            <family val="2"/>
            <charset val="1"/>
          </rPr>
          <t>Ak mám napr. IT architekta a chcem aby sa podieľal na analýze svojimi 30 % tak uvedená hodnota bude 30%</t>
        </r>
      </text>
    </comment>
    <comment ref="G3" authorId="0" shapeId="0" xr:uid="{00000000-0006-0000-10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počet MDs danej pozície na aktivite, vypočítanej ako počet pozícií * trvanie aktivity * % utilizácie na projekte * 20 dní v mesiaci</t>
        </r>
      </text>
    </comment>
    <comment ref="M3" authorId="0" shapeId="0" xr:uid="{00000000-0006-0000-1000-00000A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1000-00000B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početu pozícii, ktoré na projekte budú participovať. Napr. budeme mať 2 Analytikov a 1 IT Architekta</t>
        </r>
      </text>
    </comment>
    <comment ref="P3" authorId="0" shapeId="0" xr:uid="{00000000-0006-0000-1000-00000C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osobných hodinových nákladov na danú pozíciu. Teda o tzv. suberhrubú mzdu, ktorá zohľadňuje aj náklady na strane zamestanávateľa.
</t>
        </r>
        <r>
          <rPr>
            <sz val="9"/>
            <color rgb="FF000000"/>
            <rFont val="Segoe UI"/>
            <family val="2"/>
            <charset val="1"/>
          </rPr>
          <t xml:space="preserve">
</t>
        </r>
        <r>
          <rPr>
            <sz val="9"/>
            <color rgb="FF000000"/>
            <rFont val="Segoe UI"/>
            <family val="2"/>
            <charset val="1"/>
          </rPr>
          <t xml:space="preserve">Hodnota by nemala vybočovať so štandardizovaných osobných nákladov v danej organizácií pre obdobené pozície. 
</t>
        </r>
        <r>
          <rPr>
            <sz val="9"/>
            <color rgb="FF000000"/>
            <rFont val="Segoe UI"/>
            <family val="2"/>
            <charset val="1"/>
          </rPr>
          <t xml:space="preserve">
</t>
        </r>
        <r>
          <rPr>
            <sz val="9"/>
            <color rgb="FF000000"/>
            <rFont val="Segoe UI"/>
            <family val="2"/>
            <charset val="1"/>
          </rPr>
          <t>Rovnako by nemala presiahnúť stanovené limity v zmysle metodickej príručky, ak sa jedná o OPII projekty.</t>
        </r>
      </text>
    </comment>
    <comment ref="U3" authorId="0" shapeId="0" xr:uid="{00000000-0006-0000-1000-00000D00000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1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11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1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3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C2" authorId="0" shapeId="0" xr:uid="{00000000-0006-0000-1300-000002000000}">
      <text>
        <r>
          <rPr>
            <b/>
            <sz val="9"/>
            <color indexed="81"/>
            <rFont val="Segoe UI"/>
            <family val="2"/>
          </rPr>
          <t>USER1:</t>
        </r>
        <r>
          <rPr>
            <sz val="9"/>
            <color indexed="81"/>
            <rFont val="Segoe UI"/>
            <family val="2"/>
          </rPr>
          <t xml:space="preserve">
Potrebné pomenovať položku, ktorá bude predmetom dodávky</t>
        </r>
      </text>
    </comment>
    <comment ref="D2" authorId="0" shapeId="0" xr:uid="{00000000-0006-0000-13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E2" authorId="0" shapeId="0" xr:uid="{00000000-0006-0000-13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F2" authorId="0" shapeId="0" xr:uid="{00000000-0006-0000-13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G2" authorId="0" shapeId="0" xr:uid="{00000000-0006-0000-1300-000006000000}">
      <text>
        <r>
          <rPr>
            <b/>
            <sz val="9"/>
            <color indexed="81"/>
            <rFont val="Segoe UI"/>
            <family val="2"/>
          </rPr>
          <t>USER1:</t>
        </r>
        <r>
          <rPr>
            <sz val="9"/>
            <color indexed="81"/>
            <rFont val="Segoe UI"/>
            <family val="2"/>
          </rPr>
          <t xml:space="preserve">
Stanovíte počet jednotiek danej položky</t>
        </r>
      </text>
    </comment>
    <comment ref="H2" authorId="0" shapeId="0" xr:uid="{00000000-0006-0000-13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I2" authorId="0" shapeId="0" xr:uid="{00000000-0006-0000-13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K2" authorId="0" shapeId="0" xr:uid="{00000000-0006-0000-13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4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Táto záložka slúži na vytvorenie relatívne rýchleho harmonogramu projektu cez mesiace trvania aktivít a jeho ganttovej podoby.
</t>
        </r>
        <r>
          <rPr>
            <sz val="9"/>
            <color rgb="FF000000"/>
            <rFont val="Segoe UI"/>
            <family val="2"/>
            <charset val="1"/>
          </rPr>
          <t xml:space="preserve">
</t>
        </r>
        <r>
          <rPr>
            <sz val="9"/>
            <color rgb="FF000000"/>
            <rFont val="Segoe UI"/>
            <family val="2"/>
            <charset val="1"/>
          </rPr>
          <t>V prvom momente je potrebné vybrať moduly pre ktoré sa harmonogram tvorí.</t>
        </r>
      </text>
    </comment>
    <comment ref="D2" authorId="0" shapeId="0" xr:uid="{00000000-0006-0000-14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400-000003000000}">
      <text>
        <r>
          <rPr>
            <b/>
            <sz val="9"/>
            <color indexed="81"/>
            <rFont val="Segoe UI"/>
            <family val="2"/>
          </rPr>
          <t>USER1:</t>
        </r>
        <r>
          <rPr>
            <sz val="9"/>
            <color indexed="81"/>
            <rFont val="Segoe UI"/>
            <family val="2"/>
          </rPr>
          <t xml:space="preserve">
Pre každý inkrement sa stanoví začiatočný mesiac inkrementu z pohľadu celého projektu.
Pre daľšie fázy projektu je potrebné zvoliť ich začiatočný mesiac (od začiatku projektu)</t>
        </r>
      </text>
    </comment>
    <comment ref="H2" authorId="0" shapeId="0" xr:uid="{00000000-0006-0000-1400-000004000000}">
      <text>
        <r>
          <rPr>
            <b/>
            <sz val="9"/>
            <color indexed="81"/>
            <rFont val="Segoe UI"/>
            <family val="2"/>
          </rPr>
          <t>USER1:</t>
        </r>
        <r>
          <rPr>
            <sz val="9"/>
            <color indexed="81"/>
            <rFont val="Segoe UI"/>
            <family val="2"/>
          </rPr>
          <t xml:space="preserve">
Jedná sa o technický parameter pre potreby Gant Chartu</t>
        </r>
      </text>
    </comment>
    <comment ref="I2" authorId="0" shapeId="0" xr:uid="{00000000-0006-0000-14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4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B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B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B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B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B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B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B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B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B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B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B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B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B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B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B00-00000F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B00-000010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xr:uid="{00000000-0006-0000-1B00-00001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xr:uid="{00000000-0006-0000-1B00-00001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C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C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C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C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C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C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C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C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C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C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D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aktualizovať podľa informácii zo SU SR</t>
        </r>
      </text>
    </comment>
    <comment ref="A10" authorId="0" shapeId="0" xr:uid="{00000000-0006-0000-1D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D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Potrebne aktualizovať pre daný rok, v ktorom sa plánuje pojekt realizovať</t>
        </r>
      </text>
    </comment>
    <comment ref="A13" authorId="0" shapeId="0" xr:uid="{00000000-0006-0000-1D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Potrebne aktualizovať pre daný rok, v ktorom sa plánuje pojekt realizovať</t>
        </r>
      </text>
    </comment>
  </commentList>
</comments>
</file>

<file path=xl/sharedStrings.xml><?xml version="1.0" encoding="utf-8"?>
<sst xmlns="http://schemas.openxmlformats.org/spreadsheetml/2006/main" count="3699" uniqueCount="1303">
  <si>
    <t>Príloha pre spracovanie biznis case a cost benefit analýzy informačných technológií verejnej správy</t>
  </si>
  <si>
    <t>Verzia dokumentu: v1.9</t>
  </si>
  <si>
    <t>Názov riešenia</t>
  </si>
  <si>
    <t>Číslo projektu ITMS</t>
  </si>
  <si>
    <t>Kód Projektu a ISVS z MetaIS</t>
  </si>
  <si>
    <t>Organizácia</t>
  </si>
  <si>
    <t>Ulica</t>
  </si>
  <si>
    <t>PSČ</t>
  </si>
  <si>
    <t>Web</t>
  </si>
  <si>
    <t>IČO</t>
  </si>
  <si>
    <t>Spracovateľ</t>
  </si>
  <si>
    <t xml:space="preserve">Kontakt na spracovateľa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</si>
  <si>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</si>
  <si>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</si>
  <si>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</si>
  <si>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</si>
  <si>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</si>
  <si>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</si>
  <si>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</si>
  <si>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</si>
  <si>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v1.5</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</si>
  <si>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</si>
  <si>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</si>
  <si>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</si>
  <si>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</si>
  <si>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</si>
  <si>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</si>
  <si>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</si>
  <si>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</si>
  <si>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</si>
  <si>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</si>
  <si>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</si>
  <si>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</si>
  <si>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</si>
  <si>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</si>
  <si>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</si>
  <si>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</si>
  <si>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</si>
  <si>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</si>
  <si>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</si>
  <si>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</si>
  <si>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</si>
  <si>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</si>
  <si>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PODAktivity_Parametrizacia</t>
  </si>
  <si>
    <t>Relevantné aktivity, ktoré budú v rámci projektu realizované</t>
  </si>
  <si>
    <t>Všetky relevantné žlté polia musia obsahovať hodnotu 0 až N</t>
  </si>
  <si>
    <t>PODAktivity_Alokacie</t>
  </si>
  <si>
    <t>Porovnanie alokácie zdrojov v zmysle výzvy / alokácie v zmysle nákladovej analýzy</t>
  </si>
  <si>
    <t>Žiadne. Všetky hodnoty v stĺpci "H" musia byť kladné t.j. "OK".</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</si>
  <si>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</si>
  <si>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</si>
  <si>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</si>
  <si>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</si>
  <si>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</si>
  <si>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</si>
  <si>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</si>
  <si>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</si>
  <si>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</si>
  <si>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</si>
  <si>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</si>
  <si>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</si>
  <si>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</si>
  <si>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</si>
  <si>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</si>
  <si>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</si>
  <si>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</si>
  <si>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</si>
  <si>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</si>
  <si>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</si>
  <si>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</si>
  <si>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</si>
  <si>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</si>
  <si>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</si>
  <si>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</si>
  <si>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</si>
  <si>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</si>
  <si>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</si>
  <si>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</si>
  <si>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</si>
  <si>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</si>
  <si>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</si>
  <si>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</si>
  <si>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</si>
  <si>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</si>
  <si>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</si>
  <si>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</si>
  <si>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</si>
  <si>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</si>
  <si>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</si>
  <si>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</si>
  <si>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</si>
  <si>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</si>
  <si>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</si>
  <si>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</si>
  <si>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</si>
  <si>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</si>
  <si>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</si>
  <si>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</si>
  <si>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</si>
  <si>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</si>
  <si>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</si>
  <si>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</si>
  <si>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</si>
  <si>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</si>
  <si>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</si>
  <si>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</si>
  <si>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</si>
  <si>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</si>
  <si>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</si>
  <si>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</si>
  <si>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</si>
  <si>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</si>
  <si>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</si>
  <si>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</si>
  <si>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</si>
  <si>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</si>
  <si>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</si>
  <si>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</si>
  <si>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</si>
  <si>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</si>
  <si>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</si>
  <si>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</si>
  <si>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</si>
  <si>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</si>
  <si>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</si>
  <si>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</si>
  <si>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</si>
  <si>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</si>
  <si>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</si>
  <si>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</si>
  <si>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</si>
  <si>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</si>
  <si>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POO OPEX</t>
  </si>
  <si>
    <t>POO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</si>
  <si>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</si>
  <si>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</si>
  <si>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</si>
  <si>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</si>
  <si>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</si>
  <si>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</si>
  <si>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</si>
  <si>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</si>
  <si>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</si>
  <si>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</si>
  <si>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</si>
  <si>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</si>
  <si>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</si>
  <si>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Ostatné výdavky</t>
  </si>
  <si>
    <t>Ostatné zmiešané výdavky</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</si>
  <si>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</si>
  <si>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</si>
  <si>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</si>
  <si>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</si>
  <si>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</si>
  <si>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</si>
  <si>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</si>
  <si>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</si>
  <si>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</si>
  <si>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</si>
  <si>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</si>
  <si>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</si>
  <si>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</si>
  <si>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</si>
  <si>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</si>
  <si>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</si>
  <si>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</si>
  <si>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</si>
  <si>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</si>
  <si>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</si>
  <si>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</si>
  <si>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</si>
  <si>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</si>
  <si>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</si>
  <si>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</si>
  <si>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</si>
  <si>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</si>
  <si>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</si>
  <si>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</si>
  <si>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</si>
  <si>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</si>
  <si>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</si>
  <si>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</si>
  <si>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</si>
  <si>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</si>
  <si>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</si>
  <si>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</si>
  <si>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</si>
  <si>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</si>
  <si>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</si>
  <si>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</si>
  <si>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</si>
  <si>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Rok</t>
  </si>
  <si>
    <t>NPV</t>
  </si>
  <si>
    <t>Všetky výdavkové položky sú automaticky vypočítané na základe údajov uvedených v záložkách TCO a Parametre - Agendové IS</t>
  </si>
  <si>
    <t>Priame prínosy</t>
  </si>
  <si>
    <t>Nepriame prínosy</t>
  </si>
  <si>
    <t>Prínosy spolu</t>
  </si>
  <si>
    <t>Ušetrené náklady IT a náklady na materiál</t>
  </si>
  <si>
    <t>Cena ušetreného času používateľa</t>
  </si>
  <si>
    <t>Kvalitatívne prínosy vo finančnom vyjadrení</t>
  </si>
  <si>
    <t>Cena ušetreného času úradníka</t>
  </si>
  <si>
    <t>Materiál</t>
  </si>
  <si>
    <t>Všetky prínosové položky sú automaticky vypočítané na základe údajov uvedených v záložkách TCO, spotrebované cloudové služby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</si>
  <si>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</si>
  <si>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</si>
  <si>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</si>
  <si>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</si>
  <si>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</si>
  <si>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</si>
  <si>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</si>
  <si>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</si>
  <si>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</si>
  <si>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</si>
  <si>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</si>
  <si>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</si>
  <si>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</si>
  <si>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</si>
  <si>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FTE úradník</t>
  </si>
  <si>
    <t>FTE</t>
  </si>
  <si>
    <t>Cena ušetreného času používateľa
(S pravidlom polovice)</t>
  </si>
  <si>
    <t>Materiálové náklady</t>
  </si>
  <si>
    <t>Administrtívny poplatok</t>
  </si>
  <si>
    <t>register aktívnych užívateľov</t>
  </si>
  <si>
    <t>Hranica užívania</t>
  </si>
  <si>
    <t>Trvanie IS</t>
  </si>
  <si>
    <t>To be</t>
  </si>
  <si>
    <t>Postupnosť Automatizácie</t>
  </si>
  <si>
    <t>Hodnota register aktívnych užívateľov</t>
  </si>
  <si>
    <t>Hodnota Hranica užívania</t>
  </si>
  <si>
    <t>AS IS spôsob</t>
  </si>
  <si>
    <t>TO BE trvanie</t>
  </si>
  <si>
    <t>#</t>
  </si>
  <si>
    <t>Moduly</t>
  </si>
  <si>
    <t>TCF</t>
  </si>
  <si>
    <t>ECF</t>
  </si>
  <si>
    <t>UAW</t>
  </si>
  <si>
    <t>PF</t>
  </si>
  <si>
    <t>Inkrement</t>
  </si>
  <si>
    <t>Rok dodania</t>
  </si>
  <si>
    <t># roku</t>
  </si>
  <si>
    <t>Počet MDs z UCP</t>
  </si>
  <si>
    <t>Aplikačná podpora</t>
  </si>
  <si>
    <t>Rozvoj</t>
  </si>
  <si>
    <t>Supporty</t>
  </si>
  <si>
    <t>Rok začatia supportu / prevádzky</t>
  </si>
  <si>
    <t>Počet MDs z rozpočtu</t>
  </si>
  <si>
    <t>MOD_01</t>
  </si>
  <si>
    <t>Modul MyData</t>
  </si>
  <si>
    <t>Inkrement 1</t>
  </si>
  <si>
    <t>MOD_02</t>
  </si>
  <si>
    <t>Transformačný modul</t>
  </si>
  <si>
    <t>MOD_03</t>
  </si>
  <si>
    <t xml:space="preserve">Modul kvality a čistenia údajov </t>
  </si>
  <si>
    <t>MOD_04</t>
  </si>
  <si>
    <t>Centrálny integračný komponent </t>
  </si>
  <si>
    <t>MOD_05</t>
  </si>
  <si>
    <t xml:space="preserve">Centrálna správa kmeňových údajov </t>
  </si>
  <si>
    <t>MOD_06</t>
  </si>
  <si>
    <t>Centrálna správa agendových číselníkov</t>
  </si>
  <si>
    <t>MOD_07</t>
  </si>
  <si>
    <t>Lokálny katalóg otvorených údajov</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</si>
  <si>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</si>
  <si>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</si>
  <si>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</si>
  <si>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</si>
  <si>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</si>
  <si>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</si>
  <si>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</si>
  <si>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</si>
  <si>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</si>
  <si>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</si>
  <si>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</si>
  <si>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</si>
  <si>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</si>
  <si>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</si>
  <si>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</si>
  <si>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</si>
  <si>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</si>
  <si>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</si>
  <si>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</si>
  <si>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</si>
  <si>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</si>
  <si>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</si>
  <si>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</si>
  <si>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</si>
  <si>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</si>
  <si>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</si>
  <si>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</si>
  <si>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</si>
  <si>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</si>
  <si>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</si>
  <si>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</si>
  <si>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</si>
  <si>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</si>
  <si>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</si>
  <si>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</si>
  <si>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</si>
  <si>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</si>
  <si>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</si>
  <si>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</si>
  <si>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</si>
  <si>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</si>
  <si>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</si>
  <si>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</si>
  <si>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</si>
  <si>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</si>
  <si>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</si>
  <si>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</si>
  <si>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</si>
  <si>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</si>
  <si>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</si>
  <si>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</si>
  <si>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</si>
  <si>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</si>
  <si>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</si>
  <si>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</si>
  <si>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</si>
  <si>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</si>
  <si>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</si>
  <si>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</si>
  <si>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</si>
  <si>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</si>
  <si>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</si>
  <si>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</si>
  <si>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</si>
  <si>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</si>
  <si>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</si>
  <si>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</si>
  <si>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</si>
  <si>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</si>
  <si>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</si>
  <si>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</si>
  <si>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</si>
  <si>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</si>
  <si>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</si>
  <si>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</si>
  <si>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</si>
  <si>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</si>
  <si>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</si>
  <si>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</si>
  <si>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</si>
  <si>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</si>
  <si>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</si>
  <si>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</si>
  <si>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</si>
  <si>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</si>
  <si>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</si>
  <si>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</si>
  <si>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</si>
  <si>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</si>
  <si>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</si>
  <si>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</si>
  <si>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</si>
  <si>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</si>
  <si>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</si>
  <si>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</si>
  <si>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</si>
  <si>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</si>
  <si>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</si>
  <si>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</si>
  <si>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</si>
  <si>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</si>
  <si>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</si>
  <si>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</si>
  <si>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</si>
  <si>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</si>
  <si>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</si>
  <si>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</si>
  <si>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</si>
  <si>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</si>
  <si>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</si>
  <si>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</si>
  <si>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</si>
  <si>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</si>
  <si>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</si>
  <si>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</si>
  <si>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</si>
  <si>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</si>
  <si>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</si>
  <si>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</si>
  <si>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</si>
  <si>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</si>
  <si>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</si>
  <si>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</si>
  <si>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</si>
  <si>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</si>
  <si>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</si>
  <si>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</si>
  <si>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</si>
  <si>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</si>
  <si>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</si>
  <si>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</si>
  <si>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</si>
  <si>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</si>
  <si>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</si>
  <si>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</si>
  <si>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</si>
  <si>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</si>
  <si>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</si>
  <si>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</si>
  <si>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</si>
  <si>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</si>
  <si>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</si>
  <si>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</si>
  <si>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</si>
  <si>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</si>
  <si>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</si>
  <si>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</si>
  <si>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</si>
  <si>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</si>
  <si>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</si>
  <si>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</si>
  <si>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</si>
  <si>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</si>
  <si>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</si>
  <si>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</si>
  <si>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</si>
  <si>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</si>
  <si>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</si>
  <si>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</si>
  <si>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</si>
  <si>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</si>
  <si>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</si>
  <si>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</si>
  <si>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Koniec</t>
  </si>
  <si>
    <t>Trvanie v mesiacoch</t>
  </si>
  <si>
    <t>Mesiacov od začiatku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</si>
  <si>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</si>
  <si>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</si>
  <si>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</si>
  <si>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</si>
  <si>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</si>
  <si>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</si>
  <si>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</si>
  <si>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</si>
  <si>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</si>
  <si>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</si>
  <si>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</si>
  <si>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</si>
  <si>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</si>
  <si>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</si>
  <si>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</si>
  <si>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</si>
  <si>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</si>
  <si>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</si>
  <si>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</si>
  <si>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t>Označenia riadkov</t>
  </si>
  <si>
    <t>Počet z DETAILNÝ POPIS POŽIADAVKY</t>
  </si>
  <si>
    <t>A1 - Manažment osobných údajov</t>
  </si>
  <si>
    <t>Manažment údajov</t>
  </si>
  <si>
    <t>A10 - GDPR</t>
  </si>
  <si>
    <t>Modul správy údajov</t>
  </si>
  <si>
    <t>A11 - Legislatíva</t>
  </si>
  <si>
    <t>A2 - Čistenie a dátova kvalita</t>
  </si>
  <si>
    <t>A3 - Integrácia na IS CSRÚ - poskytovanie</t>
  </si>
  <si>
    <t>A4 - Integrácia na IS CSRÚ - konzumovanie</t>
  </si>
  <si>
    <t>A5 - Publikovanie OPEN DATA</t>
  </si>
  <si>
    <t>Lokálny katalóg Otvorených údajov</t>
  </si>
  <si>
    <t>A6 - Sprístupnovanie analytických údajov</t>
  </si>
  <si>
    <t>A7 - Systematický manažment údajov</t>
  </si>
  <si>
    <t>A8 - Vybudovanie registrov</t>
  </si>
  <si>
    <t>A9 - Vytvorenie integračnej (rezortnej) platformy</t>
  </si>
  <si>
    <t>Celkový súčet</t>
  </si>
  <si>
    <t>ID</t>
  </si>
  <si>
    <t>Predmet Podaktivity</t>
  </si>
  <si>
    <t>Akronym_Pomocné</t>
  </si>
  <si>
    <t>Špecifikácia</t>
  </si>
  <si>
    <t>Počet</t>
  </si>
  <si>
    <t>Limit</t>
  </si>
  <si>
    <t>Suma s DPH</t>
  </si>
  <si>
    <t>Poznámka</t>
  </si>
  <si>
    <t>A1.</t>
  </si>
  <si>
    <t>Zavedenie manažmentu osobných údajov pre službu „moje dáta“</t>
  </si>
  <si>
    <t>Zapojenie nového IS VS ako poskytovateľa údajov (OE)</t>
  </si>
  <si>
    <t>ISVS</t>
  </si>
  <si>
    <t>Suma je počítaná v aktivite A3</t>
  </si>
  <si>
    <t>Rozšírenie poskytovania údajov (OE) z už zapojeného IS VS</t>
  </si>
  <si>
    <t>OE</t>
  </si>
  <si>
    <t>Integračné väzby identifikované v rámci špecifikácie požiadaviek</t>
  </si>
  <si>
    <t>Rozvoj informačného systému pre službu moje dáta</t>
  </si>
  <si>
    <t>Projekt</t>
  </si>
  <si>
    <t xml:space="preserve">max. 50% z maximálnej možnej hodnoty projektu </t>
  </si>
  <si>
    <t>A2.</t>
  </si>
  <si>
    <t>Čistenie údajov, dosiahnutie vyššej kvality údajov a dátová interoperabilita</t>
  </si>
  <si>
    <t>Náklady na čistenie údajov definované počtom MDs a sadzbou</t>
  </si>
  <si>
    <t>MD</t>
  </si>
  <si>
    <t>max. 15% celkového rozpočtu projektu</t>
  </si>
  <si>
    <t>A3.</t>
  </si>
  <si>
    <t>Realizácia poskytovateľskej dátovej integrácie</t>
  </si>
  <si>
    <t>Súčet aktivity A1 a A6</t>
  </si>
  <si>
    <t>A4.</t>
  </si>
  <si>
    <t>Realizácia dátovej integrácie na centrálnu integračnú platformu (IS CIP/IS CSRÚ) za účelom konzumovania údajov</t>
  </si>
  <si>
    <t>Zapojenie nového IS VS ako konzumenta údajov (OE)</t>
  </si>
  <si>
    <t>Rozšírenie konzumovania údajov (OE) z už zapojeného IS VS</t>
  </si>
  <si>
    <t>A5.</t>
  </si>
  <si>
    <t>Automatizované publikovanie otvorených údajov</t>
  </si>
  <si>
    <t>A5.1 Vytvorenie LKOD - založený na SPARQL Endpointe</t>
  </si>
  <si>
    <t>A5.1 Vytvorenie LKOD - založený na DCAT Dokumentoch</t>
  </si>
  <si>
    <t>A5.2 Sprístupňovanie datasetov - Počet sprístupnených HVD datasetov do NKODU</t>
  </si>
  <si>
    <t>A5.2 Sprístupňovanie datasetov - Počet sprístupnených datasetov PM</t>
  </si>
  <si>
    <t>A6.</t>
  </si>
  <si>
    <t>Sprístupnenie údajov na analytické účely</t>
  </si>
  <si>
    <t>A6 - Spristupnovanie analytickych udajov</t>
  </si>
  <si>
    <t>A7.</t>
  </si>
  <si>
    <t>Zavedenie systematického manažmentu údajov</t>
  </si>
  <si>
    <t>Jedná sa o stanovenie nákladov na interné kapacity</t>
  </si>
  <si>
    <t>Jedná sa o sumu interných nákladov na hlavné aktivity + externé náklady na aktivittu, pričom hodnota nesmie presiahnúť 10% nákladov na hlavné aktivity</t>
  </si>
  <si>
    <t>A8.</t>
  </si>
  <si>
    <t>Vybudovanie nového zdrojového registra alebo strojovo-spracovateľného objektu evidencie</t>
  </si>
  <si>
    <t>Vybudovanie zdrového registra</t>
  </si>
  <si>
    <r>
      <rPr>
        <u/>
        <sz val="11"/>
        <color rgb="FF000000"/>
        <rFont val="Calibri Light"/>
        <family val="2"/>
      </rPr>
      <t>Náklady</t>
    </r>
    <r>
      <rPr>
        <sz val="11"/>
        <color rgb="FF000000"/>
        <rFont val="Calibri Light"/>
        <family val="2"/>
      </rPr>
      <t xml:space="preserve"> &lt;= Počet registrov * 100 000 EUR</t>
    </r>
  </si>
  <si>
    <t>Vybudovanie strojovo-spracovateľnej evidencie</t>
  </si>
  <si>
    <r>
      <rPr>
        <u/>
        <sz val="11"/>
        <color rgb="FF000000"/>
        <rFont val="Calibri Light"/>
        <family val="2"/>
      </rPr>
      <t>Náklady</t>
    </r>
    <r>
      <rPr>
        <sz val="11"/>
        <color rgb="FF000000"/>
        <rFont val="Calibri Light"/>
        <family val="2"/>
      </rPr>
      <t xml:space="preserve"> &lt;= Počet strojovo-spracovateľných evidencii * 50 000 EUR</t>
    </r>
  </si>
  <si>
    <t>A9.</t>
  </si>
  <si>
    <t>Vytvorenie rezortnej integračnej platformy pre konsolidáciu interných systémov inštitúcie (Master Data Management)</t>
  </si>
  <si>
    <t>A9 - Vytvorenie Integračnej (rezortnej) platformy</t>
  </si>
  <si>
    <t>Vytvorenie internej integrácie a konsolidácie údajov v rámci organizácie</t>
  </si>
  <si>
    <r>
      <rPr>
        <u/>
        <sz val="11"/>
        <color rgb="FF000000"/>
        <rFont val="Calibri Light"/>
        <family val="2"/>
      </rPr>
      <t>Náklady</t>
    </r>
    <r>
      <rPr>
        <sz val="11"/>
        <color rgb="FF000000"/>
        <rFont val="Calibri Light"/>
        <family val="2"/>
      </rPr>
      <t xml:space="preserve"> &lt;= 250 000 EUR (vytvorenie internej integrácie a konsolidácie údajov v rámci organizácie)</t>
    </r>
  </si>
  <si>
    <t>Počet napojených IS VS v rámci rezortu na Integračnú platformu</t>
  </si>
  <si>
    <r>
      <rPr>
        <u/>
        <sz val="11"/>
        <color rgb="FF000000"/>
        <rFont val="Calibri Light"/>
        <family val="2"/>
      </rPr>
      <t>Náklady</t>
    </r>
    <r>
      <rPr>
        <sz val="11"/>
        <color rgb="FF000000"/>
        <rFont val="Calibri Light"/>
        <family val="2"/>
      </rPr>
      <t xml:space="preserve"> &lt;= počet IS * 50 000 EUR (cena za internú integráciu IS na centrálnu platformu).</t>
    </r>
  </si>
  <si>
    <t>A10.</t>
  </si>
  <si>
    <t>Rozvoj informačných systémov z pohľadu bezpečnosti a GDPR (právo dotknutej osoby na prístup k údajom)</t>
  </si>
  <si>
    <t>Vytvorenie bezpečnostného projektu, Posúdenie vplyvu na ochranu údajov (DPIA)</t>
  </si>
  <si>
    <t>max 5% nákladov celkového rozpočtu</t>
  </si>
  <si>
    <t>A11.</t>
  </si>
  <si>
    <t>Legislatívna analýza údajov inštitúcie verejnej správy</t>
  </si>
  <si>
    <t>Zabezpečenie právnej analýzy a dopadov</t>
  </si>
  <si>
    <t>max 3% nákladov celkového rozpočtu</t>
  </si>
  <si>
    <t>Akronym</t>
  </si>
  <si>
    <t>Alokácia v zmysle výzvy</t>
  </si>
  <si>
    <t>Počet ext. MDs pre aktivitu</t>
  </si>
  <si>
    <t>Počet MDs pre aktivitu_pomocne</t>
  </si>
  <si>
    <t>Alokácia v zmysle Nákladovej analýzy</t>
  </si>
  <si>
    <t>Splnenie podmienky</t>
  </si>
  <si>
    <t>Suma za integrácie je pripočítaná ku aktivite 3</t>
  </si>
  <si>
    <t>Súčet integrácií A1,A3,A6</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</si>
  <si>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</si>
  <si>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</si>
  <si>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</si>
  <si>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</si>
  <si>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</si>
  <si>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</si>
  <si>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</si>
  <si>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</si>
  <si>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</si>
  <si>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</si>
  <si>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</si>
  <si>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Aktivita v zmysle výzvy</t>
  </si>
  <si>
    <t>POČET PRÍSTUPOVÝCH KANÁLOV / POCET UC</t>
  </si>
  <si>
    <t>ZLOŽITOSŤ POŽIADAVKY</t>
  </si>
  <si>
    <t>POCET UC</t>
  </si>
  <si>
    <t>VÝSLEDOK ZLOŽITOSTI</t>
  </si>
  <si>
    <t>UCP</t>
  </si>
  <si>
    <t>ODHADNUTÁ PRÁCNOSŤ</t>
  </si>
  <si>
    <t>ČÍSLO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</si>
  <si>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</si>
  <si>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</si>
  <si>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</si>
  <si>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</si>
  <si>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</si>
  <si>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</si>
  <si>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</si>
  <si>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</si>
  <si>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</si>
  <si>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</si>
  <si>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</si>
  <si>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</si>
  <si>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</si>
  <si>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</si>
  <si>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ID_1</t>
  </si>
  <si>
    <t>Funkcna poziadavka</t>
  </si>
  <si>
    <t>Dátová požiadavka</t>
  </si>
  <si>
    <t>Mapovanie objektov evidencie / datasetov na prvky CMÚ na základe ich popisov za využitia algoritmov strojového učenia a vytvorenie GUI pre manuálne domapovanie s možnosťou manuálnej úpravy navrhnutého mapovania konkrétnych atribútov v objekte evidencie / datasetu.</t>
  </si>
  <si>
    <t>PPA</t>
  </si>
  <si>
    <t>ID_2</t>
  </si>
  <si>
    <t>Príprava objektu evidencie / datasetu do požadovaného stavu pred transformáciou t.j. analýza objektov evidencie / datasetov na úroveň atribútov, extrakcia a import do dátového katalógu.</t>
  </si>
  <si>
    <t>ID_3</t>
  </si>
  <si>
    <t>Umožnenie konfigurácie výslednej transformácie tak, aby vo výslednom RDF bolo možné meniť vzťahy medzi tripletmi (subjekt - predikát - objekt). Napríklad v zmysle, že daný predikát nemá byť medzi subjektom a objektom tak, ako by ho priradila prednastavená automatizovaná transformácia, ale medzi iným subjektom a iným objektom, ktoré sa dajú identifikovať a nakonfigurovať.</t>
  </si>
  <si>
    <t>ID_4</t>
  </si>
  <si>
    <t>Validovanie správnosti transformácie objektu evidencie / datasetu prostredníctvom pravidiel kvality definovaných v jazyku SHACL</t>
  </si>
  <si>
    <t>ID_5</t>
  </si>
  <si>
    <t>ID_6</t>
  </si>
  <si>
    <t>Ne-Funkcna poziadavka</t>
  </si>
  <si>
    <t>Projektová dokumentácia</t>
  </si>
  <si>
    <r>
      <rPr>
        <sz val="10"/>
        <color rgb="FF000000"/>
        <rFont val="Calibri Light"/>
        <family val="2"/>
        <scheme val="major"/>
      </rPr>
      <t xml:space="preserve">Dodávateľ vytvorí a dodá dokumentáciu v zmysle Vyhlášky č. 401/2023 Z. z. MIRRI o riadení projektov a zmenových požiadaviek v prevádzke ITVS pre nasledovné fázy projektu: Analýza a Dizajn, Realizačná fáza, Nasadenie a post-implementačná podpora, Dokončovacia fáza. Zoznam dokumentov sa nachádza v Prílohe č. 1 k vyhláške č. 401/2023 Z. z., </t>
    </r>
    <r>
      <rPr>
        <u/>
        <sz val="10"/>
        <color rgb="FF000000"/>
        <rFont val="Calibri Light"/>
        <family val="2"/>
        <scheme val="major"/>
      </rPr>
      <t>https://www.slov-lex.sk/pravne-predpisy/SK/ZZ/2023/401/</t>
    </r>
    <r>
      <rPr>
        <sz val="10"/>
        <color rgb="FF000000"/>
        <rFont val="Calibri Light"/>
        <family val="2"/>
        <scheme val="major"/>
      </rPr>
      <t>,  ako aj ďalšiu dokumentáciu v zmysle požiadaviek objednávateľa.</t>
    </r>
  </si>
  <si>
    <t>ID_7</t>
  </si>
  <si>
    <t>Architektonická požiadavka</t>
  </si>
  <si>
    <t>Dodávateľ vytvorí / aktualizuje minimálne nasledovné prostredia pre riešenie: produkčný testovací a vývojový.</t>
  </si>
  <si>
    <t>ID_8</t>
  </si>
  <si>
    <t>Fyzický dátový model</t>
  </si>
  <si>
    <t>Vytvorenie fyzického dátového modelu dátami pre objekty evidencie</t>
  </si>
  <si>
    <t>ID_9</t>
  </si>
  <si>
    <t>Implementácia fyzického dátového modelu dátami pre objekty evidencie</t>
  </si>
  <si>
    <t>ID_10</t>
  </si>
  <si>
    <t>Testovanie</t>
  </si>
  <si>
    <t>Dodávateľ zabezpečí testovacie prípady a poskytne výstup bezpečnostného testovania ako aj testovacie dáta</t>
  </si>
  <si>
    <t>ID_11</t>
  </si>
  <si>
    <t>Podpora dátových štandardov a interoperabilita</t>
  </si>
  <si>
    <t>Modul musí podporovať bežné dátové štandardy, ako napríklad JSON-LD, RDF, XML, alebo CSV, aby zabezpečil interoperabilitu s inými systémami.</t>
  </si>
  <si>
    <t>ID_12</t>
  </si>
  <si>
    <t>Transformácia na prepojené dáta (Linked Data)</t>
  </si>
  <si>
    <t>Modul musí umožniť vytvárať prepojené dáta pomocou sémantického prepojenia jednotlivých položiek s externými zdrojmi údajov, napríklad prostredníctvom URI</t>
  </si>
  <si>
    <t>ID_13</t>
  </si>
  <si>
    <t>Modul musí umožňovať prevod dát do JSON-LD podľa definovaných ontológií, ako napríklad schema.org alebo vlastných ontológií.</t>
  </si>
  <si>
    <t>ID_14</t>
  </si>
  <si>
    <t>Modul musí poskytovať mechanizmus na validáciu transformovaných dát vo formáte JSON-LD, aby bola zaistená správnosť štruktúry a dodržiavanie pravidiel JSON-LD.</t>
  </si>
  <si>
    <t>ID_15</t>
  </si>
  <si>
    <t>Škálovateľnosť a výkon</t>
  </si>
  <si>
    <t>Modul musí byť schopný efektívne spracovať a transformovať veľké množstvo dát, pričom by nemalo dôjsť k významnému zníženiu výkonu.</t>
  </si>
  <si>
    <t>ID_16</t>
  </si>
  <si>
    <t>Interoperabilita s rôznymi systémami a organizáciami</t>
  </si>
  <si>
    <t>Modul musí podporovať interoperabilitu s rôznymi organizáciami a systémami, ktoré spracovávajú osobné údaje.</t>
  </si>
  <si>
    <t>ID_17</t>
  </si>
  <si>
    <t>Štandardy pre dátovú interoperabilitu:</t>
  </si>
  <si>
    <t>Modul musí podporovať dátové štandardy, ako je JSON-LD alebo RDF, aby boli údaje prepojené a interoperabilné medzi rôznymi platformami.</t>
  </si>
  <si>
    <t>ID_18</t>
  </si>
  <si>
    <t>Bezpečnostná požiadavka</t>
  </si>
  <si>
    <t>Autentifikácia a autorizácia</t>
  </si>
  <si>
    <t>Modul musí poskytovať robustný systém správy prístupových práv, ktorý umožní kontrolu nad tým, kto má prístup k osobným údajom, a podporu viacúrovňovej autentifikácie, napríklad OAuth 2.0, OpenID Connect alebo SAML.</t>
  </si>
  <si>
    <t>ID_20</t>
  </si>
  <si>
    <t>Transparentnosť spracovania údajov</t>
  </si>
  <si>
    <t>Musi byť prehľad o všetkých entitách, ktoré majú prístup k ich údajom, a aké údaje spracovávajú. Taktiež musia byť informovaní o tom, na aké účely sú ich údaje používané.</t>
  </si>
  <si>
    <t>ID_21</t>
  </si>
  <si>
    <t>Kvalita a čistenie údajov</t>
  </si>
  <si>
    <t>Konzistentnosť</t>
  </si>
  <si>
    <t>Údaje musia byť rovnaké naprieč rôznymi databázami a systémy musia byť synchronizované. Duplicity a nekonzistentné hodnoty môžu spôsobiť zmätok a nepresnosti.</t>
  </si>
  <si>
    <t>ID_22</t>
  </si>
  <si>
    <t>Aktuálnosť</t>
  </si>
  <si>
    <t>Údaje musia byť aktuálne a pravidelne aktualizované, aby odrážali súčasný stav. Zastaralé údaje môžu viesť k nesprávnym rozhodnutiam.</t>
  </si>
  <si>
    <t>ID_23</t>
  </si>
  <si>
    <t>Detekcia chýb</t>
  </si>
  <si>
    <t>Identifikácia problémových údajov, ako sú neplatné hodnoty, chýbajúce údaje, duplicity alebo nekonzistentné formáty. Tento krok sa zameriava na detekciu chýb pomocou rôznych techník, ako sú pravidlá validácie alebo porovnanie s referenčnými údajmi.</t>
  </si>
  <si>
    <t>ID_24</t>
  </si>
  <si>
    <t>Presnosť</t>
  </si>
  <si>
    <t>Údaje musia byť správne a presne odrážať skutočnosť alebo objekt, ktorý popisujú. Napríklad správne meno a adresa osoby by mali byť zhodné so skutočnými údajmi.</t>
  </si>
  <si>
    <t>ID_25</t>
  </si>
  <si>
    <t>Právo na prenositeľnosť údajov (Data Portability)</t>
  </si>
  <si>
    <t>Modul musí podporovať export údajov v štruktúrovanom, strojovo čitateľnom formáte, ako sú JSON-LD, CSV alebo XML.</t>
  </si>
  <si>
    <t>ID_26</t>
  </si>
  <si>
    <t>Centrálna evidencia o prístupe ku informáciam o údajoch</t>
  </si>
  <si>
    <t>Notifikácia o spracovaní osobných údajov 
1.	Údaje o žiadateľovi
2.	Údaje o hraniciach užívania</t>
  </si>
  <si>
    <t>Vytvorenie funkcionality pre zasielanie notifikácie:
(a) o spracovaní osobných údajov na úrovni OVM,
Definovanie dátovej vety pre Informovanie dotknutých osôb o prezretí alebo spracovaní ich údajov</t>
  </si>
  <si>
    <t>ID_27</t>
  </si>
  <si>
    <t>Distribúcia/poskytovanie údajov zmenových dávok
1.	Údaje o žiadateľovi
2.	Údaje o hraniciach užívania</t>
  </si>
  <si>
    <t>(b) Vytvorenie funkcionality pre distribúciu / poskytovanie údajov zmenových dávok</t>
  </si>
  <si>
    <t>ID_28</t>
  </si>
  <si>
    <t>Notifikácia o zmene osobných údajov pre
1.	Údaje o žiadateľovi
2.	Údaje o hraniciach užívania</t>
  </si>
  <si>
    <t>Vytvorenie funkcionality pre zasielanie notifikácie:
(c) zmene osobných údajov</t>
  </si>
  <si>
    <t>ID_29</t>
  </si>
  <si>
    <t>Vytvorenie funkcionality pre podnety na opravu údajov a zabezpečenie opravy údajov (c)</t>
  </si>
  <si>
    <t>ID_30</t>
  </si>
  <si>
    <t>Vytvorenie interného procesu v organizácii pre príjímanie podnet na opravu údajov (c)</t>
  </si>
  <si>
    <t>ID_31</t>
  </si>
  <si>
    <t>Notifikácia o zmene osobných údajov pre 
1.	Údaje o žiadateľovi
2.	Údaje o hraniciach užívania</t>
  </si>
  <si>
    <t>Vytvorenie funkcionality pre zasielanie notifikácie::
(d) vzniku nových údajov</t>
  </si>
  <si>
    <t>ID_32</t>
  </si>
  <si>
    <t xml:space="preserve">Vytvorenie funkcionality pre zasielanie notifikácie:
(e) ukončení platnosti údajov
</t>
  </si>
  <si>
    <t>ID_33</t>
  </si>
  <si>
    <t>Vytvorenie funkcionality pre zasielanie notifikácie:
(f) vymazaní údajov</t>
  </si>
  <si>
    <t>ID_34</t>
  </si>
  <si>
    <t>Vytvorenie funkcionality pre zasielanie notifikácie:
(g) stave spracovania údajov</t>
  </si>
  <si>
    <t>ID_35</t>
  </si>
  <si>
    <t>Súlad ISVS s GDPR</t>
  </si>
  <si>
    <t>Identifikácia a spracovanie osobných údajov</t>
  </si>
  <si>
    <t>Systém musí jasne identifikovať, ktoré osobné údaje sú spracúvané a ako. Zahŕňa kategórie spracovávaných údajov (napr. meno, adresa, rodné číslo, citlivé údaje) a účely ich spracovania.</t>
  </si>
  <si>
    <t>ID_36</t>
  </si>
  <si>
    <t>Podpora princípu dátovej minimalizácie</t>
  </si>
  <si>
    <t>Systém musí zabezpečiť, aby sa spracúvali len tie údaje, ktoré sú nevyhnutné na splnenie účelu, a len po dobu nevyhnutnú na jeho dosiahnutie.</t>
  </si>
  <si>
    <t>ID_37</t>
  </si>
  <si>
    <t>Bezpečnosť a integrita údajov</t>
  </si>
  <si>
    <t>Systém musí zahŕňať technické a organizačné opatrenia na ochranu osobných údajov pred neoprávneným prístupom, stratou, zmenou alebo zničením. Patrí sem šifrovanie, autentifikácia a monitorovanie prístupu k údajom. Posúdenie, či sú prijaté primerané opatrenia na zabezpečenie údajov, čo je kľúčové pre minimalizáciu rizík úniku alebo zneužitia údajov.</t>
  </si>
  <si>
    <t>ID_38</t>
  </si>
  <si>
    <t>Eliminácia duplicitných dát</t>
  </si>
  <si>
    <t>Systém zabezpečí kontrolu unikátnosti jednotlivých záznamov a aplikovanie konsolidačných pravidiel</t>
  </si>
  <si>
    <t>ID_39</t>
  </si>
  <si>
    <t>Bezpečnostný projekt</t>
  </si>
  <si>
    <t>Vypracovanie bezpečnostného projektu pre isvs_14686. Bude vytvorený bezpečnostný projekt, ktorého súćasťou budú bezpečnostné opatrenia, ktoré zaručia ochranu citlivých osobných údajov.</t>
  </si>
  <si>
    <t>ID_40</t>
  </si>
  <si>
    <t>Bezpečnosť</t>
  </si>
  <si>
    <t>Zabezpečenie súladu s ISO normami. Implementácia opatrení v súlade s normami ISO/IEC 27001, ISO/IEC 27002, ISO/IEC 27005 a ISO/IEC 29100 pre bezpečnosť a ochranu osobných údajov.</t>
  </si>
  <si>
    <t>ID_41</t>
  </si>
  <si>
    <t>Technické opatrenia na zabezpečenie ISVS. Implementácia technických opatrení na ochranu ISVS počas jeho vývoja a prevádzky, vrátane zabezpečenia integrity a dôvernosti údajov.</t>
  </si>
  <si>
    <t>ID_42</t>
  </si>
  <si>
    <t>Implementácia technických opatrení vyplývajúcich z penetračných testov (bezpečnostných testov)</t>
  </si>
  <si>
    <t>ID_43</t>
  </si>
  <si>
    <t>Organizačné a personálne opatrenia</t>
  </si>
  <si>
    <t>Vyhodnotenie okolia ISVS z hľadiska jeho vplyvu na bezpečnosť, vrátane fyzických priestorov, infraštruktúry a komunikačných kanálov. Návrh a zavedenie organizačných a personálnych opatrení na zabezpečenie bezpečnosti ISVS, vrátane vyškolenia zamestnancov a definície ich kompetencií.</t>
  </si>
  <si>
    <t>ID_44</t>
  </si>
  <si>
    <t>Zabezpečenie súladu s právnymi predpismi</t>
  </si>
  <si>
    <t>Overenie súladu s právnymi predpismi, vrátane zákona o kybernetickej bezpečnosti, zákona o ochrane osobných údajov, vyhlášok NBÚ a ostatných relevantných predpisov.</t>
  </si>
  <si>
    <t>ID_45</t>
  </si>
  <si>
    <t>Zohľadnenie externých integrácií</t>
  </si>
  <si>
    <t>Posúdenie vplyvu externých integrácií a aktív na bezpečnosť ISVS a zahrnutie relevantných rizík do bezpečnostného projektu.</t>
  </si>
  <si>
    <t>ID_46</t>
  </si>
  <si>
    <t>Zabudovaná ochrana údajov a štandardy ochrany súkromia (Privacy by Design a Privacy by Default)</t>
  </si>
  <si>
    <t>Posúdenie, či sú ochrana údajov a súkromie zabudované do všetkých funkcií systému, už od fázy návrhu. Ochrana údajov musí byť integrovaná do všetkých procesov a technických komponentov modulu. To znamená, že bezpečnosť, ochrana údajov a súlad s legislatívou musia byť zohľadnené už v počiatočných fázach vývoja, aby sa minimalizovali riziká úniku alebo zneužitia údajov.</t>
  </si>
  <si>
    <t>ID_47</t>
  </si>
  <si>
    <t>Návrh a dodanie systému musí byť v súlade s Vyhláškou NBÚ č. 362/2018 Z. z. ktorou sa ustanovuje obsah bezpečnostných opatrení, obsah a štruktúra bezpečnostnej dokumentácie a rozsah všeobecných bezpečnostných opatrení, najmä v časti , § 14
Bezpečnostné opatrenia podľa § 20 ods. 3 písm. j) zákona, https://www.slov-lex.sk/pravne-predpisy/SK/ZZ/2018/362/#paragraf-14</t>
  </si>
  <si>
    <t>ID_48</t>
  </si>
  <si>
    <t xml:space="preserve">Vytvorenie analýzy vplyvu na ochranu údajov (DPIA) </t>
  </si>
  <si>
    <t>Vytvorenie analýzy vplyvu na ochranu údajov (DPIA) pre  isvs_14686. Analýzy vplyva na ochranu údajov (DPIA) v súlade s nariadením GDPR. Tento dokument bude obsahovať dôkladnú analýzu rizík a zabezpečí, že všetky procesy spracúvania údajov budú v súlade s najnovšími legislatívnymi požiadavkami na ochranu osobných údajov.</t>
  </si>
  <si>
    <t>ID_49</t>
  </si>
  <si>
    <t>Legislatívna požiadavka</t>
  </si>
  <si>
    <t>Legislatívna analýza</t>
  </si>
  <si>
    <t>Vykonanie právnej analýzy legislatívy za účelom identifikácie potenciálnych legislatívnych prekážok pri sprístupňovaní údajov prostredníctvom informačných technológií v správe MIRRI pre službu „Moje dáta“</t>
  </si>
  <si>
    <t>ID_50</t>
  </si>
  <si>
    <t>Výstupom analýzy legislatívy bude identifikácia potrieb legislatívnych úprav príslušnej legislatívy za účelom odstránenia identifikovaných prekážok spoločne s návrhom legislatívnej úpravy</t>
  </si>
  <si>
    <t>ID_51</t>
  </si>
  <si>
    <t>Právna analýza procesu opravy chybných / neaktuálnych údajov pre objekty evidencie v projekte v rozsahu aktivity A1</t>
  </si>
  <si>
    <t>ID_52</t>
  </si>
  <si>
    <t>Návrh legislatívnych zmien týkajúcich sa opravy údajov pre objekty evidencie v projekte v rozsahu aktivity A1</t>
  </si>
  <si>
    <t>ID_53</t>
  </si>
  <si>
    <t>Identifikovať konkrétne ustanovenia osobitných predpisov, ktoré vytvárajú zákonné prekážky aplikácie v realizačnej fáze projektu, a to pre každú realizovanú aktivitu v projekte v rozsahu konkrétnych objektov evidencie obsiahnutých v realizovanom projekte podľa dotknutých informačných systémov verejnej správy.</t>
  </si>
  <si>
    <t>ID_54</t>
  </si>
  <si>
    <t>Podpora a prevádzka</t>
  </si>
  <si>
    <t>Zavedenie kontajnerizácie a škálovania</t>
  </si>
  <si>
    <t>ID_55</t>
  </si>
  <si>
    <t>Zosúladenie s Centrálnym modelom údajov</t>
  </si>
  <si>
    <t>Ak nie je dostupný relevantný dátový prvok (atribút), požadovať štandardizáciu a evidenciu nového prvku.</t>
  </si>
  <si>
    <t>ID_56</t>
  </si>
  <si>
    <t>Asistované čistenie</t>
  </si>
  <si>
    <t xml:space="preserve">Asistované čistenie 
umožnenie dátovému kurátorovi špecifického OVM vykonávať nápravné opatrenia s cieľom zvýšiť dátovú kvalitu datasetu na základe zistenej nekvality 
úlohou dátového kurátora bude rozhodnúť o správnosti resp. chybe v zázname a upraviť ho do požadovaného formátu pre špecifické pole 
analyzovanie obsahu jedného alebo viacerých stĺpcov databázy na základe štandardov z dátového slovníka a na základe výsledkov analýzy vytváranie úloh na kontrolu a úpravu záznamov v používateľskom prostredí konzoly, kde dátový kurátor pomocou ponúknutých možností realizuje čistenie nekvalitných dátových záznamov a ich prípadnú úpravu. 
analyzovanie obsahu databázy na základe biznis pravidiel, kde sa následne na základe výsledkov analýzy vygenerujú úlohy na kontrolu a úpravu záznamov v používateľskom prostredí konzoly, kde dátový kurátor pomocou ponúknutých možností realizuje čistenie nekvalitných dátových záznamov a ich prípadnú úpravu. </t>
  </si>
  <si>
    <t>ID_57</t>
  </si>
  <si>
    <t xml:space="preserve">Automatické stotožnenie </t>
  </si>
  <si>
    <t xml:space="preserve">Automatické stotožnenie. Stotožnenie bude realizované porovnaním záznamu so záznamom z referenčného registra. Dátový kurátor overí správnosť údajov v OE voči referenčnému registru automatizovane a teda všetky problémové záznamy v OE sú automaticky nahradené záznamami z referenčného registra </t>
  </si>
  <si>
    <t>ID_58</t>
  </si>
  <si>
    <t>Čistenie údajov</t>
  </si>
  <si>
    <t>ID_59</t>
  </si>
  <si>
    <t>Šifrovanie</t>
  </si>
  <si>
    <t>Údaje musia byť šifrované počas prenosu (napr. pomocou SSL/TLS) a pri uložení, aby sa zabezpečila ich dôvernosť.</t>
  </si>
  <si>
    <t>ID_60</t>
  </si>
  <si>
    <t>Implementačná požiadavka</t>
  </si>
  <si>
    <t>Použitie jednotného identifikátora (ID)</t>
  </si>
  <si>
    <t>ID_61</t>
  </si>
  <si>
    <t>Definícia / popis vlastností atribútov</t>
  </si>
  <si>
    <t>Definícia povinných vlastností údajov - Formulovanie povinných vlastností údajov na požadované hodnoty vlastností alebo vzťahov konkrétnych údajov. Budú opísané všetky dotknuté objekty evidencie v predkladanom projekte</t>
  </si>
  <si>
    <t>ID_62</t>
  </si>
  <si>
    <t>Biznis pravidlá dátovej kvality na úrovni objektov evidencie</t>
  </si>
  <si>
    <t>Aplikácia biznis pravidiel pre kvalitu dát - Jednotný register žiadaterľov</t>
  </si>
  <si>
    <t>ID_65</t>
  </si>
  <si>
    <t>Implemementácia procesov riadenia kvality dát</t>
  </si>
  <si>
    <t>Implementácia procesov riadenia kvality dát v rámci celého životného cyklu údajov</t>
  </si>
  <si>
    <t>ID_66</t>
  </si>
  <si>
    <t>Použitie základných číselníkov</t>
  </si>
  <si>
    <t>Implementovať používanie zverejnených základných číselníkov na zabezpečenie interoperability údajov v rámci verejnej správy.</t>
  </si>
  <si>
    <t>ID_67</t>
  </si>
  <si>
    <t>Kontrola údajov z pohľadu neúplnosti</t>
  </si>
  <si>
    <t>Modul musí umožniť vykonávať kontrolu obsahu datasetov na úplnosť štruktúry a kardinality väzieb objektov</t>
  </si>
  <si>
    <t>ID_68</t>
  </si>
  <si>
    <t>Monitoring dátovej kvality</t>
  </si>
  <si>
    <t>Monitoring dátovej kvality - vytvorenie automatizovaného alebo poloautomatizovaného riešenia merania DQ vhodné pre konkrétneho žiadateľa. Automatizované zverejňovanie reportu o kvalite dát v informačných systémoch a vyhodnotenie voči požadovanej kvalite dát</t>
  </si>
  <si>
    <t>ID_69</t>
  </si>
  <si>
    <t>Úprava OE pred testovaním</t>
  </si>
  <si>
    <t>Nasadenie (novej transformácie) upraveného datasetu na testovacie prostredie  </t>
  </si>
  <si>
    <t>ID_70</t>
  </si>
  <si>
    <t>Validácia kvality objektu evidencie</t>
  </si>
  <si>
    <t xml:space="preserve">Validácia voči objektu evidencie (OE) 
profilovanie dát vykonávané nad údajmi objektu evidencie, overenie špecifických biznis pravidiel vzťahujúcich sa k danému atribútu údajov, a to prostredníctvom validácie voči prvkom Dátového slovníka .
Kontrola záznamov voči vopred definovaným štandardom, ktoré sú určené pre jednotlivé stĺpce v rámci špecifického záznamu - štandardy sú zadefinované na základe biznis pravidiel, ktoré hovoria o tom, ako by mali vyzerať kvalitné dáta v špecifickom zázname </t>
  </si>
  <si>
    <t>ID_71</t>
  </si>
  <si>
    <t>Implementácia pravidiel CMÚ</t>
  </si>
  <si>
    <t>Zavedenie dátovej interoperability pre údaje ISVS
Dátová interoperabilita predstavuje zosúlaďovanie jednotnej identifikácie údajov a metaúdajov ISVS prostredníctvom URI Identifikátorov a pre opis dát použitie formálnych otvorených štandardov, tzv. CMÚ – Centrálny model údajov.</t>
  </si>
  <si>
    <t>ID_72</t>
  </si>
  <si>
    <t>Prevencia vzniku nekvality</t>
  </si>
  <si>
    <t>Automatické kontroly údajov na vstupe. Zaviesť automatické kontroly údajov pri vstupe do systému, ktoré umožnia detekciu prvotných chýb a minimalizujú potrebu následných korekcií.</t>
  </si>
  <si>
    <t>ID_73</t>
  </si>
  <si>
    <t>Integračná požiadavka</t>
  </si>
  <si>
    <t>Integrácia na IS CPDI - konzumovanie</t>
  </si>
  <si>
    <t>ID_74</t>
  </si>
  <si>
    <t>Integračné väzby identifikované v rámci špecifikácie požiadaviek:
1.	1.	Poskytnutie údajov z RPO
2.	Získavanie zmenových dávok RPO
3.	Získanie zoznamu zmien RPO
4.	** Zápis údajov do RPO
5.	1. Poskytnutie Odpisu RPO
6.	1. Získanie údajov ŠČ
7.	2. Získanie zoznamu zmien ŠČ
8.	1. Poskytnutie údajov o Platcovi DPH
9.	1. Poskytnutie dávky o vymazaných platiteľoch DPH
10.	1. Overenie existencie nedoplatku na poistnom na sociálne postenie
11.	1. Overenie splnenia odvodovej povinnosti voči ZP
12.	1. Poskytnutie údajov z registra SEMP – Príjemcovia pomoci
13.	2. ** Zápis údajov do SEMP
14.	1. Poskytnutie údajov z registra SEMP – Register MP
15.	1. Poskytnutie údajov z registra SEMP – Register ŠP
16.	1. Poskytnutie číselníkov SEMP
17.	1. Poskytnutie údajov z Registra úpadcov
18.	1. Poskytnutie údajov, že subjekt nie je v konkurze, nie je na neho vyhlásený konkurz a nie je v reštrukturalizácii
19.	1. Poskytnutie výpisu z  LV
20.	1. Poskytnutie Kópie katastrálnej mapy
21.	1. Poskytnutie číselníkov UGKK
22.	1. Poskytnutie výpisu z registra trestov
23.	1. Správa koncových používateľov RT
24.	1. Poskytnutie číselníkov RA
25.	2. Poskytnutie adresy, získanie údajov adresy a adresného bodu
26.	3. Poskytnutie geografickej situácie adresy pre lokalizáciu adresného bodu
27.	4. Získavanie zmenových dávok RA
28.	5. Nahlasovanie nezrovnalostí RA
29.	1. Poskytnutie údajov z RFO
30.	2. Získavanie zmenových dávok RFO
31.	3. ** Zápis údajov do RFO
32.	4. Nahlasovanie nezrovnalostí RFO
33.	1. Poskytnutie číselníkov RFO
34.	1. Poskytnutie údajov z CEHZ - Farma a detailný zoznam zvierat
35.	2. Poskytnutie údajov z CEHZ - Farma a sumárny zoznam zvierat
36.	3. Poskytnutie údajov z CEHZ - História držiteľov zvierat
37.	1. Poskytnutie údajov zo zoznamu exekučných konaní</t>
  </si>
  <si>
    <t>ID_75</t>
  </si>
  <si>
    <t>Testovanie funkčných požiadaviek</t>
  </si>
  <si>
    <t>Žiadateľ zabezpečí testovacie prípady pre testovanie všetkých funkčných požiadaviek a poskytne výstup testovania ako aj testovacie dáta vlastníkovi požiadavky.</t>
  </si>
  <si>
    <t>ID_76</t>
  </si>
  <si>
    <t>Logický dátový model</t>
  </si>
  <si>
    <t>Vytvorenie logického dátového model po dôkladnej analýze dátových požiadaviek, vstupov a dostupnosti dát. Tento logický dátový model bude slúžiť ako podklad pre návrh fyzického dátového modelu.</t>
  </si>
  <si>
    <t>ID_77</t>
  </si>
  <si>
    <t>Dátový slovník</t>
  </si>
  <si>
    <t>Dodávateľ vytvorí dátový slovník, ktorý umožní jednoduchú orientáciu v existujúcich dátach</t>
  </si>
  <si>
    <t>ID_78</t>
  </si>
  <si>
    <t>Automatizovaná tvorba a zverejňovanie otvorených údajov</t>
  </si>
  <si>
    <t>Publikácia otvorených údajov</t>
  </si>
  <si>
    <r>
      <rPr>
        <sz val="10"/>
        <color rgb="FF000000"/>
        <rFont val="Calibri Light"/>
        <family val="2"/>
      </rPr>
      <t>Systém umožní automatizované publikovanie otvorených údajov v kvalite 5</t>
    </r>
    <r>
      <rPr>
        <sz val="12"/>
        <color rgb="FF000000"/>
        <rFont val="Calibri Light"/>
        <family val="2"/>
      </rPr>
      <t>★</t>
    </r>
  </si>
  <si>
    <t>ID_79</t>
  </si>
  <si>
    <t>Vytvorenie LKOD - založený na SPARQL Endpointe</t>
  </si>
  <si>
    <t>ID_80</t>
  </si>
  <si>
    <t>Registrácia datasetov v centrálnom katalógu otvorených údajov</t>
  </si>
  <si>
    <t>Sprístupňovanie datasetov - Počet sprístupnených datasetov PM:
1.	Agregované trhové informácie (týkajúce sa nakúpených, predaných množstiev agrokomodít)
2.	Prehľad žiadostí o podpory a platby
3.	Hranice územia
4.	Prijímatelia EPZF a EPFRV
5.	Príjemcovia štátnej a minimálnej pomoci
6.	Prehľad faktúr
7.	Prehľad nahlásených poľnohospodárskych pozemkov
8.	Projektové podpory PRV</t>
  </si>
  <si>
    <t>ID_81</t>
  </si>
  <si>
    <t>Transformácia datasetu do formátu RDF</t>
  </si>
  <si>
    <t>Navrhnutie XSLT transformácie, ktorá definuje transformáciu vstupného datasetu (v obohatenej/stotožnenej forme) do výstupnej podoby podľa definovaného JSON-LD predpisu.</t>
  </si>
  <si>
    <t>ID_83</t>
  </si>
  <si>
    <t>Nasadenie transformovaného datasetu vo formáte RDF</t>
  </si>
  <si>
    <t>Zdrojový XML súbor je obohatený, a teda sú doňho pridané chýbajúce číselníky a opravené chybné záznamy prípadne štruktúra XML súboru. Výstupom je nový obohatený XML dátový súbor.</t>
  </si>
  <si>
    <t>ID_84</t>
  </si>
  <si>
    <t>ID_85</t>
  </si>
  <si>
    <t>ID_88</t>
  </si>
  <si>
    <t>Integrácia na IS CPDI - poskytovanie</t>
  </si>
  <si>
    <t>Poskytnutie  údajov o prístupe k informácii  (bod výzvy a, c,d,e, f)  - Údaje o žiadateľovi</t>
  </si>
  <si>
    <t>ID_89</t>
  </si>
  <si>
    <t>Poskytnutie  údajov o prístupe k informácii  (bod výzvy a, c,d,e, f)  - Údaje o hraniciach užívania</t>
  </si>
  <si>
    <t>ID_91</t>
  </si>
  <si>
    <t>Integračné väzby identifikované v rámci špecifikácie požiadaviek - Údaje o žiadateľovi</t>
  </si>
  <si>
    <t>ID_92</t>
  </si>
  <si>
    <t>Integračné väzby identifikované v rámci špecifikácie požiadaviek - Údaje o hraniciach užívania</t>
  </si>
  <si>
    <t>ID_93</t>
  </si>
  <si>
    <t>Zapojenie nového IS VS ako poskytovateľa údajov (OE) - IS APP</t>
  </si>
  <si>
    <t>ID_94</t>
  </si>
  <si>
    <t>Poskytnutie zmenových dávok - Údaje o žiadateľovi</t>
  </si>
  <si>
    <t>ID_96</t>
  </si>
  <si>
    <t>Poskytnutie zmenových dávok  - Údaje o hraniciach užívania</t>
  </si>
  <si>
    <t>ID_97</t>
  </si>
  <si>
    <t>Systematický manažmentu údajov</t>
  </si>
  <si>
    <t>Definovanie biznis pravidiel pre atribúty</t>
  </si>
  <si>
    <t>Expertné poradenstvo pri tvorbe biznis pravidiel za súčinnosti Externých konzultantov</t>
  </si>
  <si>
    <t>ID_98</t>
  </si>
  <si>
    <t>Evidencia údajov na úrovni atribútov</t>
  </si>
  <si>
    <t>Dodávateľ zabezpečí správu dátového katalógu, ktorý bude základom efektívneho manažmentu dát</t>
  </si>
  <si>
    <t>ID_99</t>
  </si>
  <si>
    <t>Nastavenie procesov riadenia kvality dát</t>
  </si>
  <si>
    <t>Nastavenie procesov riadenia kvality dát v rámci celého životného cyklu údajov</t>
  </si>
  <si>
    <t>ID_100</t>
  </si>
  <si>
    <t>Vstupná analýza datasetu pre transformáciu</t>
  </si>
  <si>
    <t>Dataset, ktorý je predmetom analýzy, musí byť k dispozícii vo forme, aspoň jednej dátovej inštancie vo formáte XML / XSD</t>
  </si>
  <si>
    <t>ID_101</t>
  </si>
  <si>
    <t>Dátový súbor s popisom metadát XML súboru, ktorý je predmetom analýzy, musí byť dostupný v popisnom formáte XLS (štruktúra datasetu a biznis popis položiek)</t>
  </si>
  <si>
    <t>ID_102</t>
  </si>
  <si>
    <t>Sprístupnenie popisov štruktúry a obsahu datasetu v XLS formáte</t>
  </si>
  <si>
    <t>ID_103</t>
  </si>
  <si>
    <t>Analýza a pochopenie biznis povahy datasetu</t>
  </si>
  <si>
    <t>ID_104</t>
  </si>
  <si>
    <t>Analýza schémy datasetu vo formáte XSD a validácia datasetu voči schéme</t>
  </si>
  <si>
    <t>ID_105</t>
  </si>
  <si>
    <t>Analýza príkladu/príkladov konkrétnych inštancií datasetu vo formáte XML</t>
  </si>
  <si>
    <t>ID_106</t>
  </si>
  <si>
    <t>Mapovanie na ontologické modely</t>
  </si>
  <si>
    <t xml:space="preserve">Mapovanie štruktúr XML/XSD datasetu na ontologické modely  </t>
  </si>
  <si>
    <t>ID_107</t>
  </si>
  <si>
    <t>Obohatenie vstupného XML datasetu s využitím metódy stotožnenia voči základným číselníkom</t>
  </si>
  <si>
    <t>ID_108</t>
  </si>
  <si>
    <t>Vytvorenie predpisu pre požadovaný RDF formát (JSON-LD) výstupného datasetu</t>
  </si>
  <si>
    <t>ID_110</t>
  </si>
  <si>
    <t>Vytvorenie modulu dátovej kvality</t>
  </si>
  <si>
    <t>Vytvorenie modulu, ktorý bude implementovať kontroly dátovej kvality na rôznych úrovniach spracovania dát (fáza extrakcie, transformácie a prípravy dát pre reporting). Modul bude poskytovať funkcionality dátovej kvality s cieľom zabezpečiť dátovú:
- Presnosť
- Konzistentnosť
- Správnosť
- Kompletnosť
- Unikátnosť
- Aktuálnosť
- Strojová spracovateľnosť
- Referenčná integrita</t>
  </si>
  <si>
    <t>ID_111</t>
  </si>
  <si>
    <t>MDM používateľské rozhranie</t>
  </si>
  <si>
    <t>Systém bude disponovať používateľským rozhraním pre riadenie kmeňových dát (MDM)</t>
  </si>
  <si>
    <t>ID_112</t>
  </si>
  <si>
    <t>Používateľské rozhranie CIP</t>
  </si>
  <si>
    <t>Systém umožní prístup používateľa prostredníctvom webového používateľského rozhrania pre prístup k funkciám najmä: vizualizácie dát, reportingu, dátovej správy (napr. DQ, MDM) podľa nastavených rolí a používateľských skupín.</t>
  </si>
  <si>
    <t>ID_113</t>
  </si>
  <si>
    <t>Systém zabezpečí kompletné audit logovanie všetkých akcií systému, či už pri správe záznamov alebo pri prezeraní záznamov používateľmi.</t>
  </si>
  <si>
    <t>ID_114</t>
  </si>
  <si>
    <t>ID_115</t>
  </si>
  <si>
    <t xml:space="preserve">Systém musí byť zabezpečený voči zraniteľnostiam zaznamenaným v medzinárodne uznávanom dokumente OWASP Top 10. </t>
  </si>
  <si>
    <t>ID_116</t>
  </si>
  <si>
    <t>Atomizácia objektu evidencie</t>
  </si>
  <si>
    <t xml:space="preserve">Zdieľanie digitálneho (jedného) atribútu, s možnosťou kombinácie rôznych atribútov v OE (atomický dataset)
</t>
  </si>
  <si>
    <t>ID_117</t>
  </si>
  <si>
    <t>Správa technických účtov</t>
  </si>
  <si>
    <t>Podpora pre selektívne filtrovanie a výber podmnožiny technických účtov</t>
  </si>
  <si>
    <t>Systém umožní po prihlásení do administračnej časti systému selektívne filtrovať a cielené vyhľadávať jednotlivé technické účty, ktoré chce zobraziť a následne spravovať.</t>
  </si>
  <si>
    <t>ID_118</t>
  </si>
  <si>
    <t>Prístupové práva technických účtov</t>
  </si>
  <si>
    <t>Systém umožní superadminovi manažovať prístupové práva pre technické účty.</t>
  </si>
  <si>
    <t>ID_119</t>
  </si>
  <si>
    <t>Riadenie prístupových práv</t>
  </si>
  <si>
    <t>Systém poskytne funkcionalitu na riadenie prístupových práv k dátam a službám systému.</t>
  </si>
  <si>
    <t>ID_120</t>
  </si>
  <si>
    <t>Integrácia s inými systémami</t>
  </si>
  <si>
    <t>Integrácia s inými systémami musí byť implementovaná pomocou webových služieb, FTP alebo  integračnej databázy a musí byť kompatibilná s existujúcimi integračnými komponentmi. V prípade offline integrácie po zvážení možnosti môže byť použitý import súborov v definovanej štruktúre.</t>
  </si>
  <si>
    <t>ID_121</t>
  </si>
  <si>
    <t>Publikovanie eSlužieb do multikanálového prostredia</t>
  </si>
  <si>
    <t>Všetky nové publikované REST služby budú popísané pomocou štandardu OpenAPI 3.0 (a vyšším). Tieto definičné súbory budú publikované na MetaIS. Pri dokumentácii je zároveň potrebné aplikovať ustanovenia vyhlášky Úradu podpredsedu vlády Slovenskej republiky pre investície a informatizáciu č. 78/2020 Z.z. o štandardoch pre informačné technológie verejnej správy týkajúce sa URI.</t>
  </si>
  <si>
    <t>ID_122</t>
  </si>
  <si>
    <t>ID_123</t>
  </si>
  <si>
    <t>Registrácia datasetov v Národnom katalógu otvorených údajov</t>
  </si>
  <si>
    <t>Systém umožní registrácie datasetov v centrálnom katalógu otvorených údajov na data.gov.sk</t>
  </si>
  <si>
    <t>ID_124</t>
  </si>
  <si>
    <t>Dodržanie dátových štandardov</t>
  </si>
  <si>
    <t>Zabezpečenie technickej interoperability ISVS je zavedenie a používanie URI (Jednotného referencovateľného identifikátora) na všetky kľúčové entity informačných systémov verejnej správy v zmysle o vyhlášky MIRRI č. 78/2020 Z. z. o štandardoch pre informačné technológie verejnej správy</t>
  </si>
  <si>
    <t>ID_125</t>
  </si>
  <si>
    <t>Implementácia Dátového modelu</t>
  </si>
  <si>
    <t xml:space="preserve">Dodávateľ zabezpečí implementáciu dátového modelu - vytvorenie fyzickej dátovej štruktúry </t>
  </si>
  <si>
    <t>Analýza Dátového modelu</t>
  </si>
  <si>
    <t xml:space="preserve">Dodávateľ zabezpečí analýzu dátového modelu - vytvorenie fyzickej dátovej štruktúry </t>
  </si>
  <si>
    <t>Inštituciaonálna dátová kancelária</t>
  </si>
  <si>
    <t xml:space="preserve">Výstupom projektu bude metodický dokument, ktorý bude zameraný na zavedenie systematického manažmentu údajov. Tento praktický metodický dokument bude prispôsobený na mieru PPA s ohľadom na jeho veľkosť, charakter a kompetencie. Súčasťou výstupu bude vytvorenie špecifického modelu Dátovej kancelárie MF. Bude podporovaná a rozvíjaná inštitucionálna dátová kancelária. </t>
  </si>
  <si>
    <t>Vytvorenie modulu pre reporting</t>
  </si>
  <si>
    <t>Vytvorenie modulu ktorý bude umožnovať analýzu a vizualizáciu dát vo vopred špecifikovaných reportoch, alebo v reporte vytvoreným používateľom</t>
  </si>
  <si>
    <t>ID_129</t>
  </si>
  <si>
    <t>Rozvoj modulu pre Master Data Management (MDM)</t>
  </si>
  <si>
    <t>Rozvoj modulu, ktorý bude implementovať procesy Master Data Managementu (MDM) - správy dát</t>
  </si>
  <si>
    <t>Podpora REST a SOAP služieb</t>
  </si>
  <si>
    <t>Rezortná integračná platforma musí poskytovať jednotné rozhranie na integráciu medzi internými a externými systémami prostredníctvom štandardizovaných API (napr. REST, SOAP). Toto rozhranie musí umožňovať bezpečnú, škálovateľnú a spoľahlivú výmenu dát medzi všetkými prepojenými systémami</t>
  </si>
  <si>
    <t>ID_131</t>
  </si>
  <si>
    <t>Podpora viacvrstvovej architektúry</t>
  </si>
  <si>
    <t>Platforma musí podporovať viacvrstvovú architektúru pre aplikačné prostredie (vrstva dát, logická vrstva a prezentačná vrstva), aby sa zabezpečila modularita, flexibilita a jednoduchá údržba systémov</t>
  </si>
  <si>
    <t>ID_132</t>
  </si>
  <si>
    <t>Podpora transakcií s vysokou priepustnosťou</t>
  </si>
  <si>
    <t>Platforma musí zvládať spracovanie veľkého objemu transakcií, pričom musí byť navrhnutá tak, aby mohla v prípade potreby škálovať svoje kapacity pre dynamicky rastúci počet užívateľov a systémových požiadaviek</t>
  </si>
  <si>
    <t>ID_133</t>
  </si>
  <si>
    <t>Zabezpečenie kompatibility s existujúcimi systémami</t>
  </si>
  <si>
    <t>Platforma musí zabezpečiť plnú kompatibilitu s existujúcimi systémami Ministerstva, vrátane ich databáz, aplikačných logík a užívateľských rozhraní, bez potreby zásadných úprav týchto systémov</t>
  </si>
  <si>
    <t>ID_134</t>
  </si>
  <si>
    <t>Integrácia s externými poskytovateľmi služieb</t>
  </si>
  <si>
    <t>Platforma musí podporovať integráciu s externými poskytovateľmi služieb a dátových zdrojov prostredníctvom štandardných protokolov (napr. OAUTH2, SAML), čím umožní prepojenie so systémami tretích strán</t>
  </si>
  <si>
    <t>ID_135</t>
  </si>
  <si>
    <t>Auditing a logovanie všetkých transakcií</t>
  </si>
  <si>
    <t>Platforma musí umožňovať detailný záznam všetkých transakcií a aktivít v rámci integračných procesov. Tieto záznamy musia byť k dispozícii pre audity a monitorovanie bezpečnosti, s možnosťou dlhodobej archivácie</t>
  </si>
  <si>
    <t>ID_136</t>
  </si>
  <si>
    <t>ID_137</t>
  </si>
  <si>
    <t>ID_138</t>
  </si>
  <si>
    <t>ID_139</t>
  </si>
  <si>
    <t>Vytvorenie aplikačnej služby - Poskytnutie údajov pre  MOU </t>
  </si>
  <si>
    <t>ID_140</t>
  </si>
  <si>
    <t>Vytvorenie aplikačnej služby - Konzumácia údajov z CPDI </t>
  </si>
  <si>
    <t>ID_141</t>
  </si>
  <si>
    <t>ID_142</t>
  </si>
  <si>
    <t>Vytvorenie aplikačnej služby - Poskytnutie zmenových dávok MOU </t>
  </si>
  <si>
    <t>ID_143</t>
  </si>
  <si>
    <t>Vytvorenie aplikačnej služby - Poskytnutie notifikáicií pre MOU </t>
  </si>
  <si>
    <t>ID_144</t>
  </si>
  <si>
    <t>Rozšíriteľnosť a modularita</t>
  </si>
  <si>
    <t>Modul musí byť navrhnutý s podporou rozšíriteľnosti a modularity, aby bolo možné doň pridávať nové funkcie a schopnosti bez zásadných zmien v existujúcej infraštruktúre. Architektúra systému musí byť modulárna, aby bolo možné ľahko pridávať nové funkcie, ako sú nové typy údajov, formáty alebo rozšírené funkcie pre autentifikáciu a správu súhlasov.</t>
  </si>
  <si>
    <t>ID_145</t>
  </si>
  <si>
    <t>Informačné systémy musia byť schopné integrovať sa s centrálnym komponentom IS CPDI, aby umožnili komunikáciu a výmenu údajov medzi rôznymi systémami organizácií verejnej správy (OVM)</t>
  </si>
  <si>
    <t>ID_146</t>
  </si>
  <si>
    <t>Systém musí umožňovať konverziu údajov do formátu, ktorý je potrebný pre cieľové systémy.</t>
  </si>
  <si>
    <t>ID_147</t>
  </si>
  <si>
    <t>Orchestrácia procesov - systém musí riadiť tok údajov medzi jednotlivými systémami a zabezpečiť, že údaje sú doručené správnym spôsobom a v správnom čase.</t>
  </si>
  <si>
    <t>ID_148</t>
  </si>
  <si>
    <t>Synchronizácia údajov - systém musí pravidelne a automaticky synchronizovať údaje medzi lokálnymi kópiami a centrálnym IS CPDI.</t>
  </si>
  <si>
    <t>ID_149</t>
  </si>
  <si>
    <t>Systém musí zabezpečiť konzistenciu údajov medzi lokálnymi a centrálnymi zdrojmi údajov.</t>
  </si>
  <si>
    <t>ID_150</t>
  </si>
  <si>
    <t>Systém musí automaticky distribuovať aktualizované údaje do všetkých relevantných systémov a používateľov.</t>
  </si>
  <si>
    <t>ID_151</t>
  </si>
  <si>
    <t>Systém musí umožňovať správu štruktúrovaných (hierarchických) aj neštruktúrovaných údajov</t>
  </si>
  <si>
    <t>Systém musí poskytovať nástroje na sledovanie pracovných tokov a ich stavu v reálnom čase.</t>
  </si>
  <si>
    <t>Systém musí byť schopný detekovať chyby pri orchestrácii procesov a automaticky reagovať podľa vopred nastavených pravidiel.</t>
  </si>
  <si>
    <t>Systém musí uchovávať kompletné záznamy o priebehu všetkých procesov vrátane informácií o vykonaných úlohách, prenesených údajoch a reakciách na chyby</t>
  </si>
  <si>
    <t>Jednoduchosť používania</t>
  </si>
  <si>
    <t>Patforma musí zabezpečiť vysokú úroveň ochrany (osobných) údajov používateľov a ich bezpečný prenos.</t>
  </si>
  <si>
    <t>Centralizácia údajov - Údaje musia byť uložené na jednom centrálnom mieste, čo umožní jednoduchšiu správu a prístup k referenčným údajom</t>
  </si>
  <si>
    <t>Systém musí podporovať verzovanie číselníkov, aby bolo možné sledovať zmeny a používať konkrétne verzie.</t>
  </si>
  <si>
    <t>Systém musí podporovať verzovanie údajov, aby bolo možné sledovať zmeny a používať konkrétne verzie.</t>
  </si>
  <si>
    <t>Pred nasadením zmien musí systém umožňovať validáciu a schvaľovanie zmien oprávnenými osobami.</t>
  </si>
  <si>
    <t>Systém musí umožniť definovanie a konfiguráciu pracovných tokov pre výmenu údajov medzi systémami.</t>
  </si>
  <si>
    <t>Správa centrálnych číselníkov - Systém musí zabezpečiť centralizovanú správu číselníkov (napr. typy organizácií, kódy krajín, atď.) pre Ministerstvo financií SR.</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</si>
  <si>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</si>
  <si>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</si>
  <si>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</si>
  <si>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</si>
  <si>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</si>
  <si>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</si>
  <si>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</si>
  <si>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</si>
  <si>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</si>
  <si>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</si>
  <si>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</si>
  <si>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</si>
  <si>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</si>
  <si>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</si>
  <si>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</si>
  <si>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</si>
  <si>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</si>
  <si>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</si>
  <si>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</si>
  <si>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</si>
  <si>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</si>
  <si>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</si>
  <si>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</si>
  <si>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</si>
  <si>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</si>
  <si>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</si>
  <si>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</si>
  <si>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Občan</t>
  </si>
  <si>
    <t>Podnikateľ</t>
  </si>
  <si>
    <t>Interný zamestnanec</t>
  </si>
  <si>
    <t>Integrované systémy</t>
  </si>
  <si>
    <t>Používateľ x</t>
  </si>
  <si>
    <t>Typ používateľa</t>
  </si>
  <si>
    <t>Podnikateľ (G2B)</t>
  </si>
  <si>
    <t>Občan (G2C)</t>
  </si>
  <si>
    <t>Zamestnanec inštitúcie verejnej správy (G2E)</t>
  </si>
  <si>
    <t>Zložitosť</t>
  </si>
  <si>
    <t>Celkom</t>
  </si>
  <si>
    <t>Počet MDs Hlavné aktivity</t>
  </si>
  <si>
    <t>Počet MDs Podporné aktivity</t>
  </si>
  <si>
    <t>Fáza projektu</t>
  </si>
  <si>
    <t>% dotácia</t>
  </si>
  <si>
    <t>% dotácie / pomocne</t>
  </si>
  <si>
    <t>Počet MD</t>
  </si>
  <si>
    <t>Priemerná vážená sadzba</t>
  </si>
  <si>
    <t>Pozícia</t>
  </si>
  <si>
    <t>Pozicia Vyber</t>
  </si>
  <si>
    <t>ISCO pozícia</t>
  </si>
  <si>
    <t>ISCO kód</t>
  </si>
  <si>
    <t>% akivit</t>
  </si>
  <si>
    <t>Počet MDs</t>
  </si>
  <si>
    <t>MD Rate bez DPH</t>
  </si>
  <si>
    <t>Suma bez DPH</t>
  </si>
  <si>
    <t>Číselník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</si>
  <si>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</si>
  <si>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</si>
  <si>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 v projekte na HA</t>
  </si>
  <si>
    <t>V projekte</t>
  </si>
  <si>
    <t>% v projekte</t>
  </si>
  <si>
    <t>Súlad s max</t>
  </si>
  <si>
    <t>Analýza a dizajn</t>
  </si>
  <si>
    <t>IT architekt</t>
  </si>
  <si>
    <t>IT analytik</t>
  </si>
  <si>
    <t>IT tester</t>
  </si>
  <si>
    <t>Špecialista pre infraštruktúrny/HW špecialista</t>
  </si>
  <si>
    <t>IT programátor/vývojár</t>
  </si>
  <si>
    <t>Projektový manažér IT projektu</t>
  </si>
  <si>
    <t>Odborník pre IT dohľad/Quality Assurance</t>
  </si>
  <si>
    <t>Špecialista pre bezpečnosť IT</t>
  </si>
  <si>
    <t>Špecialista pre databázy</t>
  </si>
  <si>
    <t>Školiteľ pre IT systémy</t>
  </si>
  <si>
    <t>IT/IS konzultant (napr. SAP)</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</si>
  <si>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</si>
  <si>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</si>
  <si>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</si>
  <si>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</si>
  <si>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</si>
  <si>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</si>
  <si>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</si>
  <si>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</si>
  <si>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</si>
  <si>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Faza projektu</t>
  </si>
  <si>
    <t>Trvanie aktivity</t>
  </si>
  <si>
    <t>Počet FTE v aktivite</t>
  </si>
  <si>
    <t>Pocet MDs</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</si>
  <si>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</si>
  <si>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</si>
  <si>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</si>
  <si>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</si>
  <si>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</si>
  <si>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</si>
  <si>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</si>
  <si>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</si>
  <si>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</si>
  <si>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</si>
  <si>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</si>
  <si>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</si>
  <si>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</si>
  <si>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</si>
  <si>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</si>
  <si>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</si>
  <si>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</si>
  <si>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IT Architekt</t>
  </si>
  <si>
    <t>Hlavná</t>
  </si>
  <si>
    <t>IT Analytik</t>
  </si>
  <si>
    <t>Kľúčový používateľ</t>
  </si>
  <si>
    <t>Dátový špecialista</t>
  </si>
  <si>
    <t>Biznis vlastník</t>
  </si>
  <si>
    <t>Iná špecifická rola - Zodpovedná osoba (DPO)</t>
  </si>
  <si>
    <t>Dátový kurátor</t>
  </si>
  <si>
    <t>Iná špecifická rola - Dátový špecialista (Legislatíva)</t>
  </si>
  <si>
    <t>Špecialista na bezpečnosť</t>
  </si>
  <si>
    <t>Iná špecifická rola - Manažér kybernetickej a informačnej bezpečnosti</t>
  </si>
  <si>
    <t>Podporná</t>
  </si>
  <si>
    <t>Tester</t>
  </si>
  <si>
    <t>Manažér kvality</t>
  </si>
  <si>
    <t>Vlastník údajov</t>
  </si>
  <si>
    <t>Účtovník</t>
  </si>
  <si>
    <t>Biznis analytik</t>
  </si>
  <si>
    <t>Špecialista na publicitu</t>
  </si>
  <si>
    <t>Pracovník v administratíve</t>
  </si>
  <si>
    <t>Projektové riadenie</t>
  </si>
  <si>
    <t>Publicita a informovanosť</t>
  </si>
  <si>
    <t>INDIKATÍVNY ROZPOČET SPOLU</t>
  </si>
  <si>
    <t>MOD_#</t>
  </si>
  <si>
    <t>Modul</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</si>
  <si>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</si>
  <si>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</si>
  <si>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</si>
  <si>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</si>
  <si>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</si>
  <si>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</si>
  <si>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</si>
  <si>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</si>
  <si>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</si>
  <si>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</si>
  <si>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</si>
  <si>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</si>
  <si>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</si>
  <si>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</si>
  <si>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</si>
  <si>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</si>
  <si>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</si>
  <si>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</si>
  <si>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</si>
  <si>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</si>
  <si>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</si>
  <si>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</si>
  <si>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</si>
  <si>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</si>
  <si>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</si>
  <si>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</si>
  <si>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</si>
  <si>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</si>
  <si>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</si>
  <si>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</si>
  <si>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</si>
  <si>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</si>
  <si>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</si>
  <si>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</si>
  <si>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</si>
  <si>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</si>
  <si>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</si>
  <si>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</si>
  <si>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</si>
  <si>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</si>
  <si>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</si>
  <si>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</si>
  <si>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</si>
  <si>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</si>
  <si>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Manažér kybernetickej a informačnej bezpečnosti</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</si>
  <si>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</si>
  <si>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</si>
  <si>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</si>
  <si>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</si>
  <si>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</si>
  <si>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</si>
  <si>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</si>
  <si>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</si>
  <si>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</si>
  <si>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</si>
  <si>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 xml:space="preserve">Prieskum trhu - www.xxxx.sk </t>
  </si>
  <si>
    <t>Harmonogram v mesiacoch od spustenia</t>
  </si>
  <si>
    <t>INK START</t>
  </si>
  <si>
    <t>INK END</t>
  </si>
  <si>
    <t>Start</t>
  </si>
  <si>
    <t>Korigovaný štart</t>
  </si>
  <si>
    <t>Trvanie</t>
  </si>
  <si>
    <t>Dátovy inventár</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</si>
  <si>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</si>
  <si>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</si>
  <si>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</si>
  <si>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</si>
  <si>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</si>
  <si>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</si>
  <si>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</si>
  <si>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</si>
  <si>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</si>
  <si>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</si>
  <si>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</si>
  <si>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</si>
  <si>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</si>
  <si>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</si>
  <si>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</si>
  <si>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</si>
  <si>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</si>
  <si>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</si>
  <si>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</si>
  <si>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</si>
  <si>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</si>
  <si>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</si>
  <si>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</si>
  <si>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013 Softvér</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</si>
  <si>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</si>
  <si>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</si>
  <si>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</si>
  <si>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</si>
  <si>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</si>
  <si>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</si>
  <si>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518 Ostatné služby</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</si>
  <si>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</si>
  <si>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</si>
  <si>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</si>
  <si>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</si>
  <si>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</si>
  <si>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</si>
  <si>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</si>
  <si>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</si>
  <si>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</si>
  <si>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</si>
  <si>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</si>
  <si>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</si>
  <si>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</si>
  <si>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</si>
  <si>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Publicita,  informovanosť, ostatné výdavky</t>
  </si>
  <si>
    <t>637003/637004/...</t>
  </si>
  <si>
    <t>Technologické požiadavky</t>
  </si>
  <si>
    <t>Zmluvné poplatky</t>
  </si>
  <si>
    <t>Obstaranie</t>
  </si>
  <si>
    <t>Nákup, inštalácia a sprevádzkovanie HW 
vrátane systémového SW</t>
  </si>
  <si>
    <t>022 Samostatné hnuteľné veci a súbory hnuteľných vecí</t>
  </si>
  <si>
    <t>Nákup, inštalácia a sprevádzkovanie HW
 vrátane systémového SW</t>
  </si>
  <si>
    <t>112 Zásoby</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</si>
  <si>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</si>
  <si>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</si>
  <si>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</si>
  <si>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</si>
  <si>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</si>
  <si>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</si>
  <si>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</si>
  <si>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</si>
  <si>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</si>
  <si>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</si>
  <si>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</si>
  <si>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</si>
  <si>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- 2. Q./2024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</si>
  <si>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</si>
  <si>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</si>
  <si>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</si>
  <si>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</si>
  <si>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- 2. Q./2024 (obdobie aktualizovať k času predloženia dokumentu), podľa ŠÚ SR</t>
  </si>
  <si>
    <t>Fond pracovnej doby - VS (FPDvs)</t>
  </si>
  <si>
    <t xml:space="preserve">Rok 2024 má dokopy 251 pracovných dní, t.j. 1882,5 pracovných hodín. S platenými sviatkami má rok 261 pracovných dní, t.j. 1957.5 pracovných hodín. 7,5 hodinový pracovný čas (obdobie aktualizovať k času predloženia dokumentu), podľa https://calendar.zoznam.sk/worktime-sksk.php </t>
  </si>
  <si>
    <t>hod/rok</t>
  </si>
  <si>
    <t>Fond pracovnej doby - NH (FPDnh)</t>
  </si>
  <si>
    <t>Rok 2024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</si>
  <si>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</si>
  <si>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Subjekt / Objekt</t>
  </si>
  <si>
    <t>Aktivity</t>
  </si>
  <si>
    <t>Zahraničná osoba (G2A)</t>
  </si>
  <si>
    <t>Inštitúcia verejnej správy (G2G)</t>
  </si>
  <si>
    <t>ISVS verejnej správy (G2IS 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</si>
  <si>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</si>
  <si>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</si>
  <si>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</si>
  <si>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</si>
  <si>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</si>
  <si>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</si>
  <si>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</si>
  <si>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</si>
  <si>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</si>
  <si>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</si>
  <si>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</si>
  <si>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</si>
  <si>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</si>
  <si>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</si>
  <si>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</si>
  <si>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</si>
  <si>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</si>
  <si>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</si>
  <si>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</si>
  <si>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</si>
  <si>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</si>
  <si>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</si>
  <si>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</si>
  <si>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</si>
  <si>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</si>
  <si>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</si>
  <si>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</si>
  <si>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</si>
  <si>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</si>
  <si>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</si>
  <si>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</si>
  <si>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</si>
  <si>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</si>
  <si>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</si>
  <si>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</si>
  <si>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</si>
  <si>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</si>
  <si>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</si>
  <si>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</si>
  <si>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</si>
  <si>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</si>
  <si>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</si>
  <si>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</si>
  <si>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</si>
  <si>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</si>
  <si>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</si>
  <si>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</si>
  <si>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</si>
  <si>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</si>
  <si>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</si>
  <si>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</si>
  <si>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</si>
  <si>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</si>
  <si>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</si>
  <si>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</si>
  <si>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</si>
  <si>
    <t>Systém musí referencovať údaje voči údajom z cpdi pre ďalšie poskytovanie dát do MOÚ</t>
  </si>
  <si>
    <t>ID_19</t>
  </si>
  <si>
    <t>ID_63</t>
  </si>
  <si>
    <t>ID_64</t>
  </si>
  <si>
    <t>ID_82</t>
  </si>
  <si>
    <t>ID_86</t>
  </si>
  <si>
    <t>ID_87</t>
  </si>
  <si>
    <t>ID_90</t>
  </si>
  <si>
    <t>ID_95</t>
  </si>
  <si>
    <t>ID_109</t>
  </si>
  <si>
    <t>Rezortná platforma manažmentu údajov PPA</t>
  </si>
  <si>
    <t>Systém zabezpečí strojovo spracovateľné evidencie tak, že budú integrované s Rezortnou integračnou platformou PPA</t>
  </si>
  <si>
    <t>Vytvorenie služby (pre transfomáciu datasetu do zvoleného formátu RDF (podporované budú tieto formáty: RDF/XML, JSON-LD, TTL, pričom konzument si bude vedieť zvoliť želaný formát</t>
  </si>
  <si>
    <t>Realizuje sa transformácie obohateného dátového súboru v dátovej službe. Výstupom je súbor v štandarde RDF vo formáte JSON-LD.</t>
  </si>
  <si>
    <t>Kontrola transformovaného súboru, či spĺňa všetky požadované vlastnosti podľa definovaných kritérií</t>
  </si>
  <si>
    <t>Skupina vydavkov</t>
  </si>
  <si>
    <t>MRR</t>
  </si>
  <si>
    <t>VRR</t>
  </si>
  <si>
    <t>521 Mzdove vydavky</t>
  </si>
  <si>
    <t>Nakup HW a SW</t>
  </si>
  <si>
    <t>907 Pausal</t>
  </si>
  <si>
    <t>Čistenie údajov -  aktivita zameraná na úpravu hodnôt záznamov, alebo odstránenie duplicít (multiplicít) v zdrojových registroch (resp. databázach). Vyžaduje individuálne zásahy dodávateľa, tvorbu dodatočných analýz, alebo overovanie údajov.</t>
  </si>
  <si>
    <t>Pôdohospodárska platobná agentúra (PPA)</t>
  </si>
  <si>
    <t>Hraničná 12,</t>
  </si>
  <si>
    <t>815 26 Bratislava</t>
  </si>
  <si>
    <t>www.apa.sk</t>
  </si>
  <si>
    <t>Lepšie využívanie údajov PPA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</si>
</sst>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_);[Red]\(#,##0\ &quot;€&quot;\)"/>
    <numFmt numFmtId="164" formatCode="#,##0\ &quot;€&quot;;[Red]\-#,##0\ &quot;€&quot;"/>
    <numFmt numFmtId="165" formatCode="#,##0.00\ &quot;€&quot;;[Red]\-#,##0.00\ &quot;€&quot;"/>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0.0%"/>
    <numFmt numFmtId="171" formatCode="#,##0_ ;\-#,##0;\-;@"/>
    <numFmt numFmtId="172" formatCode="0.00;\-0.00;\-;@"/>
    <numFmt numFmtId="173" formatCode="#,##0\ &quot;€&quot;"/>
    <numFmt numFmtId="174" formatCode="#,##0.00\ &quot;€&quot;"/>
    <numFmt numFmtId="175" formatCode="#,##0.0\ &quot;€&quot;"/>
  </numFmts>
  <fonts count="107" x14ac:knownFonts="1">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color rgb="FF000000"/>
      <name val="Calibri Light"/>
      <family val="2"/>
      <charset val="238"/>
      <scheme val="major"/>
    </font>
    <font>
      <sz val="10"/>
      <color theme="1"/>
      <name val="Calibri Light"/>
      <family val="2"/>
      <charset val="238"/>
      <scheme val="major"/>
    </font>
    <font>
      <b/>
      <sz val="10"/>
      <name val="Calibri Light"/>
      <family val="2"/>
      <charset val="238"/>
      <scheme val="major"/>
    </font>
    <font>
      <sz val="11"/>
      <color theme="1"/>
      <name val="Calibri Light"/>
      <family val="2"/>
    </font>
    <font>
      <b/>
      <sz val="10"/>
      <name val="Calibri Light"/>
      <family val="2"/>
    </font>
    <font>
      <sz val="10"/>
      <color rgb="FF000000"/>
      <name val="Calibri Light"/>
      <family val="2"/>
    </font>
    <font>
      <sz val="10"/>
      <color theme="1"/>
      <name val="Calibri Light"/>
      <family val="2"/>
    </font>
    <font>
      <u/>
      <sz val="11"/>
      <color rgb="FF000000"/>
      <name val="Calibri Light"/>
      <family val="2"/>
    </font>
    <font>
      <sz val="11"/>
      <color rgb="FF000000"/>
      <name val="Calibri Light"/>
      <family val="2"/>
    </font>
    <font>
      <sz val="10"/>
      <name val="Calibri Light"/>
      <family val="2"/>
      <charset val="238"/>
      <scheme val="major"/>
    </font>
    <font>
      <sz val="11"/>
      <color rgb="FF000000"/>
      <name val="Calibri"/>
      <family val="2"/>
    </font>
    <font>
      <sz val="10"/>
      <name val="Calibri Light"/>
      <family val="2"/>
    </font>
    <font>
      <u/>
      <sz val="10"/>
      <color rgb="FF000000"/>
      <name val="Calibri Light"/>
      <family val="2"/>
      <scheme val="major"/>
    </font>
    <font>
      <sz val="12"/>
      <color rgb="FF000000"/>
      <name val="Calibri Light"/>
      <family val="2"/>
    </font>
    <font>
      <b/>
      <sz val="10"/>
      <color rgb="FF000000"/>
      <name val="Calibri"/>
      <family val="2"/>
    </font>
    <font>
      <sz val="11"/>
      <color rgb="FF000000"/>
      <name val="Calibri"/>
      <family val="2"/>
      <charset val="238"/>
    </font>
    <font>
      <sz val="10"/>
      <color rgb="FF000000"/>
      <name val="Calibri"/>
      <family val="2"/>
      <scheme val="minor"/>
    </font>
    <font>
      <sz val="10"/>
      <name val="Calibri Light"/>
      <family val="2"/>
      <charset val="238"/>
    </font>
    <font>
      <sz val="11"/>
      <color rgb="FF000000"/>
      <name val="Calibri"/>
      <family val="2"/>
      <charset val="238"/>
      <scheme val="minor"/>
    </font>
  </fonts>
  <fills count="42">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EF2CB"/>
        <bgColor rgb="FFFEF2CB"/>
      </patternFill>
    </fill>
    <fill>
      <patternFill patternType="solid">
        <fgColor rgb="FFFFF2CC"/>
        <bgColor rgb="FF000000"/>
      </patternFill>
    </fill>
    <fill>
      <patternFill patternType="solid">
        <fgColor rgb="FFFF0000"/>
        <bgColor indexed="64"/>
      </patternFill>
    </fill>
    <fill>
      <patternFill patternType="solid">
        <fgColor rgb="FFFFFFCC"/>
        <bgColor rgb="FF000000"/>
      </patternFill>
    </fill>
  </fills>
  <borders count="179">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A5A5A5"/>
      </left>
      <right style="thin">
        <color rgb="FFA5A5A5"/>
      </right>
      <top style="thin">
        <color rgb="FFA5A5A5"/>
      </top>
      <bottom style="thin">
        <color rgb="FFA5A5A5"/>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BFBFBF"/>
      </left>
      <right style="thin">
        <color rgb="FFBFBFBF"/>
      </right>
      <top style="thin">
        <color rgb="FFBFBFBF"/>
      </top>
      <bottom style="thin">
        <color rgb="FFBFBFBF"/>
      </bottom>
      <diagonal/>
    </border>
    <border>
      <left style="thin">
        <color rgb="FF808080"/>
      </left>
      <right style="thin">
        <color rgb="FF808080"/>
      </right>
      <top style="thin">
        <color rgb="FF808080"/>
      </top>
      <bottom style="thin">
        <color rgb="FF808080"/>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8" fontId="2" fillId="0" borderId="0" applyFont="0" applyFill="0" applyBorder="0" applyAlignment="0" applyProtection="0"/>
    <xf numFmtId="0" fontId="45" fillId="0" borderId="0" applyNumberFormat="0" applyFill="0" applyBorder="0" applyAlignment="0" applyProtection="0"/>
    <xf numFmtId="167"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167" fontId="2" fillId="0" borderId="0" applyFont="0" applyFill="0" applyBorder="0" applyAlignment="0" applyProtection="0"/>
    <xf numFmtId="167" fontId="2" fillId="0" borderId="0" applyFont="0" applyFill="0" applyBorder="0" applyAlignment="0" applyProtection="0"/>
  </cellStyleXfs>
  <cellXfs count="944">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70"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70"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71" fontId="0" fillId="0" borderId="14" xfId="5" applyNumberFormat="1" applyFont="1" applyBorder="1" applyAlignment="1" applyProtection="1">
      <alignment horizontal="center" vertical="center" wrapText="1"/>
    </xf>
    <xf numFmtId="171" fontId="0" fillId="0" borderId="23" xfId="5" applyNumberFormat="1" applyFont="1" applyBorder="1" applyAlignment="1" applyProtection="1">
      <alignment horizontal="center" vertical="center" wrapText="1"/>
    </xf>
    <xf numFmtId="171" fontId="0" fillId="0" borderId="13" xfId="5" applyNumberFormat="1" applyFont="1" applyBorder="1" applyAlignment="1" applyProtection="1">
      <alignment horizontal="center" vertical="center" wrapText="1"/>
    </xf>
    <xf numFmtId="171" fontId="13" fillId="5" borderId="78" xfId="5" applyNumberFormat="1" applyFont="1" applyFill="1" applyBorder="1" applyAlignment="1" applyProtection="1">
      <alignment horizontal="center" vertical="center" wrapText="1"/>
    </xf>
    <xf numFmtId="171" fontId="13" fillId="5" borderId="51" xfId="5" applyNumberFormat="1" applyFont="1" applyFill="1" applyBorder="1" applyAlignment="1" applyProtection="1">
      <alignment horizontal="center" vertical="center" wrapText="1"/>
    </xf>
    <xf numFmtId="171"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71" fontId="0" fillId="0" borderId="24" xfId="5" applyNumberFormat="1" applyFont="1" applyBorder="1" applyAlignment="1" applyProtection="1">
      <alignment horizontal="center" vertical="center" wrapText="1"/>
    </xf>
    <xf numFmtId="171" fontId="0" fillId="0" borderId="0" xfId="5" applyNumberFormat="1" applyFont="1" applyBorder="1" applyAlignment="1" applyProtection="1">
      <alignment horizontal="center" vertical="center" wrapText="1"/>
    </xf>
    <xf numFmtId="171" fontId="0" fillId="0" borderId="6" xfId="5" applyNumberFormat="1" applyFont="1" applyBorder="1" applyAlignment="1" applyProtection="1">
      <alignment horizontal="center" vertical="center" wrapText="1"/>
    </xf>
    <xf numFmtId="171"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71" fontId="0" fillId="0" borderId="15" xfId="5" applyNumberFormat="1" applyFont="1" applyBorder="1" applyAlignment="1" applyProtection="1">
      <alignment horizontal="center" vertical="center" wrapText="1"/>
    </xf>
    <xf numFmtId="171" fontId="0" fillId="0" borderId="26" xfId="5" applyNumberFormat="1" applyFont="1" applyBorder="1" applyAlignment="1" applyProtection="1">
      <alignment horizontal="center" vertical="center" wrapText="1"/>
    </xf>
    <xf numFmtId="171" fontId="0" fillId="0" borderId="5" xfId="5" applyNumberFormat="1" applyFont="1" applyBorder="1" applyAlignment="1" applyProtection="1">
      <alignment horizontal="center" vertical="center" wrapText="1"/>
    </xf>
    <xf numFmtId="171" fontId="42" fillId="18" borderId="52" xfId="5" applyNumberFormat="1" applyFont="1" applyFill="1" applyBorder="1" applyAlignment="1" applyProtection="1">
      <alignment horizontal="center" vertical="center" wrapText="1"/>
    </xf>
    <xf numFmtId="172" fontId="0" fillId="0" borderId="14" xfId="0" applyNumberFormat="1" applyBorder="1" applyAlignment="1">
      <alignment horizontal="center" vertical="center" wrapText="1"/>
    </xf>
    <xf numFmtId="172" fontId="0" fillId="0" borderId="23" xfId="0" applyNumberFormat="1" applyBorder="1" applyAlignment="1">
      <alignment horizontal="center" vertical="center" wrapText="1"/>
    </xf>
    <xf numFmtId="172" fontId="0" fillId="0" borderId="13" xfId="0" applyNumberFormat="1" applyBorder="1" applyAlignment="1">
      <alignment horizontal="center" vertical="center" wrapText="1"/>
    </xf>
    <xf numFmtId="172" fontId="42" fillId="18" borderId="51" xfId="3" applyNumberFormat="1" applyFont="1" applyFill="1" applyBorder="1" applyAlignment="1" applyProtection="1">
      <alignment horizontal="center" vertical="center" wrapText="1"/>
    </xf>
    <xf numFmtId="172" fontId="0" fillId="0" borderId="24" xfId="0" applyNumberFormat="1" applyBorder="1" applyAlignment="1">
      <alignment horizontal="center" vertical="center" wrapText="1"/>
    </xf>
    <xf numFmtId="172" fontId="0" fillId="0" borderId="0" xfId="0" applyNumberFormat="1" applyAlignment="1">
      <alignment horizontal="center" vertical="center" wrapText="1"/>
    </xf>
    <xf numFmtId="172" fontId="0" fillId="0" borderId="6" xfId="0" applyNumberFormat="1" applyBorder="1" applyAlignment="1">
      <alignment horizontal="center" vertical="center" wrapText="1"/>
    </xf>
    <xf numFmtId="172" fontId="42" fillId="18" borderId="17" xfId="3" applyNumberFormat="1" applyFont="1" applyFill="1" applyAlignment="1" applyProtection="1">
      <alignment horizontal="center" vertical="center" wrapText="1"/>
    </xf>
    <xf numFmtId="172" fontId="0" fillId="0" borderId="15" xfId="0" applyNumberFormat="1" applyBorder="1" applyAlignment="1">
      <alignment horizontal="center" vertical="center" wrapText="1"/>
    </xf>
    <xf numFmtId="172" fontId="0" fillId="0" borderId="26" xfId="0" applyNumberFormat="1" applyBorder="1" applyAlignment="1">
      <alignment horizontal="center" vertical="center" wrapText="1"/>
    </xf>
    <xf numFmtId="172" fontId="0" fillId="0" borderId="5" xfId="0" applyNumberFormat="1" applyBorder="1" applyAlignment="1">
      <alignment horizontal="center" vertical="center" wrapText="1"/>
    </xf>
    <xf numFmtId="172"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71" fontId="43" fillId="18" borderId="24" xfId="5" applyNumberFormat="1" applyFont="1" applyFill="1" applyBorder="1" applyAlignment="1" applyProtection="1">
      <alignment horizontal="center" vertical="center" wrapText="1"/>
    </xf>
    <xf numFmtId="171" fontId="43" fillId="18" borderId="0" xfId="5" applyNumberFormat="1" applyFont="1" applyFill="1" applyBorder="1" applyAlignment="1" applyProtection="1">
      <alignment horizontal="center" vertical="center" wrapText="1"/>
    </xf>
    <xf numFmtId="171" fontId="43" fillId="18" borderId="6" xfId="5" applyNumberFormat="1" applyFont="1" applyFill="1" applyBorder="1" applyAlignment="1" applyProtection="1">
      <alignment horizontal="center" vertical="center" wrapText="1"/>
    </xf>
    <xf numFmtId="171" fontId="42" fillId="21" borderId="117" xfId="5" applyNumberFormat="1" applyFont="1" applyFill="1" applyBorder="1" applyAlignment="1" applyProtection="1">
      <alignment horizontal="center" vertical="center" wrapText="1"/>
    </xf>
    <xf numFmtId="171" fontId="42" fillId="21" borderId="118" xfId="5" applyNumberFormat="1" applyFont="1" applyFill="1" applyBorder="1" applyAlignment="1" applyProtection="1">
      <alignment horizontal="center" vertical="center" wrapText="1"/>
    </xf>
    <xf numFmtId="171"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71" fontId="42" fillId="21" borderId="40" xfId="5" applyNumberFormat="1" applyFont="1" applyFill="1" applyBorder="1" applyAlignment="1" applyProtection="1">
      <alignment horizontal="center" vertical="center" wrapText="1"/>
    </xf>
    <xf numFmtId="171"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71" fontId="43" fillId="18" borderId="15" xfId="5" applyNumberFormat="1" applyFont="1" applyFill="1" applyBorder="1" applyAlignment="1" applyProtection="1">
      <alignment horizontal="center" vertical="center" wrapText="1"/>
    </xf>
    <xf numFmtId="171" fontId="43" fillId="18" borderId="26" xfId="5" applyNumberFormat="1" applyFont="1" applyFill="1" applyBorder="1" applyAlignment="1" applyProtection="1">
      <alignment horizontal="center" vertical="center" wrapText="1"/>
    </xf>
    <xf numFmtId="171" fontId="43" fillId="18" borderId="5" xfId="5" applyNumberFormat="1" applyFont="1" applyFill="1" applyBorder="1" applyAlignment="1" applyProtection="1">
      <alignment horizontal="center" vertical="center" wrapText="1"/>
    </xf>
    <xf numFmtId="171" fontId="42" fillId="21" borderId="79" xfId="5" applyNumberFormat="1" applyFont="1" applyFill="1" applyBorder="1" applyAlignment="1" applyProtection="1">
      <alignment horizontal="center" vertical="center" wrapText="1"/>
    </xf>
    <xf numFmtId="171" fontId="42" fillId="21" borderId="52" xfId="5" applyNumberFormat="1" applyFont="1" applyFill="1" applyBorder="1" applyAlignment="1" applyProtection="1">
      <alignment horizontal="center" vertical="center" wrapText="1"/>
    </xf>
    <xf numFmtId="171" fontId="42" fillId="21" borderId="78" xfId="5" applyNumberFormat="1" applyFont="1" applyFill="1" applyBorder="1" applyAlignment="1" applyProtection="1">
      <alignment horizontal="center" vertical="center" wrapText="1"/>
    </xf>
    <xf numFmtId="171" fontId="42" fillId="21" borderId="51" xfId="5" applyNumberFormat="1" applyFont="1" applyFill="1" applyBorder="1" applyAlignment="1" applyProtection="1">
      <alignment horizontal="center" vertical="center" wrapText="1"/>
    </xf>
    <xf numFmtId="172" fontId="42" fillId="21" borderId="78" xfId="5" applyNumberFormat="1" applyFont="1" applyFill="1" applyBorder="1" applyAlignment="1" applyProtection="1">
      <alignment horizontal="center" vertical="center" wrapText="1"/>
    </xf>
    <xf numFmtId="172" fontId="42" fillId="21" borderId="51" xfId="5" applyNumberFormat="1" applyFont="1" applyFill="1" applyBorder="1" applyAlignment="1" applyProtection="1">
      <alignment horizontal="center" vertical="center" wrapText="1"/>
    </xf>
    <xf numFmtId="172" fontId="42" fillId="18" borderId="51" xfId="5" applyNumberFormat="1" applyFont="1" applyFill="1" applyBorder="1" applyAlignment="1" applyProtection="1">
      <alignment horizontal="center" vertical="center" wrapText="1"/>
    </xf>
    <xf numFmtId="172" fontId="42" fillId="21" borderId="40" xfId="5" applyNumberFormat="1" applyFont="1" applyFill="1" applyBorder="1" applyAlignment="1" applyProtection="1">
      <alignment horizontal="center" vertical="center" wrapText="1"/>
    </xf>
    <xf numFmtId="172" fontId="42" fillId="21" borderId="17" xfId="5" applyNumberFormat="1" applyFont="1" applyFill="1" applyBorder="1" applyAlignment="1" applyProtection="1">
      <alignment horizontal="center" vertical="center" wrapText="1"/>
    </xf>
    <xf numFmtId="172" fontId="42" fillId="18" borderId="17" xfId="5" applyNumberFormat="1" applyFont="1" applyFill="1" applyBorder="1" applyAlignment="1" applyProtection="1">
      <alignment horizontal="center" vertical="center" wrapText="1"/>
    </xf>
    <xf numFmtId="172" fontId="42" fillId="21" borderId="79" xfId="5" applyNumberFormat="1" applyFont="1" applyFill="1" applyBorder="1" applyAlignment="1" applyProtection="1">
      <alignment horizontal="center" vertical="center" wrapText="1"/>
    </xf>
    <xf numFmtId="172" fontId="42" fillId="21" borderId="52" xfId="5" applyNumberFormat="1" applyFont="1" applyFill="1" applyBorder="1" applyAlignment="1" applyProtection="1">
      <alignment horizontal="center" vertical="center" wrapText="1"/>
    </xf>
    <xf numFmtId="172"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9" fontId="50" fillId="22" borderId="100" xfId="5" applyNumberFormat="1" applyFont="1" applyFill="1" applyBorder="1" applyAlignment="1">
      <alignment horizontal="right" vertical="top" wrapText="1"/>
    </xf>
    <xf numFmtId="169" fontId="50" fillId="22" borderId="101" xfId="5" applyNumberFormat="1" applyFont="1" applyFill="1" applyBorder="1" applyAlignment="1">
      <alignment horizontal="right" vertical="top" wrapText="1"/>
    </xf>
    <xf numFmtId="169" fontId="50" fillId="22" borderId="102" xfId="5" applyNumberFormat="1" applyFont="1" applyFill="1" applyBorder="1" applyAlignment="1">
      <alignment horizontal="right" vertical="top" wrapText="1"/>
    </xf>
    <xf numFmtId="169" fontId="50" fillId="22" borderId="46" xfId="5" applyNumberFormat="1" applyFont="1" applyFill="1" applyBorder="1" applyAlignment="1">
      <alignment horizontal="right" vertical="top" wrapText="1"/>
    </xf>
    <xf numFmtId="169"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164"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3" fillId="0" borderId="131" xfId="8" applyFont="1" applyBorder="1" applyAlignment="1">
      <alignment horizontal="left" vertical="center" wrapText="1"/>
    </xf>
    <xf numFmtId="0" fontId="62" fillId="0" borderId="131" xfId="8" applyFont="1" applyBorder="1" applyAlignment="1">
      <alignment horizontal="left" vertical="center" wrapText="1"/>
    </xf>
    <xf numFmtId="0" fontId="63" fillId="26" borderId="131" xfId="8" applyFont="1" applyFill="1" applyBorder="1" applyAlignment="1">
      <alignment horizontal="lef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4" fontId="62" fillId="26" borderId="130" xfId="8" applyNumberFormat="1" applyFont="1" applyFill="1" applyBorder="1"/>
    <xf numFmtId="174"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69" fillId="26" borderId="130" xfId="8" applyFont="1" applyFill="1" applyBorder="1" applyAlignment="1">
      <alignment vertical="top"/>
    </xf>
    <xf numFmtId="0" fontId="69" fillId="26" borderId="130" xfId="8" applyFont="1" applyFill="1" applyBorder="1" applyAlignment="1">
      <alignment horizontal="center" vertical="top"/>
    </xf>
    <xf numFmtId="0" fontId="69"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68"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167"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166" fontId="59" fillId="31" borderId="0" xfId="0" applyNumberFormat="1" applyFont="1" applyFill="1"/>
    <xf numFmtId="167" fontId="59" fillId="0" borderId="0" xfId="0" applyNumberFormat="1" applyFont="1"/>
    <xf numFmtId="171" fontId="0" fillId="0" borderId="14" xfId="0" applyNumberFormat="1" applyBorder="1" applyAlignment="1">
      <alignment horizontal="center" vertical="center" wrapText="1"/>
    </xf>
    <xf numFmtId="171" fontId="0" fillId="0" borderId="23" xfId="0" applyNumberFormat="1" applyBorder="1" applyAlignment="1">
      <alignment horizontal="center" vertical="center" wrapText="1"/>
    </xf>
    <xf numFmtId="171" fontId="0" fillId="0" borderId="24" xfId="0" applyNumberFormat="1" applyBorder="1" applyAlignment="1">
      <alignment horizontal="center" vertical="center" wrapText="1"/>
    </xf>
    <xf numFmtId="171" fontId="0" fillId="0" borderId="0" xfId="0" applyNumberFormat="1" applyAlignment="1">
      <alignment horizontal="center" vertical="center" wrapText="1"/>
    </xf>
    <xf numFmtId="171" fontId="0" fillId="0" borderId="15" xfId="0" applyNumberFormat="1" applyBorder="1" applyAlignment="1">
      <alignment horizontal="center" vertical="center" wrapText="1"/>
    </xf>
    <xf numFmtId="171"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166" fontId="8" fillId="17" borderId="130" xfId="5" applyNumberFormat="1" applyFont="1" applyFill="1" applyBorder="1" applyProtection="1"/>
    <xf numFmtId="0" fontId="8" fillId="0" borderId="130" xfId="0" applyFont="1" applyBorder="1"/>
    <xf numFmtId="0" fontId="8" fillId="20" borderId="130" xfId="0" applyFont="1" applyFill="1" applyBorder="1"/>
    <xf numFmtId="166" fontId="43" fillId="20" borderId="130" xfId="5" applyNumberFormat="1" applyFont="1" applyFill="1" applyBorder="1" applyProtection="1"/>
    <xf numFmtId="0" fontId="8" fillId="19" borderId="130" xfId="0" applyFont="1" applyFill="1" applyBorder="1"/>
    <xf numFmtId="0" fontId="0" fillId="19" borderId="130" xfId="0" applyFill="1" applyBorder="1"/>
    <xf numFmtId="166" fontId="47" fillId="20" borderId="130" xfId="5" applyNumberFormat="1" applyFont="1" applyFill="1" applyBorder="1" applyProtection="1"/>
    <xf numFmtId="166" fontId="46" fillId="17" borderId="130" xfId="5" applyNumberFormat="1" applyFont="1" applyFill="1" applyBorder="1" applyProtection="1"/>
    <xf numFmtId="166" fontId="29" fillId="0" borderId="130" xfId="5" applyNumberFormat="1" applyFont="1" applyFill="1" applyBorder="1" applyProtection="1"/>
    <xf numFmtId="166" fontId="47" fillId="0" borderId="130" xfId="5" applyNumberFormat="1" applyFont="1" applyFill="1" applyBorder="1" applyProtection="1"/>
    <xf numFmtId="0" fontId="0" fillId="0" borderId="130" xfId="0" applyBorder="1"/>
    <xf numFmtId="166"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9" fontId="29" fillId="0" borderId="130" xfId="5" applyNumberFormat="1" applyFont="1" applyFill="1" applyBorder="1" applyProtection="1"/>
    <xf numFmtId="169" fontId="47" fillId="0" borderId="130" xfId="5" applyNumberFormat="1" applyFont="1" applyFill="1" applyBorder="1" applyProtection="1"/>
    <xf numFmtId="166" fontId="47" fillId="18" borderId="130" xfId="5" applyNumberFormat="1" applyFont="1" applyFill="1" applyBorder="1" applyProtection="1"/>
    <xf numFmtId="166" fontId="47" fillId="18" borderId="130" xfId="5" applyNumberFormat="1" applyFont="1" applyFill="1" applyBorder="1" applyAlignment="1" applyProtection="1">
      <alignment horizontal="left"/>
    </xf>
    <xf numFmtId="166" fontId="47" fillId="26" borderId="130" xfId="5" applyNumberFormat="1" applyFont="1" applyFill="1" applyBorder="1" applyProtection="1"/>
    <xf numFmtId="166" fontId="47" fillId="26" borderId="130" xfId="5" applyNumberFormat="1" applyFont="1" applyFill="1" applyBorder="1" applyAlignment="1" applyProtection="1">
      <alignment horizontal="center"/>
    </xf>
    <xf numFmtId="166" fontId="47" fillId="24" borderId="130" xfId="5" applyNumberFormat="1" applyFont="1" applyFill="1" applyBorder="1" applyAlignment="1" applyProtection="1">
      <alignment horizontal="left"/>
    </xf>
    <xf numFmtId="166"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68" fillId="26" borderId="130" xfId="8" applyFont="1" applyFill="1" applyBorder="1" applyAlignment="1">
      <alignment horizontal="center" vertical="center"/>
    </xf>
    <xf numFmtId="1" fontId="54" fillId="22" borderId="130" xfId="0" applyNumberFormat="1" applyFont="1" applyFill="1" applyBorder="1"/>
    <xf numFmtId="166" fontId="54" fillId="22" borderId="130" xfId="0" applyNumberFormat="1" applyFont="1" applyFill="1" applyBorder="1" applyAlignment="1">
      <alignment horizontal="center"/>
    </xf>
    <xf numFmtId="166" fontId="54" fillId="22" borderId="130" xfId="0" applyNumberFormat="1" applyFont="1" applyFill="1" applyBorder="1"/>
    <xf numFmtId="1" fontId="55" fillId="32" borderId="130" xfId="0" applyNumberFormat="1" applyFont="1" applyFill="1" applyBorder="1" applyAlignment="1">
      <alignment horizontal="center" vertical="center"/>
    </xf>
    <xf numFmtId="173"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73"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73"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73" fontId="62" fillId="22" borderId="131" xfId="10" applyNumberFormat="1" applyFont="1" applyFill="1" applyBorder="1" applyAlignment="1">
      <alignment vertical="center" wrapText="1"/>
    </xf>
    <xf numFmtId="1" fontId="59" fillId="0" borderId="0" xfId="0" applyNumberFormat="1" applyFont="1"/>
    <xf numFmtId="173" fontId="54" fillId="22" borderId="130" xfId="0" applyNumberFormat="1" applyFont="1" applyFill="1" applyBorder="1" applyAlignment="1">
      <alignment horizontal="center" vertical="center"/>
    </xf>
    <xf numFmtId="166" fontId="60" fillId="22" borderId="130" xfId="0" applyNumberFormat="1" applyFont="1" applyFill="1" applyBorder="1" applyAlignment="1">
      <alignment horizontal="center" vertical="center"/>
    </xf>
    <xf numFmtId="173" fontId="62" fillId="22" borderId="131" xfId="10" applyNumberFormat="1" applyFont="1" applyFill="1" applyBorder="1" applyAlignment="1" applyProtection="1">
      <alignment vertical="center" wrapText="1"/>
      <protection locked="0"/>
    </xf>
    <xf numFmtId="166" fontId="54" fillId="0" borderId="0" xfId="0" applyNumberFormat="1" applyFont="1"/>
    <xf numFmtId="1" fontId="62" fillId="26" borderId="130" xfId="8" applyNumberFormat="1" applyFont="1" applyFill="1" applyBorder="1"/>
    <xf numFmtId="1" fontId="66" fillId="22" borderId="0" xfId="8" applyNumberFormat="1" applyFont="1" applyFill="1"/>
    <xf numFmtId="0" fontId="74" fillId="0" borderId="0" xfId="0" applyFont="1" applyAlignment="1">
      <alignment wrapText="1"/>
    </xf>
    <xf numFmtId="0" fontId="73" fillId="33" borderId="135" xfId="0" applyFont="1" applyFill="1" applyBorder="1" applyAlignment="1">
      <alignment horizontal="center" vertical="center" wrapText="1"/>
    </xf>
    <xf numFmtId="0" fontId="73" fillId="33" borderId="135" xfId="0" applyFont="1" applyFill="1" applyBorder="1" applyAlignment="1">
      <alignment wrapText="1"/>
    </xf>
    <xf numFmtId="0" fontId="74" fillId="10" borderId="135" xfId="0" applyFont="1" applyFill="1" applyBorder="1"/>
    <xf numFmtId="166" fontId="74" fillId="22" borderId="135" xfId="0" applyNumberFormat="1" applyFont="1" applyFill="1" applyBorder="1"/>
    <xf numFmtId="9" fontId="74" fillId="22" borderId="135" xfId="0" applyNumberFormat="1" applyFont="1" applyFill="1" applyBorder="1"/>
    <xf numFmtId="173" fontId="74" fillId="22" borderId="135" xfId="0" applyNumberFormat="1" applyFont="1" applyFill="1" applyBorder="1"/>
    <xf numFmtId="0" fontId="74" fillId="0" borderId="0" xfId="0" applyFont="1"/>
    <xf numFmtId="173" fontId="74" fillId="10" borderId="135" xfId="0" applyNumberFormat="1" applyFont="1" applyFill="1" applyBorder="1" applyAlignment="1">
      <alignment vertical="center"/>
    </xf>
    <xf numFmtId="166" fontId="74" fillId="0" borderId="135" xfId="0" applyNumberFormat="1" applyFont="1" applyBorder="1"/>
    <xf numFmtId="0" fontId="74" fillId="0" borderId="135" xfId="0" applyFont="1" applyBorder="1"/>
    <xf numFmtId="0" fontId="75" fillId="15" borderId="22" xfId="0" applyFont="1" applyFill="1" applyBorder="1"/>
    <xf numFmtId="0" fontId="76" fillId="19" borderId="104" xfId="6" applyFont="1" applyFill="1" applyBorder="1" applyAlignment="1">
      <alignment vertical="center"/>
    </xf>
    <xf numFmtId="0" fontId="76"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0" fillId="26" borderId="130" xfId="0" applyFill="1" applyBorder="1"/>
    <xf numFmtId="171" fontId="13" fillId="26" borderId="78" xfId="5" applyNumberFormat="1" applyFont="1" applyFill="1" applyBorder="1" applyAlignment="1" applyProtection="1">
      <alignment horizontal="center" vertical="center" wrapText="1"/>
    </xf>
    <xf numFmtId="171" fontId="13" fillId="26" borderId="51" xfId="5" applyNumberFormat="1" applyFont="1" applyFill="1" applyBorder="1" applyAlignment="1" applyProtection="1">
      <alignment horizontal="center" vertical="center" wrapText="1"/>
    </xf>
    <xf numFmtId="171" fontId="13" fillId="26" borderId="40" xfId="5" applyNumberFormat="1" applyFont="1" applyFill="1" applyBorder="1" applyAlignment="1" applyProtection="1">
      <alignment horizontal="center" vertical="center" wrapText="1"/>
    </xf>
    <xf numFmtId="171" fontId="13" fillId="26" borderId="17" xfId="5" applyNumberFormat="1" applyFont="1" applyFill="1" applyBorder="1" applyAlignment="1" applyProtection="1">
      <alignment horizontal="center" vertical="center" wrapText="1"/>
    </xf>
    <xf numFmtId="171" fontId="13" fillId="26" borderId="79" xfId="5" applyNumberFormat="1" applyFont="1" applyFill="1" applyBorder="1" applyAlignment="1" applyProtection="1">
      <alignment horizontal="center" vertical="center" wrapText="1"/>
    </xf>
    <xf numFmtId="171" fontId="13" fillId="26" borderId="52" xfId="5" applyNumberFormat="1" applyFont="1" applyFill="1" applyBorder="1" applyAlignment="1" applyProtection="1">
      <alignment horizontal="center" vertical="center" wrapText="1"/>
    </xf>
    <xf numFmtId="172" fontId="13" fillId="26" borderId="78" xfId="3" applyNumberFormat="1" applyFont="1" applyFill="1" applyBorder="1" applyAlignment="1" applyProtection="1">
      <alignment horizontal="center" vertical="center" wrapText="1"/>
    </xf>
    <xf numFmtId="172" fontId="13" fillId="26" borderId="51" xfId="3" applyNumberFormat="1" applyFont="1" applyFill="1" applyBorder="1" applyAlignment="1" applyProtection="1">
      <alignment horizontal="center" vertical="center" wrapText="1"/>
    </xf>
    <xf numFmtId="172" fontId="13" fillId="26" borderId="40" xfId="3" applyNumberFormat="1" applyFont="1" applyFill="1" applyBorder="1" applyAlignment="1" applyProtection="1">
      <alignment horizontal="center" vertical="center" wrapText="1"/>
    </xf>
    <xf numFmtId="172" fontId="13" fillId="26" borderId="17" xfId="3" applyNumberFormat="1" applyFont="1" applyFill="1" applyAlignment="1" applyProtection="1">
      <alignment horizontal="center" vertical="center" wrapText="1"/>
    </xf>
    <xf numFmtId="172" fontId="13" fillId="26" borderId="79" xfId="3" applyNumberFormat="1" applyFont="1" applyFill="1" applyBorder="1" applyAlignment="1" applyProtection="1">
      <alignment horizontal="center" vertical="center" wrapText="1"/>
    </xf>
    <xf numFmtId="172"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73"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165"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167" fontId="54" fillId="26" borderId="130" xfId="7" applyFont="1" applyFill="1" applyBorder="1" applyAlignment="1">
      <alignment horizontal="center" vertical="center"/>
    </xf>
    <xf numFmtId="167"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79" fillId="19" borderId="22" xfId="6" applyFont="1" applyFill="1" applyBorder="1" applyAlignment="1">
      <alignment vertical="center"/>
    </xf>
    <xf numFmtId="175"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5"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166" fontId="54" fillId="0" borderId="130" xfId="0" applyNumberFormat="1" applyFont="1" applyBorder="1" applyAlignment="1">
      <alignment horizontal="center"/>
    </xf>
    <xf numFmtId="0" fontId="61" fillId="30" borderId="130" xfId="8" applyFill="1" applyBorder="1" applyAlignment="1">
      <alignment horizontal="center" vertical="center"/>
    </xf>
    <xf numFmtId="0" fontId="69" fillId="30" borderId="130" xfId="8" applyFont="1" applyFill="1" applyBorder="1" applyAlignment="1">
      <alignment horizontal="left" vertical="center" wrapText="1"/>
    </xf>
    <xf numFmtId="0" fontId="69" fillId="13" borderId="130" xfId="8" applyFont="1" applyFill="1" applyBorder="1" applyAlignment="1">
      <alignment horizontal="center" vertical="center"/>
    </xf>
    <xf numFmtId="0" fontId="70" fillId="26" borderId="130" xfId="8" applyFont="1" applyFill="1" applyBorder="1" applyAlignment="1">
      <alignment horizontal="center" vertical="center"/>
    </xf>
    <xf numFmtId="0" fontId="70"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69" fillId="30" borderId="130" xfId="8" applyFont="1" applyFill="1" applyBorder="1" applyAlignment="1">
      <alignment vertical="top" wrapText="1"/>
    </xf>
    <xf numFmtId="0" fontId="68" fillId="22" borderId="64" xfId="8" applyFont="1" applyFill="1" applyBorder="1"/>
    <xf numFmtId="0" fontId="68" fillId="22" borderId="0" xfId="8" applyFont="1" applyFill="1"/>
    <xf numFmtId="0" fontId="61" fillId="30" borderId="147" xfId="8" applyFill="1" applyBorder="1" applyAlignment="1">
      <alignment horizontal="center" vertical="center"/>
    </xf>
    <xf numFmtId="0" fontId="69" fillId="13" borderId="130" xfId="8" applyFont="1" applyFill="1" applyBorder="1" applyAlignment="1">
      <alignment horizontal="left" vertical="top" wrapText="1"/>
    </xf>
    <xf numFmtId="0" fontId="62" fillId="0" borderId="0" xfId="0" applyFont="1" applyAlignment="1">
      <alignment horizontal="left" vertical="top" wrapText="1"/>
    </xf>
    <xf numFmtId="0" fontId="68" fillId="30" borderId="143" xfId="8" applyFont="1" applyFill="1" applyBorder="1" applyAlignment="1">
      <alignment horizontal="left" vertical="top" wrapText="1"/>
    </xf>
    <xf numFmtId="0" fontId="68" fillId="30" borderId="139" xfId="8" applyFont="1" applyFill="1" applyBorder="1" applyAlignment="1">
      <alignment horizontal="left" vertical="top" wrapText="1"/>
    </xf>
    <xf numFmtId="0" fontId="68" fillId="30" borderId="143" xfId="8" applyFont="1" applyFill="1" applyBorder="1" applyAlignment="1">
      <alignment vertical="top" wrapText="1"/>
    </xf>
    <xf numFmtId="0" fontId="68" fillId="30" borderId="144" xfId="8" applyFont="1" applyFill="1" applyBorder="1" applyAlignment="1">
      <alignment vertical="top" wrapText="1"/>
    </xf>
    <xf numFmtId="0" fontId="68" fillId="0" borderId="0" xfId="8" applyFont="1"/>
    <xf numFmtId="9" fontId="74" fillId="15" borderId="135" xfId="0" applyNumberFormat="1" applyFont="1" applyFill="1" applyBorder="1"/>
    <xf numFmtId="2" fontId="54" fillId="26" borderId="130" xfId="0" applyNumberFormat="1" applyFont="1" applyFill="1" applyBorder="1"/>
    <xf numFmtId="173"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166" fontId="74" fillId="15" borderId="135" xfId="0" applyNumberFormat="1" applyFont="1" applyFill="1" applyBorder="1"/>
    <xf numFmtId="173" fontId="82" fillId="0" borderId="135" xfId="0" applyNumberFormat="1" applyFont="1" applyBorder="1"/>
    <xf numFmtId="0" fontId="62" fillId="0" borderId="0" xfId="10" applyFont="1" applyAlignment="1" applyProtection="1">
      <alignment vertical="center" wrapText="1"/>
      <protection locked="0"/>
    </xf>
    <xf numFmtId="0" fontId="83" fillId="0" borderId="0" xfId="0" applyFont="1"/>
    <xf numFmtId="0" fontId="83" fillId="0" borderId="0" xfId="0" applyFont="1" applyAlignment="1">
      <alignment vertical="center"/>
    </xf>
    <xf numFmtId="0" fontId="83" fillId="0" borderId="0" xfId="0" applyFont="1" applyAlignment="1">
      <alignment horizontal="left" vertical="center"/>
    </xf>
    <xf numFmtId="0" fontId="83" fillId="0" borderId="0" xfId="0" applyFont="1" applyAlignment="1">
      <alignment horizontal="right" vertical="center" wrapText="1"/>
    </xf>
    <xf numFmtId="0" fontId="83"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4"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73" fontId="62" fillId="22" borderId="131" xfId="10" applyNumberFormat="1" applyFont="1" applyFill="1" applyBorder="1" applyAlignment="1" applyProtection="1">
      <alignment horizontal="left" vertical="center"/>
      <protection locked="0"/>
    </xf>
    <xf numFmtId="0" fontId="84" fillId="0" borderId="0" xfId="0" applyFont="1"/>
    <xf numFmtId="0" fontId="87" fillId="0" borderId="0" xfId="0" applyFont="1"/>
    <xf numFmtId="173" fontId="74" fillId="10" borderId="135" xfId="0" applyNumberFormat="1" applyFont="1" applyFill="1" applyBorder="1" applyAlignment="1">
      <alignment horizontal="center" vertical="center"/>
    </xf>
    <xf numFmtId="173" fontId="74" fillId="10" borderId="151" xfId="0" applyNumberFormat="1" applyFont="1" applyFill="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3" fillId="33" borderId="136" xfId="0" applyFont="1" applyFill="1" applyBorder="1" applyAlignment="1">
      <alignment horizontal="center" wrapText="1"/>
    </xf>
    <xf numFmtId="0" fontId="54" fillId="31" borderId="0" xfId="0" applyFont="1" applyFill="1"/>
    <xf numFmtId="0" fontId="74" fillId="10" borderId="136" xfId="0" applyFont="1" applyFill="1" applyBorder="1"/>
    <xf numFmtId="173" fontId="74" fillId="10" borderId="135" xfId="0" applyNumberFormat="1" applyFont="1" applyFill="1" applyBorder="1" applyAlignment="1">
      <alignment horizontal="left" vertical="center"/>
    </xf>
    <xf numFmtId="0" fontId="89" fillId="0" borderId="131" xfId="0" applyFont="1" applyBorder="1" applyAlignment="1">
      <alignment horizontal="justify" vertical="center" wrapText="1"/>
    </xf>
    <xf numFmtId="0" fontId="55" fillId="12" borderId="0" xfId="0" applyFont="1" applyFill="1" applyAlignment="1">
      <alignment horizontal="left" vertical="center"/>
    </xf>
    <xf numFmtId="0" fontId="94" fillId="0" borderId="131" xfId="0" applyFont="1" applyBorder="1" applyAlignment="1">
      <alignment horizontal="justify" vertical="center" wrapText="1"/>
    </xf>
    <xf numFmtId="0" fontId="94" fillId="0" borderId="131" xfId="0" applyFont="1" applyBorder="1" applyAlignment="1">
      <alignment horizontal="left" vertical="top" wrapText="1"/>
    </xf>
    <xf numFmtId="0" fontId="90" fillId="30" borderId="131" xfId="0" applyFont="1" applyFill="1" applyBorder="1" applyAlignment="1" applyProtection="1">
      <alignment horizontal="justify" vertical="center" wrapText="1"/>
      <protection locked="0"/>
    </xf>
    <xf numFmtId="173" fontId="89" fillId="31" borderId="131" xfId="0" applyNumberFormat="1" applyFont="1" applyFill="1" applyBorder="1" applyAlignment="1">
      <alignment horizontal="right" vertical="center" wrapText="1"/>
    </xf>
    <xf numFmtId="3" fontId="89" fillId="22" borderId="131" xfId="0" applyNumberFormat="1" applyFont="1" applyFill="1" applyBorder="1" applyAlignment="1">
      <alignment horizontal="right" vertical="center" wrapText="1"/>
    </xf>
    <xf numFmtId="173" fontId="89" fillId="22" borderId="131" xfId="0" applyNumberFormat="1" applyFont="1" applyFill="1" applyBorder="1" applyAlignment="1">
      <alignment horizontal="right" vertical="center" wrapText="1"/>
    </xf>
    <xf numFmtId="0" fontId="90" fillId="30" borderId="167" xfId="0" applyFont="1" applyFill="1" applyBorder="1" applyAlignment="1" applyProtection="1">
      <alignment horizontal="justify" vertical="center" wrapText="1"/>
      <protection locked="0"/>
    </xf>
    <xf numFmtId="0" fontId="0" fillId="0" borderId="0" xfId="0" applyProtection="1">
      <protection locked="0"/>
    </xf>
    <xf numFmtId="0" fontId="88" fillId="0" borderId="131" xfId="0" applyFont="1" applyBorder="1" applyAlignment="1" applyProtection="1">
      <alignment horizontal="justify" vertical="center" wrapText="1"/>
      <protection locked="0"/>
    </xf>
    <xf numFmtId="0" fontId="89" fillId="0" borderId="131" xfId="0" applyFont="1" applyBorder="1" applyAlignment="1" applyProtection="1">
      <alignment horizontal="justify" vertical="center" wrapText="1"/>
      <protection locked="0"/>
    </xf>
    <xf numFmtId="0" fontId="94" fillId="0" borderId="131" xfId="0" applyFont="1" applyBorder="1" applyAlignment="1" applyProtection="1">
      <alignment horizontal="justify" vertical="center" wrapText="1"/>
      <protection locked="0"/>
    </xf>
    <xf numFmtId="173" fontId="0" fillId="0" borderId="0" xfId="0" applyNumberFormat="1" applyProtection="1">
      <protection locked="0"/>
    </xf>
    <xf numFmtId="0" fontId="91" fillId="0" borderId="0" xfId="0" applyFont="1" applyProtection="1">
      <protection locked="0"/>
    </xf>
    <xf numFmtId="0" fontId="92" fillId="30" borderId="131" xfId="0" applyFont="1" applyFill="1" applyBorder="1" applyAlignment="1" applyProtection="1">
      <alignment horizontal="justify" vertical="center" wrapText="1"/>
      <protection locked="0"/>
    </xf>
    <xf numFmtId="0" fontId="92" fillId="30" borderId="137" xfId="0" applyFont="1" applyFill="1" applyBorder="1" applyAlignment="1" applyProtection="1">
      <alignment horizontal="justify" vertical="center" wrapText="1"/>
      <protection locked="0"/>
    </xf>
    <xf numFmtId="0" fontId="92" fillId="30" borderId="170" xfId="0" applyFont="1" applyFill="1" applyBorder="1" applyAlignment="1" applyProtection="1">
      <alignment horizontal="justify" vertical="center" wrapText="1"/>
      <protection locked="0"/>
    </xf>
    <xf numFmtId="0" fontId="92" fillId="30" borderId="170" xfId="0" applyFont="1" applyFill="1" applyBorder="1" applyAlignment="1" applyProtection="1">
      <alignment horizontal="center" vertical="center" wrapText="1"/>
      <protection locked="0"/>
    </xf>
    <xf numFmtId="0" fontId="91" fillId="26" borderId="170" xfId="0" applyFont="1" applyFill="1" applyBorder="1" applyAlignment="1" applyProtection="1">
      <alignment horizontal="center" vertical="center"/>
      <protection locked="0"/>
    </xf>
    <xf numFmtId="10" fontId="0" fillId="0" borderId="0" xfId="0" applyNumberFormat="1" applyProtection="1">
      <protection locked="0"/>
    </xf>
    <xf numFmtId="173" fontId="91" fillId="22" borderId="170" xfId="0" applyNumberFormat="1" applyFont="1" applyFill="1" applyBorder="1" applyAlignment="1">
      <alignment vertical="center"/>
    </xf>
    <xf numFmtId="173" fontId="91" fillId="0" borderId="170" xfId="0" applyNumberFormat="1" applyFont="1" applyBorder="1" applyAlignment="1">
      <alignment vertical="center"/>
    </xf>
    <xf numFmtId="0" fontId="91" fillId="22" borderId="170" xfId="0" applyFont="1" applyFill="1" applyBorder="1" applyAlignment="1">
      <alignment horizontal="center" vertical="center"/>
    </xf>
    <xf numFmtId="173" fontId="91" fillId="0" borderId="0" xfId="0" applyNumberFormat="1" applyFont="1"/>
    <xf numFmtId="0" fontId="94" fillId="0" borderId="137" xfId="0" applyFont="1" applyBorder="1" applyAlignment="1">
      <alignment horizontal="left" vertical="center" wrapText="1"/>
    </xf>
    <xf numFmtId="0" fontId="94" fillId="0" borderId="170" xfId="0" applyFont="1" applyBorder="1" applyAlignment="1">
      <alignment horizontal="left" vertical="center" wrapText="1"/>
    </xf>
    <xf numFmtId="0" fontId="93" fillId="0" borderId="131" xfId="0" applyFont="1" applyBorder="1" applyAlignment="1">
      <alignment horizontal="left" vertical="top" wrapText="1"/>
    </xf>
    <xf numFmtId="0" fontId="91" fillId="0" borderId="170" xfId="0" applyFont="1" applyBorder="1" applyAlignment="1">
      <alignment horizontal="left" vertical="center"/>
    </xf>
    <xf numFmtId="0" fontId="91" fillId="0" borderId="171" xfId="0" applyFont="1" applyBorder="1" applyAlignment="1">
      <alignment vertical="center" wrapText="1"/>
    </xf>
    <xf numFmtId="0" fontId="91" fillId="0" borderId="171" xfId="0" applyFont="1" applyBorder="1"/>
    <xf numFmtId="0" fontId="96" fillId="0" borderId="171" xfId="0" applyFont="1" applyBorder="1" applyAlignment="1">
      <alignment vertical="center" wrapText="1"/>
    </xf>
    <xf numFmtId="0" fontId="91" fillId="0" borderId="0" xfId="0" applyFont="1" applyAlignment="1" applyProtection="1">
      <alignment horizontal="center"/>
      <protection locked="0"/>
    </xf>
    <xf numFmtId="0" fontId="97" fillId="26" borderId="131" xfId="8" applyFont="1" applyFill="1" applyBorder="1" applyAlignment="1">
      <alignment horizontal="left" vertical="center" wrapText="1"/>
    </xf>
    <xf numFmtId="0" fontId="97" fillId="26" borderId="172" xfId="8" applyFont="1" applyFill="1" applyBorder="1" applyAlignment="1">
      <alignment horizontal="left" vertical="center" wrapText="1"/>
    </xf>
    <xf numFmtId="0" fontId="97" fillId="38" borderId="131" xfId="0" applyFont="1" applyFill="1" applyBorder="1" applyAlignment="1">
      <alignment horizontal="left" vertical="center" wrapText="1"/>
    </xf>
    <xf numFmtId="0" fontId="62" fillId="26" borderId="131" xfId="8" applyFont="1" applyFill="1" applyBorder="1" applyAlignment="1">
      <alignment horizontal="left" vertical="center" wrapText="1"/>
    </xf>
    <xf numFmtId="0" fontId="62" fillId="38" borderId="172" xfId="0" applyFont="1" applyFill="1" applyBorder="1" applyAlignment="1">
      <alignment horizontal="left" vertical="center" wrapText="1"/>
    </xf>
    <xf numFmtId="0" fontId="97" fillId="26" borderId="131" xfId="9" applyFont="1" applyFill="1" applyBorder="1" applyAlignment="1" applyProtection="1">
      <alignment horizontal="left" vertical="center" wrapText="1"/>
    </xf>
    <xf numFmtId="0" fontId="63" fillId="26" borderId="172" xfId="8" applyFont="1" applyFill="1" applyBorder="1" applyAlignment="1">
      <alignment horizontal="left" vertical="center" wrapText="1"/>
    </xf>
    <xf numFmtId="0" fontId="62" fillId="26" borderId="172" xfId="8" applyFont="1" applyFill="1" applyBorder="1" applyAlignment="1">
      <alignment horizontal="left" vertical="center" wrapText="1"/>
    </xf>
    <xf numFmtId="0" fontId="89" fillId="26" borderId="172" xfId="8" applyFont="1" applyFill="1" applyBorder="1" applyAlignment="1">
      <alignment horizontal="left" vertical="center" wrapText="1"/>
    </xf>
    <xf numFmtId="0" fontId="62" fillId="0" borderId="0" xfId="8" applyFont="1" applyAlignment="1">
      <alignment horizontal="left" vertical="center" wrapText="1"/>
    </xf>
    <xf numFmtId="0" fontId="0" fillId="0" borderId="0" xfId="0" applyAlignment="1" applyProtection="1">
      <alignment wrapText="1"/>
      <protection locked="0"/>
    </xf>
    <xf numFmtId="0" fontId="0" fillId="0" borderId="0" xfId="0" pivotButton="1"/>
    <xf numFmtId="0" fontId="0" fillId="0" borderId="0" xfId="0" applyAlignment="1">
      <alignment horizontal="left" indent="1"/>
    </xf>
    <xf numFmtId="174" fontId="62" fillId="26" borderId="130" xfId="8" applyNumberFormat="1" applyFont="1" applyFill="1" applyBorder="1" applyAlignment="1">
      <alignment wrapText="1"/>
    </xf>
    <xf numFmtId="0" fontId="0" fillId="0" borderId="131" xfId="0" applyBorder="1" applyAlignment="1">
      <alignment horizontal="center" vertical="center"/>
    </xf>
    <xf numFmtId="173" fontId="75" fillId="22" borderId="131" xfId="0" applyNumberFormat="1" applyFont="1" applyFill="1" applyBorder="1"/>
    <xf numFmtId="3" fontId="0" fillId="22" borderId="131" xfId="0" applyNumberFormat="1" applyFill="1" applyBorder="1"/>
    <xf numFmtId="0" fontId="0" fillId="22" borderId="131" xfId="0" applyFill="1" applyBorder="1"/>
    <xf numFmtId="0" fontId="62" fillId="26" borderId="0" xfId="8" applyFont="1" applyFill="1" applyAlignment="1">
      <alignment horizontal="left" vertical="center" wrapText="1"/>
    </xf>
    <xf numFmtId="0" fontId="97" fillId="38" borderId="0" xfId="0" applyFont="1" applyFill="1" applyAlignment="1">
      <alignment horizontal="left" vertical="center" wrapText="1"/>
    </xf>
    <xf numFmtId="0" fontId="64" fillId="27" borderId="131" xfId="8" applyFont="1" applyFill="1" applyBorder="1" applyAlignment="1">
      <alignment horizontal="left" vertical="center" wrapText="1"/>
    </xf>
    <xf numFmtId="0" fontId="64" fillId="29" borderId="131" xfId="8" applyFont="1" applyFill="1" applyBorder="1" applyAlignment="1">
      <alignment horizontal="left" vertical="center" wrapText="1"/>
    </xf>
    <xf numFmtId="49" fontId="64" fillId="22" borderId="131" xfId="8" applyNumberFormat="1" applyFont="1" applyFill="1" applyBorder="1" applyAlignment="1">
      <alignment horizontal="left" vertical="center" wrapText="1"/>
    </xf>
    <xf numFmtId="0" fontId="64" fillId="22" borderId="131" xfId="8" applyFont="1" applyFill="1" applyBorder="1" applyAlignment="1">
      <alignment horizontal="left" vertical="center" wrapText="1"/>
    </xf>
    <xf numFmtId="0" fontId="64" fillId="28" borderId="131" xfId="8" applyFont="1" applyFill="1" applyBorder="1" applyAlignment="1">
      <alignment horizontal="left" vertical="center" wrapText="1"/>
    </xf>
    <xf numFmtId="0" fontId="64" fillId="26" borderId="131" xfId="8" applyFont="1" applyFill="1" applyBorder="1" applyAlignment="1">
      <alignment horizontal="left" vertical="center" wrapText="1"/>
    </xf>
    <xf numFmtId="0" fontId="66" fillId="0" borderId="0" xfId="8" applyFont="1" applyAlignment="1">
      <alignment horizontal="left" vertical="center" wrapText="1"/>
    </xf>
    <xf numFmtId="2" fontId="63" fillId="23" borderId="131" xfId="8" applyNumberFormat="1" applyFont="1" applyFill="1" applyBorder="1" applyAlignment="1">
      <alignment horizontal="left" vertical="center" wrapText="1"/>
    </xf>
    <xf numFmtId="2" fontId="63" fillId="0" borderId="131" xfId="8" applyNumberFormat="1" applyFont="1" applyBorder="1" applyAlignment="1">
      <alignment horizontal="left" vertical="center" wrapText="1"/>
    </xf>
    <xf numFmtId="0" fontId="63" fillId="0" borderId="136" xfId="8" applyFont="1" applyBorder="1" applyAlignment="1">
      <alignment horizontal="left" vertical="center" wrapText="1"/>
    </xf>
    <xf numFmtId="0" fontId="63" fillId="0" borderId="135" xfId="8" applyFont="1" applyBorder="1" applyAlignment="1">
      <alignment horizontal="left" vertical="center" wrapText="1"/>
    </xf>
    <xf numFmtId="0" fontId="63" fillId="0" borderId="0" xfId="8" applyFont="1" applyAlignment="1">
      <alignment horizontal="left" vertical="center" wrapText="1"/>
    </xf>
    <xf numFmtId="0" fontId="69" fillId="26" borderId="131" xfId="8" applyFont="1" applyFill="1" applyBorder="1" applyAlignment="1">
      <alignment horizontal="left" vertical="center" wrapText="1"/>
    </xf>
    <xf numFmtId="0" fontId="94" fillId="26" borderId="131" xfId="8" applyFont="1" applyFill="1" applyBorder="1" applyAlignment="1">
      <alignment horizontal="left" vertical="center" wrapText="1"/>
    </xf>
    <xf numFmtId="0" fontId="94" fillId="38" borderId="131" xfId="0" applyFont="1" applyFill="1" applyBorder="1" applyAlignment="1">
      <alignment horizontal="left" vertical="center" wrapText="1"/>
    </xf>
    <xf numFmtId="0" fontId="64" fillId="0" borderId="131" xfId="8" applyFont="1" applyBorder="1" applyAlignment="1">
      <alignment horizontal="left" vertical="center" wrapText="1"/>
    </xf>
    <xf numFmtId="0" fontId="63" fillId="0" borderId="134" xfId="8" applyFont="1" applyBorder="1" applyAlignment="1">
      <alignment horizontal="left" vertical="center" wrapText="1"/>
    </xf>
    <xf numFmtId="0" fontId="63" fillId="0" borderId="133" xfId="8" applyFont="1" applyBorder="1" applyAlignment="1">
      <alignment horizontal="left" vertical="center" wrapText="1"/>
    </xf>
    <xf numFmtId="0" fontId="99" fillId="38" borderId="131" xfId="0" applyFont="1" applyFill="1" applyBorder="1" applyAlignment="1">
      <alignment horizontal="left" vertical="center" wrapText="1"/>
    </xf>
    <xf numFmtId="0" fontId="63" fillId="38" borderId="131" xfId="0" applyFont="1" applyFill="1" applyBorder="1" applyAlignment="1">
      <alignment horizontal="left" vertical="center" wrapText="1"/>
    </xf>
    <xf numFmtId="0" fontId="63" fillId="34" borderId="0" xfId="8" applyFont="1" applyFill="1" applyAlignment="1">
      <alignment horizontal="left" vertical="center" wrapText="1"/>
    </xf>
    <xf numFmtId="0" fontId="63" fillId="40" borderId="0" xfId="8" applyFont="1" applyFill="1" applyAlignment="1">
      <alignment horizontal="left" vertical="center" wrapText="1"/>
    </xf>
    <xf numFmtId="0" fontId="62" fillId="0" borderId="132" xfId="8" applyFont="1" applyBorder="1" applyAlignment="1">
      <alignment horizontal="left" vertical="center" wrapText="1"/>
    </xf>
    <xf numFmtId="0" fontId="63" fillId="19" borderId="131" xfId="8" applyFont="1" applyFill="1" applyBorder="1" applyAlignment="1">
      <alignment horizontal="left" vertical="center" wrapText="1"/>
    </xf>
    <xf numFmtId="0" fontId="93" fillId="26" borderId="131" xfId="8" applyFont="1" applyFill="1" applyBorder="1" applyAlignment="1">
      <alignment horizontal="left" vertical="center" wrapText="1"/>
    </xf>
    <xf numFmtId="2" fontId="62" fillId="0" borderId="0" xfId="8" applyNumberFormat="1" applyFont="1" applyAlignment="1">
      <alignment horizontal="left" vertical="center" wrapText="1"/>
    </xf>
    <xf numFmtId="0" fontId="63" fillId="39" borderId="173" xfId="0" applyFont="1" applyFill="1" applyBorder="1" applyAlignment="1">
      <alignment horizontal="left" vertical="center" wrapText="1"/>
    </xf>
    <xf numFmtId="0" fontId="99" fillId="39" borderId="176" xfId="0" applyFont="1" applyFill="1" applyBorder="1" applyAlignment="1">
      <alignment horizontal="left" vertical="center" wrapText="1"/>
    </xf>
    <xf numFmtId="0" fontId="63" fillId="39" borderId="174" xfId="0" applyFont="1" applyFill="1" applyBorder="1" applyAlignment="1">
      <alignment horizontal="left" vertical="center" wrapText="1"/>
    </xf>
    <xf numFmtId="0" fontId="63" fillId="39" borderId="175" xfId="0" applyFont="1" applyFill="1" applyBorder="1" applyAlignment="1">
      <alignment horizontal="left" vertical="center" wrapText="1"/>
    </xf>
    <xf numFmtId="0" fontId="63" fillId="39" borderId="176" xfId="0" applyFont="1" applyFill="1" applyBorder="1" applyAlignment="1">
      <alignment horizontal="left" vertical="center" wrapText="1"/>
    </xf>
    <xf numFmtId="0" fontId="93" fillId="39" borderId="177" xfId="0" applyFont="1" applyFill="1" applyBorder="1" applyAlignment="1">
      <alignment wrapText="1"/>
    </xf>
    <xf numFmtId="0" fontId="102" fillId="39" borderId="177" xfId="0" applyFont="1" applyFill="1" applyBorder="1"/>
    <xf numFmtId="9" fontId="0" fillId="0" borderId="0" xfId="0" applyNumberFormat="1"/>
    <xf numFmtId="10" fontId="0" fillId="0" borderId="0" xfId="4" applyNumberFormat="1" applyFont="1"/>
    <xf numFmtId="173" fontId="54" fillId="0" borderId="0" xfId="0" applyNumberFormat="1" applyFont="1"/>
    <xf numFmtId="0" fontId="88" fillId="26" borderId="172" xfId="8" applyFont="1" applyFill="1" applyBorder="1" applyAlignment="1">
      <alignment horizontal="left" vertical="center" wrapText="1"/>
    </xf>
    <xf numFmtId="0" fontId="103" fillId="0" borderId="0" xfId="0" applyFont="1"/>
    <xf numFmtId="167" fontId="54" fillId="31" borderId="0" xfId="7" applyFont="1" applyFill="1"/>
    <xf numFmtId="0" fontId="104" fillId="41" borderId="178" xfId="0" applyFont="1" applyFill="1" applyBorder="1"/>
    <xf numFmtId="9" fontId="104" fillId="41" borderId="178" xfId="0" applyNumberFormat="1" applyFont="1" applyFill="1" applyBorder="1"/>
    <xf numFmtId="0" fontId="93" fillId="39" borderId="173" xfId="0" applyFont="1" applyFill="1" applyBorder="1" applyAlignment="1">
      <alignment horizontal="left" vertical="center" wrapText="1"/>
    </xf>
    <xf numFmtId="0" fontId="105" fillId="38" borderId="173" xfId="0" applyFont="1" applyFill="1" applyBorder="1" applyAlignment="1">
      <alignment horizontal="left" vertical="center" wrapText="1"/>
    </xf>
    <xf numFmtId="0" fontId="106" fillId="0" borderId="0" xfId="0" applyFont="1"/>
    <xf numFmtId="6" fontId="106" fillId="0" borderId="0" xfId="0" applyNumberFormat="1" applyFont="1"/>
    <xf numFmtId="10" fontId="106" fillId="0" borderId="0" xfId="0" applyNumberFormat="1" applyFont="1"/>
    <xf numFmtId="0" fontId="106" fillId="0" borderId="0" xfId="0" applyFont="1" applyAlignment="1">
      <alignment wrapText="1"/>
    </xf>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45" fillId="15" borderId="22" xfId="6" applyFill="1" applyBorder="1" applyAlignment="1">
      <alignment horizontal="left" vertical="center" wrapText="1"/>
    </xf>
    <xf numFmtId="0" fontId="80" fillId="0" borderId="0" xfId="0" applyFont="1" applyAlignment="1">
      <alignment horizontal="center" wrapText="1"/>
    </xf>
    <xf numFmtId="0" fontId="81"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0" fontId="8" fillId="0" borderId="130" xfId="0" applyFont="1" applyBorder="1" applyAlignment="1">
      <alignment horizontal="center"/>
    </xf>
    <xf numFmtId="173" fontId="74" fillId="10" borderId="135" xfId="0" applyNumberFormat="1" applyFont="1" applyFill="1" applyBorder="1" applyAlignment="1">
      <alignment horizontal="center" vertical="center"/>
    </xf>
    <xf numFmtId="0" fontId="74" fillId="10" borderId="151" xfId="0" applyFont="1" applyFill="1" applyBorder="1" applyAlignment="1">
      <alignment horizontal="center"/>
    </xf>
    <xf numFmtId="0" fontId="74" fillId="10" borderId="136" xfId="0" applyFont="1" applyFill="1" applyBorder="1" applyAlignment="1">
      <alignment horizontal="center"/>
    </xf>
    <xf numFmtId="173" fontId="74" fillId="10" borderId="151" xfId="0" applyNumberFormat="1" applyFont="1" applyFill="1" applyBorder="1" applyAlignment="1">
      <alignment horizontal="center" vertical="center"/>
    </xf>
    <xf numFmtId="173" fontId="74" fillId="10" borderId="155" xfId="0" applyNumberFormat="1" applyFont="1" applyFill="1" applyBorder="1" applyAlignment="1">
      <alignment horizontal="center" vertical="center"/>
    </xf>
    <xf numFmtId="0" fontId="74" fillId="10" borderId="151" xfId="0" applyFont="1" applyFill="1" applyBorder="1" applyAlignment="1">
      <alignment horizontal="left" vertical="center"/>
    </xf>
    <xf numFmtId="0" fontId="74" fillId="10" borderId="136" xfId="0" applyFont="1" applyFill="1" applyBorder="1" applyAlignment="1">
      <alignment horizontal="left" vertical="center"/>
    </xf>
    <xf numFmtId="0" fontId="74" fillId="10" borderId="152" xfId="0" applyFont="1" applyFill="1" applyBorder="1" applyAlignment="1">
      <alignment horizontal="left" vertical="center"/>
    </xf>
    <xf numFmtId="0" fontId="74" fillId="10" borderId="134" xfId="0" applyFont="1" applyFill="1" applyBorder="1" applyAlignment="1">
      <alignment horizontal="left" vertical="center"/>
    </xf>
    <xf numFmtId="0" fontId="74" fillId="10" borderId="153" xfId="0" applyFont="1" applyFill="1" applyBorder="1" applyAlignment="1">
      <alignment horizontal="left" vertical="center"/>
    </xf>
    <xf numFmtId="0" fontId="74" fillId="10" borderId="154" xfId="0" applyFont="1" applyFill="1" applyBorder="1" applyAlignment="1">
      <alignment horizontal="left" vertical="center"/>
    </xf>
    <xf numFmtId="0" fontId="74" fillId="10" borderId="133" xfId="0" applyFont="1" applyFill="1" applyBorder="1" applyAlignment="1">
      <alignment horizontal="left" vertical="center"/>
    </xf>
    <xf numFmtId="0" fontId="74" fillId="10" borderId="150" xfId="0" applyFont="1" applyFill="1" applyBorder="1" applyAlignment="1">
      <alignment horizontal="left" vertical="center"/>
    </xf>
    <xf numFmtId="0" fontId="74" fillId="10" borderId="152" xfId="0" applyFont="1" applyFill="1" applyBorder="1" applyAlignment="1">
      <alignment horizontal="center" vertical="center"/>
    </xf>
    <xf numFmtId="0" fontId="74" fillId="10" borderId="160" xfId="0" applyFont="1" applyFill="1" applyBorder="1" applyAlignment="1">
      <alignment horizontal="center" vertical="center"/>
    </xf>
    <xf numFmtId="0" fontId="74" fillId="10" borderId="153" xfId="0" applyFont="1" applyFill="1" applyBorder="1" applyAlignment="1">
      <alignment horizontal="center" vertical="center"/>
    </xf>
    <xf numFmtId="0" fontId="74" fillId="10" borderId="149" xfId="0" applyFont="1" applyFill="1" applyBorder="1" applyAlignment="1">
      <alignment horizontal="left" vertical="center"/>
    </xf>
    <xf numFmtId="0" fontId="73" fillId="33" borderId="160" xfId="0" applyFont="1" applyFill="1" applyBorder="1" applyAlignment="1">
      <alignment horizontal="center" wrapText="1"/>
    </xf>
    <xf numFmtId="0" fontId="73" fillId="33" borderId="0" xfId="0" applyFont="1" applyFill="1" applyAlignment="1">
      <alignment horizontal="center" wrapText="1"/>
    </xf>
    <xf numFmtId="0" fontId="73" fillId="33" borderId="135" xfId="0" applyFont="1" applyFill="1" applyBorder="1" applyAlignment="1">
      <alignment horizontal="center" wrapText="1"/>
    </xf>
    <xf numFmtId="0" fontId="73" fillId="33" borderId="135" xfId="0" applyFont="1" applyFill="1" applyBorder="1" applyAlignment="1">
      <alignment horizontal="center" vertical="center" wrapText="1"/>
    </xf>
    <xf numFmtId="0" fontId="73" fillId="33" borderId="151" xfId="0" applyFont="1" applyFill="1" applyBorder="1" applyAlignment="1">
      <alignment horizontal="center" wrapText="1"/>
    </xf>
    <xf numFmtId="0" fontId="73" fillId="33" borderId="155" xfId="0" applyFont="1" applyFill="1" applyBorder="1" applyAlignment="1">
      <alignment horizontal="center" wrapText="1"/>
    </xf>
    <xf numFmtId="0" fontId="73" fillId="33" borderId="136" xfId="0" applyFont="1" applyFill="1" applyBorder="1" applyAlignment="1">
      <alignment horizontal="center" wrapText="1"/>
    </xf>
    <xf numFmtId="0" fontId="73" fillId="33" borderId="152" xfId="0" applyFont="1" applyFill="1" applyBorder="1" applyAlignment="1">
      <alignment horizontal="center" vertical="center" wrapText="1"/>
    </xf>
    <xf numFmtId="0" fontId="73" fillId="33" borderId="134" xfId="0" applyFont="1" applyFill="1" applyBorder="1" applyAlignment="1">
      <alignment horizontal="center" vertical="center" wrapText="1"/>
    </xf>
    <xf numFmtId="0" fontId="73" fillId="33" borderId="153" xfId="0" applyFont="1" applyFill="1" applyBorder="1" applyAlignment="1">
      <alignment horizontal="center" vertical="center" wrapText="1"/>
    </xf>
    <xf numFmtId="0" fontId="73" fillId="33" borderId="154" xfId="0" applyFont="1" applyFill="1" applyBorder="1" applyAlignment="1">
      <alignment horizontal="center" vertical="center" wrapText="1"/>
    </xf>
    <xf numFmtId="0" fontId="73" fillId="33" borderId="133" xfId="0" applyFont="1" applyFill="1" applyBorder="1" applyAlignment="1">
      <alignment horizontal="center" vertical="center" wrapText="1"/>
    </xf>
    <xf numFmtId="0" fontId="73" fillId="33" borderId="150"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1" fillId="0" borderId="112" xfId="0" applyFont="1" applyBorder="1" applyAlignment="1">
      <alignment horizontal="left" vertical="top" wrapText="1"/>
    </xf>
    <xf numFmtId="0" fontId="71" fillId="0" borderId="18" xfId="0" applyFont="1" applyBorder="1" applyAlignment="1">
      <alignment horizontal="left" vertical="top" wrapText="1"/>
    </xf>
    <xf numFmtId="0" fontId="71" fillId="0" borderId="33" xfId="0" applyFont="1" applyBorder="1" applyAlignment="1">
      <alignment horizontal="left" vertical="top" wrapText="1"/>
    </xf>
    <xf numFmtId="0" fontId="71" fillId="0" borderId="103" xfId="0" applyFont="1" applyBorder="1" applyAlignment="1">
      <alignment horizontal="left" vertical="top" wrapText="1"/>
    </xf>
    <xf numFmtId="0" fontId="93" fillId="0" borderId="168" xfId="0" applyFont="1" applyBorder="1" applyAlignment="1">
      <alignment horizontal="left" vertical="top" wrapText="1"/>
    </xf>
    <xf numFmtId="0" fontId="93" fillId="0" borderId="167" xfId="0" applyFont="1" applyBorder="1" applyAlignment="1">
      <alignment horizontal="left" vertical="top" wrapText="1"/>
    </xf>
    <xf numFmtId="0" fontId="93" fillId="0" borderId="169" xfId="0" applyFont="1" applyBorder="1" applyAlignment="1">
      <alignment horizontal="left" vertical="top" wrapText="1"/>
    </xf>
    <xf numFmtId="0" fontId="94" fillId="0" borderId="168" xfId="0" applyFont="1" applyBorder="1" applyAlignment="1">
      <alignment horizontal="left" vertical="top" wrapText="1"/>
    </xf>
    <xf numFmtId="0" fontId="94" fillId="0" borderId="167" xfId="0" applyFont="1" applyBorder="1" applyAlignment="1">
      <alignment horizontal="left" vertical="top" wrapText="1"/>
    </xf>
    <xf numFmtId="0" fontId="94" fillId="0" borderId="169" xfId="0" applyFont="1" applyBorder="1" applyAlignment="1">
      <alignment horizontal="left" vertical="top" wrapText="1"/>
    </xf>
    <xf numFmtId="0" fontId="89" fillId="0" borderId="137" xfId="0" applyFont="1" applyBorder="1" applyAlignment="1" applyProtection="1">
      <alignment horizontal="center" vertical="center" wrapText="1"/>
      <protection locked="0"/>
    </xf>
    <xf numFmtId="0" fontId="89" fillId="0" borderId="138" xfId="0" applyFont="1" applyBorder="1" applyAlignment="1" applyProtection="1">
      <alignment horizontal="center" vertical="center" wrapText="1"/>
      <protection locked="0"/>
    </xf>
    <xf numFmtId="0" fontId="89" fillId="0" borderId="132" xfId="0" applyFont="1" applyBorder="1" applyAlignment="1" applyProtection="1">
      <alignment horizontal="center" vertical="center" wrapText="1"/>
      <protection locked="0"/>
    </xf>
    <xf numFmtId="0" fontId="64" fillId="22" borderId="137" xfId="8" applyFont="1" applyFill="1" applyBorder="1" applyAlignment="1">
      <alignment horizontal="left" vertical="center" wrapText="1"/>
    </xf>
    <xf numFmtId="0" fontId="64" fillId="22" borderId="138" xfId="8" applyFont="1" applyFill="1" applyBorder="1" applyAlignment="1">
      <alignment horizontal="left" vertical="center" wrapText="1"/>
    </xf>
    <xf numFmtId="0" fontId="64" fillId="22" borderId="132" xfId="8" applyFont="1" applyFill="1" applyBorder="1" applyAlignment="1">
      <alignment horizontal="left" vertical="center" wrapText="1"/>
    </xf>
    <xf numFmtId="0" fontId="64" fillId="28" borderId="137" xfId="8" applyFont="1" applyFill="1" applyBorder="1" applyAlignment="1">
      <alignment horizontal="left" vertical="center" wrapText="1"/>
    </xf>
    <xf numFmtId="0" fontId="64" fillId="28" borderId="138" xfId="8" applyFont="1" applyFill="1" applyBorder="1" applyAlignment="1">
      <alignment horizontal="left" vertical="center" wrapText="1"/>
    </xf>
    <xf numFmtId="0" fontId="64" fillId="28" borderId="132" xfId="8" applyFont="1" applyFill="1" applyBorder="1" applyAlignment="1">
      <alignment horizontal="left" vertical="center" wrapText="1"/>
    </xf>
    <xf numFmtId="0" fontId="64" fillId="26" borderId="137" xfId="8" applyFont="1" applyFill="1" applyBorder="1" applyAlignment="1">
      <alignment horizontal="left" vertical="center" wrapText="1"/>
    </xf>
    <xf numFmtId="0" fontId="64" fillId="26" borderId="132" xfId="8" applyFont="1" applyFill="1" applyBorder="1" applyAlignment="1">
      <alignment horizontal="left" vertical="center" wrapText="1"/>
    </xf>
    <xf numFmtId="0" fontId="63" fillId="27" borderId="137" xfId="8" applyFont="1" applyFill="1" applyBorder="1" applyAlignment="1">
      <alignment horizontal="left" vertical="center" wrapText="1"/>
    </xf>
    <xf numFmtId="0" fontId="63" fillId="27" borderId="138" xfId="8" applyFont="1" applyFill="1" applyBorder="1" applyAlignment="1">
      <alignment horizontal="left" vertical="center" wrapText="1"/>
    </xf>
    <xf numFmtId="0" fontId="63" fillId="27" borderId="132" xfId="8" applyFont="1" applyFill="1" applyBorder="1" applyAlignment="1">
      <alignment horizontal="left"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60" fillId="6" borderId="139" xfId="0" applyFont="1" applyFill="1" applyBorder="1" applyAlignment="1">
      <alignment horizontal="center" vertic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2" borderId="130"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70" fontId="39" fillId="3" borderId="8" xfId="4" applyNumberFormat="1" applyFont="1" applyFill="1" applyBorder="1" applyAlignment="1">
      <alignment horizontal="right" vertical="top" wrapText="1"/>
    </xf>
    <xf numFmtId="170" fontId="39" fillId="3" borderId="9" xfId="4" applyNumberFormat="1" applyFont="1" applyFill="1" applyBorder="1" applyAlignment="1">
      <alignment horizontal="right" vertical="top" wrapText="1"/>
    </xf>
    <xf numFmtId="170" fontId="39" fillId="3" borderId="8" xfId="4" applyNumberFormat="1" applyFont="1" applyFill="1" applyBorder="1" applyAlignment="1">
      <alignment vertical="top" wrapText="1"/>
    </xf>
    <xf numFmtId="170"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47">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b/>
        <i val="0"/>
      </font>
      <fill>
        <patternFill>
          <bgColor theme="9" tint="0.79998168889431442"/>
        </patternFill>
      </fill>
    </dxf>
    <dxf>
      <font>
        <b/>
        <i val="0"/>
      </font>
      <fill>
        <patternFill>
          <bgColor theme="5" tint="0.59996337778862885"/>
        </patternFill>
      </fill>
    </dxf>
    <dxf>
      <font>
        <b/>
        <i val="0"/>
        <color rgb="FFFF0000"/>
      </font>
      <fill>
        <patternFill>
          <bgColor theme="5" tint="0.79998168889431442"/>
        </patternFill>
      </fill>
    </dxf>
    <dxf>
      <font>
        <b/>
        <i val="0"/>
        <color rgb="FF00B050"/>
      </font>
      <fill>
        <patternFill>
          <bgColor theme="9" tint="0.79998168889431442"/>
        </patternFill>
      </fill>
    </dxf>
    <dxf>
      <font>
        <b/>
        <i val="0"/>
        <color rgb="FFFF0000"/>
      </font>
    </dxf>
    <dxf>
      <font>
        <b/>
        <i val="0"/>
        <color rgb="FFFF0000"/>
      </font>
      <fill>
        <patternFill>
          <bgColor theme="5" tint="0.79998168889431442"/>
        </patternFill>
      </fill>
    </dxf>
    <dxf>
      <font>
        <b/>
        <i val="0"/>
        <color rgb="FFFF0000"/>
      </font>
    </dxf>
    <dxf>
      <font>
        <b/>
        <i val="0"/>
        <color rgb="FFFF0000"/>
      </font>
      <fill>
        <patternFill>
          <bgColor theme="5" tint="0.79998168889431442"/>
        </patternFill>
      </fill>
    </dxf>
    <dxf>
      <font>
        <b/>
        <i val="0"/>
        <color rgb="FFFF0000"/>
      </font>
    </dxf>
    <dxf>
      <font>
        <b/>
        <i val="0"/>
        <color rgb="FFFF0000"/>
      </font>
      <fill>
        <patternFill>
          <bgColor theme="5" tint="0.79998168889431442"/>
        </patternFill>
      </fill>
    </dxf>
    <dxf>
      <font>
        <b/>
        <i val="0"/>
        <color rgb="FF00B050"/>
      </font>
      <fill>
        <patternFill>
          <bgColor theme="9" tint="0.79998168889431442"/>
        </patternFill>
      </fill>
    </dxf>
    <dxf>
      <font>
        <b/>
        <i/>
        <color rgb="FFFF0000"/>
      </font>
    </dxf>
    <dxf>
      <font>
        <b/>
        <i val="0"/>
        <condense val="0"/>
        <extend val="0"/>
        <color indexed="1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3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lvl>
                <c:lvl>
                  <c:pt idx="0">
                    <c:v>Modul MyData</c:v>
                  </c:pt>
                  <c:pt idx="5">
                    <c:v>Transformačný modul</c:v>
                  </c:pt>
                  <c:pt idx="10">
                    <c:v>Modul kvality a čistenia údajov </c:v>
                  </c:pt>
                  <c:pt idx="15">
                    <c:v>Centrálny integračný komponent </c:v>
                  </c:pt>
                  <c:pt idx="20">
                    <c:v>Centrálna správa kmeňových údajov </c:v>
                  </c:pt>
                  <c:pt idx="25">
                    <c:v>Centrálna správa agendových číselníkov</c:v>
                  </c:pt>
                  <c:pt idx="30">
                    <c:v>Dátovy inventár</c:v>
                  </c:pt>
                </c:lvl>
              </c:multiLvlStrCache>
            </c:multiLvlStrRef>
          </c:cat>
          <c:val>
            <c:numRef>
              <c:f>Harmonogram!$H$3:$H$107</c:f>
              <c:numCache>
                <c:formatCode>General</c:formatCode>
                <c:ptCount val="105"/>
                <c:pt idx="0">
                  <c:v>0</c:v>
                </c:pt>
                <c:pt idx="1">
                  <c:v>-1</c:v>
                </c:pt>
                <c:pt idx="2">
                  <c:v>5</c:v>
                </c:pt>
                <c:pt idx="3">
                  <c:v>5</c:v>
                </c:pt>
                <c:pt idx="4">
                  <c:v>11</c:v>
                </c:pt>
                <c:pt idx="5">
                  <c:v>0</c:v>
                </c:pt>
                <c:pt idx="6">
                  <c:v>-1</c:v>
                </c:pt>
                <c:pt idx="7">
                  <c:v>5</c:v>
                </c:pt>
                <c:pt idx="8">
                  <c:v>5</c:v>
                </c:pt>
                <c:pt idx="9">
                  <c:v>11</c:v>
                </c:pt>
                <c:pt idx="10">
                  <c:v>0</c:v>
                </c:pt>
                <c:pt idx="11">
                  <c:v>-1</c:v>
                </c:pt>
                <c:pt idx="12">
                  <c:v>5</c:v>
                </c:pt>
                <c:pt idx="13">
                  <c:v>5</c:v>
                </c:pt>
                <c:pt idx="14">
                  <c:v>11</c:v>
                </c:pt>
                <c:pt idx="15">
                  <c:v>0</c:v>
                </c:pt>
                <c:pt idx="16">
                  <c:v>-1</c:v>
                </c:pt>
                <c:pt idx="17">
                  <c:v>5</c:v>
                </c:pt>
                <c:pt idx="18">
                  <c:v>5</c:v>
                </c:pt>
                <c:pt idx="19">
                  <c:v>11</c:v>
                </c:pt>
                <c:pt idx="20">
                  <c:v>0</c:v>
                </c:pt>
                <c:pt idx="21">
                  <c:v>-1</c:v>
                </c:pt>
                <c:pt idx="22">
                  <c:v>5</c:v>
                </c:pt>
                <c:pt idx="23">
                  <c:v>5</c:v>
                </c:pt>
                <c:pt idx="24">
                  <c:v>11</c:v>
                </c:pt>
                <c:pt idx="25">
                  <c:v>0</c:v>
                </c:pt>
                <c:pt idx="26">
                  <c:v>-1</c:v>
                </c:pt>
                <c:pt idx="27">
                  <c:v>5</c:v>
                </c:pt>
                <c:pt idx="28">
                  <c:v>5</c:v>
                </c:pt>
                <c:pt idx="29">
                  <c:v>11</c:v>
                </c:pt>
                <c:pt idx="30">
                  <c:v>-1</c:v>
                </c:pt>
                <c:pt idx="31">
                  <c:v>-1</c:v>
                </c:pt>
                <c:pt idx="32">
                  <c:v>5</c:v>
                </c:pt>
                <c:pt idx="33">
                  <c:v>5</c:v>
                </c:pt>
                <c:pt idx="34">
                  <c:v>11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3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pt idx="15">
                    <c:v>Analýza a dizajn</c:v>
                  </c:pt>
                  <c:pt idx="16">
                    <c:v>Nákupo HW a krabicový SW</c:v>
                  </c:pt>
                  <c:pt idx="17">
                    <c:v>Implementácia</c:v>
                  </c:pt>
                  <c:pt idx="18">
                    <c:v>Testovanie</c:v>
                  </c:pt>
                  <c:pt idx="19">
                    <c:v>Nasadenie</c:v>
                  </c:pt>
                  <c:pt idx="20">
                    <c:v>Analýza a dizajn</c:v>
                  </c:pt>
                  <c:pt idx="21">
                    <c:v>Nákupo HW a krabicový SW</c:v>
                  </c:pt>
                  <c:pt idx="22">
                    <c:v>Implementácia</c:v>
                  </c:pt>
                  <c:pt idx="23">
                    <c:v>Testovanie</c:v>
                  </c:pt>
                  <c:pt idx="24">
                    <c:v>Nasadenie</c:v>
                  </c:pt>
                  <c:pt idx="25">
                    <c:v>Analýza a dizajn</c:v>
                  </c:pt>
                  <c:pt idx="26">
                    <c:v>Nákupo HW a krabicový SW</c:v>
                  </c:pt>
                  <c:pt idx="27">
                    <c:v>Implementácia</c:v>
                  </c:pt>
                  <c:pt idx="28">
                    <c:v>Testovanie</c:v>
                  </c:pt>
                  <c:pt idx="29">
                    <c:v>Nasadenie</c:v>
                  </c:pt>
                  <c:pt idx="30">
                    <c:v>Analýza a dizajn</c:v>
                  </c:pt>
                  <c:pt idx="31">
                    <c:v>Nákupo HW a krabicový SW</c:v>
                  </c:pt>
                  <c:pt idx="32">
                    <c:v>Implementácia</c:v>
                  </c:pt>
                  <c:pt idx="33">
                    <c:v>Testovanie</c:v>
                  </c:pt>
                  <c:pt idx="34">
                    <c:v>Nasadenie</c:v>
                  </c:pt>
                </c:lvl>
                <c:lvl>
                  <c:pt idx="0">
                    <c:v>Modul MyData</c:v>
                  </c:pt>
                  <c:pt idx="5">
                    <c:v>Transformačný modul</c:v>
                  </c:pt>
                  <c:pt idx="10">
                    <c:v>Modul kvality a čistenia údajov </c:v>
                  </c:pt>
                  <c:pt idx="15">
                    <c:v>Centrálny integračný komponent </c:v>
                  </c:pt>
                  <c:pt idx="20">
                    <c:v>Centrálna správa kmeňových údajov </c:v>
                  </c:pt>
                  <c:pt idx="25">
                    <c:v>Centrálna správa agendových číselníkov</c:v>
                  </c:pt>
                  <c:pt idx="30">
                    <c:v>Dátovy inventár</c:v>
                  </c:pt>
                </c:lvl>
              </c:multiLvlStrCache>
            </c:multiLvlStrRef>
          </c:cat>
          <c:val>
            <c:numRef>
              <c:f>Harmonogram!$I$3:$I$107</c:f>
              <c:numCache>
                <c:formatCode>General</c:formatCode>
                <c:ptCount val="105"/>
                <c:pt idx="0">
                  <c:v>5</c:v>
                </c:pt>
                <c:pt idx="2">
                  <c:v>6</c:v>
                </c:pt>
                <c:pt idx="3">
                  <c:v>6</c:v>
                </c:pt>
                <c:pt idx="4">
                  <c:v>4</c:v>
                </c:pt>
                <c:pt idx="5">
                  <c:v>5</c:v>
                </c:pt>
                <c:pt idx="7">
                  <c:v>6</c:v>
                </c:pt>
                <c:pt idx="8">
                  <c:v>6</c:v>
                </c:pt>
                <c:pt idx="9">
                  <c:v>4</c:v>
                </c:pt>
                <c:pt idx="10">
                  <c:v>5</c:v>
                </c:pt>
                <c:pt idx="12">
                  <c:v>6</c:v>
                </c:pt>
                <c:pt idx="13">
                  <c:v>6</c:v>
                </c:pt>
                <c:pt idx="14">
                  <c:v>4</c:v>
                </c:pt>
                <c:pt idx="15">
                  <c:v>5</c:v>
                </c:pt>
                <c:pt idx="17">
                  <c:v>6</c:v>
                </c:pt>
                <c:pt idx="18">
                  <c:v>6</c:v>
                </c:pt>
                <c:pt idx="19">
                  <c:v>4</c:v>
                </c:pt>
                <c:pt idx="20">
                  <c:v>5</c:v>
                </c:pt>
                <c:pt idx="22">
                  <c:v>6</c:v>
                </c:pt>
                <c:pt idx="23">
                  <c:v>6</c:v>
                </c:pt>
                <c:pt idx="24">
                  <c:v>4</c:v>
                </c:pt>
                <c:pt idx="25">
                  <c:v>5</c:v>
                </c:pt>
                <c:pt idx="27">
                  <c:v>6</c:v>
                </c:pt>
                <c:pt idx="28">
                  <c:v>6</c:v>
                </c:pt>
                <c:pt idx="29">
                  <c:v>4</c:v>
                </c:pt>
                <c:pt idx="30">
                  <c:v>5</c:v>
                </c:pt>
                <c:pt idx="32">
                  <c:v>6</c:v>
                </c:pt>
                <c:pt idx="33">
                  <c:v>6</c:v>
                </c:pt>
                <c:pt idx="34">
                  <c:v>-11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ec55e5b485898c3/MIRRI_Dokumentacia/P_01_a_I_01_a_P_03_a_I_03_PRILOHA_KATALOG_POZIADAVIEK_mapovanie-a-zivotny-cyklus_Projekt_AA_OVM_BB_OsobaXY_DDMMYY_v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eb9448974367b7b2/DOHODY/DOHODA%20MV%20SR/Projektove&#769;%20na&#769;vrhy%20LVU&#769;%202024/MASTER%20VERZIE%20ALL/Vy&#769;stup%20MV%20SR%20LVU%2025102024/mv/02_I_02_BC_CBA_PRILOHA_Projekt_MV_SR_II_ver_1.0.xlsx" TargetMode="External"/><Relationship Id="rId1" Type="http://schemas.openxmlformats.org/officeDocument/2006/relationships/externalLinkPath" Target="/eb9448974367b7b2/DOHODY/DOHODA%20MV%20SR/Projektove&#769;%20na&#769;vrhy%20LVU&#769;%202024/MASTER%20VERZIE%20ALL/Vy&#769;stup%20MV%20SR%20LVU%2025102024/mv/02_I_02_BC_CBA_PRILOHA_Projekt_MV_SR_II_ver_1.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eb9448974367b7b2/DOHODY/DOHODA%20MV%20SR/Projektove&#769;%20na&#769;vrhy%20LVU&#769;%202024/MASTER%20VERZIE%20ALL/010_I_02_BC_CBA_PRILOHA_Projek_LVU_MOSR_v_0.9.xlsx" TargetMode="External"/><Relationship Id="rId1" Type="http://schemas.openxmlformats.org/officeDocument/2006/relationships/externalLinkPath" Target="/eb9448974367b7b2/DOHODY/DOHODA%20MV%20SR/Projektove&#769;%20na&#769;vrhy%20LVU&#769;%202024/MASTER%20VERZIE%20ALL/010_I_02_BC_CBA_PRILOHA_Projek_LVU_MOSR_v_0.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eb9448974367b7b2/DOHODY/DOHODA%20MV%20SR/Projektove&#769;%20na&#769;vrhy%20LVU&#769;%202024/MASTER%20VERZIE%20ALL/Vy&#769;stup%20MV%20SR%20LVU%2025102024/mv/02_I_02_BC_CBA_PRILOHA_Projekt_MV_SR_I_ver_1.0.xlsx" TargetMode="External"/><Relationship Id="rId1" Type="http://schemas.openxmlformats.org/officeDocument/2006/relationships/externalLinkPath" Target="/eb9448974367b7b2/DOHODY/DOHODA%20MV%20SR/Projektove&#769;%20na&#769;vrhy%20LVU&#769;%202024/MASTER%20VERZIE%20ALL/Vy&#769;stup%20MV%20SR%20LVU%2025102024/mv/02_I_02_BC_CBA_PRILOHA_Projekt_MV_SR_I_ver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 val="MODULY_CB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
      <sheetName val="Zoznam_Harkov"/>
      <sheetName val="Sumarizácia"/>
      <sheetName val="Zdroje Financovania"/>
      <sheetName val="CBA - Agendové IS"/>
      <sheetName val="Výdavky - Agendové IS"/>
      <sheetName val="Prínosy - Agendové IS"/>
      <sheetName val="Parametre - Agendové IS"/>
      <sheetName val="Vydane doklady"/>
      <sheetName val="MODULY_CBA"/>
      <sheetName val="Parametre_ECF_TCF"/>
      <sheetName val="INKREMENTY"/>
      <sheetName val="PIVOT_Poziadavky"/>
      <sheetName val="PODAktivity_Parametrizacia"/>
      <sheetName val="PODAktivity_Alokacie"/>
      <sheetName val="Pomocn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TCO"/>
      <sheetName val="TCO AS IS - SW"/>
      <sheetName val="TCO AS IS - HW"/>
      <sheetName val="TCO TO BE- SW"/>
      <sheetName val="TCO TO BE - HW"/>
      <sheetName val="Faktory"/>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0">
          <cell r="A10" t="str">
            <v>Projektový manažér IT projektu</v>
          </cell>
          <cell r="B10" t="str">
            <v>Projektovy_manazer</v>
          </cell>
          <cell r="E10" t="str">
            <v>Riadiaci pracovník (manažér) riešení IT</v>
          </cell>
          <cell r="F10">
            <v>1330001</v>
          </cell>
        </row>
        <row r="11">
          <cell r="A11" t="str">
            <v>IT programátor/vývojár</v>
          </cell>
          <cell r="B11" t="str">
            <v>IT_programator</v>
          </cell>
          <cell r="E11" t="str">
            <v>Systémový programátor</v>
          </cell>
          <cell r="F11">
            <v>2512001</v>
          </cell>
        </row>
        <row r="12">
          <cell r="A12" t="str">
            <v>IT analytik</v>
          </cell>
          <cell r="B12" t="str">
            <v>IT_analytik</v>
          </cell>
          <cell r="E12" t="str">
            <v>Softvérový architekt, dizajnér</v>
          </cell>
          <cell r="F12">
            <v>2512002</v>
          </cell>
        </row>
        <row r="13">
          <cell r="A13" t="str">
            <v>IT architekt</v>
          </cell>
          <cell r="B13" t="str">
            <v>IT_architekt</v>
          </cell>
          <cell r="E13" t="str">
            <v>Analytik IKT</v>
          </cell>
          <cell r="F13">
            <v>2511003</v>
          </cell>
        </row>
        <row r="14">
          <cell r="A14" t="str">
            <v>Odborník pre IT dohľad/Quality Assurance</v>
          </cell>
          <cell r="B14" t="str">
            <v>Kvalita</v>
          </cell>
          <cell r="E14" t="str">
            <v>IT architekt, projektant</v>
          </cell>
          <cell r="F14">
            <v>2511002</v>
          </cell>
        </row>
        <row r="15">
          <cell r="A15" t="str">
            <v>IT tester</v>
          </cell>
          <cell r="B15" t="str">
            <v>IT_tester</v>
          </cell>
          <cell r="E15" t="str">
            <v>Databázový dizajnér</v>
          </cell>
          <cell r="F15">
            <v>2521001</v>
          </cell>
        </row>
        <row r="16">
          <cell r="A16" t="str">
            <v>Špecialista pre infraštruktúrny/HW špecialista</v>
          </cell>
          <cell r="B16" t="str">
            <v>Infrastrutkura</v>
          </cell>
          <cell r="E16" t="str">
            <v>Špecialista riadenia systému kvality</v>
          </cell>
          <cell r="F16">
            <v>2421002</v>
          </cell>
        </row>
        <row r="17">
          <cell r="A17" t="str">
            <v>Špecialista pre databázy</v>
          </cell>
          <cell r="B17" t="str">
            <v>Databazy</v>
          </cell>
          <cell r="E17" t="str">
            <v>IT tester</v>
          </cell>
          <cell r="F17">
            <v>2519001</v>
          </cell>
        </row>
        <row r="18">
          <cell r="A18" t="str">
            <v>IT/IS konzultant (napr. SAP)</v>
          </cell>
          <cell r="B18" t="str">
            <v>IT_konzultant</v>
          </cell>
          <cell r="E18" t="str">
            <v>Riadiaci pracovník (manažér) informačnej a kybernetickej bezpečnosti</v>
          </cell>
          <cell r="F18">
            <v>1330004</v>
          </cell>
        </row>
        <row r="19">
          <cell r="A19" t="str">
            <v>Špecialista pre bezpečnosť IT</v>
          </cell>
          <cell r="B19" t="str">
            <v>Bezpecnost</v>
          </cell>
          <cell r="E19" t="str">
            <v>Špecialista v oblasti počítačových sietí</v>
          </cell>
          <cell r="F19">
            <v>2523000</v>
          </cell>
        </row>
        <row r="20">
          <cell r="A20" t="str">
            <v>Školiteľ pre IT systémy</v>
          </cell>
          <cell r="B20" t="str">
            <v>Skolenie</v>
          </cell>
          <cell r="E20" t="str">
            <v>Databázový dizajnér</v>
          </cell>
          <cell r="F20">
            <v>2521001</v>
          </cell>
        </row>
        <row r="21">
          <cell r="A21" t="str">
            <v xml:space="preserve">Iné </v>
          </cell>
          <cell r="B21" t="str">
            <v>Ine</v>
          </cell>
          <cell r="E21" t="str">
            <v>Databázový analytik</v>
          </cell>
          <cell r="F21">
            <v>2521003</v>
          </cell>
        </row>
        <row r="22">
          <cell r="E22" t="str">
            <v>IT konzultant</v>
          </cell>
          <cell r="F22">
            <v>2511001</v>
          </cell>
        </row>
        <row r="23">
          <cell r="E23" t="str">
            <v>Špecialista informačnej a kybernetickej bezpečnosti</v>
          </cell>
          <cell r="F23">
            <v>2529001</v>
          </cell>
        </row>
        <row r="24">
          <cell r="F24"/>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
      <sheetName val="Zoznam_Harkov"/>
      <sheetName val="Sumarizácia"/>
      <sheetName val="Zdroje Financovania"/>
      <sheetName val="CBA - Agendové IS"/>
      <sheetName val="Výdavky - Agendové IS"/>
      <sheetName val="Prínosy - Agendové IS"/>
      <sheetName val="Parametre - Agendové IS"/>
      <sheetName val="Štatistiky dát MO"/>
      <sheetName val="MODULY_CBA"/>
      <sheetName val="Parametre_ECF_TCF"/>
      <sheetName val="PIVOT_Poziadavky"/>
      <sheetName val="PODAktivity_Parametrizacia"/>
      <sheetName val="PODAktivity_Alokacie"/>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TCO"/>
      <sheetName val="TCO AS IS - SW"/>
      <sheetName val="TCO AS IS - HW"/>
      <sheetName val="TCO TO BE- SW"/>
      <sheetName val="TCO TO BE - HW"/>
      <sheetName val="Faktory"/>
      <sheetName val="Ciselnik"/>
      <sheetName val="Procesné mapy"/>
      <sheetName val="Procesy - AS IS"/>
      <sheetName val="Procesy - TO BE"/>
      <sheetName val="Analyza citlivosti - AgendovéIS"/>
      <sheetName val="INKREMENTY"/>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A10" t="str">
            <v>Projektový manažér IT projektu</v>
          </cell>
          <cell r="B10" t="str">
            <v>Projektovy_manazer</v>
          </cell>
          <cell r="E10" t="str">
            <v>Riadiaci pracovník (manažér) riešení IT</v>
          </cell>
          <cell r="F10">
            <v>1330001</v>
          </cell>
        </row>
        <row r="11">
          <cell r="A11" t="str">
            <v>IT programátor/vývojár</v>
          </cell>
          <cell r="B11" t="str">
            <v>IT_programator</v>
          </cell>
          <cell r="E11" t="str">
            <v>Systémový programátor</v>
          </cell>
          <cell r="F11">
            <v>2512001</v>
          </cell>
        </row>
        <row r="12">
          <cell r="A12" t="str">
            <v>IT analytik</v>
          </cell>
          <cell r="B12" t="str">
            <v>IT_analytik</v>
          </cell>
          <cell r="E12" t="str">
            <v>Softvérový architekt, dizajnér</v>
          </cell>
          <cell r="F12">
            <v>2512002</v>
          </cell>
        </row>
        <row r="13">
          <cell r="A13" t="str">
            <v>IT architekt</v>
          </cell>
          <cell r="B13" t="str">
            <v>IT_architekt</v>
          </cell>
          <cell r="E13" t="str">
            <v>Analytik IKT</v>
          </cell>
          <cell r="F13">
            <v>2511003</v>
          </cell>
        </row>
        <row r="14">
          <cell r="A14" t="str">
            <v>Odborník pre IT dohľad/Quality Assurance</v>
          </cell>
          <cell r="B14" t="str">
            <v>Kvalita</v>
          </cell>
          <cell r="E14" t="str">
            <v>IT architekt, projektant</v>
          </cell>
          <cell r="F14">
            <v>2511002</v>
          </cell>
        </row>
        <row r="15">
          <cell r="A15" t="str">
            <v>IT tester</v>
          </cell>
          <cell r="B15" t="str">
            <v>IT_tester</v>
          </cell>
          <cell r="E15" t="str">
            <v>Databázový dizajnér</v>
          </cell>
          <cell r="F15">
            <v>2521001</v>
          </cell>
        </row>
        <row r="16">
          <cell r="A16" t="str">
            <v>Špecialista pre infraštruktúrny/HW špecialista</v>
          </cell>
          <cell r="B16" t="str">
            <v>Infrastrutkura</v>
          </cell>
          <cell r="E16" t="str">
            <v>Špecialista riadenia systému kvality</v>
          </cell>
          <cell r="F16">
            <v>2421002</v>
          </cell>
        </row>
        <row r="17">
          <cell r="A17" t="str">
            <v>Špecialista pre databázy</v>
          </cell>
          <cell r="B17" t="str">
            <v>Databazy</v>
          </cell>
          <cell r="E17" t="str">
            <v>IT tester</v>
          </cell>
          <cell r="F17">
            <v>2519001</v>
          </cell>
        </row>
        <row r="18">
          <cell r="A18" t="str">
            <v>IT/IS konzultant (napr. SAP)</v>
          </cell>
          <cell r="B18" t="str">
            <v>IT_konzultant</v>
          </cell>
          <cell r="E18" t="str">
            <v>Riadiaci pracovník (manažér) informačnej a kybernetickej bezpečnosti</v>
          </cell>
          <cell r="F18">
            <v>1330004</v>
          </cell>
        </row>
        <row r="19">
          <cell r="A19" t="str">
            <v>Špecialista pre bezpečnosť IT</v>
          </cell>
          <cell r="B19" t="str">
            <v>Bezpecnost</v>
          </cell>
          <cell r="E19" t="str">
            <v>Špecialista v oblasti počítačových sietí</v>
          </cell>
          <cell r="F19">
            <v>2523000</v>
          </cell>
        </row>
        <row r="20">
          <cell r="A20" t="str">
            <v>Školiteľ pre IT systémy</v>
          </cell>
          <cell r="B20" t="str">
            <v>Skolenie</v>
          </cell>
          <cell r="E20" t="str">
            <v>Databázový dizajnér</v>
          </cell>
          <cell r="F20">
            <v>2521001</v>
          </cell>
        </row>
        <row r="21">
          <cell r="A21" t="str">
            <v xml:space="preserve">Iné </v>
          </cell>
          <cell r="B21" t="str">
            <v>Ine</v>
          </cell>
          <cell r="E21" t="str">
            <v>Databázový analytik</v>
          </cell>
          <cell r="F21">
            <v>2521003</v>
          </cell>
        </row>
        <row r="22">
          <cell r="E22" t="str">
            <v>IT konzultant</v>
          </cell>
          <cell r="F22">
            <v>2511001</v>
          </cell>
        </row>
        <row r="23">
          <cell r="E23" t="str">
            <v>Špecialista informačnej a kybernetickej bezpečnosti</v>
          </cell>
          <cell r="F23">
            <v>2529001</v>
          </cell>
        </row>
        <row r="24">
          <cell r="F24"/>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Úvod"/>
      <sheetName val="Zoznam_Harkov"/>
      <sheetName val="Sumarizácia"/>
      <sheetName val="Zdroje Financovania"/>
      <sheetName val="CBA - Agendové IS"/>
      <sheetName val="Výdavky - Agendové IS"/>
      <sheetName val="Prínosy - Agendové IS"/>
      <sheetName val="Parametre - Agendové IS"/>
      <sheetName val="Vydane doklady"/>
      <sheetName val="MODULY_CBA"/>
      <sheetName val="Parametre_ECF_TCF"/>
      <sheetName val="INKREMENTY"/>
      <sheetName val="PIVOT_Poziadavky"/>
      <sheetName val="PODAktivity_Parametrizacia"/>
      <sheetName val="PODAktivity_Alokacie"/>
      <sheetName val="Pomocn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TCO"/>
      <sheetName val="TCO AS IS - SW"/>
      <sheetName val="TCO AS IS - HW"/>
      <sheetName val="TCO TO BE- SW"/>
      <sheetName val="TCO TO BE - HW"/>
      <sheetName val="Faktory"/>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0">
          <cell r="A10" t="str">
            <v>Projektový manažér IT projektu</v>
          </cell>
          <cell r="B10" t="str">
            <v>Projektovy_manazer</v>
          </cell>
          <cell r="E10" t="str">
            <v>Riadiaci pracovník (manažér) riešení IT</v>
          </cell>
          <cell r="F10">
            <v>1330001</v>
          </cell>
        </row>
        <row r="11">
          <cell r="A11" t="str">
            <v>IT programátor/vývojár</v>
          </cell>
          <cell r="B11" t="str">
            <v>IT_programator</v>
          </cell>
          <cell r="E11" t="str">
            <v>Systémový programátor</v>
          </cell>
          <cell r="F11">
            <v>2512001</v>
          </cell>
        </row>
        <row r="12">
          <cell r="A12" t="str">
            <v>IT analytik</v>
          </cell>
          <cell r="B12" t="str">
            <v>IT_analytik</v>
          </cell>
          <cell r="E12" t="str">
            <v>Softvérový architekt, dizajnér</v>
          </cell>
          <cell r="F12">
            <v>2512002</v>
          </cell>
        </row>
        <row r="13">
          <cell r="A13" t="str">
            <v>IT architekt</v>
          </cell>
          <cell r="B13" t="str">
            <v>IT_architekt</v>
          </cell>
          <cell r="E13" t="str">
            <v>Analytik IKT</v>
          </cell>
          <cell r="F13">
            <v>2511003</v>
          </cell>
        </row>
        <row r="14">
          <cell r="A14" t="str">
            <v>Odborník pre IT dohľad/Quality Assurance</v>
          </cell>
          <cell r="B14" t="str">
            <v>Kvalita</v>
          </cell>
          <cell r="E14" t="str">
            <v>IT architekt, projektant</v>
          </cell>
          <cell r="F14">
            <v>2511002</v>
          </cell>
        </row>
        <row r="15">
          <cell r="A15" t="str">
            <v>IT tester</v>
          </cell>
          <cell r="B15" t="str">
            <v>IT_tester</v>
          </cell>
          <cell r="E15" t="str">
            <v>Databázový dizajnér</v>
          </cell>
          <cell r="F15">
            <v>2521001</v>
          </cell>
        </row>
        <row r="16">
          <cell r="A16" t="str">
            <v>Špecialista pre infraštruktúrny/HW špecialista</v>
          </cell>
          <cell r="B16" t="str">
            <v>Infrastrutkura</v>
          </cell>
          <cell r="E16" t="str">
            <v>Špecialista riadenia systému kvality</v>
          </cell>
          <cell r="F16">
            <v>2421002</v>
          </cell>
        </row>
        <row r="17">
          <cell r="A17" t="str">
            <v>Špecialista pre databázy</v>
          </cell>
          <cell r="B17" t="str">
            <v>Databazy</v>
          </cell>
          <cell r="E17" t="str">
            <v>IT tester</v>
          </cell>
          <cell r="F17">
            <v>2519001</v>
          </cell>
        </row>
        <row r="18">
          <cell r="A18" t="str">
            <v>IT/IS konzultant (napr. SAP)</v>
          </cell>
          <cell r="B18" t="str">
            <v>IT_konzultant</v>
          </cell>
          <cell r="E18" t="str">
            <v>Riadiaci pracovník (manažér) informačnej a kybernetickej bezpečnosti</v>
          </cell>
          <cell r="F18">
            <v>1330004</v>
          </cell>
        </row>
        <row r="19">
          <cell r="A19" t="str">
            <v>Špecialista pre bezpečnosť IT</v>
          </cell>
          <cell r="B19" t="str">
            <v>Bezpecnost</v>
          </cell>
          <cell r="E19" t="str">
            <v>Špecialista v oblasti počítačových sietí</v>
          </cell>
          <cell r="F19">
            <v>2523000</v>
          </cell>
        </row>
        <row r="20">
          <cell r="A20" t="str">
            <v>Školiteľ pre IT systémy</v>
          </cell>
          <cell r="B20" t="str">
            <v>Skolenie</v>
          </cell>
          <cell r="E20" t="str">
            <v>Databázový dizajnér</v>
          </cell>
          <cell r="F20">
            <v>2521001</v>
          </cell>
        </row>
        <row r="21">
          <cell r="A21" t="str">
            <v xml:space="preserve">Iné </v>
          </cell>
          <cell r="B21" t="str">
            <v>Ine</v>
          </cell>
          <cell r="E21" t="str">
            <v>Databázový analytik</v>
          </cell>
          <cell r="F21">
            <v>2521003</v>
          </cell>
        </row>
        <row r="22">
          <cell r="E22" t="str">
            <v>IT konzultant</v>
          </cell>
          <cell r="F22">
            <v>2511001</v>
          </cell>
        </row>
        <row r="23">
          <cell r="E23" t="str">
            <v>Špecialista informačnej a kybernetickej bezpečnosti</v>
          </cell>
          <cell r="F23">
            <v>2529001</v>
          </cell>
        </row>
        <row r="24">
          <cell r="F24"/>
        </row>
        <row r="25">
          <cell r="E25" t="str">
            <v>Mechanik počítačových sietí</v>
          </cell>
          <cell r="F25">
            <v>7422003</v>
          </cell>
        </row>
        <row r="26">
          <cell r="E26" t="str">
            <v>Špecialista prevádzky mobilných a pevných technológií</v>
          </cell>
          <cell r="F26">
            <v>2153003</v>
          </cell>
        </row>
        <row r="27">
          <cell r="E27" t="str">
            <v>Správca digitálneho obsahu (Digital Content Manager)</v>
          </cell>
          <cell r="F27">
            <v>2513003</v>
          </cell>
        </row>
        <row r="28">
          <cell r="E28" t="str">
            <v>Pracovníci informačných služieb inde neuvedení</v>
          </cell>
          <cell r="F28">
            <v>4229</v>
          </cell>
        </row>
        <row r="29">
          <cell r="E29" t="str">
            <v>Operátor klientskej podpory IKT</v>
          </cell>
          <cell r="F29">
            <v>3511002</v>
          </cell>
        </row>
        <row r="30">
          <cell r="E30" t="str">
            <v>Technik užívateľskej podpory IKT</v>
          </cell>
          <cell r="F30">
            <v>3512000</v>
          </cell>
        </row>
        <row r="31">
          <cell r="E31" t="str">
            <v>Aplikačný programátor</v>
          </cell>
          <cell r="F31">
            <v>2514000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USER" refreshedDate="45552.492221296299" createdVersion="8" refreshedVersion="8" minRefreshableVersion="3" recordCount="156" xr:uid="{709A8118-12F1-4EB1-A669-CFA3BC30D001}">
  <cacheSource type="worksheet">
    <worksheetSource ref="A2:H149" sheet="KATALOG_POZIADAVKY"/>
  </cacheSource>
  <cacheFields count="8">
    <cacheField name="ID _x000a_POŽIADAVKY_x000a_(zvoľte si konvenciu označovania)" numFmtId="0">
      <sharedItems/>
    </cacheField>
    <cacheField name="KATEGÓRIA POŽIADAVKY_x000a__funkčná požiadavka_x000a__nefunkčná požiadavka_x000a__technická požiadavka" numFmtId="0">
      <sharedItems/>
    </cacheField>
    <cacheField name="OBLASŤ POŽIADAVKY" numFmtId="0">
      <sharedItems/>
    </cacheField>
    <cacheField name="NÁZOV_x000a_POŽIADAVKY" numFmtId="0">
      <sharedItems/>
    </cacheField>
    <cacheField name="DETAILNÝ POPIS POŽIADAVKY" numFmtId="0">
      <sharedItems longText="1"/>
    </cacheField>
    <cacheField name="VLASTNÍK _x000a_POŽIADAVKY" numFmtId="0">
      <sharedItems containsNonDate="0" containsString="0" containsBlank="1"/>
    </cacheField>
    <cacheField name="NÁZOV MODULU_x000a_(príslušnosť požiadavky k modulu)" numFmtId="0">
      <sharedItems count="5">
        <s v="Transformačný modul"/>
        <s v="Manažment údajov"/>
        <s v="Modul správy údajov"/>
        <s v="Modul kvality a čistenia údajov "/>
        <s v="Lokálny katalóg Otvorených údajov"/>
      </sharedItems>
    </cacheField>
    <cacheField name="Aktivita v zmysle výzvy" numFmtId="0">
      <sharedItems count="11">
        <s v="A1 - Manažment osobných údajov"/>
        <s v="A9 - Vytvorenie integračnej (rezortnej) platformy"/>
        <s v="A10 - GDPR"/>
        <s v="A11 - Legislatíva"/>
        <s v="A2 - Čistenie a dátova kvalita"/>
        <s v="A3 - Integrácia na IS CSRÚ - poskytovanie"/>
        <s v="A4 - Integrácia na IS CSRÚ - konzumovanie"/>
        <s v="A5 - Publikovanie OPEN DATA"/>
        <s v="A7 - Systematický manažment údajov"/>
        <s v="A8 - Vybudovanie registrov"/>
        <s v="A6 - Sprístupnovanie analytických údajo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s v="ID_1"/>
    <s v="Funkcna poziadavka"/>
    <s v="Kvalita a čistenie údajov"/>
    <s v="Transformačný modul"/>
    <s v="Mapovanie objektov evidencie / datasetov na prvky CMÚ na základe ich popisov za využitia algoritmov strojového učenia a vytvorenie GUI pre manuálne domapovanie s možnosťou manuálnej úpravy navrhnutého mapovania konkrétnych atribútov v objekte evidencie / datasetu."/>
    <m/>
    <x v="0"/>
    <x v="0"/>
  </r>
  <r>
    <s v="ID_2"/>
    <s v="Funkcna poziadavka"/>
    <s v="Kvalita a čistenie údajov"/>
    <s v="Transformačný modul"/>
    <s v="Príprava objektu evidencie / datasetu do požadovaného stavu pred transformáciou t.j. analýza objektov evidencie / datasetov na úroveň atribútov, extrakcia a import do dátového katalógu."/>
    <m/>
    <x v="0"/>
    <x v="0"/>
  </r>
  <r>
    <s v="ID_3"/>
    <s v="Funkcna poziadavka"/>
    <s v="Kvalita a čistenie údajov"/>
    <s v="Transformačný modul"/>
    <s v="Umožnenie konfigurácie výslednej transformácie tak, aby vo výslednom RDF bolo možné meniť vzťahy medzi tripletmi (subjekt - predikát - objekt). Napríklad v zmysle, že daný predikát nemá byť medzi subjektom a objektom tak, ako by ho priradila prednastavená automatizovaná transformácia, ale medzi iným subjektom a iným objektom, ktoré sa dajú identifikovať a nakonfigurovať."/>
    <m/>
    <x v="0"/>
    <x v="0"/>
  </r>
  <r>
    <s v="ID_4"/>
    <s v="Funkcna poziadavka"/>
    <s v="Kvalita a čistenie údajov"/>
    <s v="Transformačný modul"/>
    <s v="Validovanie správnosti transformácie objektu evidencie / datasetu prostredníctvom pravidiel kvality definovaných v jazyku SHACL"/>
    <m/>
    <x v="0"/>
    <x v="0"/>
  </r>
  <r>
    <s v="ID_5"/>
    <s v="Funkcna poziadavka"/>
    <s v="Kvalita a čistenie údajov"/>
    <s v="Transformačný modul"/>
    <s v="Vytvorenie koncovej služby ks_xy (G2G) pre transfomáciu datasetu do zvoleného formátu RDF (podporované budú tieto formáty: RDF/XML, JSON-LD, TTL, pričom konzument si bude vedieť zvoliť želaný formát)"/>
    <m/>
    <x v="0"/>
    <x v="0"/>
  </r>
  <r>
    <s v="ID_6"/>
    <s v="Funkcna poziadavka"/>
    <s v="Implementačná požiadavka"/>
    <s v="Projektová dokumentácia"/>
    <s v="Dodávateľ CIP vytvorí a dodá dokumentáciu v zmysle Vyhlášky č. 401/2023 Z. z. MIRRI o riadení projektov a zmenových požiadaviek v prevádzke ITVS pre nasledovné fázy projektu: Analýza a Dizajn, Realizačná fáza, Nasadenie a post-implementačná podpora, Dokončovacia fáza. Zoznam dokumentov sa nachádza v Prílohe č. 1 k vyhláške č. 401/2023 Z. z., https://www.slov-lex.sk/pravne-predpisy/SK/ZZ/2023/401/,  ako aj ďalšiu dokumentáciu v zmysle požiadaviek objednávateľa."/>
    <m/>
    <x v="1"/>
    <x v="0"/>
  </r>
  <r>
    <s v="ID_7"/>
    <s v="Funkcna poziadavka"/>
    <s v="Implementačná požiadavka"/>
    <s v="Vytvorenie prostredí CIP"/>
    <s v="Dodávateľ vytvorí minimálne nasledovné virtuálne servery: produkčný, predprodukčný, testovací a vývojový. Služby zálohovania: produkčné prostredie"/>
    <m/>
    <x v="1"/>
    <x v="1"/>
  </r>
  <r>
    <s v="ID_8"/>
    <s v="Funkcna poziadavka"/>
    <s v="Implementačná požiadavka"/>
    <s v="Naplnenie dátového modelu"/>
    <s v="Dodávateľ zabezpečí naplnenie vytvoreného fyzického dátového modelu dátami"/>
    <m/>
    <x v="1"/>
    <x v="0"/>
  </r>
  <r>
    <s v="ID_9"/>
    <s v="Funkcna poziadavka"/>
    <s v="Implementačná požiadavka"/>
    <s v="Testovanie bezpečnosti"/>
    <s v="Dodávateľ zabezpečí testovacie prípady a poskytne výstup bezpečnostného testovania ako aj testovacie dáta"/>
    <m/>
    <x v="1"/>
    <x v="0"/>
  </r>
  <r>
    <s v="ID_10"/>
    <s v="Funkcna poziadavka"/>
    <s v="Centrálna evidencia o prístupe ku informáciam o údajoch"/>
    <s v="Notifikácia o spracovaní osobných údajov "/>
    <s v="(a) Definovanie dátovej vety pre Informovanie dotknutých osôb o prezretí alebo spracovaní ich údajov na úrovni OVM pre nazov OE1"/>
    <m/>
    <x v="1"/>
    <x v="0"/>
  </r>
  <r>
    <s v="ID_11"/>
    <s v="Funkcna poziadavka"/>
    <s v="Centrálna evidencia o prístupe ku informáciam o údajoch"/>
    <s v="Notifikácia o spracovaní osobných údajov"/>
    <s v="(a) Definovanie dátovej vety pre Informovanie dotknutých osôb o prezretí alebo spracovaní ich údajov na úrovni OVM pre nazov OE2"/>
    <m/>
    <x v="1"/>
    <x v="0"/>
  </r>
  <r>
    <s v="ID_12"/>
    <s v="Funkcna poziadavka"/>
    <s v="Centrálna evidencia o prístupe ku informáciam o údajoch"/>
    <s v="Notifikácia o spracovaní osobných údajov"/>
    <s v="(a) Definovanie dátovej vety pre Informovanie dotknutých osôb o prezretí alebo spracovaní ich údajov na úrovni OVM pre nazov OE3"/>
    <m/>
    <x v="1"/>
    <x v="0"/>
  </r>
  <r>
    <s v="ID_13"/>
    <s v="Funkcna poziadavka"/>
    <s v="Integračná požiadavka"/>
    <s v="Distribúcia/poskytovanie údajov zmenových dávok "/>
    <s v="(b) Vytvorenie funkcionality pre zasielanie zmenových dávok údajov pre nazov OE1"/>
    <m/>
    <x v="1"/>
    <x v="0"/>
  </r>
  <r>
    <s v="ID_14"/>
    <s v="Funkcna poziadavka"/>
    <s v="Integračná požiadavka"/>
    <s v="Distribúcia/poskytovanie údajov zmenových dávok "/>
    <s v="(b) Vytvorenie funkcionality pre zasielanie zmenových dávok údajov pre nazov OE2"/>
    <m/>
    <x v="1"/>
    <x v="0"/>
  </r>
  <r>
    <s v="ID_15"/>
    <s v="Funkcna poziadavka"/>
    <s v="Integračná požiadavka"/>
    <s v="Distribúcia/poskytovanie údajov zmenových dávok"/>
    <s v="(b) Vytvorenie funkcionality pre zasielanie zmenových dávok údajov pre nazov OE3"/>
    <m/>
    <x v="1"/>
    <x v="0"/>
  </r>
  <r>
    <s v="ID_16"/>
    <s v="Funkcna poziadavka"/>
    <s v="Centrálna evidencia o prístupe ku informáciam o údajoch"/>
    <s v="Notifikácia o spracovaní osobných údajov pre OE2"/>
    <s v="Informovanie dotknutých osôb o prezretí alebo spracovaní ich údajov"/>
    <m/>
    <x v="1"/>
    <x v="0"/>
  </r>
  <r>
    <s v="ID_17"/>
    <s v="Funkcna poziadavka"/>
    <s v="Centrálna evidencia o prístupe ku informáciam o údajoch"/>
    <s v="Notifikácia o zmene stavu procesu pre OE2"/>
    <s v="Informovanie o stave spracovania údajov"/>
    <m/>
    <x v="1"/>
    <x v="0"/>
  </r>
  <r>
    <s v="ID_18"/>
    <s v="Funkcna poziadavka"/>
    <s v="Centrálna evidencia o prístupe ku informáciam o údajoch"/>
    <s v="Notifikácia o ukončení platnosti osobných údajov pre OE2"/>
    <s v="Informovanie o ukončení platnosti údajov"/>
    <m/>
    <x v="1"/>
    <x v="0"/>
  </r>
  <r>
    <s v="ID_19"/>
    <s v="Funkcna poziadavka"/>
    <s v="Integračná požiadavka"/>
    <s v="Distribúcia/poskytovanie údajov zmenových dávok"/>
    <s v="Informovanie o zmene osobných údajov z referenčných registrov pre OE2"/>
    <m/>
    <x v="1"/>
    <x v="0"/>
  </r>
  <r>
    <s v="ID_20"/>
    <s v="Funkcna poziadavka"/>
    <s v="Centrálna evidencia o prístupe ku informáciam o údajoch"/>
    <s v="Notifikácia o zmene osobných údajov pre nazov OE1"/>
    <s v="Vytvorenie funkcionality pre zaznamenávanie a informovanie o:_x000a_(c) zmene osobných údajov_x000a_(d) vzniku nových údajov_x000a_(e) ukončení platnosti údajov_x000a_(f) vymazaní údajov_x000a_(g) stave spracovania údajov"/>
    <m/>
    <x v="1"/>
    <x v="0"/>
  </r>
  <r>
    <s v="ID_21"/>
    <s v="Funkcna poziadavka"/>
    <s v="Centrálna evidencia o prístupe ku informáciam o údajoch"/>
    <s v="Notifikácia o zmene osobných údajov pre nazov OE2"/>
    <s v="Vytvorenie funkcionality pre zaznamenávanie a informovanie o:_x000a_(c) zmene osobných údajov_x000a_(d) vzniku nových údajov_x000a_(e) ukončení platnosti údajov_x000a_(f) vymazaní údajov_x000a_(g) stave spracovania údajov"/>
    <m/>
    <x v="1"/>
    <x v="0"/>
  </r>
  <r>
    <s v="ID_22"/>
    <s v="Funkcna poziadavka"/>
    <s v="Centrálna evidencia o prístupe ku informáciam o údajoch"/>
    <s v="Notifikácia o zmene osobných údajov pre nazov OE3"/>
    <s v="Vytvorenie funkcionality pre zaznamenávanie a informovanie o:_x000a_(c) zmene osobných údajov_x000a_(d) vzniku nových údajov_x000a_(e) ukončení platnosti údajov_x000a_(f) vymazaní údajov_x000a_(g) stave spracovania údajov"/>
    <m/>
    <x v="1"/>
    <x v="0"/>
  </r>
  <r>
    <s v="ID_23"/>
    <s v="Funkcna poziadavka"/>
    <s v="Centrálna evidencia o prístupe ku informáciam o údajoch"/>
    <s v="Notifikácia o vymazaní osobných údajov pre OE2"/>
    <s v="Zaznamenávanie a informovanie o vymazaní údajov"/>
    <m/>
    <x v="1"/>
    <x v="0"/>
  </r>
  <r>
    <s v="ID_24"/>
    <s v="Funkcna poziadavka"/>
    <s v="Centrálna evidencia o prístupe ku informáciam o údajoch"/>
    <s v="Notifikácia o vzniku/zápisu osobných údajov pre OE2"/>
    <s v="Zaznamenávanie a informovanie o vzniku nových údajov"/>
    <m/>
    <x v="1"/>
    <x v="0"/>
  </r>
  <r>
    <s v="ID_25"/>
    <s v="Funkcna poziadavka"/>
    <s v="Centrálna evidencia o prístupe ku informáciam o údajoch"/>
    <s v="Notifikácia o zmene osobných údajov pre OE2"/>
    <s v="Zaznamenávanie a informovanie o zmene osobných údajov"/>
    <m/>
    <x v="1"/>
    <x v="0"/>
  </r>
  <r>
    <s v="ID_26"/>
    <s v="Funkcna poziadavka"/>
    <s v="Súlad ISVS s GDPR"/>
    <s v="Transparentnosť spracovania údajov"/>
    <s v="ISVS by mal zabezpečiť, že dotknuté osoby budú transparentne informované o tom, aké údaje sú spracovávané, na aký účel, ako dlho a komu sú údaje sprístupňované alebo zdieľané."/>
    <m/>
    <x v="2"/>
    <x v="2"/>
  </r>
  <r>
    <s v="ID_27"/>
    <s v="Funkcna poziadavka"/>
    <s v="Súlad ISVS s GDPR"/>
    <s v="Práva dotknutých osôb"/>
    <s v="ISVS musí umožniť používateľom uplatňovať práva podľa GDPR (napr. prístup k údajom, oprava údajov, právo byť zabudnutý, prenos údajov). Zahŕňa implementáciu funkcií na uplatnenie týchto práv."/>
    <m/>
    <x v="2"/>
    <x v="2"/>
  </r>
  <r>
    <s v="ID_28"/>
    <s v="Funkcna poziadavka"/>
    <s v="Súlad ISVS s GDPR"/>
    <s v="Posúdenie a riešenie rizík spracovania údajov"/>
    <s v="Pri identifikácii potenciálnych rizík pre ochranu osobných údajov a návrhu opatrení na ich zmiernenie musí DPIA posúdiť, ako systém reaguje na bezpečnostné incidenty a ochranu údajov."/>
    <m/>
    <x v="2"/>
    <x v="2"/>
  </r>
  <r>
    <s v="ID_29"/>
    <s v="Funkcna poziadavka"/>
    <s v="Súlad ISVS s GDPR"/>
    <s v="Identifikácia a spracovanie osobných údajov"/>
    <s v="Systém musí jasne identifikovať, ktoré osobné údaje sú spracúvané a ako. Zahŕňa kategórie spracovávaných údajov (napr. meno, adresa, rodné číslo, citlivé údaje) a účely ich spracovania."/>
    <m/>
    <x v="1"/>
    <x v="2"/>
  </r>
  <r>
    <s v="ID_30"/>
    <s v="Funkcna poziadavka"/>
    <s v="Súlad ISVS s GDPR"/>
    <s v="Minimalizácia údajov"/>
    <s v="Systém musí zabezpečiť, aby sa spracúvali len tie údaje, ktoré sú nevyhnutné na splnenie účelu, a len po dobu nevyhnutnú na jeho dosiahnutie."/>
    <m/>
    <x v="2"/>
    <x v="2"/>
  </r>
  <r>
    <s v="ID_31"/>
    <s v="Funkcna poziadavka"/>
    <s v="Súlad ISVS s GDPR"/>
    <s v="Bezpečnosť a integrita údajov"/>
    <s v="Systém musí zahŕňať technické a organizačné opatrenia na ochranu osobných údajov pred neoprávneným prístupom, stratou, zmenou alebo zničením. Patrí sem šifrovanie, autentifikácia a monitorovanie prístupu k údajom. Posúdenie, či sú prijaté primerané opatrenia na zabezpečenie údajov, čo je kľúčové pre minimalizáciu rizík úniku alebo zneužitia údajov."/>
    <m/>
    <x v="2"/>
    <x v="2"/>
  </r>
  <r>
    <s v="ID_32"/>
    <s v="Funkcna poziadavka"/>
    <s v="Súlad ISVS s GDPR"/>
    <s v="Popis činnosti spracúvania osobných údajov"/>
    <s v="Vytvorenie dokumentácie popisujúcej spracovávané osobné údaje, kategórie subjektov údajov a príslušné spracovateľské operácie. Definovanie účelu, rozsahu a kontextu spracúvania údajov."/>
    <m/>
    <x v="2"/>
    <x v="2"/>
  </r>
  <r>
    <s v="ID_33"/>
    <s v="Funkcna poziadavka"/>
    <s v="Požiadavka na službu"/>
    <s v="Služby dátovej kvality - Vlastná služba dátovej kvality podľa špecifických potrieb OVM "/>
    <s v="Vlastná služba dátovej kvality podľa špecifických potrieb OVM _x000a__x000a_Ak existuje záujem zo strany OVM o vytvorenie špecifickej služby dátovej kvality inej, ako sú služby popísané vyššie, je potrebné, aby OVM kontaktoval Dátovú kanceláriu na Ministerstve investícií, regionálneho rozvoja a informatizácie a požiadal o vytvorenie takejto služby. OVM spolu s Dátovou kanceláriou spoločne vytvoria požiadavku na vytvorenie takejto dátovej služby. Nasleduje schvaľovací proces, na konci ktorého bude vytvorená výzva pre vytvorenie služby dátovej kvality. Príprava dátovej služby bude realizovaná dodávateľom projektu spolu s OVM, ktoré v počas prípravy dátovej služby bude bližšie špecifikovať svoje požiadavky. "/>
    <m/>
    <x v="1"/>
    <x v="2"/>
  </r>
  <r>
    <s v="ID_34"/>
    <s v="Funkcna poziadavka"/>
    <s v="Kvalita a čistenie údajov"/>
    <s v="Eliminácia duplicitných dát"/>
    <s v="Systém zabezpečí kontrolu unikátnosti jednotlivých záznamov a aplikovanie konsolidačných pravidiel"/>
    <m/>
    <x v="1"/>
    <x v="2"/>
  </r>
  <r>
    <s v="ID_35"/>
    <s v="Funkcna poziadavka"/>
    <s v="Bezpečnostný projekt"/>
    <s v="Bezpečnostný projekt"/>
    <s v="Bezpečnostný projekt bude aktualizovaný a doplnený o nové bezpečnostné opatrenia, ktoré zaručia ochranu citlivých osobných údajov, ako je definované v bezpečnostnom projekte"/>
    <m/>
    <x v="1"/>
    <x v="2"/>
  </r>
  <r>
    <s v="ID_36"/>
    <s v="Funkcna poziadavka"/>
    <s v="Bezpečnostný projekt"/>
    <s v="Vypracovanie bezpečnostného projektu pre ISVS, ktorý je poskytovateľom údajov ABC (zdrojovým systémov) "/>
    <s v="Bude vytvorený bezpečnostný projekt, ktorého súćasťou budú bezpečnostné opatrenia, ktoré zaručia ochranu citlivých osobných údajov."/>
    <m/>
    <x v="2"/>
    <x v="2"/>
  </r>
  <r>
    <s v="ID_37"/>
    <s v="Funkcna poziadavka"/>
    <s v="Bezpečnostný projekt"/>
    <s v="Zabezpečenie súladu s ISO normami"/>
    <s v="Implementácia opatrení v súlade s normami ISO/IEC 27001, ISO/IEC 27002, ISO/IEC 27005 a ISO/IEC 29100 pre bezpečnosť a ochranu osobných údajov."/>
    <m/>
    <x v="2"/>
    <x v="2"/>
  </r>
  <r>
    <s v="ID_38"/>
    <s v="Funkcna poziadavka"/>
    <s v="Bezpečnostný projekt"/>
    <s v="Technické opatrenia na zabezpečenie ISVS"/>
    <s v="Implementácia technických opatrení na ochranu ISVS počas jeho vývoja a prevádzky, vrátane zabezpečenia integrity a dôvernosti údajov."/>
    <m/>
    <x v="2"/>
    <x v="2"/>
  </r>
  <r>
    <s v="ID_39"/>
    <s v="Funkcna poziadavka"/>
    <s v="Bezpečnostný projekt"/>
    <s v="Organizačné a personálne opatrenia"/>
    <s v="Návrh a zavedenie organizačných a personálnych opatrení na zabezpečenie bezpečnosti ISVS, vrátane vyškolenia zamestnancov a definície ich kompetencií."/>
    <m/>
    <x v="2"/>
    <x v="2"/>
  </r>
  <r>
    <s v="ID_40"/>
    <s v="Funkcna poziadavka"/>
    <s v="Bezpečnostný projekt"/>
    <s v="Zabezpečenie súladu s právnymi predpismi"/>
    <s v="Overenie súladu s právnymi predpismi, vrátane zákona o kybernetickej bezpečnosti, zákona o ochrane osobných údajov, vyhlášok NBÚ a ostatných relevantných predpisov."/>
    <m/>
    <x v="2"/>
    <x v="2"/>
  </r>
  <r>
    <s v="ID_41"/>
    <s v="Funkcna poziadavka"/>
    <s v="Bezpečnostný projekt"/>
    <s v="Zohľadnenie externých integrácií"/>
    <s v="Posúdenie vplyvu externých integrácií a aktív na bezpečnosť ISVS a zahrnutie relevantných rizík do bezpečnostného projektu."/>
    <m/>
    <x v="2"/>
    <x v="2"/>
  </r>
  <r>
    <s v="ID_42"/>
    <s v="Funkcna poziadavka"/>
    <s v="Bezpečnostný projekt"/>
    <s v="Zabudovaná ochrana údajov a štandardy ochrany súkromia (Privacy by Design a Privacy by Default)"/>
    <s v="Posúdenie, či sú ochrana údajov a súkromie zabudované do všetkých funkcií systému, už od fázy návrhu."/>
    <m/>
    <x v="2"/>
    <x v="2"/>
  </r>
  <r>
    <s v="ID_43"/>
    <s v="Funkcna poziadavka"/>
    <s v="Bezpečnostný projekt"/>
    <s v="Bezpečnostný projekt"/>
    <s v="Systém prejde dôkladným bezpečnostným auditom a bude aktualizovaný a doplnený o nové bezpečnostné opatrenia, ktoré zaručia ochranu citlivých osobných údajov, ako je definované v bezpečnostnom projekte"/>
    <m/>
    <x v="1"/>
    <x v="2"/>
  </r>
  <r>
    <s v="ID_44"/>
    <s v="Funkcna poziadavka"/>
    <s v="Bezpečnostný projekt"/>
    <s v="Posúdenie okolia ISVS"/>
    <s v="Vyhodnotenie okolia ISVS z hľadiska jeho vplyvu na bezpečnosť, vrátane fyzických priestorov, infraštruktúry a komunikačných kanálov."/>
    <m/>
    <x v="2"/>
    <x v="2"/>
  </r>
  <r>
    <s v="ID_45"/>
    <s v="Funkcna poziadavka"/>
    <s v="Bezpečnostný projekt"/>
    <s v="Vytvorenie/aktualizácia bezpečnostného projektu ISVS"/>
    <s v="Vytvorenie alebo aktualizácia bezpečnostného projektu pre ISVS podľa aktuálnych legislatívnych požiadaviek, vrátane analýzy rizík, identifikácie hrozieb a návrhu opatrení na zabezpečenie ISVS."/>
    <m/>
    <x v="2"/>
    <x v="2"/>
  </r>
  <r>
    <s v="ID_46"/>
    <s v="Funkcna poziadavka"/>
    <s v="Bezpečnostná požiadavka"/>
    <s v="Bezpečnosť"/>
    <s v="Návrh a dodanie systému musí byť v súlade s Vyhláškou NBÚ č. 362/2018 Z. z. ktorou sa ustanovuje obsah bezpečnostných opatrení, obsah a štruktúra bezpečnostnej dokumentácie a rozsah všeobecných bezpečnostných opatrení, najmä v časti , § 14_x000a_Bezpečnostné opatrenia podľa § 20 ods. 3 písm. j) zákona, https://www.slov-lex.sk/pravne-predpisy/SK/ZZ/2018/362/#paragraf-14"/>
    <m/>
    <x v="1"/>
    <x v="2"/>
  </r>
  <r>
    <s v="ID_47"/>
    <s v="Funkcna poziadavka"/>
    <s v="Súlad ISVS s GDPR"/>
    <s v="Vypracovanie analýzy vplyvu na ochranu údajov (DPIA) pre ISVS, ktorý je poskytovateľom údajov ABC (zdrojovým systémov) "/>
    <s v="Analýzy vplyva na ochranu údajov (DPIA) v súlade s nariadením GDPR. Tento dokument bude obsahovať dôkladnú analýzu rizík a zabezpečí, že všetky procesy spracúvania údajov budú v súlade s najnovšími legislatívnymi požiadavkami na ochranu osobných údajov."/>
    <m/>
    <x v="1"/>
    <x v="3"/>
  </r>
  <r>
    <s v="ID_48"/>
    <s v="Funkcna poziadavka"/>
    <s v="Legislatívna požiadavka"/>
    <s v="Legislatívna analýza"/>
    <s v="Vykonanie právnej analýzy legislatívy za účelom identifikácie potenciálnych legislatívnych prekážok pri sprístupňovaní údajov prostredníctvom informačných technológií v správe MIRRI pre službu „Moje dáta“"/>
    <m/>
    <x v="2"/>
    <x v="3"/>
  </r>
  <r>
    <s v="ID_49"/>
    <s v="Funkcna poziadavka"/>
    <s v="Legislatívna požiadavka"/>
    <s v="Legislatívna analýza"/>
    <s v="Výstupom analýzy legislatívy bude identifikácia potrieb legislatívnych úprav príslušnej legislatívy za účelom odstránenia identifikovaných prekážok spoločne s návrhom legislatívnej úpravy"/>
    <m/>
    <x v="2"/>
    <x v="3"/>
  </r>
  <r>
    <s v="ID_50"/>
    <s v="Funkcna poziadavka"/>
    <s v="Legislatíva"/>
    <s v="Legislatívna analýza údajov inštitúcie verejnej správy"/>
    <s v="Identifikovať konkrétne ustanovenia osobitných predpisov, ktoré vytvárajú zákonné prekážky aplikácie v realizačnej fáze projektu, a to pre každú realizovanú aktivitu v projekte v rozsahu konkrétnych objektov evidencie obsiahnutých v realizovanom projekte podľa dotknutých informačných systémov verejnej správy."/>
    <m/>
    <x v="1"/>
    <x v="3"/>
  </r>
  <r>
    <s v="ID_51"/>
    <s v="Funkcna poziadavka"/>
    <s v="Podpora a prevádzka"/>
    <s v="Zavedenie kontajnerizácie a škálovania"/>
    <s v="Zavedenie kontajnerizácie a škálovania"/>
    <m/>
    <x v="1"/>
    <x v="1"/>
  </r>
  <r>
    <s v="ID_52"/>
    <s v="Funkcna poziadavka"/>
    <s v="Kvalita a čistenie údajov"/>
    <s v="Zosúladenie s Centrálnym modelom údajov"/>
    <s v="Ak nie je dostupný relevantný dátový prvok (atribút), požadovať štandardizáciu a evidenciu nového prvku."/>
    <m/>
    <x v="3"/>
    <x v="4"/>
  </r>
  <r>
    <s v="ID_53"/>
    <s v="Funkcna poziadavka"/>
    <s v="Kvalita a čistenie údajov"/>
    <s v="Služby dátovej kvality = Asistované čistenie"/>
    <s v="Asistované čistenie _x000a__x000a_umožnenie dátovému kurátorovi špecifického OVM vykonávať nápravné opatrenia s cieľom zvýšiť dátovú kvalitu datasetu na základe zistenej nekvality _x000a__x000a_úlohou dátového kurátora bude rozhodnúť o správnosti resp. chybe v zázname a upraviť ho do požadovaného formátu pre špecifické pole _x000a__x000a_analyzovanie obsahu jedného alebo viacerých stĺpcov databázy na základe štandardov z dátového slovníka a na základe výsledkov analýzy vytváranie úloh na kontrolu a úpravu záznamov v používateľskom prostredí konzoly, kde dátový kurátor pomocou ponúknutých možností realizuje čistenie nekvalitných dátových záznamov a ich prípadnú úpravu. _x000a__x000a_analyzovanie obsahu databázy na základe biznis pravidiel, kde sa následne na základe výsledkov analýzy vygenerujú úlohy na kontrolu a úpravu záznamov v používateľskom prostredí konzoly, kde dátový kurátor pomocou ponúknutých možností realizuje čistenie nekvalitných dátových záznamov a ich prípadnú úpravu. "/>
    <m/>
    <x v="1"/>
    <x v="4"/>
  </r>
  <r>
    <s v="ID_54"/>
    <s v="Funkcna poziadavka"/>
    <s v="Kvalita a čistenie údajov"/>
    <s v="Služby dátovej kvality - Automatické stotožnenie "/>
    <s v="Automatické stotožnenie _x000a__x000a_stotožnenie bude realizované porovnaním záznamu so záznamom z referenčného registra _x000a__x000a_dátový kurátor OVM overí správnosť údajov v OE voči referenčnému registru automatizovane a teda všetky problémové záznamy v OE sú automaticky nahradené záznamami z referenčného registra "/>
    <m/>
    <x v="1"/>
    <x v="4"/>
  </r>
  <r>
    <s v="ID_55"/>
    <s v="Funkcna poziadavka"/>
    <s v="Kvalita a čistenie údajov"/>
    <s v="Monitoring a reporting o kvalite údajov"/>
    <s v="Automatizované zverejňovanie reportu o kvalite dát v informačných systémoch a vyhodnotenie voči požadovanej kvalite dát"/>
    <m/>
    <x v="3"/>
    <x v="4"/>
  </r>
  <r>
    <s v="ID_56"/>
    <s v="Funkcna poziadavka"/>
    <s v="Kvalita a čistenie údajov"/>
    <s v="Čistenie údajov"/>
    <s v="Čistenie údajov -  aktivita zameraná na úpravu hodnôt záznamov, alebo odstránenie duplicít (multiplicít) v zdrojových registroch (resp. databázach). Vyžaduje individuálne zásahy dodávateľa, tvorbu dodatočných analýz, alebo overovanie údajov v  agendových systémoch:_x000a_Čistenie údajov REGISTER 1"/>
    <m/>
    <x v="3"/>
    <x v="4"/>
  </r>
  <r>
    <s v="ID_57"/>
    <s v="Funkcna poziadavka"/>
    <s v="Kvalita a čistenie údajov"/>
    <s v="Čistenie údajov"/>
    <s v="Čistenie údajov -  aktivita zameraná na úpravu hodnôt záznamov, alebo odstránenie duplicít (multiplicít) v zdrojových registroch (resp. databázach). Vyžaduje individuálne zásahy dodávateľa, tvorbu dodatočných analýz, alebo overovanie údajov v  agendových systémoch:_x000a_Čistenie údajov REGISTER 2"/>
    <m/>
    <x v="1"/>
    <x v="4"/>
  </r>
  <r>
    <s v="ID_58"/>
    <s v="Funkcna poziadavka"/>
    <s v="Kvalita a čistenie údajov"/>
    <s v="Čistenie údajov"/>
    <s v="Čistenie údajov -  aktivita zameraná na úpravu hodnôt záznamov, alebo odstránenie duplicít (multiplicít) v zdrojových registroch (resp. databázach). Vyžaduje individuálne zásahy dodávateľa, tvorbu dodatočných analýz, alebo overovanie údajov v  agendových systémoch:_x000a_Čistenie údajov REGISTER 3"/>
    <m/>
    <x v="1"/>
    <x v="4"/>
  </r>
  <r>
    <s v="ID_59"/>
    <s v="Funkcna poziadavka"/>
    <s v="Kvalita a čistenie údajov"/>
    <s v="Definícia / popis vlastností atribútov"/>
    <s v="Definícia povinných vlastností údajov - Formulovanie povinných vlastností údajov na požadované hodnoty vlastností alebo vzťahov konkrétnych údajov. Budú opísané všetky dotknuté objekty evidencie v predkladanom projekte"/>
    <m/>
    <x v="3"/>
    <x v="4"/>
  </r>
  <r>
    <s v="ID_60"/>
    <s v="Funkcna poziadavka"/>
    <s v="Kvalita a čistenie údajov"/>
    <s v="Implementácia kontrol dátovej kvality na dáta vyťažené z digitalizovaných dokumentov"/>
    <s v="Dodávateľ navrhne a implementuje kontroly dátovej kvality na dáta vyťažené z dokumentov po digitalizácii (po analýze v implementačnej fáze projektu)"/>
    <m/>
    <x v="1"/>
    <x v="4"/>
  </r>
  <r>
    <s v="ID_61"/>
    <s v="Funkcna poziadavka"/>
    <s v="Kvalita a čistenie údajov"/>
    <s v="Biznis pravidlá dátovej kvality na úrovni objektov evidencie"/>
    <s v="Formulovanie biznis pravidiel na dátovú kvalitu na úrovni atribútov"/>
    <m/>
    <x v="3"/>
    <x v="4"/>
  </r>
  <r>
    <s v="ID_62"/>
    <s v="Funkcna poziadavka"/>
    <s v="Kvalita a čistenie údajov"/>
    <s v="Implemementácia procesov riadenia kvality dát"/>
    <s v="Implementácia procesov riadenia kvality dát v rámci celého životného cyklu údajov"/>
    <m/>
    <x v="3"/>
    <x v="4"/>
  </r>
  <r>
    <s v="ID_63"/>
    <s v="Funkcna poziadavka"/>
    <s v="Kvalita a čistenie údajov"/>
    <s v="Použitie základných číselníkov"/>
    <s v="Implementovať používanie zverejnených základných číselníkov na zabezpečenie interoperability údajov v rámci verejnej správy."/>
    <m/>
    <x v="1"/>
    <x v="4"/>
  </r>
  <r>
    <s v="ID_64"/>
    <s v="Funkcna poziadavka"/>
    <s v="Kvalita a čistenie údajov"/>
    <s v="Kontrola údajov z pohľadu konzistencie a duplicít"/>
    <s v="Modul bude vykonávať kontrolu obsahu datasetov na úplnosť , konzistentnosť a duplicitu údajov"/>
    <m/>
    <x v="3"/>
    <x v="4"/>
  </r>
  <r>
    <s v="ID_65"/>
    <s v="Funkcna poziadavka"/>
    <s v="Kvalita a čistenie údajov"/>
    <s v="Kontrola údajov z pohľadu neúplnosti"/>
    <s v="Modul musí umožniť vykonávať kontrolu obsahu datasetov na úplnosť štruktúry a kardinality väzieb objektov"/>
    <m/>
    <x v="3"/>
    <x v="4"/>
  </r>
  <r>
    <s v="ID_66"/>
    <s v="Funkcna poziadavka"/>
    <s v="Kvalita a čistenie údajov"/>
    <s v="Monitoring dátovej kvality"/>
    <s v="Monitoring dátovej kvality - vytvorenie automatizovaného alebo poloautomatizovaného riešenia merania DQ vhodné pre konkrétneho žiadateľa."/>
    <m/>
    <x v="3"/>
    <x v="4"/>
  </r>
  <r>
    <s v="ID_67"/>
    <s v="Funkcna poziadavka"/>
    <s v="Kvalita a čistenie údajov"/>
    <s v="Úprava OE pred testovaním"/>
    <s v="Nasadenie (novej transformácie) upraveného datasetu na testovacie prostredie  "/>
    <m/>
    <x v="0"/>
    <x v="4"/>
  </r>
  <r>
    <s v="ID_68"/>
    <s v="Funkcna poziadavka"/>
    <s v="Kvalita a čistenie údajov"/>
    <s v="Odstránenie duplicít v dátach"/>
    <s v="Odstránenie duplicít v dátach"/>
    <m/>
    <x v="3"/>
    <x v="4"/>
  </r>
  <r>
    <s v="ID_69"/>
    <s v="Funkcna poziadavka"/>
    <s v="Kvalita a čistenie údajov"/>
    <s v="Odstránenie preklepov a chýb v dátach"/>
    <s v="Odstránenie preklepov a chýb v dátach"/>
    <m/>
    <x v="3"/>
    <x v="4"/>
  </r>
  <r>
    <s v="ID_70"/>
    <s v="Funkcna poziadavka"/>
    <s v="Kvalita a čistenie údajov"/>
    <s v="Použitie referenčných údajov"/>
    <s v="Organizácia nebude zbierať ani vytvárať dáta, ktoré sú referenčnými údajmi, ale použije údaje z referenčných registrov."/>
    <m/>
    <x v="1"/>
    <x v="4"/>
  </r>
  <r>
    <s v="ID_71"/>
    <s v="Funkcna poziadavka"/>
    <s v="Kvalita a čistenie údajov"/>
    <s v="Identifikácia duplicitných dát"/>
    <s v="Systém umožní Identifikáciu duplicitných dát v dátových extraktoch"/>
    <m/>
    <x v="1"/>
    <x v="4"/>
  </r>
  <r>
    <s v="ID_72"/>
    <s v="Funkcna poziadavka"/>
    <s v="Kvalita a čistenie údajov"/>
    <s v="Prevencia nekvality"/>
    <s v="Úprava IS podľa nadefinovaných biznis pravidiel"/>
    <m/>
    <x v="3"/>
    <x v="4"/>
  </r>
  <r>
    <s v="ID_73"/>
    <s v="Funkcna poziadavka"/>
    <s v="Kvalita a čistenie údajov"/>
    <s v="Služby dátovej kvality - Validácia voči objektu evidencie (OE) "/>
    <s v="Validácia voči objektu evidencie (OE) _x000a__x000a_profilovanie dát vykonávané nad údajmi objektu evidencie _x000a__x000a_overenie špecifických biznis pravidiel vzťahujúcich sa k danému atribútu údajov, a to prostredníctvom validácie voči prvkom Dátového slovníka _x000a__x000a_Kontrola záznamov voči vopred definovaným štandardom, ktoré sú určené pre jednotlivé stĺpce v rámci špecifického záznamu - štandardy sú zadefinované na základe biznis pravidiel, ktoré hovoria o tom, ako by mali vyzerať kvalitné dáta v špecifickom zázname "/>
    <m/>
    <x v="1"/>
    <x v="4"/>
  </r>
  <r>
    <s v="ID_74"/>
    <s v="Funkcna poziadavka"/>
    <s v="Kvalita a čistenie údajov"/>
    <s v="Validácia transformácie"/>
    <s v="Validácia výstupov z testovania (využitie SHACL, ak je k dispozícií) a schválenie transformácie. "/>
    <m/>
    <x v="0"/>
    <x v="4"/>
  </r>
  <r>
    <s v="ID_75"/>
    <s v="Funkcna poziadavka"/>
    <s v="Kvalita a čistenie údajov"/>
    <s v="Služby dátovej kvality - Základná analýza dátovej kvality "/>
    <s v="Základná analýza dátovej kvality . Poskytnutie štatistík o stave zdrojových údajov a ich kvalite. V rámci služby dátovej kvality profilovania údajov je možné aplikovať na všetky vybrané atribúty (stĺpce) rôzne identifikátory na odhalenia dátovej nekvality, zároveň OVM môže definovať vlastné identifikátory na základe ich biznis požiadaviek pre identifikáciu špecifických nekvalít. "/>
    <m/>
    <x v="1"/>
    <x v="4"/>
  </r>
  <r>
    <s v="ID_76"/>
    <s v="Funkcna poziadavka"/>
    <s v="Kvalita a čistenie údajov"/>
    <s v="Implementácia pravidiel CMÚ"/>
    <s v="Zavedenie dátovej interoperability pre údaje ISVS_x000a_Dátová interoperabilita predstavuje zosúlaďovanie jednotnej identifikácie údajov a metaúdajov ISVS prostredníctvom URI Identifikátorov a pre opis dát použitie formálnych otvorených štandardov, tzv. CMÚ – Centrálny model údajov."/>
    <m/>
    <x v="1"/>
    <x v="4"/>
  </r>
  <r>
    <s v="ID_77"/>
    <s v="Funkcna poziadavka"/>
    <s v="Kvalita a čistenie údajov"/>
    <s v="Automatické kontroly údajov na vstupe"/>
    <s v="Zaviesť automatické kontroly údajov pri vstupe do systému, ktoré umožnia detekciu prvotných chýb a minimalizujú potrebu následných korekcií. (prevencia vzniku nekvality)."/>
    <m/>
    <x v="1"/>
    <x v="4"/>
  </r>
  <r>
    <s v="ID_78"/>
    <s v="Funkcna poziadavka"/>
    <s v="Integračná požiadavka"/>
    <s v="Integrácia na IS CPDI - konzumovanie"/>
    <s v="Integračné väzby identifikované v rámci špecifikácie požiadaviek"/>
    <m/>
    <x v="1"/>
    <x v="5"/>
  </r>
  <r>
    <s v="ID_79"/>
    <s v="Funkcna poziadavka"/>
    <s v="Integračná požiadavka"/>
    <s v="Integrácia na IS CPDI - poskytovanie"/>
    <s v="Integračné väzby identifikované v rámci špecifikácie požiadaviek"/>
    <m/>
    <x v="1"/>
    <x v="5"/>
  </r>
  <r>
    <s v="ID_80"/>
    <s v="Funkcna poziadavka"/>
    <s v="Integračná požiadavka"/>
    <s v="Integrácia na IS CPDI - konzumovanie"/>
    <s v="Rozšírenie konzumovania údajov (OE) z už zapojeného IS VS"/>
    <m/>
    <x v="1"/>
    <x v="5"/>
  </r>
  <r>
    <s v="ID_81"/>
    <s v="Funkcna poziadavka"/>
    <s v="Integračná požiadavka"/>
    <s v="Integrácia na IS CPDI - poskytovanie"/>
    <s v="Rozšírenie poskytovania údajov (OE) z už zapojeného IS VS"/>
    <m/>
    <x v="1"/>
    <x v="6"/>
  </r>
  <r>
    <s v="ID_82"/>
    <s v="Funkcna poziadavka"/>
    <s v="Integračná požiadavka"/>
    <s v="Integrácia na IS CPDI - konzumovanie"/>
    <s v="Zapojenie nového IS VS ako konzumenta údajov (OE)"/>
    <m/>
    <x v="1"/>
    <x v="6"/>
  </r>
  <r>
    <s v="ID_83"/>
    <s v="Funkcna poziadavka"/>
    <s v="Integračná požiadavka"/>
    <s v="Integrácia na IS CPDI - poskytovanie"/>
    <s v="Zapojenie nového IS VS ako poskytovateľa údajov (OE)"/>
    <m/>
    <x v="1"/>
    <x v="6"/>
  </r>
  <r>
    <s v="ID_84"/>
    <s v="Funkcna poziadavka"/>
    <s v="Implementačná požiadavka"/>
    <s v="Testovanie funkčných požiadaviek"/>
    <s v="Dodávateľ zabezpečí testovacie prípady pre testovanie všetkých funkčných požiadaviek a poskytne výstup testovania ako aj testovacie dáta vlastníkovi požiadavky."/>
    <m/>
    <x v="1"/>
    <x v="4"/>
  </r>
  <r>
    <s v="ID_85"/>
    <s v="Funkcna poziadavka"/>
    <s v="Dátová požiadavka"/>
    <s v="Návrh logického dátoveho modelu dodávateľom počas implementačnej fázy"/>
    <s v="Dodávateľ navrhne detailný logický dátový model po dôkladnej analýze dátových požiadaviek, vstupov  a dostupnosti dát. Tento logický dátový model bude slúžiť ako podklad pre návrh fyzického dátového modelu."/>
    <m/>
    <x v="1"/>
    <x v="4"/>
  </r>
  <r>
    <s v="ID_86"/>
    <s v="Funkcna poziadavka"/>
    <s v="Dátová požiadavka"/>
    <s v="Dátový slovník"/>
    <s v="Dodávateľ vytvorí dátový slovník, ktorý umožní jednoduchú orientáciu v existujúcich dátach"/>
    <m/>
    <x v="1"/>
    <x v="4"/>
  </r>
  <r>
    <s v="ID_87"/>
    <s v="Funkcna poziadavka"/>
    <s v="Automatizovaná tvorba a zverejňovanie otvorených údajov"/>
    <s v="Publikácia otvorených údajov v kvalite 3★"/>
    <s v="Systém umožní publikácie otvorených údajov v kvalite 3★"/>
    <m/>
    <x v="4"/>
    <x v="7"/>
  </r>
  <r>
    <s v="ID_88"/>
    <s v="Funkcna poziadavka"/>
    <s v="Automatizovaná tvorba a zverejňovanie otvorených údajov"/>
    <s v="Registrácia datasetov v centrálnom katalógu otvorených údajov"/>
    <s v="Systém umožní registrácie datasetov v centrálnom katalógu otvorených údajov na data.gov.sk"/>
    <m/>
    <x v="4"/>
    <x v="7"/>
  </r>
  <r>
    <s v="ID_89"/>
    <s v="Funkcna poziadavka"/>
    <s v="Kvalita a čistenie údajov"/>
    <s v="Transformácia datasetu do formátu RDF"/>
    <s v="Navrhnutie XSLT transformácie, ktorá definuje transformáciu vstupného datasetu (v obohatenej/stotožnenej forme) do výstupnej podoby podľa definovaného JSON-LD predpisu."/>
    <m/>
    <x v="3"/>
    <x v="4"/>
  </r>
  <r>
    <s v="ID_90"/>
    <s v="Funkcna poziadavka"/>
    <s v="Kvalita a čistenie údajov"/>
    <s v="Transformácia datasetu do formátu RDF"/>
    <s v="Overenie správnosti navrhnutej XSLT transformácie pomocou lokálnej (offline) verzie služby transformačného modulu."/>
    <m/>
    <x v="3"/>
    <x v="4"/>
  </r>
  <r>
    <s v="ID_91"/>
    <s v="Funkcna poziadavka"/>
    <s v="Kvalita a čistenie údajov"/>
    <s v="Nasadenie transformovaného datasetu vo formáte RDF"/>
    <s v="Zdrojový XML súbor je obohatený, a teda sú doňho pridané chýbajúce číselníky a opravené chybné záznamy prípadne štruktúra XML súboru. Výstupom je nový obohatený XML dátový súbor."/>
    <m/>
    <x v="3"/>
    <x v="4"/>
  </r>
  <r>
    <s v="ID_92"/>
    <s v="Funkcna poziadavka"/>
    <s v="Kvalita a čistenie údajov"/>
    <s v="Nasadenie transformovaného datasetu vo formáte RDF"/>
    <s v="Realizuje sa transformácie obohateného XML dátového súboru podľa vytvorenej XSLT transformácie v dátovej službe. Výstupom je súbor vo formáte JSON-LD."/>
    <m/>
    <x v="3"/>
    <x v="4"/>
  </r>
  <r>
    <s v="ID_93"/>
    <s v="Funkcna poziadavka"/>
    <s v="Kvalita a čistenie údajov"/>
    <s v="Nasadenie transformovaného datasetu vo formáte RDF"/>
    <s v="Kontrola transformovaného súboru, či spĺňa všetky požadované vlastnosti zadefinované v XSLT transformačnom predpise."/>
    <m/>
    <x v="3"/>
    <x v="4"/>
  </r>
  <r>
    <s v="ID_94"/>
    <s v="Funkcna poziadavka"/>
    <s v="Kvalita a čistenie údajov"/>
    <s v="Nasadenie transformovaného datasetu vo formáte RDF"/>
    <s v="Validácia správnosti a úplnosti transformácií na základe SHACL pravidiel."/>
    <m/>
    <x v="3"/>
    <x v="4"/>
  </r>
  <r>
    <s v="ID_95"/>
    <s v="Funkcna poziadavka"/>
    <s v="Integrácia"/>
    <s v="Integrácia objektu evidencie na IS MOU"/>
    <s v="Poskytnutie  údajov o prístupe k informácii  (bod výzvy a, c,d,e, f)  o OE1"/>
    <m/>
    <x v="1"/>
    <x v="5"/>
  </r>
  <r>
    <s v="ID_96"/>
    <s v="Funkcna poziadavka"/>
    <s v="Integrácia"/>
    <s v="Integrácia objektu evidencie na IS MOU"/>
    <s v="Poskytnutie  údajov o prístupe k informácii  (bod výzvy a, c,d,e, f)  o OE2"/>
    <m/>
    <x v="1"/>
    <x v="5"/>
  </r>
  <r>
    <s v="ID_97"/>
    <s v="Funkcna poziadavka"/>
    <s v="Integrácia"/>
    <s v="Integrácia objektu evidencie na IS MOU"/>
    <s v="Poskytnutie  údajov o prístupe k informácii  (bod výzvy a, c,d,e, f)  o OExy"/>
    <m/>
    <x v="1"/>
    <x v="5"/>
  </r>
  <r>
    <s v="ID_98"/>
    <s v="Funkcna poziadavka"/>
    <s v="Integrácia"/>
    <s v="Integrácia objektu evidencie na IS MOU"/>
    <s v="Poskytnutie údajov o OE1"/>
    <m/>
    <x v="1"/>
    <x v="5"/>
  </r>
  <r>
    <s v="ID_99"/>
    <s v="Funkcna poziadavka"/>
    <s v="Integrácia"/>
    <s v="Integrácia objektu evidencie na IS MOU"/>
    <s v="Poskytnutie údajov o OE2"/>
    <m/>
    <x v="1"/>
    <x v="5"/>
  </r>
  <r>
    <s v="ID_100"/>
    <s v="Funkcna poziadavka"/>
    <s v="Integrácia"/>
    <s v="Integrácia objektu evidencie na IS MOU"/>
    <s v="Poskytnutie údajov o OExy"/>
    <m/>
    <x v="1"/>
    <x v="5"/>
  </r>
  <r>
    <s v="ID_101"/>
    <s v="Funkcna poziadavka"/>
    <s v="Integrácia"/>
    <s v="Integrácia objektu evidencie na IS MOU"/>
    <s v="Poskytnutie zmenových dávok o OE1"/>
    <m/>
    <x v="1"/>
    <x v="5"/>
  </r>
  <r>
    <s v="ID_102"/>
    <s v="Funkcna poziadavka"/>
    <s v="Integrácia"/>
    <s v="Integrácia objektu evidencie na IS MOU"/>
    <s v="Poskytnutie zmenových dávok o OE2"/>
    <m/>
    <x v="1"/>
    <x v="5"/>
  </r>
  <r>
    <s v="ID_103"/>
    <s v="Funkcna poziadavka"/>
    <s v="Integrácia"/>
    <s v="Integrácia objektu evidencie na IS MOU"/>
    <s v="Poskytnutie zmenových dávok o OExy"/>
    <m/>
    <x v="1"/>
    <x v="5"/>
  </r>
  <r>
    <s v="ID_104"/>
    <s v="Funkcna poziadavka"/>
    <s v="Systematický manažmentu údajov"/>
    <s v="Definovanie biznis pravidiel pre atribúty"/>
    <s v="Expertné poradenstvo pri tvorbe biznis pravidiel za súčinnosti Externých konzultantov"/>
    <m/>
    <x v="1"/>
    <x v="8"/>
  </r>
  <r>
    <s v="ID_105"/>
    <s v="Funkcna poziadavka"/>
    <s v="Systematický manažmentu údajov"/>
    <s v="Evidencia údajov na úrovni atribútov"/>
    <s v="Implementovať správu dátového katalógu, ktorý bude základom efektívneho manažmentu dát."/>
    <m/>
    <x v="2"/>
    <x v="8"/>
  </r>
  <r>
    <s v="ID_106"/>
    <s v="Funkcna poziadavka"/>
    <s v="Kvalita a čistenie údajov"/>
    <s v="Nastavenie procesov riadenia kvality dát"/>
    <s v="Nastavenie procesov riadenia kvality dát v rámci celého životného cyklu údajov"/>
    <m/>
    <x v="2"/>
    <x v="8"/>
  </r>
  <r>
    <s v="ID_107"/>
    <s v="Funkcna poziadavka"/>
    <s v="Kvalita a čistenie údajov"/>
    <s v="Vstupná analýza datasetu pre transformáciu"/>
    <s v="Dataset, ktorý je predmetom analýzy, musí byť k dispozícii vo forme aspoň jednej dátovej inštancie vo formáte XML"/>
    <m/>
    <x v="2"/>
    <x v="8"/>
  </r>
  <r>
    <s v="ID_108"/>
    <s v="Funkcna poziadavka"/>
    <s v="Kvalita a čistenie údajov"/>
    <s v="Vstupná analýza datasetu pre transformáciu"/>
    <s v="Dataset, ktorý je predmetom analýzy, musí mať definovanú štruktúru vo formáte XSD schémy"/>
    <m/>
    <x v="2"/>
    <x v="8"/>
  </r>
  <r>
    <s v="ID_109"/>
    <s v="Funkcna poziadavka"/>
    <s v="Kvalita a čistenie údajov"/>
    <s v="Vstupná analýza datasetu pre transformáciu"/>
    <s v="Dátový súbor s popisom metadát XML súboru, ktorý je predmetom analýzy, musí byť dostupný v popisnom formáte XLS (štruktúra datasetu a biznis popis položiek)"/>
    <m/>
    <x v="2"/>
    <x v="8"/>
  </r>
  <r>
    <s v="ID_110"/>
    <s v="Funkcna poziadavka"/>
    <s v="Kvalita a čistenie údajov"/>
    <s v="Vstupná analýza datasetu pre transformáciu"/>
    <s v="Sprístupnenie popisov štruktúry a obsahu datasetu v XLS formáte"/>
    <m/>
    <x v="2"/>
    <x v="8"/>
  </r>
  <r>
    <s v="ID_111"/>
    <s v="Funkcna poziadavka"/>
    <s v="Kvalita a čistenie údajov"/>
    <s v="Vstupná analýza datasetu pre transformáciu"/>
    <s v="Analýza položiek/elementov datasetu"/>
    <m/>
    <x v="2"/>
    <x v="8"/>
  </r>
  <r>
    <s v="ID_112"/>
    <s v="Funkcna poziadavka"/>
    <s v="Kvalita a čistenie údajov"/>
    <s v="Vstupná analýza datasetu pre transformáciu"/>
    <s v="Analýza a pochopenie biznis povahy datasetu"/>
    <m/>
    <x v="2"/>
    <x v="8"/>
  </r>
  <r>
    <s v="ID_113"/>
    <s v="Funkcna poziadavka"/>
    <s v="Kvalita a čistenie údajov"/>
    <s v="Vstupná analýza datasetu pre transformáciu"/>
    <s v="Analýza schémy datasetu vo formáte XSD a validácia datasetu voči schéme"/>
    <m/>
    <x v="2"/>
    <x v="8"/>
  </r>
  <r>
    <s v="ID_114"/>
    <s v="Funkcna poziadavka"/>
    <s v="Kvalita a čistenie údajov"/>
    <s v="Vstupná analýza datasetu pre transformáciu"/>
    <s v="Analýza príkladu/príkladov konkrétnych inštancií datasetu vo formáte XML"/>
    <m/>
    <x v="2"/>
    <x v="8"/>
  </r>
  <r>
    <s v="ID_115"/>
    <s v="Funkcna poziadavka"/>
    <s v="Kvalita a čistenie údajov"/>
    <s v="Mapovanie na ontologické modely"/>
    <s v="Mapovanie štruktúr XML/XSD datasetu na ontologické modely  "/>
    <m/>
    <x v="2"/>
    <x v="8"/>
  </r>
  <r>
    <s v="ID_116"/>
    <s v="Funkcna poziadavka"/>
    <s v="Kvalita a čistenie údajov"/>
    <s v="Mapovanie na ontologické modely"/>
    <s v="Obohatenie vstupného XML datasetu s využitím metódy stotožnenia voči základným číselníkom"/>
    <m/>
    <x v="2"/>
    <x v="8"/>
  </r>
  <r>
    <s v="ID_117"/>
    <s v="Funkcna poziadavka"/>
    <s v="Kvalita a čistenie údajov"/>
    <s v="Mapovanie na ontologické modely"/>
    <s v="Mapovanie štruktúr XML datasetu na identifikované ontologické modely "/>
    <m/>
    <x v="2"/>
    <x v="8"/>
  </r>
  <r>
    <s v="ID_118"/>
    <s v="Funkcna poziadavka"/>
    <s v="Kvalita a čistenie údajov"/>
    <s v="Mapovanie na ontologické modely"/>
    <s v="Vytvorenie predpisu pre požadovaný RDF formát (JSON-LD) výstupného datasetu"/>
    <m/>
    <x v="2"/>
    <x v="8"/>
  </r>
  <r>
    <s v="ID_119"/>
    <s v="Funkcna poziadavka"/>
    <s v="Legislatíva"/>
    <s v="Legislatívna analýza údajov inštitúcie verejnej správy"/>
    <s v="Identifikovať potrebu novej legislatívy za účelom bezproblémovej realizácie projektu v rámci “to be” stavu, spolu s vypracovaním konkrétneho návrhu noviel súvisiacich právnych predpisov alebo vypracovaním návrhu nového právneho predpisu."/>
    <m/>
    <x v="1"/>
    <x v="9"/>
  </r>
  <r>
    <s v="ID_120"/>
    <s v="Funkcna poziadavka"/>
    <s v="Kvalita a čistenie údajov"/>
    <s v="Vytvorenie modulu dátovej kvality"/>
    <s v="Vytvorenie modulu, ktorý bude implementovať kontroly dátovej kvality na rôznych úrovniach spracovania dát (fáza extrakcie, transformácie a prípravy dát pre reporting). Modul bude poskytovať funkcionality dátovej kvality s cieľom zabezpečiť dátovú:_x000a_- Presnosť_x000a_- Konzistentnosť_x000a_- Správnosť_x000a_- Kompletnosť_x000a_- Unikátnosť_x000a_- Aktuálnosť_x000a_- Strojová spracovateľnosť_x000a_- Referenčná integrita"/>
    <m/>
    <x v="1"/>
    <x v="1"/>
  </r>
  <r>
    <s v="ID_121"/>
    <s v="Funkcna poziadavka"/>
    <s v="Integračná platforma, DW, MDM"/>
    <s v="MDM používateľské rozhranie"/>
    <s v="Systém bude disponovať používateľským rozhraním pre riadenie kmeňových dát (MDM)"/>
    <m/>
    <x v="1"/>
    <x v="1"/>
  </r>
  <r>
    <s v="ID_122"/>
    <s v="Funkcna poziadavka"/>
    <s v="Integračná platforma, DW, MDM"/>
    <s v="Používateľské rozhranie CIP"/>
    <s v="Systém umožní prístup používateľa prostredníctvom webového používateľského rozhrania pre prístup k funkciám najmä: vizualizácie dát, reportingu, dátovej správy (napr. DQ, MDM) podľa nastavených rolí a používateľských skupín."/>
    <m/>
    <x v="1"/>
    <x v="1"/>
  </r>
  <r>
    <s v="ID_123"/>
    <s v="Funkcna poziadavka"/>
    <s v="Vytvorenie strojovo spracovateľnej evidencie"/>
    <s v="A8"/>
    <s v="Pre návrh riešenia strojovo spracovateľnej evidencie musia byť použité služby generického registra alebo existujúceho technologického riešenia"/>
    <m/>
    <x v="1"/>
    <x v="9"/>
  </r>
  <r>
    <s v="ID_124"/>
    <s v="Funkcna poziadavka"/>
    <s v="Vytvorenie strojovo spracovateľnej evidencie"/>
    <s v="A8"/>
    <s v="Systém poskytne používateľské rozhrania pre vytvorenie, úpravu, zmazanie a prezeranie záznamov pre jednotlivé OE (Vytvorenie strojovo spracovateľnej evidencie pre každý objekt evidencie)"/>
    <m/>
    <x v="1"/>
    <x v="9"/>
  </r>
  <r>
    <s v="ID_125"/>
    <s v="Funkcna poziadavka"/>
    <s v="Vytvorenie strojovo spracovateľnej evidencie"/>
    <s v="A8"/>
    <s v="Systém poskytne používateľské rozhrania pre zobrazenie zoznamu a vyhľadávanie v jednotlivých OE podľa parametrov."/>
    <m/>
    <x v="1"/>
    <x v="9"/>
  </r>
  <r>
    <s v="ID_126"/>
    <s v="Funkcna poziadavka"/>
    <s v="Vytvorenie strojovo spracovateľnej evidencie"/>
    <s v="A8"/>
    <s v="Systém poskytne prehľadný dashboard pre vojaka so zobrazením potrebných informácií a vizualizáciou."/>
    <m/>
    <x v="1"/>
    <x v="9"/>
  </r>
  <r>
    <s v="ID_127"/>
    <s v="Funkcna poziadavka"/>
    <s v="Vytvorenie strojovo spracovateľnej evidencie"/>
    <s v="A8"/>
    <s v="Systém poskytne zdokumentované OpenAPI rozhrania pre každý OE."/>
    <m/>
    <x v="1"/>
    <x v="9"/>
  </r>
  <r>
    <s v="ID_128"/>
    <s v="Funkcna poziadavka"/>
    <s v="Vytvorenie strojovo spracovateľnej evidencie"/>
    <s v="A8"/>
    <s v="Systém umožní autentifikáciu a prihlásenie používateľa."/>
    <m/>
    <x v="1"/>
    <x v="9"/>
  </r>
  <r>
    <s v="ID_129"/>
    <s v="Funkcna poziadavka"/>
    <s v="Vytvorenie strojovo spracovateľnej evidencie"/>
    <s v="A8"/>
    <s v="Systém umožní automatické dopĺňanie adries na základe poskytnutých dát z referenčného registra RA."/>
    <m/>
    <x v="1"/>
    <x v="9"/>
  </r>
  <r>
    <s v="ID_130"/>
    <s v="Funkcna poziadavka"/>
    <s v="Vytvorenie strojovo spracovateľnej evidencie"/>
    <s v="A8"/>
    <s v="Systém umožní export dát do štandardných formátov ako csv, docx a pdf"/>
    <m/>
    <x v="1"/>
    <x v="9"/>
  </r>
  <r>
    <s v="ID_131"/>
    <s v="Funkcna poziadavka"/>
    <s v="Vytvorenie strojovo spracovateľnej evidencie"/>
    <s v="A8"/>
    <s v="Systém umožní ku OE uchovávať a následne aj poskytovať prílohy vo formáte štandardných dokumentov ako sú PDF, docx, rtf, xlsx a csv"/>
    <m/>
    <x v="1"/>
    <x v="9"/>
  </r>
  <r>
    <s v="ID_132"/>
    <s v="Funkcna poziadavka"/>
    <s v="Vytvorenie strojovo spracovateľnej evidencie"/>
    <s v="A8"/>
    <s v="Systém zabezpečí históriu verzií Objektov evidencie spolu s autorom danej verzie a umožní používateľovi obnoviť staršiu verziu."/>
    <m/>
    <x v="1"/>
    <x v="9"/>
  </r>
  <r>
    <s v="ID_133"/>
    <s v="Funkcna poziadavka"/>
    <s v="Vytvorenie strojovo spracovateľnej evidencie"/>
    <s v="A8"/>
    <s v="Systém zabezpečí kompletné audit logovanie všetkých akcií systému, či už pri správe záznamov alebo pri prezeraní záznamov používateľmi."/>
    <m/>
    <x v="1"/>
    <x v="9"/>
  </r>
  <r>
    <s v="ID_134"/>
    <s v="Funkcna poziadavka"/>
    <s v="Vytvorenie strojovo spracovateľnej evidencie"/>
    <s v="A8"/>
    <s v="Systém zabezpečí riadenie prístupov a oprávnení v súlade s požiadavkami na vysokú bezpečnosť, ochranu osobných údajov a rôzne úrovne prístupu k údajom"/>
    <m/>
    <x v="1"/>
    <x v="9"/>
  </r>
  <r>
    <s v="ID_135"/>
    <s v="Funkcna poziadavka"/>
    <s v="Vytvorenie strojovo spracovateľnej evidencie"/>
    <s v="A8"/>
    <s v="Systém zabezpečí strojovo spracovateľné evidencie tak, že budú integrované s Centrálnou integračnou platformou (IS CIP)"/>
    <m/>
    <x v="1"/>
    <x v="9"/>
  </r>
  <r>
    <s v="ID_136"/>
    <s v="Funkcna poziadavka"/>
    <s v="Vytvorenie strojovo spracovateľnej evidencie"/>
    <s v="A8"/>
    <s v="V prípade, že evidencia obsahuje údaje o objektoch evidencie, ktoré sa týkajú fyzickej alebo právnickej osoby, tak poskytuje tieto údaje pre službu moje dáta."/>
    <m/>
    <x v="1"/>
    <x v="9"/>
  </r>
  <r>
    <s v="ID_137"/>
    <s v="Funkcna poziadavka"/>
    <s v="Register"/>
    <s v="Vybudovanie nového zdrojového registra alebo strojovo-spracovateľného objektu evidencie"/>
    <s v="..."/>
    <m/>
    <x v="1"/>
    <x v="9"/>
  </r>
  <r>
    <s v="ID_138"/>
    <s v="Funkcna poziadavka"/>
    <s v="Integračná požiadavka"/>
    <s v="Integrácia s inými systémami"/>
    <s v="Integrácia s inými systémami musí byť implementovaná pomocou webových služieb, FTP alebo  integračnej databázy a musí byť kompatibilná s existujúcimi integračnými komponentmi. V prípade offline integrácie po zvážení možnosti môže byť použitý import súborov v definovanej štruktúre."/>
    <m/>
    <x v="1"/>
    <x v="1"/>
  </r>
  <r>
    <s v="ID_139"/>
    <s v="Funkcna poziadavka"/>
    <s v="Realizácia dátovej integrácie na centrálnu platformu"/>
    <s v="Logovanie komunikácie"/>
    <s v="Modul musí zaznamenávať všetky eventy a zmeny stavov komunikáčných tokov"/>
    <m/>
    <x v="1"/>
    <x v="0"/>
  </r>
  <r>
    <s v="ID_140"/>
    <s v="Funkcna poziadavka"/>
    <s v="Integračná požiadavka"/>
    <s v="Publikovanie eSlužieb do multikanálového prostredia"/>
    <s v="Všetky nové publikované REST služby budú popísané pomocou štandardu OpenAPI 3.0 (a vyšším). Tieto definičné súbory budú publikované na MetaIS, odkiaľ ich bude možné (automatizovane) nasadzovať na centrálnu bránu - WebAPI GW. Pri dokumentácii je zároveň potrebné aplikovať ustanovenia vyhlášky Úradu podpredsedu vlády Slovenskej republiky pre investície a informatizáciu č. 78/2020 Z.z. o štandardoch pre informačné technológie verejnej správy týkajúce sa URI."/>
    <m/>
    <x v="1"/>
    <x v="0"/>
  </r>
  <r>
    <s v="ID_141"/>
    <s v="Funkcna poziadavka"/>
    <s v="Kvalita a čistenie údajov"/>
    <s v="Biznis pravidlá dátovej kvality na úrovni objektov evidencie"/>
    <s v="Aplikácia biznis pravidiel pre kvalitu dát v REG (Register XYZ, REGISTER ZZZ"/>
    <m/>
    <x v="1"/>
    <x v="0"/>
  </r>
  <r>
    <s v="ID_142"/>
    <s v="Funkcna poziadavka"/>
    <s v="Kvalita a čistenie údajov"/>
    <s v="Kontrola údajov z pohľadu konzistencie a duplicít"/>
    <s v="Modul bude vykonávať kontrolu obsahu datasetov na úplnosť , konzistentnosť a duplicitu údajov"/>
    <m/>
    <x v="1"/>
    <x v="4"/>
  </r>
  <r>
    <s v="ID_143"/>
    <s v="Funkcna poziadavka"/>
    <s v="Kvalita a čistenie údajov"/>
    <s v="Kontrola údajov z pohľadu neúplnosti"/>
    <s v="Modul musí umožniť vykonávať kontrolu obsahu datasetov na úplnosť štruktúry a kardinality väzieb objektov"/>
    <m/>
    <x v="1"/>
    <x v="4"/>
  </r>
  <r>
    <s v="ID_144"/>
    <s v="Funkcna poziadavka"/>
    <s v="Kvalita a čistenie údajov"/>
    <s v="Registrácia datasetov v Národnom katalógu otvorených údajov"/>
    <s v="Systém umožní registrácie datasetov v centrálnom katalógu otvorených údajov na data.gov.sk"/>
    <m/>
    <x v="4"/>
    <x v="7"/>
  </r>
  <r>
    <s v="ID_145"/>
    <s v="Funkcna poziadavka"/>
    <s v="Kvalita a čistenie údajov"/>
    <s v="Dodržanie dátových štandardov"/>
    <s v="Zabezpečenie technickej interoperability ISVS je zavedenie a používanie URI (Jednotného referencovateľného identifikátora) na všetky kľúčové entity informačných systémov verejnej správy v zmysle o vyhlášky MIRRI č. 78/2020 Z. z. o štandardoch pre informačné technológie verejnej správy"/>
    <m/>
    <x v="1"/>
    <x v="0"/>
  </r>
  <r>
    <s v="ID_146"/>
    <s v="Funkcna poziadavka"/>
    <s v="Integračná platforma, DW, MDM"/>
    <s v="Implementácia Dátového modelu"/>
    <s v="Dodávateľ zabezpečí implementáciu dátového modelu - vytvorenie fyzickej dátovej štruktúry "/>
    <m/>
    <x v="1"/>
    <x v="1"/>
  </r>
  <r>
    <s v="ID_147"/>
    <s v="Funkcna poziadavka"/>
    <s v="Integračná platforma, DW, MDM"/>
    <s v="Vytvorenie modulu pre reporting"/>
    <s v="Vytvorenie modulu ktorý bude umožnovať analýzu a vizualizáciu dát vo vopred špecifikovaných reportoch, alebo v reporte vytvoreným používateľom"/>
    <m/>
    <x v="1"/>
    <x v="1"/>
  </r>
  <r>
    <s v="ID_148"/>
    <s v="Funkcna poziadavka"/>
    <s v="Integračná platforma, DW, MDM"/>
    <s v="Vytvorenie modulu pre Master Data Management (MDM)"/>
    <s v="Vytvorenie modulu, ktorý bude implementovať procesy Master Data Managementu (MDM) - správy dát"/>
    <m/>
    <x v="1"/>
    <x v="1"/>
  </r>
  <r>
    <s v="ID_149"/>
    <s v="Funkcna poziadavka"/>
    <s v="Automatizovaná tvorba a zverejňovanie otvorených údajov"/>
    <s v="Príprava datasetov"/>
    <s v="Modul bude spracovávať datasety pre funkcionalitu Open Data"/>
    <m/>
    <x v="4"/>
    <x v="7"/>
  </r>
  <r>
    <s v="ID_150"/>
    <s v="Funkcna poziadavka"/>
    <s v="A6"/>
    <s v="A6"/>
    <s v="Automatizácia vykonania pseudonymizácie OE podľa nastavených konfiguračných parametrov a pravidiel pseudonymizácie. Implementácia algoritmov pseudonymizácie a automatizovaných úloh realizujúcich prevzatie dát, ich pseudonymizáciu a sprístupnenie pseudonymizovaných dát na prevzatie do ďalšieho spracovania. Vytvorenie používateľského rozhrania pre monitoring a ovládanie pseudonymizačných úloh."/>
    <m/>
    <x v="2"/>
    <x v="10"/>
  </r>
  <r>
    <s v="ID_151"/>
    <s v="Funkcna poziadavka"/>
    <s v="A6"/>
    <s v="A6"/>
    <s v="Integrácia dátového zdroja OE, konfigurácia pravidiel pravidelného preberania dát (celkových alebo inkrementov zmien) určených na pseudonymizáciu, anonymizáciu a ďalšie analytické spracovanie. "/>
    <m/>
    <x v="2"/>
    <x v="10"/>
  </r>
  <r>
    <s v="ID_152"/>
    <s v="Funkcna poziadavka"/>
    <s v="A6"/>
    <s v="A6"/>
    <s v="Logovanie, vytváranie auditného žurnálu aktivít súvisiacich s nastavením a vykonávaním pseudonymizácie. Monitoring stavu modulov a úloh súvisiacich s pseudonymizáciou."/>
    <m/>
    <x v="2"/>
    <x v="10"/>
  </r>
  <r>
    <s v="ID_153"/>
    <s v="Funkcna poziadavka"/>
    <s v="A6"/>
    <s v="A6"/>
    <s v="Možnosť konfigurácie pseudonymizácie údajov na úrovni OE (ako súčasť Obslužnej zóny), jednotlivých atribútov OE a výberom typov a rozsahu pseudonymizácie"/>
    <m/>
    <x v="2"/>
    <x v="10"/>
  </r>
  <r>
    <s v="ID_154"/>
    <s v="Funkcna poziadavka"/>
    <s v="A6"/>
    <s v="A6"/>
    <s v="Príjem objektov evidencie (OE) pre pseudonymizáciu a ich metaúdajov pre popis OE a určenie parametrov pre pseudonymizáciu. "/>
    <m/>
    <x v="2"/>
    <x v="10"/>
  </r>
  <r>
    <s v="ID_155"/>
    <s v="Funkcna poziadavka"/>
    <s v="A6"/>
    <s v="A6"/>
    <s v="Sprístupnenie anonymizovaných a pseudonymizovaných OE a ich metadát pre ich prevzatie na ďalšie automatizované spracúvanie ."/>
    <m/>
    <x v="2"/>
    <x v="10"/>
  </r>
  <r>
    <s v="ID_156"/>
    <s v="Funkcna poziadavka"/>
    <s v="A6"/>
    <s v="A6"/>
    <s v="Sprístupnenie zoznamu a popisu OE (vrátane ich popisu-metadát) každej organizácie poskytnutých pre pseudonymizáciu a analytické spracovanie ( poskytované ako hromadné dávkové exporty štruktúrovaných dát všetkých záznamov OE)."/>
    <m/>
    <x v="2"/>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54E7C9-2140-4189-A96B-D003827C9513}" name="Kontingenčná tabuľka1" cacheId="1"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B32" firstHeaderRow="1" firstDataRow="1" firstDataCol="1"/>
  <pivotFields count="8">
    <pivotField showAll="0"/>
    <pivotField showAll="0"/>
    <pivotField showAll="0"/>
    <pivotField showAll="0"/>
    <pivotField dataField="1" showAll="0"/>
    <pivotField showAll="0"/>
    <pivotField axis="axisRow" showAll="0">
      <items count="6">
        <item x="4"/>
        <item x="1"/>
        <item x="3"/>
        <item x="2"/>
        <item x="0"/>
        <item t="default"/>
      </items>
    </pivotField>
    <pivotField axis="axisRow" showAll="0">
      <items count="12">
        <item x="0"/>
        <item x="2"/>
        <item x="3"/>
        <item x="4"/>
        <item x="5"/>
        <item x="6"/>
        <item x="7"/>
        <item x="10"/>
        <item x="8"/>
        <item x="9"/>
        <item x="1"/>
        <item t="default"/>
      </items>
    </pivotField>
  </pivotFields>
  <rowFields count="2">
    <field x="7"/>
    <field x="6"/>
  </rowFields>
  <rowItems count="29">
    <i>
      <x/>
    </i>
    <i r="1">
      <x v="1"/>
    </i>
    <i r="1">
      <x v="4"/>
    </i>
    <i>
      <x v="1"/>
    </i>
    <i r="1">
      <x v="1"/>
    </i>
    <i r="1">
      <x v="3"/>
    </i>
    <i>
      <x v="2"/>
    </i>
    <i r="1">
      <x v="1"/>
    </i>
    <i r="1">
      <x v="3"/>
    </i>
    <i>
      <x v="3"/>
    </i>
    <i r="1">
      <x v="1"/>
    </i>
    <i r="1">
      <x v="2"/>
    </i>
    <i r="1">
      <x v="4"/>
    </i>
    <i>
      <x v="4"/>
    </i>
    <i r="1">
      <x v="1"/>
    </i>
    <i>
      <x v="5"/>
    </i>
    <i r="1">
      <x v="1"/>
    </i>
    <i>
      <x v="6"/>
    </i>
    <i r="1">
      <x/>
    </i>
    <i>
      <x v="7"/>
    </i>
    <i r="1">
      <x v="3"/>
    </i>
    <i>
      <x v="8"/>
    </i>
    <i r="1">
      <x v="1"/>
    </i>
    <i r="1">
      <x v="3"/>
    </i>
    <i>
      <x v="9"/>
    </i>
    <i r="1">
      <x v="1"/>
    </i>
    <i>
      <x v="10"/>
    </i>
    <i r="1">
      <x v="1"/>
    </i>
    <i t="grand">
      <x/>
    </i>
  </rowItems>
  <colItems count="1">
    <i/>
  </colItems>
  <dataFields count="1">
    <dataField name="Počet z DETAILNÝ POPIS POŽIADAVKY"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pa.s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1.bin"/><Relationship Id="rId1" Type="http://schemas.openxmlformats.org/officeDocument/2006/relationships/hyperlink" Target="https://www.slov-lex.sk/pravne-predpisy/SK/ZZ/2023/401/"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opLeftCell="A7" workbookViewId="0">
      <selection activeCell="E43" sqref="E43"/>
    </sheetView>
  </sheetViews>
  <sheetFormatPr baseColWidth="10" defaultColWidth="8.6640625" defaultRowHeight="15" x14ac:dyDescent="0.2"/>
  <cols>
    <col min="2" max="2" width="11.6640625" customWidth="1"/>
    <col min="4" max="4" width="6.5" customWidth="1"/>
    <col min="6" max="6" width="7.6640625" customWidth="1"/>
    <col min="7" max="7" width="12.33203125" customWidth="1"/>
    <col min="8" max="8" width="6" customWidth="1"/>
    <col min="9" max="9" width="14.33203125" customWidth="1"/>
  </cols>
  <sheetData>
    <row r="1" spans="1:18" x14ac:dyDescent="0.2">
      <c r="A1" s="34"/>
      <c r="B1" s="34"/>
      <c r="C1" s="34"/>
      <c r="D1" s="34"/>
      <c r="E1" s="34"/>
      <c r="F1" s="34"/>
      <c r="G1" s="34"/>
      <c r="H1" s="34"/>
      <c r="I1" s="34"/>
      <c r="J1" s="236"/>
      <c r="K1" s="237"/>
      <c r="L1" s="237"/>
      <c r="M1" s="237"/>
      <c r="N1" s="237"/>
      <c r="O1" s="237"/>
      <c r="P1" s="237"/>
      <c r="Q1" s="237"/>
      <c r="R1" s="237"/>
    </row>
    <row r="2" spans="1:18" x14ac:dyDescent="0.2">
      <c r="A2" s="34"/>
      <c r="B2" s="34"/>
      <c r="C2" s="34"/>
      <c r="D2" s="34"/>
      <c r="E2" s="34"/>
      <c r="F2" s="34"/>
      <c r="G2" s="34"/>
      <c r="H2" s="34"/>
      <c r="I2" s="34"/>
      <c r="J2" s="237"/>
      <c r="K2" s="237"/>
      <c r="L2" s="237"/>
      <c r="M2" s="237"/>
      <c r="N2" s="237"/>
      <c r="O2" s="237"/>
      <c r="P2" s="237"/>
      <c r="Q2" s="237"/>
      <c r="R2" s="237"/>
    </row>
    <row r="3" spans="1:18" ht="15" customHeight="1" x14ac:dyDescent="0.2">
      <c r="A3" s="34"/>
      <c r="B3" s="34"/>
      <c r="C3" s="34"/>
      <c r="D3" s="34"/>
      <c r="E3" s="34"/>
      <c r="F3" s="34"/>
      <c r="G3" s="34"/>
      <c r="H3" s="34"/>
      <c r="I3" s="34"/>
      <c r="J3" s="237"/>
      <c r="K3" s="237"/>
      <c r="L3" s="237"/>
      <c r="M3" s="237"/>
      <c r="N3" s="237"/>
      <c r="O3" s="237"/>
      <c r="P3" s="237"/>
      <c r="Q3" s="237"/>
      <c r="R3" s="237"/>
    </row>
    <row r="4" spans="1:18" ht="15" customHeight="1" x14ac:dyDescent="0.2">
      <c r="A4" s="34"/>
      <c r="B4" s="34"/>
      <c r="C4" s="34"/>
      <c r="D4" s="34"/>
      <c r="E4" s="34"/>
      <c r="F4" s="34"/>
      <c r="G4" s="34"/>
      <c r="H4" s="34"/>
      <c r="I4" s="34"/>
      <c r="J4" s="237"/>
      <c r="K4" s="237"/>
      <c r="L4" s="237"/>
      <c r="M4" s="237"/>
      <c r="N4" s="237"/>
      <c r="O4" s="237"/>
      <c r="P4" s="237"/>
      <c r="Q4" s="237"/>
      <c r="R4" s="237"/>
    </row>
    <row r="5" spans="1:18" x14ac:dyDescent="0.2">
      <c r="A5" s="34"/>
      <c r="B5" s="34"/>
      <c r="C5" s="34"/>
      <c r="D5" s="34"/>
      <c r="E5" s="34"/>
      <c r="F5" s="34"/>
      <c r="G5" s="34"/>
      <c r="H5" s="34"/>
      <c r="I5" s="34"/>
      <c r="J5" s="237"/>
      <c r="K5" s="237"/>
      <c r="L5" s="237"/>
      <c r="M5" s="237"/>
      <c r="N5" s="237"/>
      <c r="O5" s="237"/>
      <c r="P5" s="237"/>
      <c r="Q5" s="237"/>
      <c r="R5" s="237"/>
    </row>
    <row r="6" spans="1:18" ht="57.75" customHeight="1" x14ac:dyDescent="0.2">
      <c r="A6" s="753" t="s">
        <v>0</v>
      </c>
      <c r="B6" s="753"/>
      <c r="C6" s="753"/>
      <c r="D6" s="753"/>
      <c r="E6" s="753"/>
      <c r="F6" s="753"/>
      <c r="G6" s="753"/>
      <c r="H6" s="753"/>
      <c r="I6" s="753"/>
      <c r="J6" s="237"/>
      <c r="K6" s="237"/>
      <c r="L6" s="237"/>
      <c r="M6" s="237"/>
      <c r="N6" s="237"/>
      <c r="O6" s="237"/>
      <c r="P6" s="237"/>
      <c r="Q6" s="237"/>
      <c r="R6" s="237"/>
    </row>
    <row r="7" spans="1:18" x14ac:dyDescent="0.2">
      <c r="A7" s="754"/>
      <c r="B7" s="754"/>
      <c r="C7" s="754"/>
      <c r="D7" s="754"/>
      <c r="E7" s="754"/>
      <c r="F7" s="754"/>
      <c r="G7" s="754"/>
      <c r="H7" s="754"/>
      <c r="I7" s="754"/>
      <c r="J7" s="237"/>
      <c r="K7" s="607" t="s">
        <v>1</v>
      </c>
      <c r="L7" s="237"/>
      <c r="M7" s="237"/>
      <c r="N7" s="237"/>
      <c r="O7" s="237"/>
      <c r="P7" s="237"/>
      <c r="Q7" s="237"/>
      <c r="R7" s="237"/>
    </row>
    <row r="8" spans="1:18" ht="3.75" customHeight="1" x14ac:dyDescent="0.2">
      <c r="A8" s="754"/>
      <c r="B8" s="754"/>
      <c r="C8" s="754"/>
      <c r="D8" s="754"/>
      <c r="E8" s="754"/>
      <c r="F8" s="754"/>
      <c r="G8" s="754"/>
      <c r="H8" s="754"/>
      <c r="I8" s="754"/>
      <c r="J8" s="237"/>
      <c r="K8" s="237"/>
      <c r="L8" s="237"/>
      <c r="M8" s="237"/>
      <c r="N8" s="237"/>
      <c r="O8" s="237"/>
      <c r="P8" s="237"/>
      <c r="Q8" s="237"/>
      <c r="R8" s="237"/>
    </row>
    <row r="9" spans="1:18" ht="14.25" hidden="1" customHeight="1" x14ac:dyDescent="0.2">
      <c r="A9" s="754"/>
      <c r="B9" s="754"/>
      <c r="C9" s="754"/>
      <c r="D9" s="754"/>
      <c r="E9" s="754"/>
      <c r="F9" s="754"/>
      <c r="G9" s="754"/>
      <c r="H9" s="754"/>
      <c r="I9" s="754"/>
      <c r="J9" s="237"/>
      <c r="K9" s="237"/>
      <c r="L9" s="237"/>
      <c r="M9" s="237"/>
      <c r="N9" s="237"/>
      <c r="O9" s="237"/>
      <c r="P9" s="237"/>
      <c r="Q9" s="237"/>
      <c r="R9" s="237"/>
    </row>
    <row r="10" spans="1:18" ht="15" customHeight="1" x14ac:dyDescent="0.2">
      <c r="A10" s="34"/>
      <c r="B10" s="34"/>
      <c r="C10" s="34"/>
      <c r="D10" s="34"/>
      <c r="E10" s="34"/>
      <c r="F10" s="34"/>
      <c r="G10" s="34"/>
      <c r="H10" s="34"/>
      <c r="I10" s="34"/>
      <c r="J10" s="237"/>
      <c r="K10" s="237"/>
      <c r="L10" s="237"/>
      <c r="M10" s="237"/>
      <c r="N10" s="237"/>
      <c r="O10" s="237"/>
      <c r="P10" s="237"/>
      <c r="Q10" s="237"/>
      <c r="R10" s="237"/>
    </row>
    <row r="11" spans="1:18" x14ac:dyDescent="0.2">
      <c r="B11" s="34"/>
      <c r="C11" s="34"/>
      <c r="D11" s="34"/>
      <c r="E11" s="34"/>
      <c r="F11" s="34"/>
      <c r="G11" s="34"/>
      <c r="H11" s="34"/>
      <c r="I11" s="34"/>
      <c r="J11" s="237"/>
      <c r="K11" s="237"/>
      <c r="L11" s="237"/>
      <c r="M11" s="237"/>
      <c r="N11" s="237"/>
      <c r="O11" s="237"/>
      <c r="P11" s="237"/>
      <c r="Q11" s="237"/>
      <c r="R11" s="237"/>
    </row>
    <row r="12" spans="1:18" ht="16" thickBot="1" x14ac:dyDescent="0.25">
      <c r="B12" s="34"/>
      <c r="C12" s="34"/>
      <c r="D12" s="34"/>
      <c r="E12" s="34"/>
      <c r="F12" s="34"/>
      <c r="G12" s="34"/>
      <c r="H12" s="34"/>
      <c r="I12" s="34"/>
      <c r="J12" s="237"/>
      <c r="K12" s="237"/>
      <c r="L12" s="237"/>
      <c r="M12" s="237"/>
      <c r="N12" s="237"/>
      <c r="O12" s="237"/>
      <c r="P12" s="237"/>
      <c r="Q12" s="237"/>
      <c r="R12" s="237"/>
    </row>
    <row r="13" spans="1:18" x14ac:dyDescent="0.2">
      <c r="A13" s="755" t="s">
        <v>2</v>
      </c>
      <c r="B13" s="756"/>
      <c r="C13" s="757" t="s">
        <v>1302</v>
      </c>
      <c r="D13" s="757"/>
      <c r="E13" s="757"/>
      <c r="F13" s="757"/>
      <c r="G13" s="757"/>
      <c r="H13" s="757"/>
      <c r="I13" s="758"/>
      <c r="J13" s="237"/>
      <c r="K13" s="237"/>
      <c r="L13" s="237"/>
      <c r="M13" s="237"/>
      <c r="N13" s="237"/>
      <c r="O13" s="237"/>
      <c r="P13" s="237"/>
      <c r="Q13" s="237"/>
      <c r="R13" s="237"/>
    </row>
    <row r="14" spans="1:18" x14ac:dyDescent="0.2">
      <c r="A14" s="733" t="s">
        <v>3</v>
      </c>
      <c r="B14" s="734"/>
      <c r="C14" s="750"/>
      <c r="D14" s="750"/>
      <c r="E14" s="750"/>
      <c r="F14" s="750"/>
      <c r="G14" s="750"/>
      <c r="H14" s="750"/>
      <c r="I14" s="751"/>
      <c r="J14" s="237"/>
      <c r="K14" s="237"/>
      <c r="L14" s="237"/>
      <c r="M14" s="237"/>
      <c r="N14" s="237"/>
      <c r="O14" s="237"/>
      <c r="P14" s="237"/>
      <c r="Q14" s="237"/>
      <c r="R14" s="237"/>
    </row>
    <row r="15" spans="1:18" ht="30.75" customHeight="1" x14ac:dyDescent="0.2">
      <c r="A15" s="733" t="s">
        <v>4</v>
      </c>
      <c r="B15" s="734"/>
      <c r="C15" s="750"/>
      <c r="D15" s="750"/>
      <c r="E15" s="750"/>
      <c r="F15" s="750"/>
      <c r="G15" s="750"/>
      <c r="H15" s="750"/>
      <c r="I15" s="751"/>
      <c r="J15" s="237"/>
      <c r="K15" s="237"/>
      <c r="L15" s="237"/>
      <c r="M15" s="237"/>
      <c r="N15" s="237"/>
      <c r="O15" s="237"/>
      <c r="P15" s="237"/>
      <c r="Q15" s="237"/>
      <c r="R15" s="237"/>
    </row>
    <row r="16" spans="1:18" ht="14.75" customHeight="1" x14ac:dyDescent="0.2">
      <c r="A16" s="733" t="s">
        <v>5</v>
      </c>
      <c r="B16" s="734"/>
      <c r="C16" s="750" t="s">
        <v>1298</v>
      </c>
      <c r="D16" s="750"/>
      <c r="E16" s="750"/>
      <c r="F16" s="750"/>
      <c r="G16" s="750"/>
      <c r="H16" s="750"/>
      <c r="I16" s="751"/>
      <c r="J16" s="237"/>
      <c r="K16" s="237"/>
      <c r="L16" s="237"/>
      <c r="M16" s="237"/>
      <c r="N16" s="237"/>
      <c r="O16" s="237"/>
      <c r="P16" s="237"/>
      <c r="Q16" s="237"/>
      <c r="R16" s="237"/>
    </row>
    <row r="17" spans="1:18" x14ac:dyDescent="0.2">
      <c r="A17" s="733" t="s">
        <v>6</v>
      </c>
      <c r="B17" s="734"/>
      <c r="C17" s="750" t="s">
        <v>1299</v>
      </c>
      <c r="D17" s="750"/>
      <c r="E17" s="750"/>
      <c r="F17" s="750"/>
      <c r="G17" s="750"/>
      <c r="H17" s="750"/>
      <c r="I17" s="751"/>
      <c r="J17" s="237"/>
      <c r="K17" s="237"/>
      <c r="L17" s="237"/>
      <c r="M17" s="237"/>
      <c r="N17" s="237"/>
      <c r="O17" s="237"/>
      <c r="P17" s="237"/>
      <c r="Q17" s="237"/>
      <c r="R17" s="237"/>
    </row>
    <row r="18" spans="1:18" x14ac:dyDescent="0.2">
      <c r="A18" s="733" t="s">
        <v>7</v>
      </c>
      <c r="B18" s="734"/>
      <c r="C18" s="750" t="s">
        <v>1300</v>
      </c>
      <c r="D18" s="750"/>
      <c r="E18" s="750"/>
      <c r="F18" s="750"/>
      <c r="G18" s="750"/>
      <c r="H18" s="750"/>
      <c r="I18" s="751"/>
      <c r="J18" s="237"/>
      <c r="K18" s="237"/>
      <c r="L18" s="237"/>
      <c r="M18" s="237"/>
      <c r="N18" s="237"/>
      <c r="O18" s="237"/>
      <c r="P18" s="237"/>
      <c r="Q18" s="237"/>
      <c r="R18" s="237"/>
    </row>
    <row r="19" spans="1:18" x14ac:dyDescent="0.2">
      <c r="A19" s="733" t="s">
        <v>8</v>
      </c>
      <c r="B19" s="734"/>
      <c r="C19" s="752" t="s">
        <v>1301</v>
      </c>
      <c r="D19" s="750"/>
      <c r="E19" s="750"/>
      <c r="F19" s="750"/>
      <c r="G19" s="750"/>
      <c r="H19" s="750"/>
      <c r="I19" s="751"/>
      <c r="J19" s="237"/>
      <c r="K19" s="237"/>
      <c r="L19" s="237"/>
      <c r="M19" s="237"/>
      <c r="N19" s="237"/>
      <c r="O19" s="237"/>
      <c r="P19" s="237"/>
      <c r="Q19" s="237"/>
      <c r="R19" s="237"/>
    </row>
    <row r="20" spans="1:18" x14ac:dyDescent="0.2">
      <c r="A20" s="733" t="s">
        <v>9</v>
      </c>
      <c r="B20" s="734"/>
      <c r="C20" s="750">
        <v>30794323</v>
      </c>
      <c r="D20" s="750"/>
      <c r="E20" s="750"/>
      <c r="F20" s="750"/>
      <c r="G20" s="750"/>
      <c r="H20" s="750"/>
      <c r="I20" s="751"/>
      <c r="J20" s="237"/>
      <c r="K20" s="237"/>
      <c r="L20" s="237"/>
      <c r="M20" s="237"/>
      <c r="N20" s="237"/>
      <c r="O20" s="237"/>
      <c r="P20" s="237"/>
      <c r="Q20" s="237"/>
      <c r="R20" s="237"/>
    </row>
    <row r="21" spans="1:18" ht="19.25" customHeight="1" x14ac:dyDescent="0.2">
      <c r="A21" s="733" t="s">
        <v>10</v>
      </c>
      <c r="B21" s="734"/>
      <c r="C21" s="735"/>
      <c r="D21" s="735"/>
      <c r="E21" s="735"/>
      <c r="F21" s="735"/>
      <c r="G21" s="735"/>
      <c r="H21" s="735"/>
      <c r="I21" s="736"/>
      <c r="J21" s="237"/>
      <c r="K21" s="237"/>
      <c r="L21" s="237"/>
      <c r="M21" s="237"/>
      <c r="N21" s="237"/>
      <c r="O21" s="237"/>
      <c r="P21" s="237"/>
      <c r="Q21" s="237"/>
      <c r="R21" s="237"/>
    </row>
    <row r="22" spans="1:18" ht="33" customHeight="1" thickBot="1" x14ac:dyDescent="0.25">
      <c r="A22" s="737" t="s">
        <v>11</v>
      </c>
      <c r="B22" s="738"/>
      <c r="C22" s="739"/>
      <c r="D22" s="739"/>
      <c r="E22" s="739"/>
      <c r="F22" s="739"/>
      <c r="G22" s="739"/>
      <c r="H22" s="739"/>
      <c r="I22" s="740"/>
      <c r="J22" s="237"/>
      <c r="K22" s="237"/>
      <c r="L22" s="237"/>
      <c r="M22" s="237"/>
      <c r="N22" s="237"/>
      <c r="O22" s="237"/>
      <c r="P22" s="237"/>
      <c r="Q22" s="237"/>
      <c r="R22" s="237"/>
    </row>
    <row r="23" spans="1:18" x14ac:dyDescent="0.2">
      <c r="A23" s="34"/>
      <c r="B23" s="34"/>
      <c r="C23" s="34"/>
      <c r="D23" s="34"/>
      <c r="E23" s="34"/>
      <c r="F23" s="34"/>
      <c r="G23" s="34"/>
      <c r="H23" s="34"/>
      <c r="I23" s="34"/>
      <c r="J23" s="237"/>
      <c r="K23" s="237"/>
      <c r="L23" s="237"/>
      <c r="M23" s="237"/>
      <c r="N23" s="237"/>
      <c r="O23" s="237"/>
      <c r="P23" s="237"/>
      <c r="Q23" s="237"/>
      <c r="R23" s="237"/>
    </row>
    <row r="24" spans="1:18" ht="16" thickBot="1" x14ac:dyDescent="0.25">
      <c r="A24" s="741" t="s">
        <v>12</v>
      </c>
      <c r="B24" s="741"/>
      <c r="C24" s="741"/>
      <c r="D24" s="741"/>
      <c r="E24" s="741"/>
      <c r="F24" s="741"/>
      <c r="G24" s="741"/>
      <c r="H24" s="741"/>
      <c r="I24" s="741"/>
      <c r="J24" s="237"/>
      <c r="K24" s="237"/>
      <c r="L24" s="237"/>
      <c r="M24" s="237"/>
      <c r="N24" s="237"/>
      <c r="O24" s="237"/>
      <c r="P24" s="237"/>
      <c r="Q24" s="237"/>
      <c r="R24" s="237"/>
    </row>
    <row r="25" spans="1:18" ht="14.75" customHeight="1" x14ac:dyDescent="0.2">
      <c r="A25" s="742" t="s">
        <v>13</v>
      </c>
      <c r="B25" s="743"/>
      <c r="C25" s="746" t="s">
        <v>14</v>
      </c>
      <c r="D25" s="746"/>
      <c r="E25" s="748" t="s">
        <v>15</v>
      </c>
      <c r="F25" s="748"/>
      <c r="G25" s="729" t="s">
        <v>16</v>
      </c>
      <c r="H25" s="729"/>
      <c r="I25" s="731" t="s">
        <v>17</v>
      </c>
      <c r="J25" s="237"/>
      <c r="K25" s="237"/>
      <c r="L25" s="237"/>
      <c r="M25" s="237"/>
      <c r="N25" s="237"/>
      <c r="O25" s="237"/>
      <c r="P25" s="237"/>
      <c r="Q25" s="237"/>
      <c r="R25" s="237"/>
    </row>
    <row r="26" spans="1:18" ht="16" thickBot="1" x14ac:dyDescent="0.25">
      <c r="A26" s="744"/>
      <c r="B26" s="745"/>
      <c r="C26" s="747"/>
      <c r="D26" s="747"/>
      <c r="E26" s="749"/>
      <c r="F26" s="749"/>
      <c r="G26" s="730"/>
      <c r="H26" s="730"/>
      <c r="I26" s="732"/>
      <c r="J26" s="237"/>
      <c r="K26" s="237"/>
      <c r="L26" s="237"/>
      <c r="M26" s="237"/>
      <c r="N26" s="237"/>
      <c r="O26" s="237"/>
      <c r="P26" s="237"/>
      <c r="Q26" s="237"/>
      <c r="R26" s="237"/>
    </row>
    <row r="27" spans="1:18" x14ac:dyDescent="0.2">
      <c r="A27" s="537"/>
      <c r="B27" s="537"/>
      <c r="C27" s="725" t="s">
        <v>18</v>
      </c>
      <c r="D27" s="726"/>
      <c r="E27" s="537"/>
      <c r="F27" s="537"/>
      <c r="G27" s="537"/>
      <c r="H27" s="537"/>
      <c r="I27" s="537"/>
      <c r="J27" s="237"/>
      <c r="K27" s="237"/>
      <c r="L27" s="237"/>
      <c r="M27" s="237"/>
      <c r="N27" s="237"/>
      <c r="O27" s="237"/>
      <c r="P27" s="237"/>
      <c r="Q27" s="237"/>
      <c r="R27" s="237"/>
    </row>
    <row r="28" spans="1:18" ht="16" thickBot="1" x14ac:dyDescent="0.25">
      <c r="A28" s="538"/>
      <c r="B28" s="538"/>
      <c r="C28" s="727"/>
      <c r="D28" s="728"/>
      <c r="E28" s="538"/>
      <c r="F28" s="538"/>
      <c r="G28" s="538"/>
      <c r="H28" s="538"/>
      <c r="I28" s="538"/>
      <c r="J28" s="237"/>
      <c r="K28" s="237"/>
      <c r="L28" s="237"/>
      <c r="M28" s="237"/>
      <c r="N28" s="237"/>
      <c r="O28" s="237"/>
      <c r="P28" s="237"/>
      <c r="Q28" s="237"/>
      <c r="R28" s="237"/>
    </row>
    <row r="29" spans="1:18" x14ac:dyDescent="0.2">
      <c r="A29" s="538"/>
      <c r="B29" s="538"/>
      <c r="C29" s="538"/>
      <c r="D29" s="538"/>
      <c r="E29" s="538"/>
      <c r="F29" s="538"/>
      <c r="G29" s="538"/>
      <c r="H29" s="538"/>
      <c r="I29" s="538"/>
      <c r="J29" s="237"/>
      <c r="K29" s="237"/>
      <c r="L29" s="237"/>
      <c r="M29" s="237"/>
      <c r="N29" s="237"/>
      <c r="O29" s="237"/>
      <c r="P29" s="237"/>
      <c r="Q29" s="237"/>
      <c r="R29" s="237"/>
    </row>
    <row r="30" spans="1:18" x14ac:dyDescent="0.2">
      <c r="A30" s="78"/>
      <c r="B30" s="78"/>
      <c r="C30" s="34"/>
      <c r="D30" s="34"/>
      <c r="E30" s="34"/>
      <c r="F30" s="34"/>
      <c r="G30" s="34"/>
      <c r="H30" s="34"/>
      <c r="I30" s="34"/>
      <c r="J30" s="237"/>
      <c r="K30" s="237"/>
      <c r="L30" s="237"/>
      <c r="M30" s="237"/>
      <c r="N30" s="237"/>
      <c r="O30" s="237"/>
      <c r="P30" s="237"/>
      <c r="Q30" s="237"/>
      <c r="R30" s="237"/>
    </row>
    <row r="31" spans="1:18" x14ac:dyDescent="0.2">
      <c r="A31" s="34"/>
      <c r="B31" s="34"/>
      <c r="C31" s="34"/>
      <c r="D31" s="34"/>
      <c r="E31" s="34"/>
      <c r="F31" s="34"/>
      <c r="G31" s="34"/>
      <c r="H31" s="34"/>
      <c r="I31" s="34"/>
      <c r="J31" s="237"/>
      <c r="K31" s="237"/>
      <c r="L31" s="237"/>
      <c r="M31" s="237"/>
      <c r="N31" s="237"/>
      <c r="O31" s="237"/>
      <c r="P31" s="237"/>
      <c r="Q31" s="237"/>
      <c r="R31" s="237"/>
    </row>
    <row r="32" spans="1:18" x14ac:dyDescent="0.2">
      <c r="A32" s="34"/>
      <c r="B32" s="34"/>
      <c r="C32" s="34"/>
      <c r="D32" s="34"/>
      <c r="E32" s="34"/>
      <c r="F32" s="34"/>
      <c r="G32" s="34"/>
      <c r="H32" s="34"/>
      <c r="I32" s="34"/>
      <c r="J32" s="237"/>
      <c r="K32" s="237"/>
      <c r="L32" s="237"/>
      <c r="M32" s="237"/>
      <c r="N32" s="237"/>
      <c r="O32" s="237"/>
      <c r="P32" s="237"/>
      <c r="Q32" s="237"/>
      <c r="R32" s="237"/>
    </row>
    <row r="33" spans="1:18" x14ac:dyDescent="0.2">
      <c r="A33" s="34"/>
      <c r="B33" s="34"/>
      <c r="C33" s="34"/>
      <c r="D33" s="34"/>
      <c r="E33" s="34"/>
      <c r="F33" s="34"/>
      <c r="G33" s="34"/>
      <c r="H33" s="34"/>
      <c r="I33" s="34"/>
      <c r="J33" s="237"/>
      <c r="K33" s="237"/>
      <c r="L33" s="237"/>
      <c r="M33" s="237"/>
      <c r="N33" s="237"/>
      <c r="O33" s="237"/>
      <c r="P33" s="237"/>
      <c r="Q33" s="237"/>
      <c r="R33" s="237"/>
    </row>
    <row r="34" spans="1:18" x14ac:dyDescent="0.2">
      <c r="A34" s="34"/>
      <c r="B34" s="34"/>
      <c r="C34" s="34"/>
      <c r="D34" s="34"/>
      <c r="E34" s="34"/>
      <c r="F34" s="34"/>
      <c r="G34" s="34"/>
      <c r="H34" s="34"/>
      <c r="I34" s="34"/>
      <c r="J34" s="237"/>
      <c r="K34" s="237"/>
      <c r="L34" s="237"/>
      <c r="M34" s="237"/>
      <c r="N34" s="237"/>
      <c r="O34" s="237"/>
      <c r="P34" s="237"/>
      <c r="Q34" s="237"/>
      <c r="R34" s="237"/>
    </row>
    <row r="35" spans="1:18" x14ac:dyDescent="0.2">
      <c r="A35" s="34"/>
      <c r="B35" s="34"/>
      <c r="C35" s="34"/>
      <c r="D35" s="34"/>
      <c r="E35" s="34"/>
      <c r="F35" s="34"/>
      <c r="G35" s="34"/>
      <c r="H35" s="34"/>
      <c r="I35" s="34"/>
      <c r="J35" s="237"/>
      <c r="K35" s="237"/>
      <c r="L35" s="237"/>
      <c r="M35" s="237"/>
      <c r="N35" s="237"/>
      <c r="O35" s="237"/>
      <c r="P35" s="237"/>
      <c r="Q35" s="237"/>
      <c r="R35" s="237"/>
    </row>
    <row r="36" spans="1:18" x14ac:dyDescent="0.2">
      <c r="A36" s="34"/>
      <c r="B36" s="34"/>
      <c r="C36" s="34"/>
      <c r="D36" s="34"/>
      <c r="E36" s="34"/>
      <c r="F36" s="34"/>
      <c r="G36" s="34"/>
      <c r="H36" s="34"/>
      <c r="I36" s="34"/>
      <c r="J36" s="237"/>
      <c r="K36" s="237"/>
      <c r="L36" s="237"/>
      <c r="M36" s="237"/>
      <c r="N36" s="237"/>
      <c r="O36" s="237"/>
      <c r="P36" s="237"/>
      <c r="Q36" s="237"/>
      <c r="R36" s="237"/>
    </row>
    <row r="37" spans="1:18" x14ac:dyDescent="0.2">
      <c r="A37" s="34"/>
      <c r="B37" s="34"/>
      <c r="C37" s="34"/>
      <c r="D37" s="34"/>
      <c r="E37" s="34"/>
      <c r="F37" s="34"/>
      <c r="G37" s="34"/>
      <c r="H37" s="34"/>
      <c r="I37" s="34"/>
    </row>
    <row r="38" spans="1:18" x14ac:dyDescent="0.2">
      <c r="A38" s="34"/>
      <c r="B38" s="34"/>
      <c r="C38" s="34"/>
      <c r="D38" s="34"/>
      <c r="E38" s="34"/>
      <c r="F38" s="34"/>
      <c r="G38" s="34"/>
      <c r="H38" s="34"/>
      <c r="I38" s="34"/>
    </row>
    <row r="39" spans="1:18" x14ac:dyDescent="0.2">
      <c r="A39" s="34"/>
      <c r="B39" s="34"/>
      <c r="C39" s="34"/>
      <c r="D39" s="34"/>
      <c r="E39" s="34"/>
      <c r="F39" s="34"/>
      <c r="G39" s="34"/>
      <c r="H39" s="34"/>
      <c r="I39" s="34"/>
    </row>
    <row r="40" spans="1:18" x14ac:dyDescent="0.2">
      <c r="A40" s="34"/>
      <c r="B40" s="34"/>
      <c r="C40" s="34"/>
      <c r="D40" s="34"/>
      <c r="E40" s="34"/>
      <c r="F40" s="34"/>
      <c r="G40" s="34"/>
      <c r="H40" s="34"/>
      <c r="I40" s="34"/>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19" r:id="rId1" xr:uid="{C1BD5304-CDED-3941-B2D7-761C2F13ABA8}"/>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2"/>
  <sheetViews>
    <sheetView workbookViewId="0"/>
  </sheetViews>
  <sheetFormatPr baseColWidth="10" defaultColWidth="8.6640625" defaultRowHeight="15" x14ac:dyDescent="0.2"/>
  <cols>
    <col min="1" max="1" width="25.5" customWidth="1"/>
    <col min="2" max="2" width="79" bestFit="1" customWidth="1"/>
    <col min="3" max="3" width="13.33203125" customWidth="1"/>
    <col min="4" max="4" width="70" bestFit="1" customWidth="1"/>
  </cols>
  <sheetData>
    <row r="1" spans="1:4" ht="20" thickBot="1" x14ac:dyDescent="0.3">
      <c r="A1" s="228" t="s">
        <v>19</v>
      </c>
      <c r="D1" s="606" t="s">
        <v>20</v>
      </c>
    </row>
    <row r="2" spans="1:4" ht="16" thickBot="1" x14ac:dyDescent="0.25">
      <c r="A2" s="229" t="s">
        <v>21</v>
      </c>
      <c r="B2" s="230" t="s">
        <v>22</v>
      </c>
      <c r="C2" s="492" t="s">
        <v>23</v>
      </c>
      <c r="D2" s="231" t="s">
        <v>24</v>
      </c>
    </row>
    <row r="3" spans="1:4" x14ac:dyDescent="0.2">
      <c r="A3" s="490" t="s">
        <v>25</v>
      </c>
      <c r="B3" s="232" t="s">
        <v>26</v>
      </c>
      <c r="C3" s="493"/>
      <c r="D3" s="196" t="s">
        <v>27</v>
      </c>
    </row>
    <row r="4" spans="1:4" x14ac:dyDescent="0.2">
      <c r="A4" s="490" t="s">
        <v>28</v>
      </c>
      <c r="B4" s="232" t="s">
        <v>29</v>
      </c>
      <c r="C4" s="494"/>
      <c r="D4" s="196" t="s">
        <v>30</v>
      </c>
    </row>
    <row r="5" spans="1:4" x14ac:dyDescent="0.2">
      <c r="A5" s="490" t="s">
        <v>31</v>
      </c>
      <c r="B5" s="232" t="s">
        <v>32</v>
      </c>
      <c r="C5" s="494"/>
      <c r="D5" s="194" t="s">
        <v>33</v>
      </c>
    </row>
    <row r="6" spans="1:4" x14ac:dyDescent="0.2">
      <c r="A6" s="491" t="s">
        <v>34</v>
      </c>
      <c r="B6" s="233" t="s">
        <v>35</v>
      </c>
      <c r="C6" s="495"/>
      <c r="D6" s="234" t="s">
        <v>36</v>
      </c>
    </row>
    <row r="7" spans="1:4" x14ac:dyDescent="0.2">
      <c r="A7" s="491" t="s">
        <v>37</v>
      </c>
      <c r="B7" s="233" t="s">
        <v>38</v>
      </c>
      <c r="C7" s="495"/>
      <c r="D7" s="234" t="s">
        <v>36</v>
      </c>
    </row>
    <row r="8" spans="1:4" x14ac:dyDescent="0.2">
      <c r="A8" s="491" t="s">
        <v>39</v>
      </c>
      <c r="B8" s="233" t="s">
        <v>40</v>
      </c>
      <c r="C8" s="496"/>
      <c r="D8" s="194" t="s">
        <v>27</v>
      </c>
    </row>
    <row r="9" spans="1:4" x14ac:dyDescent="0.2">
      <c r="A9" s="491" t="s">
        <v>41</v>
      </c>
      <c r="B9" s="233" t="s">
        <v>42</v>
      </c>
      <c r="C9" s="497"/>
      <c r="D9" s="194" t="s">
        <v>27</v>
      </c>
    </row>
    <row r="10" spans="1:4" x14ac:dyDescent="0.2">
      <c r="A10" s="491" t="s">
        <v>43</v>
      </c>
      <c r="B10" s="233" t="s">
        <v>44</v>
      </c>
      <c r="C10" s="497"/>
      <c r="D10" s="194" t="s">
        <v>45</v>
      </c>
    </row>
    <row r="11" spans="1:4" x14ac:dyDescent="0.2">
      <c r="A11" s="491" t="s">
        <v>46</v>
      </c>
      <c r="B11" s="233" t="s">
        <v>47</v>
      </c>
      <c r="C11" s="497"/>
      <c r="D11" s="194" t="s">
        <v>48</v>
      </c>
    </row>
    <row r="12" spans="1:4" x14ac:dyDescent="0.2">
      <c r="A12" s="491" t="s">
        <v>49</v>
      </c>
      <c r="B12" s="233" t="s">
        <v>50</v>
      </c>
      <c r="C12" s="497"/>
      <c r="D12" s="194" t="s">
        <v>27</v>
      </c>
    </row>
    <row r="13" spans="1:4" x14ac:dyDescent="0.2">
      <c r="A13" s="491" t="s">
        <v>51</v>
      </c>
      <c r="B13" s="233" t="s">
        <v>52</v>
      </c>
      <c r="C13" s="497"/>
      <c r="D13" s="489" t="s">
        <v>27</v>
      </c>
    </row>
    <row r="14" spans="1:4" x14ac:dyDescent="0.2">
      <c r="A14" s="491" t="s">
        <v>53</v>
      </c>
      <c r="B14" s="233" t="s">
        <v>54</v>
      </c>
      <c r="C14" s="497"/>
      <c r="D14" s="194" t="s">
        <v>27</v>
      </c>
    </row>
    <row r="15" spans="1:4" x14ac:dyDescent="0.2">
      <c r="A15" s="491" t="s">
        <v>55</v>
      </c>
      <c r="B15" s="233" t="s">
        <v>56</v>
      </c>
      <c r="C15" s="497"/>
      <c r="D15" s="194" t="s">
        <v>27</v>
      </c>
    </row>
    <row r="16" spans="1:4" x14ac:dyDescent="0.2">
      <c r="A16" s="491" t="s">
        <v>57</v>
      </c>
      <c r="B16" s="233" t="s">
        <v>58</v>
      </c>
      <c r="C16" s="497"/>
      <c r="D16" s="194" t="s">
        <v>27</v>
      </c>
    </row>
    <row r="17" spans="1:4" x14ac:dyDescent="0.2">
      <c r="A17" s="491" t="s">
        <v>59</v>
      </c>
      <c r="B17" s="233" t="s">
        <v>60</v>
      </c>
      <c r="C17" s="498"/>
      <c r="D17" s="194" t="s">
        <v>27</v>
      </c>
    </row>
    <row r="18" spans="1:4" x14ac:dyDescent="0.2">
      <c r="A18" s="491" t="s">
        <v>61</v>
      </c>
      <c r="B18" s="233" t="s">
        <v>62</v>
      </c>
      <c r="C18" s="498"/>
      <c r="D18" s="194" t="s">
        <v>27</v>
      </c>
    </row>
    <row r="19" spans="1:4" x14ac:dyDescent="0.2">
      <c r="A19" s="491" t="s">
        <v>63</v>
      </c>
      <c r="B19" s="233" t="s">
        <v>64</v>
      </c>
      <c r="C19" s="498"/>
      <c r="D19" s="194" t="s">
        <v>27</v>
      </c>
    </row>
    <row r="20" spans="1:4" x14ac:dyDescent="0.2">
      <c r="A20" s="491" t="s">
        <v>65</v>
      </c>
      <c r="B20" s="233" t="s">
        <v>66</v>
      </c>
      <c r="C20" s="498"/>
      <c r="D20" s="194" t="s">
        <v>27</v>
      </c>
    </row>
    <row r="21" spans="1:4" x14ac:dyDescent="0.2">
      <c r="A21" s="491" t="s">
        <v>67</v>
      </c>
      <c r="B21" s="233" t="s">
        <v>68</v>
      </c>
      <c r="C21" s="498"/>
      <c r="D21" s="194" t="s">
        <v>27</v>
      </c>
    </row>
    <row r="22" spans="1:4" x14ac:dyDescent="0.2">
      <c r="A22" s="491" t="s">
        <v>69</v>
      </c>
      <c r="B22" s="233" t="s">
        <v>70</v>
      </c>
      <c r="C22" s="495"/>
      <c r="D22" s="234" t="s">
        <v>36</v>
      </c>
    </row>
    <row r="23" spans="1:4" x14ac:dyDescent="0.2">
      <c r="A23" s="491" t="s">
        <v>71</v>
      </c>
      <c r="B23" s="233" t="s">
        <v>72</v>
      </c>
      <c r="C23" s="499"/>
      <c r="D23" s="194" t="s">
        <v>27</v>
      </c>
    </row>
    <row r="24" spans="1:4" x14ac:dyDescent="0.2">
      <c r="A24" s="491" t="s">
        <v>73</v>
      </c>
      <c r="B24" s="233" t="s">
        <v>74</v>
      </c>
      <c r="C24" s="499"/>
      <c r="D24" s="194" t="s">
        <v>27</v>
      </c>
    </row>
    <row r="25" spans="1:4" x14ac:dyDescent="0.2">
      <c r="A25" s="491" t="s">
        <v>75</v>
      </c>
      <c r="B25" s="233" t="s">
        <v>76</v>
      </c>
      <c r="C25" s="499"/>
      <c r="D25" s="194" t="s">
        <v>27</v>
      </c>
    </row>
    <row r="26" spans="1:4" x14ac:dyDescent="0.2">
      <c r="A26" s="491" t="s">
        <v>77</v>
      </c>
      <c r="B26" s="233" t="s">
        <v>78</v>
      </c>
      <c r="C26" s="499"/>
      <c r="D26" s="194" t="s">
        <v>27</v>
      </c>
    </row>
    <row r="27" spans="1:4" x14ac:dyDescent="0.2">
      <c r="A27" s="491" t="s">
        <v>79</v>
      </c>
      <c r="B27" s="233" t="s">
        <v>80</v>
      </c>
      <c r="C27" s="499"/>
      <c r="D27" s="194" t="s">
        <v>81</v>
      </c>
    </row>
    <row r="28" spans="1:4" x14ac:dyDescent="0.2">
      <c r="A28" s="491" t="s">
        <v>82</v>
      </c>
      <c r="B28" s="233" t="s">
        <v>83</v>
      </c>
      <c r="C28" s="559"/>
      <c r="D28" s="194" t="s">
        <v>84</v>
      </c>
    </row>
    <row r="29" spans="1:4" x14ac:dyDescent="0.2">
      <c r="A29" s="560" t="s">
        <v>85</v>
      </c>
      <c r="B29" s="233" t="s">
        <v>86</v>
      </c>
      <c r="C29" s="559"/>
      <c r="D29" s="194" t="s">
        <v>87</v>
      </c>
    </row>
    <row r="30" spans="1:4" x14ac:dyDescent="0.2">
      <c r="A30" s="560" t="s">
        <v>88</v>
      </c>
      <c r="B30" s="233" t="s">
        <v>89</v>
      </c>
      <c r="C30" s="559"/>
      <c r="D30" s="194" t="s">
        <v>90</v>
      </c>
    </row>
    <row r="31" spans="1:4" x14ac:dyDescent="0.2">
      <c r="A31" s="560" t="s">
        <v>91</v>
      </c>
      <c r="B31" s="233" t="s">
        <v>92</v>
      </c>
      <c r="C31" s="559"/>
      <c r="D31" s="194" t="s">
        <v>90</v>
      </c>
    </row>
    <row r="32" spans="1:4" x14ac:dyDescent="0.2">
      <c r="A32" s="491" t="s">
        <v>93</v>
      </c>
      <c r="B32" s="233" t="s">
        <v>38</v>
      </c>
      <c r="C32" s="559"/>
      <c r="D32" s="234" t="s">
        <v>36</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2" location="INKREMENTY!A1" display="INKREMENTY" xr:uid="{00000000-0004-0000-0100-000007000000}"/>
    <hyperlink ref="A13" location="KATALOG_POZIADAVKY!A1" display="KATALOG_POZIADAVKY" xr:uid="{00000000-0004-0000-0100-000008000000}"/>
    <hyperlink ref="A14" location="TCF_v02!A1" display="TCF_v02" xr:uid="{00000000-0004-0000-0100-000009000000}"/>
    <hyperlink ref="A15" location="ECF_v02!A1" display="ECF_v02" xr:uid="{00000000-0004-0000-0100-00000A000000}"/>
    <hyperlink ref="A16" location="UAW_v02!A1" display="UAW_v02" xr:uid="{00000000-0004-0000-0100-00000B000000}"/>
    <hyperlink ref="A17" location="AKTIVITY_POZICIE!A1" display="AKTIVITY_POZICIE" xr:uid="{00000000-0004-0000-0100-00000C000000}"/>
    <hyperlink ref="A18" location="POZICIE_INTERNE!A1" display="POZICIE_INTERNE" xr:uid="{00000000-0004-0000-0100-00000D000000}"/>
    <hyperlink ref="A19" location="'Rozpocet - Vyvoj aplikacii'!A1" display="Rozpocet - Vyvoj aplikacii" xr:uid="{00000000-0004-0000-0100-00000E000000}"/>
    <hyperlink ref="A20" location="'Rozpočet - HW a licencie'!A1" display="Rozpocet - HW a licencie" xr:uid="{00000000-0004-0000-0100-00000F000000}"/>
    <hyperlink ref="A21" location="Harmonogram!A1" display="Harmonogram" xr:uid="{00000000-0004-0000-0100-000010000000}"/>
    <hyperlink ref="A22" location="TCO!A1" display="TCO" xr:uid="{00000000-0004-0000-0100-000011000000}"/>
    <hyperlink ref="A23" location="'TCO AS IS - SW'!A1" display="TCO AS IS - SW" xr:uid="{00000000-0004-0000-0100-000012000000}"/>
    <hyperlink ref="A24" location="'TCO AS IS - HW'!A1" display="TCO AS IS - HW" xr:uid="{00000000-0004-0000-0100-000013000000}"/>
    <hyperlink ref="A25" location="'TCO TO BE- SW'!A1" display="TCO TO BE - SW" xr:uid="{00000000-0004-0000-0100-000014000000}"/>
    <hyperlink ref="A26" location="'TCO TO BE - HW'!A1" display="TCO TO BE - HW" xr:uid="{00000000-0004-0000-0100-000015000000}"/>
    <hyperlink ref="A27" location="Faktory!A1" display="Faktory" xr:uid="{00000000-0004-0000-0100-000016000000}"/>
    <hyperlink ref="A29" location="'Procesné mapy'!R1C1" display="Procesné mapy" xr:uid="{00000000-0004-0000-0100-000017000000}"/>
    <hyperlink ref="A30" location="'Procesy - AS IS'!R1C1" display="Procesy AS IS" xr:uid="{00000000-0004-0000-0100-000018000000}"/>
    <hyperlink ref="A31"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workbookViewId="0"/>
  </sheetViews>
  <sheetFormatPr baseColWidth="10" defaultColWidth="9.1640625" defaultRowHeight="15" x14ac:dyDescent="0.2"/>
  <cols>
    <col min="3" max="3" width="32.33203125" customWidth="1"/>
    <col min="4" max="25" width="13.6640625" customWidth="1"/>
    <col min="31" max="31" width="32" customWidth="1"/>
    <col min="32" max="32" width="17.5" bestFit="1" customWidth="1"/>
    <col min="33" max="37" width="16.5" customWidth="1"/>
    <col min="38" max="53" width="13" customWidth="1"/>
  </cols>
  <sheetData>
    <row r="1" spans="1:53" ht="21.75" customHeight="1" x14ac:dyDescent="0.2">
      <c r="A1" s="435" t="s">
        <v>94</v>
      </c>
      <c r="B1" s="435"/>
      <c r="C1" s="435"/>
      <c r="D1" s="435"/>
      <c r="E1" s="435"/>
      <c r="F1" s="435"/>
      <c r="G1" s="435"/>
      <c r="H1" s="435"/>
      <c r="I1" s="435"/>
      <c r="J1" s="435"/>
      <c r="K1" s="435"/>
      <c r="L1" s="435"/>
      <c r="M1" s="435"/>
      <c r="N1" s="435"/>
      <c r="O1" s="435"/>
      <c r="P1" s="435"/>
      <c r="Q1" s="435"/>
      <c r="R1" s="435"/>
      <c r="S1" s="435"/>
      <c r="T1" s="435"/>
      <c r="U1" s="435"/>
      <c r="V1" s="435"/>
      <c r="W1" s="435"/>
      <c r="X1" s="435"/>
      <c r="Y1" s="435"/>
      <c r="AC1" s="435" t="s">
        <v>95</v>
      </c>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row>
    <row r="2" spans="1:53" ht="64" x14ac:dyDescent="0.2">
      <c r="A2" s="759"/>
      <c r="B2" s="759"/>
      <c r="C2" s="759"/>
      <c r="D2" s="420" t="s">
        <v>96</v>
      </c>
      <c r="E2" s="434" t="str">
        <f>MODULY_CBA!$B3</f>
        <v>Modul MyData</v>
      </c>
      <c r="F2" s="434" t="str">
        <f>MODULY_CBA!$B4</f>
        <v>Transformačný modul</v>
      </c>
      <c r="G2" s="434" t="str">
        <f>MODULY_CBA!$B5</f>
        <v xml:space="preserve">Modul kvality a čistenia údajov </v>
      </c>
      <c r="H2" s="434" t="str">
        <f>MODULY_CBA!$B6</f>
        <v>Centrálny integračný komponent </v>
      </c>
      <c r="I2" s="434" t="str">
        <f>MODULY_CBA!$B7</f>
        <v xml:space="preserve">Centrálna správa kmeňových údajov </v>
      </c>
      <c r="J2" s="434" t="str">
        <f>MODULY_CBA!$B8</f>
        <v>Centrálna správa agendových číselníkov</v>
      </c>
      <c r="K2" s="434" t="str">
        <f>MODULY_CBA!$B9</f>
        <v>Lokálny katalóg otvorených údajov</v>
      </c>
      <c r="L2" s="434">
        <f>MODULY_CBA!$B10</f>
        <v>0</v>
      </c>
      <c r="M2" s="434">
        <f>MODULY_CBA!$B11</f>
        <v>0</v>
      </c>
      <c r="N2" s="434">
        <f>MODULY_CBA!$B12</f>
        <v>0</v>
      </c>
      <c r="O2" s="434">
        <f>MODULY_CBA!$B13</f>
        <v>0</v>
      </c>
      <c r="P2" s="434">
        <f>MODULY_CBA!$B14</f>
        <v>0</v>
      </c>
      <c r="Q2" s="434">
        <f>MODULY_CBA!$B15</f>
        <v>0</v>
      </c>
      <c r="R2" s="434">
        <f>MODULY_CBA!$B16</f>
        <v>0</v>
      </c>
      <c r="S2" s="434">
        <f>MODULY_CBA!$B17</f>
        <v>0</v>
      </c>
      <c r="T2" s="434">
        <f>MODULY_CBA!$B18</f>
        <v>0</v>
      </c>
      <c r="U2" s="434">
        <f>MODULY_CBA!$B19</f>
        <v>0</v>
      </c>
      <c r="V2" s="434">
        <f>MODULY_CBA!$B20</f>
        <v>0</v>
      </c>
      <c r="W2" s="434">
        <f>MODULY_CBA!$B21</f>
        <v>0</v>
      </c>
      <c r="X2" s="434">
        <f>MODULY_CBA!$B22</f>
        <v>0</v>
      </c>
      <c r="Y2" s="434">
        <f>MODULY_CBA!$B23</f>
        <v>0</v>
      </c>
      <c r="AC2" s="759"/>
      <c r="AD2" s="759"/>
      <c r="AE2" s="759"/>
      <c r="AF2" s="420" t="s">
        <v>96</v>
      </c>
      <c r="AG2" s="434" t="str">
        <f>MODULY_CBA!$B3</f>
        <v>Modul MyData</v>
      </c>
      <c r="AH2" s="434" t="str">
        <f>MODULY_CBA!$B4</f>
        <v>Transformačný modul</v>
      </c>
      <c r="AI2" s="434" t="str">
        <f>MODULY_CBA!$B5</f>
        <v xml:space="preserve">Modul kvality a čistenia údajov </v>
      </c>
      <c r="AJ2" s="434" t="str">
        <f>MODULY_CBA!$B6</f>
        <v>Centrálny integračný komponent </v>
      </c>
      <c r="AK2" s="434" t="str">
        <f>MODULY_CBA!$B7</f>
        <v xml:space="preserve">Centrálna správa kmeňových údajov </v>
      </c>
      <c r="AL2" s="434" t="str">
        <f>MODULY_CBA!$B8</f>
        <v>Centrálna správa agendových číselníkov</v>
      </c>
      <c r="AM2" s="434" t="str">
        <f>MODULY_CBA!$B9</f>
        <v>Lokálny katalóg otvorených údajov</v>
      </c>
      <c r="AN2" s="434">
        <f>MODULY_CBA!$B10</f>
        <v>0</v>
      </c>
      <c r="AO2" s="434">
        <f>MODULY_CBA!$B11</f>
        <v>0</v>
      </c>
      <c r="AP2" s="434">
        <f>MODULY_CBA!$B12</f>
        <v>0</v>
      </c>
      <c r="AQ2" s="434">
        <f>MODULY_CBA!$B13</f>
        <v>0</v>
      </c>
      <c r="AR2" s="434">
        <f>MODULY_CBA!$B14</f>
        <v>0</v>
      </c>
      <c r="AS2" s="434">
        <f>MODULY_CBA!$B15</f>
        <v>0</v>
      </c>
      <c r="AT2" s="434">
        <f>MODULY_CBA!$B16</f>
        <v>0</v>
      </c>
      <c r="AU2" s="434">
        <f>MODULY_CBA!$B17</f>
        <v>0</v>
      </c>
      <c r="AV2" s="434">
        <f>MODULY_CBA!$B18</f>
        <v>0</v>
      </c>
      <c r="AW2" s="434">
        <f>MODULY_CBA!$B19</f>
        <v>0</v>
      </c>
      <c r="AX2" s="434">
        <f>MODULY_CBA!$B20</f>
        <v>0</v>
      </c>
      <c r="AY2" s="434">
        <f>MODULY_CBA!$B21</f>
        <v>0</v>
      </c>
      <c r="AZ2" s="434">
        <f>MODULY_CBA!$B22</f>
        <v>0</v>
      </c>
      <c r="BA2" s="434">
        <f>MODULY_CBA!$B23</f>
        <v>0</v>
      </c>
    </row>
    <row r="3" spans="1:53" x14ac:dyDescent="0.2">
      <c r="A3" s="421" t="s">
        <v>97</v>
      </c>
      <c r="B3" s="421"/>
      <c r="C3" s="421"/>
      <c r="D3" s="422">
        <f>SUM(E3:Y3)</f>
        <v>6623345.4225000013</v>
      </c>
      <c r="E3" s="422">
        <f>E4+E5+E9+E13+E14</f>
        <v>2394888.9459366249</v>
      </c>
      <c r="F3" s="422">
        <f t="shared" ref="F3:Y3" si="0">F4+F5+F9+F13+F14</f>
        <v>740598.07878990099</v>
      </c>
      <c r="G3" s="422">
        <f t="shared" si="0"/>
        <v>1156025.3817505133</v>
      </c>
      <c r="H3" s="422">
        <f t="shared" si="0"/>
        <v>1430504.1354923467</v>
      </c>
      <c r="I3" s="422">
        <f t="shared" si="0"/>
        <v>571212.54157084192</v>
      </c>
      <c r="J3" s="422">
        <f t="shared" si="0"/>
        <v>174331.10034954266</v>
      </c>
      <c r="K3" s="422">
        <f t="shared" si="0"/>
        <v>155785.2386102296</v>
      </c>
      <c r="L3" s="422">
        <f t="shared" si="0"/>
        <v>0</v>
      </c>
      <c r="M3" s="422">
        <f t="shared" si="0"/>
        <v>0</v>
      </c>
      <c r="N3" s="422">
        <f t="shared" si="0"/>
        <v>0</v>
      </c>
      <c r="O3" s="422">
        <f t="shared" si="0"/>
        <v>0</v>
      </c>
      <c r="P3" s="422">
        <f t="shared" si="0"/>
        <v>0</v>
      </c>
      <c r="Q3" s="422">
        <f t="shared" si="0"/>
        <v>0</v>
      </c>
      <c r="R3" s="422">
        <f t="shared" si="0"/>
        <v>0</v>
      </c>
      <c r="S3" s="422">
        <f t="shared" si="0"/>
        <v>0</v>
      </c>
      <c r="T3" s="422">
        <f t="shared" si="0"/>
        <v>0</v>
      </c>
      <c r="U3" s="422">
        <f t="shared" si="0"/>
        <v>0</v>
      </c>
      <c r="V3" s="422">
        <f t="shared" si="0"/>
        <v>0</v>
      </c>
      <c r="W3" s="422">
        <f t="shared" si="0"/>
        <v>0</v>
      </c>
      <c r="X3" s="422">
        <f t="shared" si="0"/>
        <v>0</v>
      </c>
      <c r="Y3" s="422">
        <f t="shared" si="0"/>
        <v>0</v>
      </c>
      <c r="AC3" s="421" t="s">
        <v>97</v>
      </c>
      <c r="AD3" s="421"/>
      <c r="AE3" s="421"/>
      <c r="AF3" s="422">
        <f>SUM(AG3:BA3)</f>
        <v>5788859.3732220326</v>
      </c>
      <c r="AG3" s="422">
        <f>AG4+AG5+AG9+AG13+AG14</f>
        <v>2093152.9971870594</v>
      </c>
      <c r="AH3" s="422">
        <f>AH4+AH5+AH9+AH13+AH14</f>
        <v>647288.92375583283</v>
      </c>
      <c r="AI3" s="422">
        <f>AI4+AI5+AI9+AI13+AI14</f>
        <v>1010375.8659627779</v>
      </c>
      <c r="AJ3" s="422">
        <f>AJ4+AJ5+AJ9+AJ13+AJ14</f>
        <v>1250272.5956352234</v>
      </c>
      <c r="AK3" s="422">
        <f>AK5+AK9+AK13+AK14</f>
        <v>499244.54553454899</v>
      </c>
      <c r="AL3" s="422">
        <f>AL4+AL5+AL9+AL13+AL14</f>
        <v>152366.84181898576</v>
      </c>
      <c r="AM3" s="422">
        <f>AM4+AM5+AM9+AM13+AM14</f>
        <v>136157.60332760427</v>
      </c>
      <c r="AN3" s="422">
        <f>AN4+AN5+AN9+AN13+AN14</f>
        <v>0</v>
      </c>
      <c r="AO3" s="422">
        <f>AO5+AO9+AO13+AO14</f>
        <v>0</v>
      </c>
      <c r="AP3" s="422">
        <f>AP4+AP5+AP9+AP13+AP14</f>
        <v>0</v>
      </c>
      <c r="AQ3" s="422">
        <f>AQ4+AQ5+AQ9+AQ13+AQ14</f>
        <v>0</v>
      </c>
      <c r="AR3" s="422">
        <f>AR4+AR5+AR9+AR13+AR14</f>
        <v>0</v>
      </c>
      <c r="AS3" s="422">
        <f>AS5+AS9+AS13+AS14</f>
        <v>0</v>
      </c>
      <c r="AT3" s="422">
        <f>AT4+AT5+AT9+AT13+AT14</f>
        <v>0</v>
      </c>
      <c r="AU3" s="422">
        <f>AU4+AU5+AU9+AU13+AU14</f>
        <v>0</v>
      </c>
      <c r="AV3" s="422">
        <f>AV4+AV5+AV9+AV13+AV14</f>
        <v>0</v>
      </c>
      <c r="AW3" s="422">
        <f>AW5+AW9+AW13+AW14</f>
        <v>0</v>
      </c>
      <c r="AX3" s="422">
        <f>AX4+AX5+AX9+AX13+AX14</f>
        <v>0</v>
      </c>
      <c r="AY3" s="422">
        <f>AY4+AY5+AY9+AY13+AY14</f>
        <v>0</v>
      </c>
      <c r="AZ3" s="422">
        <f>AZ4+AZ5+AZ9+AZ13+AZ14</f>
        <v>0</v>
      </c>
      <c r="BA3" s="422">
        <f>BA5+BA9+BA13+BA14</f>
        <v>0</v>
      </c>
    </row>
    <row r="4" spans="1:53" x14ac:dyDescent="0.2">
      <c r="A4" s="423"/>
      <c r="B4" s="424" t="s">
        <v>98</v>
      </c>
      <c r="C4" s="424"/>
      <c r="D4" s="425">
        <f>SUM(E4:Y4)</f>
        <v>0</v>
      </c>
      <c r="E4" s="425">
        <f>SUM('Parametre - Agendové IS'!I106:I115)</f>
        <v>0</v>
      </c>
      <c r="F4" s="425">
        <f>SUM('Parametre - Agendové IS'!J106:J115)</f>
        <v>0</v>
      </c>
      <c r="G4" s="425">
        <f>SUM('Parametre - Agendové IS'!K106:K115)</f>
        <v>0</v>
      </c>
      <c r="H4" s="425">
        <f>SUM('Parametre - Agendové IS'!L106:L115)</f>
        <v>0</v>
      </c>
      <c r="I4" s="425">
        <f>SUM('Parametre - Agendové IS'!M106:M115)</f>
        <v>0</v>
      </c>
      <c r="J4" s="425">
        <f>SUM('Parametre - Agendové IS'!N106:N115)</f>
        <v>0</v>
      </c>
      <c r="K4" s="425">
        <f>SUM('Parametre - Agendové IS'!O106:O115)</f>
        <v>0</v>
      </c>
      <c r="L4" s="425">
        <f>SUM('Parametre - Agendové IS'!P106:P115)</f>
        <v>0</v>
      </c>
      <c r="M4" s="425">
        <f>SUM('Parametre - Agendové IS'!Q106:Q115)</f>
        <v>0</v>
      </c>
      <c r="N4" s="425">
        <f>SUM('Parametre - Agendové IS'!R106:R115)</f>
        <v>0</v>
      </c>
      <c r="O4" s="425">
        <f>SUM('Parametre - Agendové IS'!S106:S115)</f>
        <v>0</v>
      </c>
      <c r="P4" s="425">
        <f>SUM('Parametre - Agendové IS'!T106:T115)</f>
        <v>0</v>
      </c>
      <c r="Q4" s="425">
        <f>SUM('Parametre - Agendové IS'!U106:U115)</f>
        <v>0</v>
      </c>
      <c r="R4" s="425">
        <f>SUM('Parametre - Agendové IS'!V106:V115)</f>
        <v>0</v>
      </c>
      <c r="S4" s="425">
        <f>SUM('Parametre - Agendové IS'!W106:W115)</f>
        <v>0</v>
      </c>
      <c r="T4" s="425">
        <f>SUM('Parametre - Agendové IS'!X106:X115)</f>
        <v>0</v>
      </c>
      <c r="U4" s="425">
        <f>SUM('Parametre - Agendové IS'!Y106:Y115)</f>
        <v>0</v>
      </c>
      <c r="V4" s="425">
        <f>SUM('Parametre - Agendové IS'!Z106:Z115)</f>
        <v>0</v>
      </c>
      <c r="W4" s="425">
        <f>SUM('Parametre - Agendové IS'!AA106:AA115)</f>
        <v>0</v>
      </c>
      <c r="X4" s="425">
        <f>SUM('Parametre - Agendové IS'!AB106:AB115)</f>
        <v>0</v>
      </c>
      <c r="Y4" s="425">
        <f>SUM('Parametre - Agendové IS'!AC106:AC115)</f>
        <v>0</v>
      </c>
      <c r="AC4" s="423"/>
      <c r="AD4" s="424" t="s">
        <v>98</v>
      </c>
      <c r="AE4" s="424"/>
      <c r="AF4" s="425">
        <f>SUM(AG4:BA4)</f>
        <v>0</v>
      </c>
      <c r="AG4" s="425">
        <f>'Parametre - Agendové IS'!I106+NPV(Faktory!$D$5,'Parametre - Agendové IS'!I107:I115)</f>
        <v>0</v>
      </c>
      <c r="AH4" s="425">
        <f>'Parametre - Agendové IS'!J106+NPV(Faktory!$D$5,'Parametre - Agendové IS'!J107:J115)</f>
        <v>0</v>
      </c>
      <c r="AI4" s="425">
        <f>'Parametre - Agendové IS'!K106+NPV(Faktory!$D$5,'Parametre - Agendové IS'!K107:K115)</f>
        <v>0</v>
      </c>
      <c r="AJ4" s="425">
        <f>'Parametre - Agendové IS'!L106+NPV(Faktory!$D$5,'Parametre - Agendové IS'!L107:L115)</f>
        <v>0</v>
      </c>
      <c r="AK4" s="425">
        <f>'Parametre - Agendové IS'!M106+NPV(Faktory!$D$5,'Parametre - Agendové IS'!M107:M115)</f>
        <v>0</v>
      </c>
      <c r="AL4" s="425">
        <f>'Parametre - Agendové IS'!N106+NPV(Faktory!$D$5,'Parametre - Agendové IS'!N107:N115)</f>
        <v>0</v>
      </c>
      <c r="AM4" s="425">
        <f>'Parametre - Agendové IS'!O106+NPV(Faktory!$D$5,'Parametre - Agendové IS'!O107:O115)</f>
        <v>0</v>
      </c>
      <c r="AN4" s="425">
        <f>'Parametre - Agendové IS'!P106+NPV(Faktory!$D$5,'Parametre - Agendové IS'!P107:P115)</f>
        <v>0</v>
      </c>
      <c r="AO4" s="425">
        <f>'Parametre - Agendové IS'!Q106+NPV(Faktory!$D$5,'Parametre - Agendové IS'!Q107:Q115)</f>
        <v>0</v>
      </c>
      <c r="AP4" s="425">
        <f>'Parametre - Agendové IS'!R106+NPV(Faktory!$D$5,'Parametre - Agendové IS'!R107:R115)</f>
        <v>0</v>
      </c>
      <c r="AQ4" s="425">
        <f>'Parametre - Agendové IS'!S106+NPV(Faktory!$D$5,'Parametre - Agendové IS'!S107:S115)</f>
        <v>0</v>
      </c>
      <c r="AR4" s="425">
        <f>'Parametre - Agendové IS'!T106+NPV(Faktory!$D$5,'Parametre - Agendové IS'!T107:T115)</f>
        <v>0</v>
      </c>
      <c r="AS4" s="425">
        <f>'Parametre - Agendové IS'!U106+NPV(Faktory!$D$5,'Parametre - Agendové IS'!U107:U115)</f>
        <v>0</v>
      </c>
      <c r="AT4" s="425">
        <f>'Parametre - Agendové IS'!V106+NPV(Faktory!$D$5,'Parametre - Agendové IS'!V107:V115)</f>
        <v>0</v>
      </c>
      <c r="AU4" s="425">
        <f>'Parametre - Agendové IS'!W106+NPV(Faktory!$D$5,'Parametre - Agendové IS'!W107:W115)</f>
        <v>0</v>
      </c>
      <c r="AV4" s="425">
        <f>'Parametre - Agendové IS'!X106+NPV(Faktory!$D$5,'Parametre - Agendové IS'!X107:X115)</f>
        <v>0</v>
      </c>
      <c r="AW4" s="425">
        <f>'Parametre - Agendové IS'!Y106+NPV(Faktory!$D$5,'Parametre - Agendové IS'!Y107:Y115)</f>
        <v>0</v>
      </c>
      <c r="AX4" s="425">
        <f>'Parametre - Agendové IS'!Z106+NPV(Faktory!$D$5,'Parametre - Agendové IS'!Z107:Z115)</f>
        <v>0</v>
      </c>
      <c r="AY4" s="425">
        <f>'Parametre - Agendové IS'!AA106+NPV(Faktory!$D$5,'Parametre - Agendové IS'!AA107:AA115)</f>
        <v>0</v>
      </c>
      <c r="AZ4" s="425">
        <f>'Parametre - Agendové IS'!AB106+NPV(Faktory!$D$5,'Parametre - Agendové IS'!AB107:AB115)</f>
        <v>0</v>
      </c>
      <c r="BA4" s="425">
        <f>'Parametre - Agendové IS'!AC106+NPV(Faktory!$D$5,'Parametre - Agendové IS'!AC107:AC115)</f>
        <v>0</v>
      </c>
    </row>
    <row r="5" spans="1:53" x14ac:dyDescent="0.2">
      <c r="A5" s="423"/>
      <c r="B5" s="424" t="s">
        <v>99</v>
      </c>
      <c r="C5" s="424"/>
      <c r="D5" s="425">
        <f>SUM(E5:Y5)</f>
        <v>4895687.1189000001</v>
      </c>
      <c r="E5" s="425">
        <f>SUM(E6:E8)</f>
        <v>1770197.1157941571</v>
      </c>
      <c r="F5" s="425">
        <f>SUM(F6:F8)</f>
        <v>547417.69352643262</v>
      </c>
      <c r="G5" s="425">
        <f>SUM(G6:G8)</f>
        <v>854483.37804209441</v>
      </c>
      <c r="H5" s="425">
        <f>SUM(H6:H8)</f>
        <v>1057366.0624542283</v>
      </c>
      <c r="I5" s="425">
        <f>SUM(I6:I8)</f>
        <v>422215.31620903494</v>
      </c>
      <c r="J5" s="425">
        <f>SUM(J6+J7)</f>
        <v>128857.92118067949</v>
      </c>
      <c r="K5" s="425">
        <f>SUM(K6:K8)</f>
        <v>115149.63169337316</v>
      </c>
      <c r="L5" s="425">
        <f>SUM(L6:L8)</f>
        <v>0</v>
      </c>
      <c r="M5" s="425">
        <f>SUM(M6:M8)</f>
        <v>0</v>
      </c>
      <c r="N5" s="425">
        <f>SUM(N6+N7)</f>
        <v>0</v>
      </c>
      <c r="O5" s="425">
        <f>SUM(O6:O8)</f>
        <v>0</v>
      </c>
      <c r="P5" s="425">
        <f>SUM(P6:P8)</f>
        <v>0</v>
      </c>
      <c r="Q5" s="425">
        <f>SUM(Q6:Q8)</f>
        <v>0</v>
      </c>
      <c r="R5" s="425">
        <f>SUM(R6+R7)</f>
        <v>0</v>
      </c>
      <c r="S5" s="425">
        <f>SUM(S6:S8)</f>
        <v>0</v>
      </c>
      <c r="T5" s="425">
        <f>SUM(T6:T8)</f>
        <v>0</v>
      </c>
      <c r="U5" s="425">
        <f>SUM(U6:U8)</f>
        <v>0</v>
      </c>
      <c r="V5" s="425">
        <f>SUM(V6+V7)</f>
        <v>0</v>
      </c>
      <c r="W5" s="425">
        <f>SUM(W6:W8)</f>
        <v>0</v>
      </c>
      <c r="X5" s="425">
        <f>SUM(X6:X8)</f>
        <v>0</v>
      </c>
      <c r="Y5" s="425">
        <f>SUM(Y6:Y8)</f>
        <v>0</v>
      </c>
      <c r="AC5" s="423"/>
      <c r="AD5" s="424" t="s">
        <v>99</v>
      </c>
      <c r="AE5" s="424"/>
      <c r="AF5" s="425">
        <f>SUM(AG5:BA5)</f>
        <v>4354844.2529566623</v>
      </c>
      <c r="AG5" s="425">
        <f>SUM(AG6:AG8)</f>
        <v>1574637.5430235309</v>
      </c>
      <c r="AH5" s="425">
        <f t="shared" ref="AH5:BA5" si="1">SUM(AH6:AH8)</f>
        <v>486942.63720758632</v>
      </c>
      <c r="AI5" s="425">
        <f t="shared" si="1"/>
        <v>760085.75256943796</v>
      </c>
      <c r="AJ5" s="425">
        <f t="shared" si="1"/>
        <v>940555.31093351846</v>
      </c>
      <c r="AK5" s="425">
        <f t="shared" si="1"/>
        <v>375571.78362254577</v>
      </c>
      <c r="AL5" s="425">
        <f t="shared" si="1"/>
        <v>114622.55733934839</v>
      </c>
      <c r="AM5" s="425">
        <f t="shared" si="1"/>
        <v>102428.66826069431</v>
      </c>
      <c r="AN5" s="425">
        <f t="shared" si="1"/>
        <v>0</v>
      </c>
      <c r="AO5" s="425">
        <f t="shared" si="1"/>
        <v>0</v>
      </c>
      <c r="AP5" s="425">
        <f t="shared" si="1"/>
        <v>0</v>
      </c>
      <c r="AQ5" s="425">
        <f t="shared" si="1"/>
        <v>0</v>
      </c>
      <c r="AR5" s="425">
        <f t="shared" si="1"/>
        <v>0</v>
      </c>
      <c r="AS5" s="425">
        <f t="shared" si="1"/>
        <v>0</v>
      </c>
      <c r="AT5" s="425">
        <f t="shared" si="1"/>
        <v>0</v>
      </c>
      <c r="AU5" s="425">
        <f t="shared" si="1"/>
        <v>0</v>
      </c>
      <c r="AV5" s="425">
        <f t="shared" si="1"/>
        <v>0</v>
      </c>
      <c r="AW5" s="425">
        <f t="shared" si="1"/>
        <v>0</v>
      </c>
      <c r="AX5" s="425">
        <f t="shared" si="1"/>
        <v>0</v>
      </c>
      <c r="AY5" s="425">
        <f t="shared" si="1"/>
        <v>0</v>
      </c>
      <c r="AZ5" s="425">
        <f t="shared" si="1"/>
        <v>0</v>
      </c>
      <c r="BA5" s="425">
        <f t="shared" si="1"/>
        <v>0</v>
      </c>
    </row>
    <row r="6" spans="1:53" x14ac:dyDescent="0.2">
      <c r="A6" s="426"/>
      <c r="B6" s="426"/>
      <c r="C6" s="427" t="s">
        <v>100</v>
      </c>
      <c r="D6" s="438">
        <f>SUM(E6:Y6)</f>
        <v>4895687.1189000001</v>
      </c>
      <c r="E6" s="438">
        <f>SUM('TCO TO BE- SW'!F37:F46)+SUM('TCO TO BE- SW'!F120:F129)</f>
        <v>1770197.1157941571</v>
      </c>
      <c r="F6" s="438">
        <f>SUM('TCO TO BE- SW'!G37:G46)+SUM('TCO TO BE- SW'!G120:G129)</f>
        <v>547417.69352643262</v>
      </c>
      <c r="G6" s="438">
        <f>SUM('TCO TO BE- SW'!H37:H46)+SUM('TCO TO BE- SW'!H120:H129)</f>
        <v>854483.37804209441</v>
      </c>
      <c r="H6" s="438">
        <f>SUM('TCO TO BE- SW'!I37:I46)+SUM('TCO TO BE- SW'!I120:I129)</f>
        <v>1057366.0624542283</v>
      </c>
      <c r="I6" s="438">
        <f>SUM('TCO TO BE- SW'!J37:J46)+SUM('TCO TO BE- SW'!J120:J129)</f>
        <v>422215.31620903494</v>
      </c>
      <c r="J6" s="438">
        <f>SUM('TCO TO BE- SW'!K37:K46)+SUM('TCO TO BE- SW'!K120:K129)</f>
        <v>128857.92118067949</v>
      </c>
      <c r="K6" s="438">
        <f>SUM('TCO TO BE- SW'!L37:L46)+SUM('TCO TO BE- SW'!L120:L129)</f>
        <v>115149.63169337316</v>
      </c>
      <c r="L6" s="438">
        <f>SUM('TCO TO BE- SW'!M37:M46)+SUM('TCO TO BE- SW'!M120:M129)</f>
        <v>0</v>
      </c>
      <c r="M6" s="438">
        <f>SUM('TCO TO BE- SW'!N37:N46)+SUM('TCO TO BE- SW'!N120:N129)</f>
        <v>0</v>
      </c>
      <c r="N6" s="438">
        <f>SUM('TCO TO BE- SW'!O37:O46)+SUM('TCO TO BE- SW'!O120:O129)</f>
        <v>0</v>
      </c>
      <c r="O6" s="438">
        <f>SUM('TCO TO BE- SW'!P37:P46)+SUM('TCO TO BE- SW'!P120:P129)</f>
        <v>0</v>
      </c>
      <c r="P6" s="438">
        <f>SUM('TCO TO BE- SW'!Q37:Q46)+SUM('TCO TO BE- SW'!Q120:Q129)</f>
        <v>0</v>
      </c>
      <c r="Q6" s="438">
        <f>SUM('TCO TO BE- SW'!R37:R46)+SUM('TCO TO BE- SW'!R120:R129)</f>
        <v>0</v>
      </c>
      <c r="R6" s="438">
        <f>SUM('TCO TO BE- SW'!S37:S46)+SUM('TCO TO BE- SW'!S120:S129)</f>
        <v>0</v>
      </c>
      <c r="S6" s="438">
        <f>SUM('TCO TO BE- SW'!T37:T46)+SUM('TCO TO BE- SW'!T120:T129)</f>
        <v>0</v>
      </c>
      <c r="T6" s="438">
        <f>SUM('TCO TO BE- SW'!U37:U46)+SUM('TCO TO BE- SW'!U120:U129)</f>
        <v>0</v>
      </c>
      <c r="U6" s="438">
        <f>SUM('TCO TO BE- SW'!V37:V46)+SUM('TCO TO BE- SW'!V120:V129)</f>
        <v>0</v>
      </c>
      <c r="V6" s="438">
        <f>SUM('TCO TO BE- SW'!W37:W46)+SUM('TCO TO BE- SW'!W120:W129)</f>
        <v>0</v>
      </c>
      <c r="W6" s="438">
        <f>SUM('TCO TO BE- SW'!X37:X46)+SUM('TCO TO BE- SW'!X120:X129)</f>
        <v>0</v>
      </c>
      <c r="X6" s="438">
        <f>SUM('TCO TO BE- SW'!Y37:Y46)+SUM('TCO TO BE- SW'!Y120:Y129)</f>
        <v>0</v>
      </c>
      <c r="Y6" s="438">
        <f>SUM('TCO TO BE- SW'!Z37:Z46)+SUM('TCO TO BE- SW'!Z120:Z129)</f>
        <v>0</v>
      </c>
      <c r="AC6" s="426"/>
      <c r="AD6" s="426"/>
      <c r="AE6" s="427" t="s">
        <v>100</v>
      </c>
      <c r="AF6" s="438">
        <f>SUM(AG6:BA6)</f>
        <v>4354844.2529566623</v>
      </c>
      <c r="AG6" s="438">
        <f>('TCO TO BE- SW'!F37+NPV(Faktory!$D$5,'TCO TO BE- SW'!F38:F46)+'TCO TO BE- SW'!F120+NPV(Faktory!$D$5,'TCO TO BE- SW'!F121:F129))</f>
        <v>1574637.5430235309</v>
      </c>
      <c r="AH6" s="438">
        <f>('TCO TO BE- SW'!G37+NPV(Faktory!$D$5,'TCO TO BE- SW'!G38:G46)+'TCO TO BE- SW'!G120+NPV(Faktory!$D$5,'TCO TO BE- SW'!G121:G129))</f>
        <v>486942.63720758632</v>
      </c>
      <c r="AI6" s="438">
        <f>('TCO TO BE- SW'!H37+NPV(Faktory!$D$5,'TCO TO BE- SW'!H38:H46)+'TCO TO BE- SW'!H120+NPV(Faktory!$D$5,'TCO TO BE- SW'!H121:H129))</f>
        <v>760085.75256943796</v>
      </c>
      <c r="AJ6" s="438">
        <f>('TCO TO BE- SW'!I37+NPV(Faktory!$D$5,'TCO TO BE- SW'!I38:I46)+'TCO TO BE- SW'!I120+NPV(Faktory!$D$5,'TCO TO BE- SW'!I121:I129))</f>
        <v>940555.31093351846</v>
      </c>
      <c r="AK6" s="438">
        <f>('TCO TO BE- SW'!J37+NPV(Faktory!$D$5,'TCO TO BE- SW'!J38:J46)+'TCO TO BE- SW'!J120+NPV(Faktory!$D$5,'TCO TO BE- SW'!J121:J129))</f>
        <v>375571.78362254577</v>
      </c>
      <c r="AL6" s="438">
        <f>('TCO TO BE- SW'!K37+NPV(Faktory!$D$5,'TCO TO BE- SW'!K38:K46)+'TCO TO BE- SW'!K120+NPV(Faktory!$D$5,'TCO TO BE- SW'!K121:K129))</f>
        <v>114622.55733934839</v>
      </c>
      <c r="AM6" s="438">
        <f>('TCO TO BE- SW'!L37+NPV(Faktory!$D$5,'TCO TO BE- SW'!L38:L46)+'TCO TO BE- SW'!L120+NPV(Faktory!$D$5,'TCO TO BE- SW'!L121:L129))</f>
        <v>102428.66826069431</v>
      </c>
      <c r="AN6" s="438">
        <f>('TCO TO BE- SW'!M37+NPV(Faktory!$D$5,'TCO TO BE- SW'!M38:M46)+'TCO TO BE- SW'!M120+NPV(Faktory!$D$5,'TCO TO BE- SW'!M121:M129))</f>
        <v>0</v>
      </c>
      <c r="AO6" s="438">
        <f>('TCO TO BE- SW'!N37+NPV(Faktory!$D$5,'TCO TO BE- SW'!N38:N46)+'TCO TO BE- SW'!N120+NPV(Faktory!$D$5,'TCO TO BE- SW'!N121:N129))</f>
        <v>0</v>
      </c>
      <c r="AP6" s="438">
        <f>('TCO TO BE- SW'!O37+NPV(Faktory!$D$5,'TCO TO BE- SW'!O38:O46)+'TCO TO BE- SW'!O120+NPV(Faktory!$D$5,'TCO TO BE- SW'!O121:O129))</f>
        <v>0</v>
      </c>
      <c r="AQ6" s="438">
        <f>('TCO TO BE- SW'!P37+NPV(Faktory!$D$5,'TCO TO BE- SW'!P38:P46)+'TCO TO BE- SW'!P120+NPV(Faktory!$D$5,'TCO TO BE- SW'!P121:P129))</f>
        <v>0</v>
      </c>
      <c r="AR6" s="438">
        <f>('TCO TO BE- SW'!Q37+NPV(Faktory!$D$5,'TCO TO BE- SW'!Q38:Q46)+'TCO TO BE- SW'!Q120+NPV(Faktory!$D$5,'TCO TO BE- SW'!Q121:Q129))</f>
        <v>0</v>
      </c>
      <c r="AS6" s="438">
        <f>('TCO TO BE- SW'!R37+NPV(Faktory!$D$5,'TCO TO BE- SW'!R38:R46)+'TCO TO BE- SW'!R120+NPV(Faktory!$D$5,'TCO TO BE- SW'!R121:R129))</f>
        <v>0</v>
      </c>
      <c r="AT6" s="438">
        <f>('TCO TO BE- SW'!S37+NPV(Faktory!$D$5,'TCO TO BE- SW'!S38:S46)+'TCO TO BE- SW'!S120+NPV(Faktory!$D$5,'TCO TO BE- SW'!S121:S129))</f>
        <v>0</v>
      </c>
      <c r="AU6" s="438">
        <f>('TCO TO BE- SW'!T37+NPV(Faktory!$D$5,'TCO TO BE- SW'!T38:T46)+'TCO TO BE- SW'!T120+NPV(Faktory!$D$5,'TCO TO BE- SW'!T121:T129))</f>
        <v>0</v>
      </c>
      <c r="AV6" s="438">
        <f>('TCO TO BE- SW'!U37+NPV(Faktory!$D$5,'TCO TO BE- SW'!U38:U46)+'TCO TO BE- SW'!U120+NPV(Faktory!$D$5,'TCO TO BE- SW'!U121:U129))</f>
        <v>0</v>
      </c>
      <c r="AW6" s="438">
        <f>('TCO TO BE- SW'!V37+NPV(Faktory!$D$5,'TCO TO BE- SW'!V38:V46)+'TCO TO BE- SW'!V120+NPV(Faktory!$D$5,'TCO TO BE- SW'!V121:V129))</f>
        <v>0</v>
      </c>
      <c r="AX6" s="438">
        <f>('TCO TO BE- SW'!W37+NPV(Faktory!$D$5,'TCO TO BE- SW'!W38:W46)+'TCO TO BE- SW'!W120+NPV(Faktory!$D$5,'TCO TO BE- SW'!W121:W129))</f>
        <v>0</v>
      </c>
      <c r="AY6" s="438">
        <f>('TCO TO BE- SW'!X37+NPV(Faktory!$D$5,'TCO TO BE- SW'!X38:X46)+'TCO TO BE- SW'!X120+NPV(Faktory!$D$5,'TCO TO BE- SW'!X121:X129))</f>
        <v>0</v>
      </c>
      <c r="AZ6" s="438">
        <f>('TCO TO BE- SW'!Y37+NPV(Faktory!$D$5,'TCO TO BE- SW'!Y38:Y46)+'TCO TO BE- SW'!Y120+NPV(Faktory!$D$5,'TCO TO BE- SW'!Y121:Y129))</f>
        <v>0</v>
      </c>
      <c r="BA6" s="438">
        <f>('TCO TO BE- SW'!Z37+NPV(Faktory!$D$5,'TCO TO BE- SW'!Z38:Z46)+'TCO TO BE- SW'!Z120+NPV(Faktory!$D$5,'TCO TO BE- SW'!Z121:Z129))</f>
        <v>0</v>
      </c>
    </row>
    <row r="7" spans="1:53" x14ac:dyDescent="0.2">
      <c r="A7" s="426"/>
      <c r="B7" s="426"/>
      <c r="C7" s="427" t="s">
        <v>101</v>
      </c>
      <c r="D7" s="438">
        <f>SUM(E7:Y7)</f>
        <v>0</v>
      </c>
      <c r="E7" s="438">
        <f>SUM('TCO TO BE- SW'!F6:F15)+SUM('TCO TO BE- SW'!F89:F98)</f>
        <v>0</v>
      </c>
      <c r="F7" s="438">
        <f>SUM('TCO TO BE- SW'!G6:G15)+SUM('TCO TO BE- SW'!G89:G98)</f>
        <v>0</v>
      </c>
      <c r="G7" s="438">
        <f>SUM('TCO TO BE- SW'!H6:H15)+SUM('TCO TO BE- SW'!H89:H98)</f>
        <v>0</v>
      </c>
      <c r="H7" s="438">
        <f>SUM('TCO TO BE- SW'!I6:I15)+SUM('TCO TO BE- SW'!I89:I98)</f>
        <v>0</v>
      </c>
      <c r="I7" s="438">
        <f>SUM('TCO TO BE- SW'!J6:J15)+SUM('TCO TO BE- SW'!J89:J98)</f>
        <v>0</v>
      </c>
      <c r="J7" s="438">
        <f>SUM('TCO TO BE- SW'!K6:K15)+SUM('TCO TO BE- SW'!K89:K98)</f>
        <v>0</v>
      </c>
      <c r="K7" s="438">
        <f>SUM('TCO TO BE- SW'!L6:L15)+SUM('TCO TO BE- SW'!L89:L98)</f>
        <v>0</v>
      </c>
      <c r="L7" s="438">
        <f>SUM('TCO TO BE- SW'!M6:M15)+SUM('TCO TO BE- SW'!M89:M98)</f>
        <v>0</v>
      </c>
      <c r="M7" s="438">
        <f>SUM('TCO TO BE- SW'!N6:N15)+SUM('TCO TO BE- SW'!N89:N98)</f>
        <v>0</v>
      </c>
      <c r="N7" s="438">
        <f>SUM('TCO TO BE- SW'!O6:O15)+SUM('TCO TO BE- SW'!O89:O98)</f>
        <v>0</v>
      </c>
      <c r="O7" s="438">
        <f>SUM('TCO TO BE- SW'!P6:P15)+SUM('TCO TO BE- SW'!P89:P98)</f>
        <v>0</v>
      </c>
      <c r="P7" s="438">
        <f>SUM('TCO TO BE- SW'!Q6:Q15)+SUM('TCO TO BE- SW'!Q89:Q98)</f>
        <v>0</v>
      </c>
      <c r="Q7" s="438">
        <f>SUM('TCO TO BE- SW'!R6:R15)+SUM('TCO TO BE- SW'!R89:R98)</f>
        <v>0</v>
      </c>
      <c r="R7" s="438">
        <f>SUM('TCO TO BE- SW'!S6:S15)+SUM('TCO TO BE- SW'!S89:S98)</f>
        <v>0</v>
      </c>
      <c r="S7" s="438">
        <f>SUM('TCO TO BE- SW'!T6:T15)+SUM('TCO TO BE- SW'!T89:T98)</f>
        <v>0</v>
      </c>
      <c r="T7" s="438">
        <f>SUM('TCO TO BE- SW'!U6:U15)+SUM('TCO TO BE- SW'!U89:U98)</f>
        <v>0</v>
      </c>
      <c r="U7" s="438">
        <f>SUM('TCO TO BE- SW'!V6:V15)+SUM('TCO TO BE- SW'!V89:V98)</f>
        <v>0</v>
      </c>
      <c r="V7" s="438">
        <f>SUM('TCO TO BE- SW'!W6:W15)+SUM('TCO TO BE- SW'!W89:W98)</f>
        <v>0</v>
      </c>
      <c r="W7" s="438">
        <f>SUM('TCO TO BE- SW'!X6:X15)+SUM('TCO TO BE- SW'!X89:X98)</f>
        <v>0</v>
      </c>
      <c r="X7" s="438">
        <f>SUM('TCO TO BE- SW'!Y6:Y15)+SUM('TCO TO BE- SW'!Y89:Y98)</f>
        <v>0</v>
      </c>
      <c r="Y7" s="438">
        <f>SUM('TCO TO BE- SW'!Z6:Z15)+SUM('TCO TO BE- SW'!Z89:Z98)</f>
        <v>0</v>
      </c>
      <c r="AC7" s="426"/>
      <c r="AD7" s="426"/>
      <c r="AE7" s="427" t="s">
        <v>101</v>
      </c>
      <c r="AF7" s="438">
        <f>SUM(AG7:BA7)</f>
        <v>0</v>
      </c>
      <c r="AG7" s="438">
        <f>('TCO TO BE- SW'!F6+NPV(Faktory!$D$5,'TCO TO BE- SW'!F7:F15)+'TCO TO BE- SW'!F89+NPV(Faktory!$D$5,'TCO TO BE- SW'!F90:F98))</f>
        <v>0</v>
      </c>
      <c r="AH7" s="438">
        <f>('TCO TO BE- SW'!G6+NPV(Faktory!$D$5,'TCO TO BE- SW'!G7:G15)+'TCO TO BE- SW'!G89+NPV(Faktory!$D$5,'TCO TO BE- SW'!G90:G98))</f>
        <v>0</v>
      </c>
      <c r="AI7" s="438">
        <f>('TCO TO BE- SW'!H6+NPV(Faktory!$D$5,'TCO TO BE- SW'!H7:H15)+'TCO TO BE- SW'!H89+NPV(Faktory!$D$5,'TCO TO BE- SW'!H90:H98))</f>
        <v>0</v>
      </c>
      <c r="AJ7" s="438">
        <f>('TCO TO BE- SW'!I6+NPV(Faktory!$D$5,'TCO TO BE- SW'!I7:I15)+'TCO TO BE- SW'!I89+NPV(Faktory!$D$5,'TCO TO BE- SW'!I90:I98))</f>
        <v>0</v>
      </c>
      <c r="AK7" s="438">
        <f>('TCO TO BE- SW'!J6+NPV(Faktory!$D$5,'TCO TO BE- SW'!J7:J15)+'TCO TO BE- SW'!J89+NPV(Faktory!$D$5,'TCO TO BE- SW'!J90:J98))</f>
        <v>0</v>
      </c>
      <c r="AL7" s="438">
        <f>('TCO TO BE- SW'!K6+NPV(Faktory!$D$5,'TCO TO BE- SW'!K7:K15)+'TCO TO BE- SW'!K89+NPV(Faktory!$D$5,'TCO TO BE- SW'!K90:K98))</f>
        <v>0</v>
      </c>
      <c r="AM7" s="438">
        <f>('TCO TO BE- SW'!L6+NPV(Faktory!$D$5,'TCO TO BE- SW'!L7:L15)+'TCO TO BE- SW'!L89+NPV(Faktory!$D$5,'TCO TO BE- SW'!L90:L98))</f>
        <v>0</v>
      </c>
      <c r="AN7" s="438">
        <f>('TCO TO BE- SW'!M6+NPV(Faktory!$D$5,'TCO TO BE- SW'!M7:M15)+'TCO TO BE- SW'!M89+NPV(Faktory!$D$5,'TCO TO BE- SW'!M90:M98))</f>
        <v>0</v>
      </c>
      <c r="AO7" s="438">
        <f>('TCO TO BE- SW'!N6+NPV(Faktory!$D$5,'TCO TO BE- SW'!N7:N15)+'TCO TO BE- SW'!N89+NPV(Faktory!$D$5,'TCO TO BE- SW'!N90:N98))</f>
        <v>0</v>
      </c>
      <c r="AP7" s="438">
        <f>('TCO TO BE- SW'!O6+NPV(Faktory!$D$5,'TCO TO BE- SW'!O7:O15)+'TCO TO BE- SW'!O89+NPV(Faktory!$D$5,'TCO TO BE- SW'!O90:O98))</f>
        <v>0</v>
      </c>
      <c r="AQ7" s="438">
        <f>('TCO TO BE- SW'!P6+NPV(Faktory!$D$5,'TCO TO BE- SW'!P7:P15)+'TCO TO BE- SW'!P89+NPV(Faktory!$D$5,'TCO TO BE- SW'!P90:P98))</f>
        <v>0</v>
      </c>
      <c r="AR7" s="438">
        <f>('TCO TO BE- SW'!Q6+NPV(Faktory!$D$5,'TCO TO BE- SW'!Q7:Q15)+'TCO TO BE- SW'!Q89+NPV(Faktory!$D$5,'TCO TO BE- SW'!Q90:Q98))</f>
        <v>0</v>
      </c>
      <c r="AS7" s="438">
        <f>('TCO TO BE- SW'!R6+NPV(Faktory!$D$5,'TCO TO BE- SW'!R7:R15)+'TCO TO BE- SW'!R89+NPV(Faktory!$D$5,'TCO TO BE- SW'!R90:R98))</f>
        <v>0</v>
      </c>
      <c r="AT7" s="438">
        <f>('TCO TO BE- SW'!S6+NPV(Faktory!$D$5,'TCO TO BE- SW'!S7:S15)+'TCO TO BE- SW'!S89+NPV(Faktory!$D$5,'TCO TO BE- SW'!S90:S98))</f>
        <v>0</v>
      </c>
      <c r="AU7" s="438">
        <f>('TCO TO BE- SW'!T6+NPV(Faktory!$D$5,'TCO TO BE- SW'!T7:T15)+'TCO TO BE- SW'!T89+NPV(Faktory!$D$5,'TCO TO BE- SW'!T90:T98))</f>
        <v>0</v>
      </c>
      <c r="AV7" s="438">
        <f>('TCO TO BE- SW'!U6+NPV(Faktory!$D$5,'TCO TO BE- SW'!U7:U15)+'TCO TO BE- SW'!U89+NPV(Faktory!$D$5,'TCO TO BE- SW'!U90:U98))</f>
        <v>0</v>
      </c>
      <c r="AW7" s="438">
        <f>('TCO TO BE- SW'!V6+NPV(Faktory!$D$5,'TCO TO BE- SW'!V7:V15)+'TCO TO BE- SW'!V89+NPV(Faktory!$D$5,'TCO TO BE- SW'!V90:V98))</f>
        <v>0</v>
      </c>
      <c r="AX7" s="438">
        <f>('TCO TO BE- SW'!W6+NPV(Faktory!$D$5,'TCO TO BE- SW'!W7:W15)+'TCO TO BE- SW'!W89+NPV(Faktory!$D$5,'TCO TO BE- SW'!W90:W98))</f>
        <v>0</v>
      </c>
      <c r="AY7" s="438">
        <f>('TCO TO BE- SW'!X6+NPV(Faktory!$D$5,'TCO TO BE- SW'!X7:X15)+'TCO TO BE- SW'!X89+NPV(Faktory!$D$5,'TCO TO BE- SW'!X90:X98))</f>
        <v>0</v>
      </c>
      <c r="AZ7" s="438">
        <f>('TCO TO BE- SW'!Y6+NPV(Faktory!$D$5,'TCO TO BE- SW'!Y7:Y15)+'TCO TO BE- SW'!Y89+NPV(Faktory!$D$5,'TCO TO BE- SW'!Y90:Y98))</f>
        <v>0</v>
      </c>
      <c r="BA7" s="438">
        <f>('TCO TO BE- SW'!Z6+NPV(Faktory!$D$5,'TCO TO BE- SW'!Z7:Z15)+'TCO TO BE- SW'!Z89+NPV(Faktory!$D$5,'TCO TO BE- SW'!Z90:Z98))</f>
        <v>0</v>
      </c>
    </row>
    <row r="8" spans="1:53" x14ac:dyDescent="0.2">
      <c r="A8" s="426"/>
      <c r="B8" s="426"/>
      <c r="C8" s="427" t="s">
        <v>102</v>
      </c>
      <c r="D8" s="438">
        <f>SUM(E8:X8)</f>
        <v>0</v>
      </c>
      <c r="E8" s="438">
        <f>SUM('TCO TO BE - HW'!F5:F14)+SUM('TCO TO BE - HW'!F66:F75)</f>
        <v>0</v>
      </c>
      <c r="F8" s="438">
        <f>SUM('TCO TO BE - HW'!G5:G14)+SUM('TCO TO BE - HW'!G66:G75)</f>
        <v>0</v>
      </c>
      <c r="G8" s="438">
        <f>SUM('TCO TO BE - HW'!H5:H14)+SUM('TCO TO BE - HW'!H66:H75)</f>
        <v>0</v>
      </c>
      <c r="H8" s="438">
        <f>SUM('TCO TO BE - HW'!I5:I14)+SUM('TCO TO BE - HW'!I66:I75)</f>
        <v>0</v>
      </c>
      <c r="I8" s="438">
        <f>SUM('TCO TO BE - HW'!J5:J14)+SUM('TCO TO BE - HW'!J66:J75)</f>
        <v>0</v>
      </c>
      <c r="J8" s="438">
        <f>SUM('TCO TO BE - HW'!K5:K14)+SUM('TCO TO BE - HW'!K66:K75)</f>
        <v>0</v>
      </c>
      <c r="K8" s="438">
        <f>SUM('TCO TO BE - HW'!L5:L14)+SUM('TCO TO BE - HW'!L66:L75)</f>
        <v>0</v>
      </c>
      <c r="L8" s="438">
        <f>SUM('TCO TO BE - HW'!M5:M14)+SUM('TCO TO BE - HW'!M66:M75)</f>
        <v>0</v>
      </c>
      <c r="M8" s="438">
        <f>SUM('TCO TO BE - HW'!N5:N14)+SUM('TCO TO BE - HW'!N66:N75)</f>
        <v>0</v>
      </c>
      <c r="N8" s="438">
        <f>SUM('TCO TO BE - HW'!O5:O14)+SUM('TCO TO BE - HW'!O66:O75)</f>
        <v>0</v>
      </c>
      <c r="O8" s="438">
        <f>SUM('TCO TO BE - HW'!P5:P14)+SUM('TCO TO BE - HW'!P66:P75)</f>
        <v>0</v>
      </c>
      <c r="P8" s="438">
        <f>SUM('TCO TO BE - HW'!Q5:Q14)+SUM('TCO TO BE - HW'!Q66:Q75)</f>
        <v>0</v>
      </c>
      <c r="Q8" s="438">
        <f>SUM('TCO TO BE - HW'!R5:R14)+SUM('TCO TO BE - HW'!R66:R75)</f>
        <v>0</v>
      </c>
      <c r="R8" s="438">
        <f>SUM('TCO TO BE - HW'!S5:S14)+SUM('TCO TO BE - HW'!S66:S75)</f>
        <v>0</v>
      </c>
      <c r="S8" s="438">
        <f>SUM('TCO TO BE - HW'!T5:T14)+SUM('TCO TO BE - HW'!T66:T75)</f>
        <v>0</v>
      </c>
      <c r="T8" s="438">
        <f>SUM('TCO TO BE - HW'!U5:U14)+SUM('TCO TO BE - HW'!U66:U75)</f>
        <v>0</v>
      </c>
      <c r="U8" s="438">
        <f>SUM('TCO TO BE - HW'!V5:V14)+SUM('TCO TO BE - HW'!V66:V75)</f>
        <v>0</v>
      </c>
      <c r="V8" s="438">
        <f>SUM('TCO TO BE - HW'!W5:W14)+SUM('TCO TO BE - HW'!W66:W75)</f>
        <v>0</v>
      </c>
      <c r="W8" s="438">
        <f>SUM('TCO TO BE - HW'!X5:X14)+SUM('TCO TO BE - HW'!X66:X75)</f>
        <v>0</v>
      </c>
      <c r="X8" s="438">
        <f>SUM('TCO TO BE - HW'!Y5:Y14)+SUM('TCO TO BE - HW'!Y66:Y75)</f>
        <v>0</v>
      </c>
      <c r="Y8" s="438">
        <f>SUM('TCO TO BE - HW'!Z5:Z14)+SUM('TCO TO BE - HW'!Z66:Z75)</f>
        <v>0</v>
      </c>
      <c r="AC8" s="426"/>
      <c r="AD8" s="426"/>
      <c r="AE8" s="427" t="s">
        <v>102</v>
      </c>
      <c r="AF8" s="438">
        <f>SUM(AG8:AZ8)</f>
        <v>0</v>
      </c>
      <c r="AG8" s="438">
        <f>('TCO TO BE - HW'!F5+NPV(Faktory!$D$5,'TCO TO BE - HW'!F6:F14)+'TCO TO BE - HW'!F66+NPV(Faktory!$D$5,'TCO TO BE - HW'!F67:F75))</f>
        <v>0</v>
      </c>
      <c r="AH8" s="438">
        <f>('TCO TO BE - HW'!G5+NPV(Faktory!$D$5,'TCO TO BE - HW'!G6:G14)+'TCO TO BE - HW'!G66+NPV(Faktory!$D$5,'TCO TO BE - HW'!G67:G75))</f>
        <v>0</v>
      </c>
      <c r="AI8" s="438">
        <f>('TCO TO BE - HW'!H5+NPV(Faktory!$D$5,'TCO TO BE - HW'!H6:H14)+'TCO TO BE - HW'!H66+NPV(Faktory!$D$5,'TCO TO BE - HW'!H67:H75))</f>
        <v>0</v>
      </c>
      <c r="AJ8" s="438">
        <f>('TCO TO BE - HW'!I5+NPV(Faktory!$D$5,'TCO TO BE - HW'!I6:I14)+'TCO TO BE - HW'!I66+NPV(Faktory!$D$5,'TCO TO BE - HW'!I67:I75))</f>
        <v>0</v>
      </c>
      <c r="AK8" s="438">
        <f>('TCO TO BE - HW'!J5+NPV(Faktory!$D$5,'TCO TO BE - HW'!J6:J14)+'TCO TO BE - HW'!J66+NPV(Faktory!$D$5,'TCO TO BE - HW'!J67:J75))</f>
        <v>0</v>
      </c>
      <c r="AL8" s="438">
        <f>('TCO TO BE - HW'!K5+NPV(Faktory!$D$5,'TCO TO BE - HW'!K6:K14)+'TCO TO BE - HW'!K66+NPV(Faktory!$D$5,'TCO TO BE - HW'!K67:K75))</f>
        <v>0</v>
      </c>
      <c r="AM8" s="438">
        <f>('TCO TO BE - HW'!L5+NPV(Faktory!$D$5,'TCO TO BE - HW'!L6:L14)+'TCO TO BE - HW'!L66+NPV(Faktory!$D$5,'TCO TO BE - HW'!L67:L75))</f>
        <v>0</v>
      </c>
      <c r="AN8" s="438">
        <f>('TCO TO BE - HW'!M5+NPV(Faktory!$D$5,'TCO TO BE - HW'!M6:M14)+'TCO TO BE - HW'!M66+NPV(Faktory!$D$5,'TCO TO BE - HW'!M67:M75))</f>
        <v>0</v>
      </c>
      <c r="AO8" s="438">
        <f>('TCO TO BE - HW'!N5+NPV(Faktory!$D$5,'TCO TO BE - HW'!N6:N14)+'TCO TO BE - HW'!N66+NPV(Faktory!$D$5,'TCO TO BE - HW'!N67:N75))</f>
        <v>0</v>
      </c>
      <c r="AP8" s="438">
        <f>('TCO TO BE - HW'!O5+NPV(Faktory!$D$5,'TCO TO BE - HW'!O6:O14)+'TCO TO BE - HW'!O66+NPV(Faktory!$D$5,'TCO TO BE - HW'!O67:O75))</f>
        <v>0</v>
      </c>
      <c r="AQ8" s="438">
        <f>('TCO TO BE - HW'!P5+NPV(Faktory!$D$5,'TCO TO BE - HW'!P6:P14)+'TCO TO BE - HW'!P66+NPV(Faktory!$D$5,'TCO TO BE - HW'!P67:P75))</f>
        <v>0</v>
      </c>
      <c r="AR8" s="438">
        <f>('TCO TO BE - HW'!Q5+NPV(Faktory!$D$5,'TCO TO BE - HW'!Q6:Q14)+'TCO TO BE - HW'!Q66+NPV(Faktory!$D$5,'TCO TO BE - HW'!Q67:Q75))</f>
        <v>0</v>
      </c>
      <c r="AS8" s="438">
        <f>('TCO TO BE - HW'!R5+NPV(Faktory!$D$5,'TCO TO BE - HW'!R6:R14)+'TCO TO BE - HW'!R66+NPV(Faktory!$D$5,'TCO TO BE - HW'!R67:R75))</f>
        <v>0</v>
      </c>
      <c r="AT8" s="438">
        <f>('TCO TO BE - HW'!S5+NPV(Faktory!$D$5,'TCO TO BE - HW'!S6:S14)+'TCO TO BE - HW'!S66+NPV(Faktory!$D$5,'TCO TO BE - HW'!S67:S75))</f>
        <v>0</v>
      </c>
      <c r="AU8" s="438">
        <f>('TCO TO BE - HW'!T5+NPV(Faktory!$D$5,'TCO TO BE - HW'!T6:T14)+'TCO TO BE - HW'!T66+NPV(Faktory!$D$5,'TCO TO BE - HW'!T67:T75))</f>
        <v>0</v>
      </c>
      <c r="AV8" s="438">
        <f>('TCO TO BE - HW'!U5+NPV(Faktory!$D$5,'TCO TO BE - HW'!U6:U14)+'TCO TO BE - HW'!U66+NPV(Faktory!$D$5,'TCO TO BE - HW'!U67:U75))</f>
        <v>0</v>
      </c>
      <c r="AW8" s="438">
        <f>('TCO TO BE - HW'!V5+NPV(Faktory!$D$5,'TCO TO BE - HW'!V6:V14)+'TCO TO BE - HW'!V66+NPV(Faktory!$D$5,'TCO TO BE - HW'!V67:V75))</f>
        <v>0</v>
      </c>
      <c r="AX8" s="438">
        <f>('TCO TO BE - HW'!W5+NPV(Faktory!$D$5,'TCO TO BE - HW'!W6:W14)+'TCO TO BE - HW'!W66+NPV(Faktory!$D$5,'TCO TO BE - HW'!W67:W75))</f>
        <v>0</v>
      </c>
      <c r="AY8" s="438">
        <f>('TCO TO BE - HW'!X5+NPV(Faktory!$D$5,'TCO TO BE - HW'!X6:X14)+'TCO TO BE - HW'!X66+NPV(Faktory!$D$5,'TCO TO BE - HW'!X67:X75))</f>
        <v>0</v>
      </c>
      <c r="AZ8" s="438">
        <f>('TCO TO BE - HW'!Y5+NPV(Faktory!$D$5,'TCO TO BE - HW'!Y6:Y14)+'TCO TO BE - HW'!Y66+NPV(Faktory!$D$5,'TCO TO BE - HW'!Y67:Y75))</f>
        <v>0</v>
      </c>
      <c r="BA8" s="438">
        <f>('TCO TO BE - HW'!Z5+NPV(Faktory!$D$5,'TCO TO BE - HW'!Z6:Z14)+'TCO TO BE - HW'!Z66+NPV(Faktory!$D$5,'TCO TO BE - HW'!Z67:Z75))</f>
        <v>0</v>
      </c>
    </row>
    <row r="9" spans="1:53" x14ac:dyDescent="0.2">
      <c r="A9" s="423"/>
      <c r="B9" s="424" t="s">
        <v>103</v>
      </c>
      <c r="C9" s="424"/>
      <c r="D9" s="425">
        <f>SUM(E9:Y9)</f>
        <v>1506564.4635000001</v>
      </c>
      <c r="E9" s="425">
        <f>SUM(E10:E12)</f>
        <v>544748.06156421499</v>
      </c>
      <c r="F9" s="425">
        <f>SUM(F10:F12)</f>
        <v>168458.48677179392</v>
      </c>
      <c r="G9" s="425">
        <f>SUM(G10:G12)</f>
        <v>262952.72976899386</v>
      </c>
      <c r="H9" s="425">
        <f>SUM(H10:H12)</f>
        <v>325386.42603500094</v>
      </c>
      <c r="I9" s="425">
        <f>SUM(I10:I12)</f>
        <v>129929.58412114991</v>
      </c>
      <c r="J9" s="425">
        <f>SUM(J10+J11)</f>
        <v>39653.834114896403</v>
      </c>
      <c r="K9" s="425">
        <f>SUM(K10:K12)</f>
        <v>35435.341123949969</v>
      </c>
      <c r="L9" s="425">
        <f>SUM(L10:L12)</f>
        <v>0</v>
      </c>
      <c r="M9" s="425">
        <f>SUM(M10:M12)</f>
        <v>0</v>
      </c>
      <c r="N9" s="425">
        <f>SUM(N10+N11)</f>
        <v>0</v>
      </c>
      <c r="O9" s="425">
        <f>SUM(O10:O12)</f>
        <v>0</v>
      </c>
      <c r="P9" s="425">
        <f>SUM(P10:P12)</f>
        <v>0</v>
      </c>
      <c r="Q9" s="425">
        <f>SUM(Q10:Q12)</f>
        <v>0</v>
      </c>
      <c r="R9" s="425">
        <f>SUM(R10+R11)</f>
        <v>0</v>
      </c>
      <c r="S9" s="425">
        <f>SUM(S10:S12)</f>
        <v>0</v>
      </c>
      <c r="T9" s="425">
        <f>SUM(T10:T12)</f>
        <v>0</v>
      </c>
      <c r="U9" s="425">
        <f>SUM(U10:U12)</f>
        <v>0</v>
      </c>
      <c r="V9" s="425">
        <f>SUM(V10+V11)</f>
        <v>0</v>
      </c>
      <c r="W9" s="425">
        <f>SUM(W10:W12)</f>
        <v>0</v>
      </c>
      <c r="X9" s="425">
        <f>SUM(X10:X12)</f>
        <v>0</v>
      </c>
      <c r="Y9" s="425">
        <f>SUM(Y10:Y12)</f>
        <v>0</v>
      </c>
      <c r="AC9" s="423"/>
      <c r="AD9" s="424" t="s">
        <v>103</v>
      </c>
      <c r="AE9" s="424"/>
      <c r="AF9" s="425">
        <f>SUM(AG9:BA9)</f>
        <v>1215026.9357853706</v>
      </c>
      <c r="AG9" s="425">
        <f t="shared" ref="AG9:BA9" si="2">SUM(AG10:AG12)</f>
        <v>439333.05480983073</v>
      </c>
      <c r="AH9" s="425">
        <f t="shared" si="2"/>
        <v>135859.83470887379</v>
      </c>
      <c r="AI9" s="425">
        <f t="shared" si="2"/>
        <v>212068.356348576</v>
      </c>
      <c r="AJ9" s="425">
        <f t="shared" si="2"/>
        <v>262420.41528909351</v>
      </c>
      <c r="AK9" s="425">
        <f t="shared" si="2"/>
        <v>104786.71725459051</v>
      </c>
      <c r="AL9" s="425">
        <f t="shared" si="2"/>
        <v>31980.36175951788</v>
      </c>
      <c r="AM9" s="425">
        <f t="shared" si="2"/>
        <v>28578.195614888311</v>
      </c>
      <c r="AN9" s="425">
        <f t="shared" si="2"/>
        <v>0</v>
      </c>
      <c r="AO9" s="425">
        <f t="shared" si="2"/>
        <v>0</v>
      </c>
      <c r="AP9" s="425">
        <f t="shared" si="2"/>
        <v>0</v>
      </c>
      <c r="AQ9" s="425">
        <f t="shared" si="2"/>
        <v>0</v>
      </c>
      <c r="AR9" s="425">
        <f t="shared" si="2"/>
        <v>0</v>
      </c>
      <c r="AS9" s="425">
        <f t="shared" si="2"/>
        <v>0</v>
      </c>
      <c r="AT9" s="425">
        <f t="shared" si="2"/>
        <v>0</v>
      </c>
      <c r="AU9" s="425">
        <f t="shared" si="2"/>
        <v>0</v>
      </c>
      <c r="AV9" s="425">
        <f t="shared" si="2"/>
        <v>0</v>
      </c>
      <c r="AW9" s="425">
        <f t="shared" si="2"/>
        <v>0</v>
      </c>
      <c r="AX9" s="425">
        <f t="shared" si="2"/>
        <v>0</v>
      </c>
      <c r="AY9" s="425">
        <f t="shared" si="2"/>
        <v>0</v>
      </c>
      <c r="AZ9" s="425">
        <f t="shared" si="2"/>
        <v>0</v>
      </c>
      <c r="BA9" s="425">
        <f t="shared" si="2"/>
        <v>0</v>
      </c>
    </row>
    <row r="10" spans="1:53" x14ac:dyDescent="0.2">
      <c r="A10" s="426"/>
      <c r="B10" s="426"/>
      <c r="C10" s="427" t="s">
        <v>100</v>
      </c>
      <c r="D10" s="442">
        <f>SUM(E10:Y10)</f>
        <v>1506564.4635000001</v>
      </c>
      <c r="E10" s="438">
        <f>SUM('TCO TO BE- SW'!F47:F76)+SUM('TCO TO BE- SW'!F100:F119)+SUM('TCO TO BE- SW'!E130:E149)</f>
        <v>544748.06156421499</v>
      </c>
      <c r="F10" s="438">
        <f>SUM('TCO TO BE- SW'!G47:G76)+SUM('TCO TO BE- SW'!G100:G119)+SUM('TCO TO BE- SW'!F130:F149)</f>
        <v>168458.48677179392</v>
      </c>
      <c r="G10" s="438">
        <f>SUM('TCO TO BE- SW'!H47:H76)+SUM('TCO TO BE- SW'!H100:H119)+SUM('TCO TO BE- SW'!G130:G149)</f>
        <v>262952.72976899386</v>
      </c>
      <c r="H10" s="438">
        <f>SUM('TCO TO BE- SW'!I47:I76)+SUM('TCO TO BE- SW'!I100:I119)+SUM('TCO TO BE- SW'!H130:H149)</f>
        <v>325386.42603500094</v>
      </c>
      <c r="I10" s="438">
        <f>SUM('TCO TO BE- SW'!J47:J76)+SUM('TCO TO BE- SW'!J100:J119)+SUM('TCO TO BE- SW'!I130:I149)</f>
        <v>129929.58412114991</v>
      </c>
      <c r="J10" s="438">
        <f>SUM('TCO TO BE- SW'!K47:K76)+SUM('TCO TO BE- SW'!K100:K119)+SUM('TCO TO BE- SW'!J130:J149)</f>
        <v>39653.834114896403</v>
      </c>
      <c r="K10" s="438">
        <f>SUM('TCO TO BE- SW'!L47:L76)+SUM('TCO TO BE- SW'!L100:L119)+SUM('TCO TO BE- SW'!K130:K149)</f>
        <v>35435.341123949969</v>
      </c>
      <c r="L10" s="438">
        <f>SUM('TCO TO BE- SW'!M47:M76)+SUM('TCO TO BE- SW'!M100:M119)+SUM('TCO TO BE- SW'!L130:L149)</f>
        <v>0</v>
      </c>
      <c r="M10" s="438">
        <f>SUM('TCO TO BE- SW'!N47:N76)+SUM('TCO TO BE- SW'!N100:N119)+SUM('TCO TO BE- SW'!M130:M149)</f>
        <v>0</v>
      </c>
      <c r="N10" s="438">
        <f>SUM('TCO TO BE- SW'!O47:O76)+SUM('TCO TO BE- SW'!O100:O119)+SUM('TCO TO BE- SW'!N130:N149)</f>
        <v>0</v>
      </c>
      <c r="O10" s="438">
        <f>SUM('TCO TO BE- SW'!P47:P76)+SUM('TCO TO BE- SW'!P100:P119)+SUM('TCO TO BE- SW'!O130:O149)</f>
        <v>0</v>
      </c>
      <c r="P10" s="438">
        <f>SUM('TCO TO BE- SW'!Q47:Q76)+SUM('TCO TO BE- SW'!Q100:Q119)+SUM('TCO TO BE- SW'!P130:P149)</f>
        <v>0</v>
      </c>
      <c r="Q10" s="438">
        <f>SUM('TCO TO BE- SW'!R47:R76)+SUM('TCO TO BE- SW'!R100:R119)+SUM('TCO TO BE- SW'!Q130:Q149)</f>
        <v>0</v>
      </c>
      <c r="R10" s="438">
        <f>SUM('TCO TO BE- SW'!S47:S76)+SUM('TCO TO BE- SW'!S100:S119)+SUM('TCO TO BE- SW'!R130:R149)</f>
        <v>0</v>
      </c>
      <c r="S10" s="438">
        <f>SUM('TCO TO BE- SW'!T47:T76)+SUM('TCO TO BE- SW'!T100:T119)+SUM('TCO TO BE- SW'!S130:S149)</f>
        <v>0</v>
      </c>
      <c r="T10" s="438">
        <f>SUM('TCO TO BE- SW'!U47:U76)+SUM('TCO TO BE- SW'!U100:U119)+SUM('TCO TO BE- SW'!T130:T149)</f>
        <v>0</v>
      </c>
      <c r="U10" s="438">
        <f>SUM('TCO TO BE- SW'!V47:V76)+SUM('TCO TO BE- SW'!V100:V119)+SUM('TCO TO BE- SW'!U130:U149)</f>
        <v>0</v>
      </c>
      <c r="V10" s="438">
        <f>SUM('TCO TO BE- SW'!W47:W76)+SUM('TCO TO BE- SW'!W100:W119)+SUM('TCO TO BE- SW'!V130:V149)</f>
        <v>0</v>
      </c>
      <c r="W10" s="438">
        <f>SUM('TCO TO BE- SW'!X47:X76)+SUM('TCO TO BE- SW'!X100:X119)+SUM('TCO TO BE- SW'!W130:W149)</f>
        <v>0</v>
      </c>
      <c r="X10" s="438">
        <f>SUM('TCO TO BE- SW'!Y47:Y76)+SUM('TCO TO BE- SW'!Y100:Y119)+SUM('TCO TO BE- SW'!X130:X149)</f>
        <v>0</v>
      </c>
      <c r="Y10" s="438">
        <f>SUM('TCO TO BE- SW'!Z47:Z76)+SUM('TCO TO BE- SW'!Z100:Z119)+SUM('TCO TO BE- SW'!Y130:Y149)</f>
        <v>0</v>
      </c>
      <c r="AC10" s="426"/>
      <c r="AD10" s="426"/>
      <c r="AE10" s="427" t="s">
        <v>100</v>
      </c>
      <c r="AF10" s="439">
        <f>SUM(AG10:BA10)</f>
        <v>1215026.9357853706</v>
      </c>
      <c r="AG10" s="438">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439333.05480983073</v>
      </c>
      <c r="AH10" s="438">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135859.83470887379</v>
      </c>
      <c r="AI10" s="438">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212068.356348576</v>
      </c>
      <c r="AJ10" s="438">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262420.41528909351</v>
      </c>
      <c r="AK10" s="438">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104786.71725459051</v>
      </c>
      <c r="AL10" s="438">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31980.36175951788</v>
      </c>
      <c r="AM10" s="438">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28578.195614888311</v>
      </c>
      <c r="AN10" s="438">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38">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38">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38">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38">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38">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38">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38">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38">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38">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38">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38">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38">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38">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x14ac:dyDescent="0.2">
      <c r="A11" s="426"/>
      <c r="B11" s="426"/>
      <c r="C11" s="427" t="s">
        <v>101</v>
      </c>
      <c r="D11" s="443">
        <f>SUM(E11:Y11)</f>
        <v>0</v>
      </c>
      <c r="E11" s="438">
        <f>SUM('TCO TO BE- SW'!F16:F35)+SUM('TCO TO BE- SW'!F79:F88)</f>
        <v>0</v>
      </c>
      <c r="F11" s="438">
        <f>SUM('TCO TO BE- SW'!G16:G35)+SUM('TCO TO BE- SW'!G79:G88)</f>
        <v>0</v>
      </c>
      <c r="G11" s="438">
        <f>SUM('TCO TO BE- SW'!H16:H35)+SUM('TCO TO BE- SW'!H79:H88)</f>
        <v>0</v>
      </c>
      <c r="H11" s="438">
        <f>SUM('TCO TO BE- SW'!I16:I35)+SUM('TCO TO BE- SW'!I79:I88)</f>
        <v>0</v>
      </c>
      <c r="I11" s="438">
        <f>SUM('TCO TO BE- SW'!J16:J35)+SUM('TCO TO BE- SW'!J79:J88)</f>
        <v>0</v>
      </c>
      <c r="J11" s="438">
        <f>SUM('TCO TO BE- SW'!K16:K35)+SUM('TCO TO BE- SW'!K79:K88)</f>
        <v>0</v>
      </c>
      <c r="K11" s="438">
        <f>SUM('TCO TO BE- SW'!L16:L35)+SUM('TCO TO BE- SW'!L79:L88)</f>
        <v>0</v>
      </c>
      <c r="L11" s="438">
        <f>SUM('TCO TO BE- SW'!M16:M35)+SUM('TCO TO BE- SW'!M79:M88)</f>
        <v>0</v>
      </c>
      <c r="M11" s="438">
        <f>SUM('TCO TO BE- SW'!N16:N35)+SUM('TCO TO BE- SW'!N79:N88)</f>
        <v>0</v>
      </c>
      <c r="N11" s="438">
        <f>SUM('TCO TO BE- SW'!O16:O35)+SUM('TCO TO BE- SW'!O79:O88)</f>
        <v>0</v>
      </c>
      <c r="O11" s="438">
        <f>SUM('TCO TO BE- SW'!P16:P35)+SUM('TCO TO BE- SW'!P79:P88)</f>
        <v>0</v>
      </c>
      <c r="P11" s="438">
        <f>SUM('TCO TO BE- SW'!Q16:Q35)+SUM('TCO TO BE- SW'!Q79:Q88)</f>
        <v>0</v>
      </c>
      <c r="Q11" s="438">
        <f>SUM('TCO TO BE- SW'!R16:R35)+SUM('TCO TO BE- SW'!R79:R88)</f>
        <v>0</v>
      </c>
      <c r="R11" s="438">
        <f>SUM('TCO TO BE- SW'!S16:S35)+SUM('TCO TO BE- SW'!S79:S88)</f>
        <v>0</v>
      </c>
      <c r="S11" s="438">
        <f>SUM('TCO TO BE- SW'!T16:T35)+SUM('TCO TO BE- SW'!T79:T88)</f>
        <v>0</v>
      </c>
      <c r="T11" s="438">
        <f>SUM('TCO TO BE- SW'!U16:U35)+SUM('TCO TO BE- SW'!U79:U88)</f>
        <v>0</v>
      </c>
      <c r="U11" s="438">
        <f>SUM('TCO TO BE- SW'!V16:V35)+SUM('TCO TO BE- SW'!V79:V88)</f>
        <v>0</v>
      </c>
      <c r="V11" s="438">
        <f>SUM('TCO TO BE- SW'!W16:W35)+SUM('TCO TO BE- SW'!W79:W88)</f>
        <v>0</v>
      </c>
      <c r="W11" s="438">
        <f>SUM('TCO TO BE- SW'!X16:X35)+SUM('TCO TO BE- SW'!X79:X88)</f>
        <v>0</v>
      </c>
      <c r="X11" s="438">
        <f>SUM('TCO TO BE- SW'!Y16:Y35)+SUM('TCO TO BE- SW'!Y79:Y88)</f>
        <v>0</v>
      </c>
      <c r="Y11" s="438">
        <f>SUM('TCO TO BE- SW'!Z16:Z35)+SUM('TCO TO BE- SW'!Z79:Z88)</f>
        <v>0</v>
      </c>
      <c r="AC11" s="426"/>
      <c r="AD11" s="426"/>
      <c r="AE11" s="427" t="s">
        <v>101</v>
      </c>
      <c r="AF11" s="438">
        <f>SUM(AG11:BA11)</f>
        <v>0</v>
      </c>
      <c r="AG11" s="438">
        <f>('TCO TO BE- SW'!F16+NPV(Faktory!$D$5,'TCO TO BE- SW'!F17:F25)+'TCO TO BE- SW'!F26+NPV(Faktory!$D$5,'TCO TO BE- SW'!F27:F35)+'TCO TO BE- SW'!F79+NPV(Faktory!$D$5,'TCO TO BE- SW'!F80:F88))</f>
        <v>0</v>
      </c>
      <c r="AH11" s="438">
        <f>('TCO TO BE- SW'!G16+NPV(Faktory!$D$5,'TCO TO BE- SW'!G17:G25)+'TCO TO BE- SW'!G26+NPV(Faktory!$D$5,'TCO TO BE- SW'!G27:G35)+'TCO TO BE- SW'!G79+NPV(Faktory!$D$5,'TCO TO BE- SW'!G80:G88))</f>
        <v>0</v>
      </c>
      <c r="AI11" s="438">
        <f>('TCO TO BE- SW'!H16+NPV(Faktory!$D$5,'TCO TO BE- SW'!H17:H25)+'TCO TO BE- SW'!H26+NPV(Faktory!$D$5,'TCO TO BE- SW'!H27:H35)+'TCO TO BE- SW'!H79+NPV(Faktory!$D$5,'TCO TO BE- SW'!H80:H88))</f>
        <v>0</v>
      </c>
      <c r="AJ11" s="438">
        <f>('TCO TO BE- SW'!I16+NPV(Faktory!$D$5,'TCO TO BE- SW'!I17:I25)+'TCO TO BE- SW'!I26+NPV(Faktory!$D$5,'TCO TO BE- SW'!I27:I35)+'TCO TO BE- SW'!I79+NPV(Faktory!$D$5,'TCO TO BE- SW'!I80:I88))</f>
        <v>0</v>
      </c>
      <c r="AK11" s="438">
        <f>('TCO TO BE- SW'!J16+NPV(Faktory!$D$5,'TCO TO BE- SW'!J17:J25)+'TCO TO BE- SW'!J26+NPV(Faktory!$D$5,'TCO TO BE- SW'!J27:J35)+'TCO TO BE- SW'!J79+NPV(Faktory!$D$5,'TCO TO BE- SW'!J80:J88))</f>
        <v>0</v>
      </c>
      <c r="AL11" s="438">
        <f>('TCO TO BE- SW'!K16+NPV(Faktory!$D$5,'TCO TO BE- SW'!K17:K25)+'TCO TO BE- SW'!K26+NPV(Faktory!$D$5,'TCO TO BE- SW'!K27:K35)+'TCO TO BE- SW'!K79+NPV(Faktory!$D$5,'TCO TO BE- SW'!K80:K88))</f>
        <v>0</v>
      </c>
      <c r="AM11" s="438">
        <f>('TCO TO BE- SW'!L16+NPV(Faktory!$D$5,'TCO TO BE- SW'!L17:L25)+'TCO TO BE- SW'!L26+NPV(Faktory!$D$5,'TCO TO BE- SW'!L27:L35)+'TCO TO BE- SW'!L79+NPV(Faktory!$D$5,'TCO TO BE- SW'!L80:L88))</f>
        <v>0</v>
      </c>
      <c r="AN11" s="438">
        <f>('TCO TO BE- SW'!M16+NPV(Faktory!$D$5,'TCO TO BE- SW'!M17:M25)+'TCO TO BE- SW'!M26+NPV(Faktory!$D$5,'TCO TO BE- SW'!M27:M35)+'TCO TO BE- SW'!M79+NPV(Faktory!$D$5,'TCO TO BE- SW'!M80:M88))</f>
        <v>0</v>
      </c>
      <c r="AO11" s="438">
        <f>('TCO TO BE- SW'!N16+NPV(Faktory!$D$5,'TCO TO BE- SW'!N17:N25)+'TCO TO BE- SW'!N26+NPV(Faktory!$D$5,'TCO TO BE- SW'!N27:N35)+'TCO TO BE- SW'!N79+NPV(Faktory!$D$5,'TCO TO BE- SW'!N80:N88))</f>
        <v>0</v>
      </c>
      <c r="AP11" s="438">
        <f>('TCO TO BE- SW'!O16+NPV(Faktory!$D$5,'TCO TO BE- SW'!O17:O25)+'TCO TO BE- SW'!O26+NPV(Faktory!$D$5,'TCO TO BE- SW'!O27:O35)+'TCO TO BE- SW'!O79+NPV(Faktory!$D$5,'TCO TO BE- SW'!O80:O88))</f>
        <v>0</v>
      </c>
      <c r="AQ11" s="438">
        <f>('TCO TO BE- SW'!P16+NPV(Faktory!$D$5,'TCO TO BE- SW'!P17:P25)+'TCO TO BE- SW'!P26+NPV(Faktory!$D$5,'TCO TO BE- SW'!P27:P35)+'TCO TO BE- SW'!P79+NPV(Faktory!$D$5,'TCO TO BE- SW'!P80:P88))</f>
        <v>0</v>
      </c>
      <c r="AR11" s="438">
        <f>('TCO TO BE- SW'!Q16+NPV(Faktory!$D$5,'TCO TO BE- SW'!Q17:Q25)+'TCO TO BE- SW'!Q26+NPV(Faktory!$D$5,'TCO TO BE- SW'!Q27:Q35)+'TCO TO BE- SW'!Q79+NPV(Faktory!$D$5,'TCO TO BE- SW'!Q80:Q88))</f>
        <v>0</v>
      </c>
      <c r="AS11" s="438">
        <f>('TCO TO BE- SW'!R16+NPV(Faktory!$D$5,'TCO TO BE- SW'!R17:R25)+'TCO TO BE- SW'!R26+NPV(Faktory!$D$5,'TCO TO BE- SW'!R27:R35)+'TCO TO BE- SW'!R79+NPV(Faktory!$D$5,'TCO TO BE- SW'!R80:R88))</f>
        <v>0</v>
      </c>
      <c r="AT11" s="438">
        <f>('TCO TO BE- SW'!S16+NPV(Faktory!$D$5,'TCO TO BE- SW'!S17:S25)+'TCO TO BE- SW'!S26+NPV(Faktory!$D$5,'TCO TO BE- SW'!S27:S35)+'TCO TO BE- SW'!S79+NPV(Faktory!$D$5,'TCO TO BE- SW'!S80:S88))</f>
        <v>0</v>
      </c>
      <c r="AU11" s="438">
        <f>('TCO TO BE- SW'!T16+NPV(Faktory!$D$5,'TCO TO BE- SW'!T17:T25)+'TCO TO BE- SW'!T26+NPV(Faktory!$D$5,'TCO TO BE- SW'!T27:T35)+'TCO TO BE- SW'!T79+NPV(Faktory!$D$5,'TCO TO BE- SW'!T80:T88))</f>
        <v>0</v>
      </c>
      <c r="AV11" s="438">
        <f>('TCO TO BE- SW'!U16+NPV(Faktory!$D$5,'TCO TO BE- SW'!U17:U25)+'TCO TO BE- SW'!U26+NPV(Faktory!$D$5,'TCO TO BE- SW'!U27:U35)+'TCO TO BE- SW'!U79+NPV(Faktory!$D$5,'TCO TO BE- SW'!U80:U88))</f>
        <v>0</v>
      </c>
      <c r="AW11" s="438">
        <f>('TCO TO BE- SW'!V16+NPV(Faktory!$D$5,'TCO TO BE- SW'!V17:V25)+'TCO TO BE- SW'!V26+NPV(Faktory!$D$5,'TCO TO BE- SW'!V27:V35)+'TCO TO BE- SW'!V79+NPV(Faktory!$D$5,'TCO TO BE- SW'!V80:V88))</f>
        <v>0</v>
      </c>
      <c r="AX11" s="438">
        <f>('TCO TO BE- SW'!W16+NPV(Faktory!$D$5,'TCO TO BE- SW'!W17:W25)+'TCO TO BE- SW'!W26+NPV(Faktory!$D$5,'TCO TO BE- SW'!W27:W35)+'TCO TO BE- SW'!W79+NPV(Faktory!$D$5,'TCO TO BE- SW'!W80:W88))</f>
        <v>0</v>
      </c>
      <c r="AY11" s="438">
        <f>('TCO TO BE- SW'!X16+NPV(Faktory!$D$5,'TCO TO BE- SW'!X17:X25)+'TCO TO BE- SW'!X26+NPV(Faktory!$D$5,'TCO TO BE- SW'!X27:X35)+'TCO TO BE- SW'!X79+NPV(Faktory!$D$5,'TCO TO BE- SW'!X80:X88))</f>
        <v>0</v>
      </c>
      <c r="AZ11" s="438">
        <f>('TCO TO BE- SW'!Y16+NPV(Faktory!$D$5,'TCO TO BE- SW'!Y17:Y25)+'TCO TO BE- SW'!Y26+NPV(Faktory!$D$5,'TCO TO BE- SW'!Y27:Y35)+'TCO TO BE- SW'!Y79+NPV(Faktory!$D$5,'TCO TO BE- SW'!Y80:Y88))</f>
        <v>0</v>
      </c>
      <c r="BA11" s="438">
        <f>('TCO TO BE- SW'!Z16+NPV(Faktory!$D$5,'TCO TO BE- SW'!Z17:Z25)+'TCO TO BE- SW'!Z26+NPV(Faktory!$D$5,'TCO TO BE- SW'!Z27:Z35)+'TCO TO BE- SW'!Z79+NPV(Faktory!$D$5,'TCO TO BE- SW'!Z80:Z88))</f>
        <v>0</v>
      </c>
    </row>
    <row r="12" spans="1:53" x14ac:dyDescent="0.2">
      <c r="A12" s="426"/>
      <c r="B12" s="426"/>
      <c r="C12" s="427" t="s">
        <v>102</v>
      </c>
      <c r="D12" s="443">
        <f>SUM(E12:X12)</f>
        <v>0</v>
      </c>
      <c r="E12" s="438">
        <f>SUM('TCO TO BE - HW'!F15:F54)+SUM('TCO TO BE - HW'!F56:F65)+SUM('TCO TO BE - HW'!F76:F105)</f>
        <v>0</v>
      </c>
      <c r="F12" s="438">
        <f>SUM('TCO TO BE - HW'!G15:G54)+SUM('TCO TO BE - HW'!G56:G65)+SUM('TCO TO BE - HW'!G76:G105)</f>
        <v>0</v>
      </c>
      <c r="G12" s="438">
        <f>SUM('TCO TO BE - HW'!H15:H54)+SUM('TCO TO BE - HW'!H56:H65)+SUM('TCO TO BE - HW'!H76:H105)</f>
        <v>0</v>
      </c>
      <c r="H12" s="438">
        <f>SUM('TCO TO BE - HW'!I15:I54)+SUM('TCO TO BE - HW'!I56:I65)+SUM('TCO TO BE - HW'!I76:I105)</f>
        <v>0</v>
      </c>
      <c r="I12" s="438">
        <f>SUM('TCO TO BE - HW'!J15:J54)+SUM('TCO TO BE - HW'!J56:J65)+SUM('TCO TO BE - HW'!J76:J105)</f>
        <v>0</v>
      </c>
      <c r="J12" s="438">
        <f>SUM('TCO TO BE - HW'!K15:K54)+SUM('TCO TO BE - HW'!K56:K65)+SUM('TCO TO BE - HW'!K76:K105)</f>
        <v>0</v>
      </c>
      <c r="K12" s="438">
        <f>SUM('TCO TO BE - HW'!L15:L54)+SUM('TCO TO BE - HW'!L56:L65)+SUM('TCO TO BE - HW'!L76:L105)</f>
        <v>0</v>
      </c>
      <c r="L12" s="438">
        <f>SUM('TCO TO BE - HW'!M15:M54)+SUM('TCO TO BE - HW'!M56:M65)+SUM('TCO TO BE - HW'!M76:M105)</f>
        <v>0</v>
      </c>
      <c r="M12" s="438">
        <f>SUM('TCO TO BE - HW'!N15:N54)+SUM('TCO TO BE - HW'!N56:N65)+SUM('TCO TO BE - HW'!N76:N105)</f>
        <v>0</v>
      </c>
      <c r="N12" s="438">
        <f>SUM('TCO TO BE - HW'!O15:O54)+SUM('TCO TO BE - HW'!O56:O65)+SUM('TCO TO BE - HW'!O76:O105)</f>
        <v>0</v>
      </c>
      <c r="O12" s="438">
        <f>SUM('TCO TO BE - HW'!P15:P54)+SUM('TCO TO BE - HW'!P56:P65)+SUM('TCO TO BE - HW'!P76:P105)</f>
        <v>0</v>
      </c>
      <c r="P12" s="438">
        <f>SUM('TCO TO BE - HW'!Q15:Q54)+SUM('TCO TO BE - HW'!Q56:Q65)+SUM('TCO TO BE - HW'!Q76:Q105)</f>
        <v>0</v>
      </c>
      <c r="Q12" s="438">
        <f>SUM('TCO TO BE - HW'!R15:R54)+SUM('TCO TO BE - HW'!R56:R65)+SUM('TCO TO BE - HW'!R76:R105)</f>
        <v>0</v>
      </c>
      <c r="R12" s="438">
        <f>SUM('TCO TO BE - HW'!S15:S54)+SUM('TCO TO BE - HW'!S56:S65)+SUM('TCO TO BE - HW'!S76:S105)</f>
        <v>0</v>
      </c>
      <c r="S12" s="438">
        <f>SUM('TCO TO BE - HW'!T15:T54)+SUM('TCO TO BE - HW'!T56:T65)+SUM('TCO TO BE - HW'!T76:T105)</f>
        <v>0</v>
      </c>
      <c r="T12" s="438">
        <f>SUM('TCO TO BE - HW'!U15:U54)+SUM('TCO TO BE - HW'!U56:U65)+SUM('TCO TO BE - HW'!U76:U105)</f>
        <v>0</v>
      </c>
      <c r="U12" s="438">
        <f>SUM('TCO TO BE - HW'!V15:V54)+SUM('TCO TO BE - HW'!V56:V65)+SUM('TCO TO BE - HW'!V76:V105)</f>
        <v>0</v>
      </c>
      <c r="V12" s="438">
        <f>SUM('TCO TO BE - HW'!W15:W54)+SUM('TCO TO BE - HW'!W56:W65)+SUM('TCO TO BE - HW'!W76:W105)</f>
        <v>0</v>
      </c>
      <c r="W12" s="438">
        <f>SUM('TCO TO BE - HW'!X15:X54)+SUM('TCO TO BE - HW'!X56:X65)+SUM('TCO TO BE - HW'!X76:X105)</f>
        <v>0</v>
      </c>
      <c r="X12" s="438">
        <f>SUM('TCO TO BE - HW'!Y15:Y54)+SUM('TCO TO BE - HW'!Y56:Y65)+SUM('TCO TO BE - HW'!Y76:Y105)</f>
        <v>0</v>
      </c>
      <c r="Y12" s="438">
        <f>SUM('TCO TO BE - HW'!Z15:Z54)+SUM('TCO TO BE - HW'!Z56:Z65)+SUM('TCO TO BE - HW'!Z76:Z105)</f>
        <v>0</v>
      </c>
      <c r="AC12" s="426"/>
      <c r="AD12" s="426"/>
      <c r="AE12" s="427" t="s">
        <v>102</v>
      </c>
      <c r="AF12" s="438">
        <f>SUM(AG12:AZ12)</f>
        <v>0</v>
      </c>
      <c r="AG12" s="438">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438">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38">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38">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38">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38">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38">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38">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38">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38">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38">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38">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38">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38">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38">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38">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38">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38">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38">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38">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38">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x14ac:dyDescent="0.2">
      <c r="A13" s="426"/>
      <c r="B13" s="424" t="s">
        <v>104</v>
      </c>
      <c r="C13" s="424"/>
      <c r="D13" s="425">
        <f>SUM(E13:Y13)</f>
        <v>221093.8401</v>
      </c>
      <c r="E13" s="425">
        <f>'TCO TO BE- SW'!F150</f>
        <v>79943.768578252755</v>
      </c>
      <c r="F13" s="425">
        <f>'TCO TO BE- SW'!G150</f>
        <v>24721.898491674441</v>
      </c>
      <c r="G13" s="425">
        <f>'TCO TO BE- SW'!H150</f>
        <v>38589.27393942506</v>
      </c>
      <c r="H13" s="425">
        <f>'TCO TO BE- SW'!I150</f>
        <v>47751.647003117432</v>
      </c>
      <c r="I13" s="425">
        <f>'TCO TO BE- SW'!J150</f>
        <v>19067.641240657085</v>
      </c>
      <c r="J13" s="425">
        <f>'TCO TO BE- SW'!K150</f>
        <v>5819.3450539667729</v>
      </c>
      <c r="K13" s="425">
        <f>'TCO TO BE- SW'!L150</f>
        <v>5200.2657929064771</v>
      </c>
      <c r="L13" s="425">
        <f>'TCO TO BE- SW'!M150</f>
        <v>0</v>
      </c>
      <c r="M13" s="425">
        <f>'TCO TO BE- SW'!N150</f>
        <v>0</v>
      </c>
      <c r="N13" s="425">
        <f>'TCO TO BE- SW'!O150</f>
        <v>0</v>
      </c>
      <c r="O13" s="425">
        <f>'TCO TO BE- SW'!P150</f>
        <v>0</v>
      </c>
      <c r="P13" s="425">
        <f>'TCO TO BE- SW'!Q150</f>
        <v>0</v>
      </c>
      <c r="Q13" s="425">
        <f>'TCO TO BE- SW'!R150</f>
        <v>0</v>
      </c>
      <c r="R13" s="425">
        <f>'TCO TO BE- SW'!S150</f>
        <v>0</v>
      </c>
      <c r="S13" s="425">
        <f>'TCO TO BE- SW'!T150</f>
        <v>0</v>
      </c>
      <c r="T13" s="425">
        <f>'TCO TO BE- SW'!U150</f>
        <v>0</v>
      </c>
      <c r="U13" s="425">
        <f>'TCO TO BE- SW'!V150</f>
        <v>0</v>
      </c>
      <c r="V13" s="425">
        <f>'TCO TO BE- SW'!W150</f>
        <v>0</v>
      </c>
      <c r="W13" s="425">
        <f>'TCO TO BE- SW'!X150</f>
        <v>0</v>
      </c>
      <c r="X13" s="425">
        <f>'TCO TO BE- SW'!Y150</f>
        <v>0</v>
      </c>
      <c r="Y13" s="425">
        <f>'TCO TO BE- SW'!Z150</f>
        <v>0</v>
      </c>
      <c r="AC13" s="426"/>
      <c r="AD13" s="424" t="s">
        <v>104</v>
      </c>
      <c r="AE13" s="424"/>
      <c r="AF13" s="425">
        <f>SUM(AG13:BA13)</f>
        <v>218988.18448000005</v>
      </c>
      <c r="AG13" s="428">
        <f>'TCO TO BE- SW'!F151+NPV(Faktory!$D$5,'TCO TO BE- SW'!F152:F160)+'TCO TO BE- SW'!F161+NPV(Faktory!$D$5,'TCO TO BE- SW'!F162:F170)</f>
        <v>79182.399353697969</v>
      </c>
      <c r="AH13" s="428">
        <f>'TCO TO BE- SW'!G151+NPV(Faktory!$D$5,'TCO TO BE- SW'!G152:G160)+'TCO TO BE- SW'!G161+NPV(Faktory!$D$5,'TCO TO BE- SW'!G162:G170)</f>
        <v>24486.451839372778</v>
      </c>
      <c r="AI13" s="428">
        <f>'TCO TO BE- SW'!H151+NPV(Faktory!$D$5,'TCO TO BE- SW'!H152:H160)+'TCO TO BE- SW'!H161+NPV(Faktory!$D$5,'TCO TO BE- SW'!H162:H170)</f>
        <v>38221.757044763865</v>
      </c>
      <c r="AJ13" s="428">
        <f>'TCO TO BE- SW'!I151+NPV(Faktory!$D$5,'TCO TO BE- SW'!I152:I160)+'TCO TO BE- SW'!I161+NPV(Faktory!$D$5,'TCO TO BE- SW'!I162:I170)</f>
        <v>47296.869412611552</v>
      </c>
      <c r="AK13" s="428">
        <f>'TCO TO BE- SW'!J151+NPV(Faktory!$D$5,'TCO TO BE- SW'!J152:J160)+'TCO TO BE- SW'!J161+NPV(Faktory!$D$5,'TCO TO BE- SW'!J162:J170)</f>
        <v>18886.044657412735</v>
      </c>
      <c r="AL13" s="428">
        <f>'TCO TO BE- SW'!K151+NPV(Faktory!$D$5,'TCO TO BE- SW'!K152:K160)+'TCO TO BE- SW'!K161+NPV(Faktory!$D$5,'TCO TO BE- SW'!K162:K170)</f>
        <v>5763.9227201194708</v>
      </c>
      <c r="AM13" s="428">
        <f>'TCO TO BE- SW'!L151+NPV(Faktory!$D$5,'TCO TO BE- SW'!L152:L160)+'TCO TO BE- SW'!L161+NPV(Faktory!$D$5,'TCO TO BE- SW'!L162:L170)</f>
        <v>5150.739452021654</v>
      </c>
      <c r="AN13" s="428">
        <f>'TCO TO BE- SW'!M151+NPV(Faktory!$D$5,'TCO TO BE- SW'!M152:M160)+'TCO TO BE- SW'!M161+NPV(Faktory!$D$5,'TCO TO BE- SW'!M162:M170)</f>
        <v>0</v>
      </c>
      <c r="AO13" s="428">
        <f>'TCO TO BE- SW'!N151+NPV(Faktory!$D$5,'TCO TO BE- SW'!N152:N160)+'TCO TO BE- SW'!N161+NPV(Faktory!$D$5,'TCO TO BE- SW'!N162:N170)</f>
        <v>0</v>
      </c>
      <c r="AP13" s="428">
        <f>'TCO TO BE- SW'!O151+NPV(Faktory!$D$5,'TCO TO BE- SW'!O152:O160)+'TCO TO BE- SW'!O161+NPV(Faktory!$D$5,'TCO TO BE- SW'!O162:O170)</f>
        <v>0</v>
      </c>
      <c r="AQ13" s="428">
        <f>'TCO TO BE- SW'!P151+NPV(Faktory!$D$5,'TCO TO BE- SW'!P152:P160)+'TCO TO BE- SW'!P161+NPV(Faktory!$D$5,'TCO TO BE- SW'!P162:P170)</f>
        <v>0</v>
      </c>
      <c r="AR13" s="428">
        <f>'TCO TO BE- SW'!Q151+NPV(Faktory!$D$5,'TCO TO BE- SW'!Q152:Q160)+'TCO TO BE- SW'!Q161+NPV(Faktory!$D$5,'TCO TO BE- SW'!Q162:Q170)</f>
        <v>0</v>
      </c>
      <c r="AS13" s="428">
        <f>'TCO TO BE- SW'!R151+NPV(Faktory!$D$5,'TCO TO BE- SW'!R152:R160)+'TCO TO BE- SW'!R161+NPV(Faktory!$D$5,'TCO TO BE- SW'!R162:R170)</f>
        <v>0</v>
      </c>
      <c r="AT13" s="428">
        <f>'TCO TO BE- SW'!S151+NPV(Faktory!$D$5,'TCO TO BE- SW'!S152:S160)+'TCO TO BE- SW'!S161+NPV(Faktory!$D$5,'TCO TO BE- SW'!S162:S170)</f>
        <v>0</v>
      </c>
      <c r="AU13" s="428">
        <f>'TCO TO BE- SW'!T151+NPV(Faktory!$D$5,'TCO TO BE- SW'!T152:T160)+'TCO TO BE- SW'!T161+NPV(Faktory!$D$5,'TCO TO BE- SW'!T162:T170)</f>
        <v>0</v>
      </c>
      <c r="AV13" s="428">
        <f>'TCO TO BE- SW'!U151+NPV(Faktory!$D$5,'TCO TO BE- SW'!U152:U160)+'TCO TO BE- SW'!U161+NPV(Faktory!$D$5,'TCO TO BE- SW'!U162:U170)</f>
        <v>0</v>
      </c>
      <c r="AW13" s="428">
        <f>'TCO TO BE- SW'!V151+NPV(Faktory!$D$5,'TCO TO BE- SW'!V152:V160)+'TCO TO BE- SW'!V161+NPV(Faktory!$D$5,'TCO TO BE- SW'!V162:V170)</f>
        <v>0</v>
      </c>
      <c r="AX13" s="428">
        <f>'TCO TO BE- SW'!W151+NPV(Faktory!$D$5,'TCO TO BE- SW'!W152:W160)+'TCO TO BE- SW'!W161+NPV(Faktory!$D$5,'TCO TO BE- SW'!W162:W170)</f>
        <v>0</v>
      </c>
      <c r="AY13" s="428">
        <f>'TCO TO BE- SW'!X151+NPV(Faktory!$D$5,'TCO TO BE- SW'!X152:X160)+'TCO TO BE- SW'!X161+NPV(Faktory!$D$5,'TCO TO BE- SW'!X162:X170)</f>
        <v>0</v>
      </c>
      <c r="AZ13" s="428">
        <f>'TCO TO BE- SW'!Y151+NPV(Faktory!$D$5,'TCO TO BE- SW'!Y152:Y160)+'TCO TO BE- SW'!Y161+NPV(Faktory!$D$5,'TCO TO BE- SW'!Y162:Y170)</f>
        <v>0</v>
      </c>
      <c r="BA13" s="428">
        <f>'TCO TO BE- SW'!Z151+NPV(Faktory!$D$5,'TCO TO BE- SW'!Z152:Z160)+'TCO TO BE- SW'!Z161+NPV(Faktory!$D$5,'TCO TO BE- SW'!Z162:Z170)</f>
        <v>0</v>
      </c>
    </row>
    <row r="14" spans="1:53" x14ac:dyDescent="0.2">
      <c r="A14" s="426"/>
      <c r="B14" s="424" t="s">
        <v>105</v>
      </c>
      <c r="C14" s="424"/>
      <c r="D14" s="425">
        <f>SUM(E14:Y14)</f>
        <v>0</v>
      </c>
      <c r="E14" s="425">
        <f>'TCO TO BE- SW'!F171</f>
        <v>0</v>
      </c>
      <c r="F14" s="425">
        <f>'TCO TO BE- SW'!G171</f>
        <v>0</v>
      </c>
      <c r="G14" s="425">
        <f>'TCO TO BE- SW'!H171</f>
        <v>0</v>
      </c>
      <c r="H14" s="425">
        <f>'TCO TO BE- SW'!I171</f>
        <v>0</v>
      </c>
      <c r="I14" s="425">
        <f>'TCO TO BE- SW'!J171</f>
        <v>0</v>
      </c>
      <c r="J14" s="425">
        <f>'TCO TO BE- SW'!K171</f>
        <v>0</v>
      </c>
      <c r="K14" s="425">
        <f>'TCO TO BE- SW'!L171</f>
        <v>0</v>
      </c>
      <c r="L14" s="425">
        <f>'TCO TO BE- SW'!M171</f>
        <v>0</v>
      </c>
      <c r="M14" s="425">
        <f>'TCO TO BE- SW'!N171</f>
        <v>0</v>
      </c>
      <c r="N14" s="425">
        <f>'TCO TO BE- SW'!O171</f>
        <v>0</v>
      </c>
      <c r="O14" s="425">
        <f>'TCO TO BE- SW'!P171</f>
        <v>0</v>
      </c>
      <c r="P14" s="425">
        <f>'TCO TO BE- SW'!Q171</f>
        <v>0</v>
      </c>
      <c r="Q14" s="425">
        <f>'TCO TO BE- SW'!R171</f>
        <v>0</v>
      </c>
      <c r="R14" s="425">
        <f>'TCO TO BE- SW'!S171</f>
        <v>0</v>
      </c>
      <c r="S14" s="425">
        <f>'TCO TO BE- SW'!T171</f>
        <v>0</v>
      </c>
      <c r="T14" s="425">
        <f>'TCO TO BE- SW'!U171</f>
        <v>0</v>
      </c>
      <c r="U14" s="425">
        <f>'TCO TO BE- SW'!V171</f>
        <v>0</v>
      </c>
      <c r="V14" s="425">
        <f>'TCO TO BE- SW'!W171</f>
        <v>0</v>
      </c>
      <c r="W14" s="425">
        <f>'TCO TO BE- SW'!X171</f>
        <v>0</v>
      </c>
      <c r="X14" s="425">
        <f>'TCO TO BE- SW'!Y171</f>
        <v>0</v>
      </c>
      <c r="Y14" s="425">
        <f>'TCO TO BE- SW'!Z171</f>
        <v>0</v>
      </c>
      <c r="AC14" s="426"/>
      <c r="AD14" s="424" t="s">
        <v>105</v>
      </c>
      <c r="AE14" s="424"/>
      <c r="AF14" s="425">
        <f>SUM(AG14:BA14)</f>
        <v>0</v>
      </c>
      <c r="AG14" s="428">
        <f>'TCO TO BE- SW'!F172+NPV(Faktory!$D$5,'TCO TO BE- SW'!F173:F181)+'TCO TO BE- SW'!F182+NPV(Faktory!$D$5,'TCO TO BE- SW'!F183:F191)</f>
        <v>0</v>
      </c>
      <c r="AH14" s="428">
        <f>'TCO TO BE- SW'!G172+NPV(Faktory!$D$5,'TCO TO BE- SW'!G173:G181)+'TCO TO BE- SW'!G182+NPV(Faktory!$D$5,'TCO TO BE- SW'!G183:G191)</f>
        <v>0</v>
      </c>
      <c r="AI14" s="428">
        <f>'TCO TO BE- SW'!H172+NPV(Faktory!$D$5,'TCO TO BE- SW'!H173:H181)+'TCO TO BE- SW'!H182+NPV(Faktory!$D$5,'TCO TO BE- SW'!H183:H191)</f>
        <v>0</v>
      </c>
      <c r="AJ14" s="428">
        <f>'TCO TO BE- SW'!I172+NPV(Faktory!$D$5,'TCO TO BE- SW'!I173:I181)+'TCO TO BE- SW'!I182+NPV(Faktory!$D$5,'TCO TO BE- SW'!I183:I191)</f>
        <v>0</v>
      </c>
      <c r="AK14" s="428">
        <f>'TCO TO BE- SW'!J172+NPV(Faktory!$D$5,'TCO TO BE- SW'!J173:J181)+'TCO TO BE- SW'!J182+NPV(Faktory!$D$5,'TCO TO BE- SW'!J183:J191)</f>
        <v>0</v>
      </c>
      <c r="AL14" s="428">
        <f>'TCO TO BE- SW'!K172+NPV(Faktory!$D$5,'TCO TO BE- SW'!K173:K181)+'TCO TO BE- SW'!K182+NPV(Faktory!$D$5,'TCO TO BE- SW'!K183:K191)</f>
        <v>0</v>
      </c>
      <c r="AM14" s="428">
        <f>'TCO TO BE- SW'!L172+NPV(Faktory!$D$5,'TCO TO BE- SW'!L173:L181)+'TCO TO BE- SW'!L182+NPV(Faktory!$D$5,'TCO TO BE- SW'!L183:L191)</f>
        <v>0</v>
      </c>
      <c r="AN14" s="428">
        <f>'TCO TO BE- SW'!M172+NPV(Faktory!$D$5,'TCO TO BE- SW'!M173:M181)+'TCO TO BE- SW'!M182+NPV(Faktory!$D$5,'TCO TO BE- SW'!M183:M191)</f>
        <v>0</v>
      </c>
      <c r="AO14" s="428">
        <f>'TCO TO BE- SW'!N172+NPV(Faktory!$D$5,'TCO TO BE- SW'!N173:N181)+'TCO TO BE- SW'!N182+NPV(Faktory!$D$5,'TCO TO BE- SW'!N183:N191)</f>
        <v>0</v>
      </c>
      <c r="AP14" s="428">
        <f>'TCO TO BE- SW'!O172+NPV(Faktory!$D$5,'TCO TO BE- SW'!O173:O181)+'TCO TO BE- SW'!O182+NPV(Faktory!$D$5,'TCO TO BE- SW'!O183:O191)</f>
        <v>0</v>
      </c>
      <c r="AQ14" s="428">
        <f>'TCO TO BE- SW'!P172+NPV(Faktory!$D$5,'TCO TO BE- SW'!P173:P181)+'TCO TO BE- SW'!P182+NPV(Faktory!$D$5,'TCO TO BE- SW'!P183:P191)</f>
        <v>0</v>
      </c>
      <c r="AR14" s="428">
        <f>'TCO TO BE- SW'!Q172+NPV(Faktory!$D$5,'TCO TO BE- SW'!Q173:Q181)+'TCO TO BE- SW'!Q182+NPV(Faktory!$D$5,'TCO TO BE- SW'!Q183:Q191)</f>
        <v>0</v>
      </c>
      <c r="AS14" s="428">
        <f>'TCO TO BE- SW'!R172+NPV(Faktory!$D$5,'TCO TO BE- SW'!R173:R181)+'TCO TO BE- SW'!R182+NPV(Faktory!$D$5,'TCO TO BE- SW'!R183:R191)</f>
        <v>0</v>
      </c>
      <c r="AT14" s="428">
        <f>'TCO TO BE- SW'!S172+NPV(Faktory!$D$5,'TCO TO BE- SW'!S173:S181)+'TCO TO BE- SW'!S182+NPV(Faktory!$D$5,'TCO TO BE- SW'!S183:S191)</f>
        <v>0</v>
      </c>
      <c r="AU14" s="428">
        <f>'TCO TO BE- SW'!T172+NPV(Faktory!$D$5,'TCO TO BE- SW'!T173:T181)+'TCO TO BE- SW'!T182+NPV(Faktory!$D$5,'TCO TO BE- SW'!T183:T191)</f>
        <v>0</v>
      </c>
      <c r="AV14" s="428">
        <f>'TCO TO BE- SW'!U172+NPV(Faktory!$D$5,'TCO TO BE- SW'!U173:U181)+'TCO TO BE- SW'!U182+NPV(Faktory!$D$5,'TCO TO BE- SW'!U183:U191)</f>
        <v>0</v>
      </c>
      <c r="AW14" s="428">
        <f>'TCO TO BE- SW'!V172+NPV(Faktory!$D$5,'TCO TO BE- SW'!V173:V181)+'TCO TO BE- SW'!V182+NPV(Faktory!$D$5,'TCO TO BE- SW'!V183:V191)</f>
        <v>0</v>
      </c>
      <c r="AX14" s="428">
        <f>'TCO TO BE- SW'!W172+NPV(Faktory!$D$5,'TCO TO BE- SW'!W173:W181)+'TCO TO BE- SW'!W182+NPV(Faktory!$D$5,'TCO TO BE- SW'!W183:W191)</f>
        <v>0</v>
      </c>
      <c r="AY14" s="428">
        <f>'TCO TO BE- SW'!X172+NPV(Faktory!$D$5,'TCO TO BE- SW'!X173:X181)+'TCO TO BE- SW'!X182+NPV(Faktory!$D$5,'TCO TO BE- SW'!X183:X191)</f>
        <v>0</v>
      </c>
      <c r="AZ14" s="428">
        <f>'TCO TO BE- SW'!Y172+NPV(Faktory!$D$5,'TCO TO BE- SW'!Y173:Y181)+'TCO TO BE- SW'!Y182+NPV(Faktory!$D$5,'TCO TO BE- SW'!Y183:Y191)</f>
        <v>0</v>
      </c>
      <c r="BA14" s="428">
        <f>'TCO TO BE- SW'!Z172+NPV(Faktory!$D$5,'TCO TO BE- SW'!Z173:Z181)+'TCO TO BE- SW'!Z182+NPV(Faktory!$D$5,'TCO TO BE- SW'!Z183:Z191)</f>
        <v>0</v>
      </c>
    </row>
    <row r="15" spans="1:53" x14ac:dyDescent="0.2">
      <c r="A15" s="421" t="s">
        <v>106</v>
      </c>
      <c r="B15" s="421"/>
      <c r="C15" s="421"/>
      <c r="D15" s="429">
        <f>SUM(E15:X15)</f>
        <v>13856334.708965516</v>
      </c>
      <c r="E15" s="422">
        <f>E16+E19</f>
        <v>13856334.708965516</v>
      </c>
      <c r="F15" s="422">
        <f t="shared" ref="F15:Y15" si="3">F16+F19</f>
        <v>0</v>
      </c>
      <c r="G15" s="422">
        <f t="shared" si="3"/>
        <v>0</v>
      </c>
      <c r="H15" s="422">
        <f t="shared" si="3"/>
        <v>0</v>
      </c>
      <c r="I15" s="422">
        <f t="shared" si="3"/>
        <v>0</v>
      </c>
      <c r="J15" s="422">
        <f t="shared" si="3"/>
        <v>0</v>
      </c>
      <c r="K15" s="422">
        <f t="shared" si="3"/>
        <v>0</v>
      </c>
      <c r="L15" s="422">
        <f t="shared" si="3"/>
        <v>0</v>
      </c>
      <c r="M15" s="422">
        <f t="shared" si="3"/>
        <v>0</v>
      </c>
      <c r="N15" s="422">
        <f t="shared" si="3"/>
        <v>0</v>
      </c>
      <c r="O15" s="422">
        <f t="shared" si="3"/>
        <v>0</v>
      </c>
      <c r="P15" s="422">
        <f t="shared" si="3"/>
        <v>0</v>
      </c>
      <c r="Q15" s="422">
        <f t="shared" si="3"/>
        <v>0</v>
      </c>
      <c r="R15" s="422">
        <f t="shared" si="3"/>
        <v>0</v>
      </c>
      <c r="S15" s="422">
        <f t="shared" si="3"/>
        <v>0</v>
      </c>
      <c r="T15" s="422">
        <f t="shared" si="3"/>
        <v>0</v>
      </c>
      <c r="U15" s="422">
        <f t="shared" si="3"/>
        <v>0</v>
      </c>
      <c r="V15" s="422">
        <f t="shared" si="3"/>
        <v>0</v>
      </c>
      <c r="W15" s="422">
        <f t="shared" si="3"/>
        <v>0</v>
      </c>
      <c r="X15" s="422">
        <f t="shared" si="3"/>
        <v>0</v>
      </c>
      <c r="Y15" s="422">
        <f t="shared" si="3"/>
        <v>0</v>
      </c>
      <c r="AC15" s="421" t="s">
        <v>106</v>
      </c>
      <c r="AD15" s="421"/>
      <c r="AE15" s="421"/>
      <c r="AF15" s="429">
        <f>SUM(AG15:AZ15)</f>
        <v>10486423.663355233</v>
      </c>
      <c r="AG15" s="429">
        <f>AG16+AG19</f>
        <v>10486423.663355233</v>
      </c>
      <c r="AH15" s="429">
        <f t="shared" ref="AH15:BA15" si="4">AH16+AH19</f>
        <v>0</v>
      </c>
      <c r="AI15" s="429">
        <f t="shared" si="4"/>
        <v>0</v>
      </c>
      <c r="AJ15" s="429">
        <f t="shared" si="4"/>
        <v>0</v>
      </c>
      <c r="AK15" s="429">
        <f t="shared" si="4"/>
        <v>0</v>
      </c>
      <c r="AL15" s="429">
        <f t="shared" si="4"/>
        <v>0</v>
      </c>
      <c r="AM15" s="429">
        <f t="shared" si="4"/>
        <v>0</v>
      </c>
      <c r="AN15" s="429">
        <f t="shared" si="4"/>
        <v>0</v>
      </c>
      <c r="AO15" s="429">
        <f t="shared" si="4"/>
        <v>0</v>
      </c>
      <c r="AP15" s="429">
        <f t="shared" si="4"/>
        <v>0</v>
      </c>
      <c r="AQ15" s="429">
        <f t="shared" si="4"/>
        <v>0</v>
      </c>
      <c r="AR15" s="429">
        <f t="shared" si="4"/>
        <v>0</v>
      </c>
      <c r="AS15" s="429">
        <f t="shared" si="4"/>
        <v>0</v>
      </c>
      <c r="AT15" s="429">
        <f t="shared" si="4"/>
        <v>0</v>
      </c>
      <c r="AU15" s="429">
        <f t="shared" si="4"/>
        <v>0</v>
      </c>
      <c r="AV15" s="429">
        <f t="shared" si="4"/>
        <v>0</v>
      </c>
      <c r="AW15" s="429">
        <f t="shared" si="4"/>
        <v>0</v>
      </c>
      <c r="AX15" s="429">
        <f t="shared" si="4"/>
        <v>0</v>
      </c>
      <c r="AY15" s="429">
        <f t="shared" si="4"/>
        <v>0</v>
      </c>
      <c r="AZ15" s="429">
        <f t="shared" si="4"/>
        <v>0</v>
      </c>
      <c r="BA15" s="429">
        <f t="shared" si="4"/>
        <v>0</v>
      </c>
    </row>
    <row r="16" spans="1:53" x14ac:dyDescent="0.2">
      <c r="A16" s="423"/>
      <c r="B16" s="424" t="s">
        <v>107</v>
      </c>
      <c r="C16" s="424"/>
      <c r="D16" s="425">
        <f>SUM(E16:X16)</f>
        <v>0</v>
      </c>
      <c r="E16" s="425">
        <f>E17+E18</f>
        <v>0</v>
      </c>
      <c r="F16" s="425">
        <f t="shared" ref="F16:Y16" si="5">F17+F18</f>
        <v>0</v>
      </c>
      <c r="G16" s="425">
        <f t="shared" si="5"/>
        <v>0</v>
      </c>
      <c r="H16" s="425">
        <f t="shared" si="5"/>
        <v>0</v>
      </c>
      <c r="I16" s="425">
        <f t="shared" si="5"/>
        <v>0</v>
      </c>
      <c r="J16" s="425">
        <f t="shared" si="5"/>
        <v>0</v>
      </c>
      <c r="K16" s="425">
        <f t="shared" si="5"/>
        <v>0</v>
      </c>
      <c r="L16" s="425">
        <f t="shared" si="5"/>
        <v>0</v>
      </c>
      <c r="M16" s="425">
        <f t="shared" si="5"/>
        <v>0</v>
      </c>
      <c r="N16" s="425">
        <f t="shared" si="5"/>
        <v>0</v>
      </c>
      <c r="O16" s="425">
        <f t="shared" si="5"/>
        <v>0</v>
      </c>
      <c r="P16" s="425">
        <f t="shared" si="5"/>
        <v>0</v>
      </c>
      <c r="Q16" s="425">
        <f t="shared" si="5"/>
        <v>0</v>
      </c>
      <c r="R16" s="425">
        <f t="shared" si="5"/>
        <v>0</v>
      </c>
      <c r="S16" s="425">
        <f t="shared" si="5"/>
        <v>0</v>
      </c>
      <c r="T16" s="425">
        <f t="shared" si="5"/>
        <v>0</v>
      </c>
      <c r="U16" s="425">
        <f t="shared" si="5"/>
        <v>0</v>
      </c>
      <c r="V16" s="425">
        <f t="shared" si="5"/>
        <v>0</v>
      </c>
      <c r="W16" s="425">
        <f t="shared" si="5"/>
        <v>0</v>
      </c>
      <c r="X16" s="425">
        <f t="shared" si="5"/>
        <v>0</v>
      </c>
      <c r="Y16" s="425">
        <f t="shared" si="5"/>
        <v>0</v>
      </c>
      <c r="AC16" s="423"/>
      <c r="AD16" s="424" t="s">
        <v>107</v>
      </c>
      <c r="AE16" s="424"/>
      <c r="AF16" s="425">
        <f>SUM(AG16:AZ16)</f>
        <v>0</v>
      </c>
      <c r="AG16" s="425">
        <f>AG17+AG18</f>
        <v>0</v>
      </c>
      <c r="AH16" s="425">
        <f t="shared" ref="AH16:BA16" si="6">AH17+AH18</f>
        <v>0</v>
      </c>
      <c r="AI16" s="425">
        <f t="shared" si="6"/>
        <v>0</v>
      </c>
      <c r="AJ16" s="425">
        <f t="shared" si="6"/>
        <v>0</v>
      </c>
      <c r="AK16" s="425">
        <f t="shared" si="6"/>
        <v>0</v>
      </c>
      <c r="AL16" s="425">
        <f t="shared" si="6"/>
        <v>0</v>
      </c>
      <c r="AM16" s="425">
        <f t="shared" si="6"/>
        <v>0</v>
      </c>
      <c r="AN16" s="425">
        <f t="shared" si="6"/>
        <v>0</v>
      </c>
      <c r="AO16" s="425">
        <f t="shared" si="6"/>
        <v>0</v>
      </c>
      <c r="AP16" s="425">
        <f t="shared" si="6"/>
        <v>0</v>
      </c>
      <c r="AQ16" s="425">
        <f t="shared" si="6"/>
        <v>0</v>
      </c>
      <c r="AR16" s="425">
        <f t="shared" si="6"/>
        <v>0</v>
      </c>
      <c r="AS16" s="425">
        <f t="shared" si="6"/>
        <v>0</v>
      </c>
      <c r="AT16" s="425">
        <f t="shared" si="6"/>
        <v>0</v>
      </c>
      <c r="AU16" s="425">
        <f t="shared" si="6"/>
        <v>0</v>
      </c>
      <c r="AV16" s="425">
        <f t="shared" si="6"/>
        <v>0</v>
      </c>
      <c r="AW16" s="425">
        <f t="shared" si="6"/>
        <v>0</v>
      </c>
      <c r="AX16" s="425">
        <f t="shared" si="6"/>
        <v>0</v>
      </c>
      <c r="AY16" s="425">
        <f t="shared" si="6"/>
        <v>0</v>
      </c>
      <c r="AZ16" s="425">
        <f t="shared" si="6"/>
        <v>0</v>
      </c>
      <c r="BA16" s="425">
        <f t="shared" si="6"/>
        <v>0</v>
      </c>
    </row>
    <row r="17" spans="1:53" x14ac:dyDescent="0.2">
      <c r="A17" s="426"/>
      <c r="B17" s="426"/>
      <c r="C17" s="427" t="s">
        <v>108</v>
      </c>
      <c r="D17" s="443">
        <f>SUM(E17:X17)</f>
        <v>0</v>
      </c>
      <c r="E17" s="443">
        <f>SUM('Parametre - Agendové IS'!I116:I125)</f>
        <v>0</v>
      </c>
      <c r="F17" s="443">
        <f>SUM('Parametre - Agendové IS'!J116:J125)</f>
        <v>0</v>
      </c>
      <c r="G17" s="443">
        <f>SUM('Parametre - Agendové IS'!K116:K125)</f>
        <v>0</v>
      </c>
      <c r="H17" s="443">
        <f>SUM('Parametre - Agendové IS'!L116:L125)</f>
        <v>0</v>
      </c>
      <c r="I17" s="443">
        <f>SUM('Parametre - Agendové IS'!M116:M125)</f>
        <v>0</v>
      </c>
      <c r="J17" s="443">
        <f>SUM('Parametre - Agendové IS'!N116:N125)</f>
        <v>0</v>
      </c>
      <c r="K17" s="443">
        <f>SUM('Parametre - Agendové IS'!O116:O125)</f>
        <v>0</v>
      </c>
      <c r="L17" s="443">
        <f>SUM('Parametre - Agendové IS'!P116:P125)</f>
        <v>0</v>
      </c>
      <c r="M17" s="443">
        <f>SUM('Parametre - Agendové IS'!Q116:Q125)</f>
        <v>0</v>
      </c>
      <c r="N17" s="443">
        <f>SUM('Parametre - Agendové IS'!R116:R125)</f>
        <v>0</v>
      </c>
      <c r="O17" s="443">
        <f>SUM('Parametre - Agendové IS'!S116:S125)</f>
        <v>0</v>
      </c>
      <c r="P17" s="443">
        <f>SUM('Parametre - Agendové IS'!T116:T125)</f>
        <v>0</v>
      </c>
      <c r="Q17" s="443">
        <f>SUM('Parametre - Agendové IS'!U116:U125)</f>
        <v>0</v>
      </c>
      <c r="R17" s="443">
        <f>SUM('Parametre - Agendové IS'!V116:V125)</f>
        <v>0</v>
      </c>
      <c r="S17" s="443">
        <f>SUM('Parametre - Agendové IS'!W116:W125)</f>
        <v>0</v>
      </c>
      <c r="T17" s="443">
        <f>SUM('Parametre - Agendové IS'!X116:X125)</f>
        <v>0</v>
      </c>
      <c r="U17" s="443">
        <f>SUM('Parametre - Agendové IS'!Y116:Y125)</f>
        <v>0</v>
      </c>
      <c r="V17" s="443">
        <f>SUM('Parametre - Agendové IS'!Z116:Z125)</f>
        <v>0</v>
      </c>
      <c r="W17" s="443">
        <f>SUM('Parametre - Agendové IS'!AA116:AA125)</f>
        <v>0</v>
      </c>
      <c r="X17" s="443">
        <f>SUM('Parametre - Agendové IS'!AB116:AB125)</f>
        <v>0</v>
      </c>
      <c r="Y17" s="443">
        <f>SUM('Parametre - Agendové IS'!AC116:AC125)</f>
        <v>0</v>
      </c>
      <c r="AC17" s="426"/>
      <c r="AD17" s="426"/>
      <c r="AE17" s="427" t="s">
        <v>108</v>
      </c>
      <c r="AF17" s="438">
        <f>SUM(AG17:AZ17)</f>
        <v>0</v>
      </c>
      <c r="AG17" s="438">
        <f>'Parametre - Agendové IS'!I116+NPV(Faktory!$D$3,'Parametre - Agendové IS'!I117:I125)</f>
        <v>0</v>
      </c>
      <c r="AH17" s="438">
        <f>'Parametre - Agendové IS'!J116+NPV(Faktory!$D$3,'Parametre - Agendové IS'!J117:J125)</f>
        <v>0</v>
      </c>
      <c r="AI17" s="438">
        <f>'Parametre - Agendové IS'!K116+NPV(Faktory!$D$3,'Parametre - Agendové IS'!K117:K125)</f>
        <v>0</v>
      </c>
      <c r="AJ17" s="438">
        <f>'Parametre - Agendové IS'!L116+NPV(Faktory!$D$3,'Parametre - Agendové IS'!L117:L125)</f>
        <v>0</v>
      </c>
      <c r="AK17" s="438">
        <f>'Parametre - Agendové IS'!M116+NPV(Faktory!$D$3,'Parametre - Agendové IS'!M117:M125)</f>
        <v>0</v>
      </c>
      <c r="AL17" s="438">
        <f>'Parametre - Agendové IS'!N116+NPV(Faktory!$D$3,'Parametre - Agendové IS'!N117:N125)</f>
        <v>0</v>
      </c>
      <c r="AM17" s="438">
        <f>'Parametre - Agendové IS'!O116+NPV(Faktory!$D$3,'Parametre - Agendové IS'!O117:O125)</f>
        <v>0</v>
      </c>
      <c r="AN17" s="438">
        <f>'Parametre - Agendové IS'!P116+NPV(Faktory!$D$3,'Parametre - Agendové IS'!P117:P125)</f>
        <v>0</v>
      </c>
      <c r="AO17" s="438">
        <f>'Parametre - Agendové IS'!Q116+NPV(Faktory!$D$3,'Parametre - Agendové IS'!Q117:Q125)</f>
        <v>0</v>
      </c>
      <c r="AP17" s="438">
        <f>'Parametre - Agendové IS'!R116+NPV(Faktory!$D$3,'Parametre - Agendové IS'!R117:R125)</f>
        <v>0</v>
      </c>
      <c r="AQ17" s="438">
        <f>'Parametre - Agendové IS'!S116+NPV(Faktory!$D$3,'Parametre - Agendové IS'!S117:S125)</f>
        <v>0</v>
      </c>
      <c r="AR17" s="438">
        <f>'Parametre - Agendové IS'!T116+NPV(Faktory!$D$3,'Parametre - Agendové IS'!T117:T125)</f>
        <v>0</v>
      </c>
      <c r="AS17" s="438">
        <f>'Parametre - Agendové IS'!U116+NPV(Faktory!$D$3,'Parametre - Agendové IS'!U117:U125)</f>
        <v>0</v>
      </c>
      <c r="AT17" s="438">
        <f>'Parametre - Agendové IS'!V116+NPV(Faktory!$D$3,'Parametre - Agendové IS'!V117:V125)</f>
        <v>0</v>
      </c>
      <c r="AU17" s="438">
        <f>'Parametre - Agendové IS'!W116+NPV(Faktory!$D$3,'Parametre - Agendové IS'!W117:W125)</f>
        <v>0</v>
      </c>
      <c r="AV17" s="438">
        <f>'Parametre - Agendové IS'!X116+NPV(Faktory!$D$3,'Parametre - Agendové IS'!X117:X125)</f>
        <v>0</v>
      </c>
      <c r="AW17" s="438">
        <f>'Parametre - Agendové IS'!Y116+NPV(Faktory!$D$3,'Parametre - Agendové IS'!Y117:Y125)</f>
        <v>0</v>
      </c>
      <c r="AX17" s="438">
        <f>'Parametre - Agendové IS'!Z116+NPV(Faktory!$D$3,'Parametre - Agendové IS'!Z117:Z125)</f>
        <v>0</v>
      </c>
      <c r="AY17" s="438">
        <f>'Parametre - Agendové IS'!AA116+NPV(Faktory!$D$3,'Parametre - Agendové IS'!AA117:AA125)</f>
        <v>0</v>
      </c>
      <c r="AZ17" s="438">
        <f>'Parametre - Agendové IS'!AB116+NPV(Faktory!$D$3,'Parametre - Agendové IS'!AB117:AB125)</f>
        <v>0</v>
      </c>
      <c r="BA17" s="438">
        <f>'Parametre - Agendové IS'!AC116+NPV(Faktory!$D$3,'Parametre - Agendové IS'!AC117:AC125)</f>
        <v>0</v>
      </c>
    </row>
    <row r="18" spans="1:53" x14ac:dyDescent="0.2">
      <c r="A18" s="426"/>
      <c r="B18" s="426"/>
      <c r="C18" s="427" t="s">
        <v>109</v>
      </c>
      <c r="D18" s="443">
        <f>'Prínosy - Agendové IS'!AN15</f>
        <v>0</v>
      </c>
      <c r="E18" s="440"/>
      <c r="F18" s="440"/>
      <c r="G18" s="440"/>
      <c r="H18" s="440"/>
      <c r="I18" s="440"/>
      <c r="J18" s="441"/>
      <c r="K18" s="440"/>
      <c r="L18" s="440"/>
      <c r="M18" s="440"/>
      <c r="N18" s="441"/>
      <c r="O18" s="440"/>
      <c r="P18" s="440"/>
      <c r="Q18" s="440"/>
      <c r="R18" s="441"/>
      <c r="S18" s="440"/>
      <c r="T18" s="440"/>
      <c r="U18" s="440"/>
      <c r="V18" s="441"/>
      <c r="W18" s="440"/>
      <c r="X18" s="440"/>
      <c r="Y18" s="440"/>
      <c r="Z18" s="333"/>
      <c r="AC18" s="426"/>
      <c r="AD18" s="426"/>
      <c r="AE18" s="427" t="s">
        <v>109</v>
      </c>
      <c r="AF18" s="438">
        <f>'Prínosy - Agendové IS'!L15</f>
        <v>0</v>
      </c>
      <c r="AG18" s="440"/>
      <c r="AH18" s="440"/>
      <c r="AI18" s="440"/>
      <c r="AJ18" s="440"/>
      <c r="AK18" s="441"/>
      <c r="AL18" s="440"/>
      <c r="AM18" s="440"/>
      <c r="AN18" s="440"/>
      <c r="AO18" s="441"/>
      <c r="AP18" s="440"/>
      <c r="AQ18" s="440"/>
      <c r="AR18" s="440"/>
      <c r="AS18" s="441"/>
      <c r="AT18" s="440"/>
      <c r="AU18" s="440"/>
      <c r="AV18" s="440"/>
      <c r="AW18" s="441"/>
      <c r="AX18" s="440"/>
      <c r="AY18" s="440"/>
      <c r="AZ18" s="440"/>
      <c r="BA18" s="441"/>
    </row>
    <row r="19" spans="1:53" x14ac:dyDescent="0.2">
      <c r="A19" s="423"/>
      <c r="B19" s="424" t="s">
        <v>110</v>
      </c>
      <c r="C19" s="424"/>
      <c r="D19" s="425">
        <f>SUM(E19:X19)</f>
        <v>13856334.708965516</v>
      </c>
      <c r="E19" s="425">
        <f>E20+E21+E23</f>
        <v>13856334.708965516</v>
      </c>
      <c r="F19" s="425">
        <f t="shared" ref="F19:Y19" si="7">F20+F21+F23</f>
        <v>0</v>
      </c>
      <c r="G19" s="425">
        <f t="shared" si="7"/>
        <v>0</v>
      </c>
      <c r="H19" s="425">
        <f t="shared" si="7"/>
        <v>0</v>
      </c>
      <c r="I19" s="425">
        <f t="shared" si="7"/>
        <v>0</v>
      </c>
      <c r="J19" s="425">
        <f t="shared" si="7"/>
        <v>0</v>
      </c>
      <c r="K19" s="425">
        <f t="shared" si="7"/>
        <v>0</v>
      </c>
      <c r="L19" s="425">
        <f t="shared" si="7"/>
        <v>0</v>
      </c>
      <c r="M19" s="425">
        <f t="shared" si="7"/>
        <v>0</v>
      </c>
      <c r="N19" s="425">
        <f t="shared" si="7"/>
        <v>0</v>
      </c>
      <c r="O19" s="425">
        <f t="shared" si="7"/>
        <v>0</v>
      </c>
      <c r="P19" s="425">
        <f t="shared" si="7"/>
        <v>0</v>
      </c>
      <c r="Q19" s="425">
        <f t="shared" si="7"/>
        <v>0</v>
      </c>
      <c r="R19" s="425">
        <f t="shared" si="7"/>
        <v>0</v>
      </c>
      <c r="S19" s="425">
        <f t="shared" si="7"/>
        <v>0</v>
      </c>
      <c r="T19" s="425">
        <f t="shared" si="7"/>
        <v>0</v>
      </c>
      <c r="U19" s="425">
        <f t="shared" si="7"/>
        <v>0</v>
      </c>
      <c r="V19" s="425">
        <f t="shared" si="7"/>
        <v>0</v>
      </c>
      <c r="W19" s="425">
        <f t="shared" si="7"/>
        <v>0</v>
      </c>
      <c r="X19" s="425">
        <f t="shared" si="7"/>
        <v>0</v>
      </c>
      <c r="Y19" s="425">
        <f t="shared" si="7"/>
        <v>0</v>
      </c>
      <c r="AC19" s="423"/>
      <c r="AD19" s="424" t="s">
        <v>110</v>
      </c>
      <c r="AE19" s="424"/>
      <c r="AF19" s="425">
        <f>SUM(AG19:AZ19)</f>
        <v>10486423.663355233</v>
      </c>
      <c r="AG19" s="425">
        <f>AG20+AG21+AG23</f>
        <v>10486423.663355233</v>
      </c>
      <c r="AH19" s="425">
        <f t="shared" ref="AH19:BA19" si="8">AH20+AH21+AH23</f>
        <v>0</v>
      </c>
      <c r="AI19" s="425">
        <f t="shared" si="8"/>
        <v>0</v>
      </c>
      <c r="AJ19" s="425">
        <f t="shared" si="8"/>
        <v>0</v>
      </c>
      <c r="AK19" s="425">
        <f t="shared" si="8"/>
        <v>0</v>
      </c>
      <c r="AL19" s="425">
        <f t="shared" si="8"/>
        <v>0</v>
      </c>
      <c r="AM19" s="425">
        <f t="shared" si="8"/>
        <v>0</v>
      </c>
      <c r="AN19" s="425">
        <f t="shared" si="8"/>
        <v>0</v>
      </c>
      <c r="AO19" s="425">
        <f t="shared" si="8"/>
        <v>0</v>
      </c>
      <c r="AP19" s="425">
        <f t="shared" si="8"/>
        <v>0</v>
      </c>
      <c r="AQ19" s="425">
        <f t="shared" si="8"/>
        <v>0</v>
      </c>
      <c r="AR19" s="425">
        <f t="shared" si="8"/>
        <v>0</v>
      </c>
      <c r="AS19" s="425">
        <f t="shared" si="8"/>
        <v>0</v>
      </c>
      <c r="AT19" s="425">
        <f t="shared" si="8"/>
        <v>0</v>
      </c>
      <c r="AU19" s="425">
        <f t="shared" si="8"/>
        <v>0</v>
      </c>
      <c r="AV19" s="425">
        <f t="shared" si="8"/>
        <v>0</v>
      </c>
      <c r="AW19" s="425">
        <f t="shared" si="8"/>
        <v>0</v>
      </c>
      <c r="AX19" s="425">
        <f t="shared" si="8"/>
        <v>0</v>
      </c>
      <c r="AY19" s="425">
        <f t="shared" si="8"/>
        <v>0</v>
      </c>
      <c r="AZ19" s="425">
        <f t="shared" si="8"/>
        <v>0</v>
      </c>
      <c r="BA19" s="425">
        <f t="shared" si="8"/>
        <v>0</v>
      </c>
    </row>
    <row r="20" spans="1:53" x14ac:dyDescent="0.2">
      <c r="A20" s="426"/>
      <c r="B20" s="426"/>
      <c r="C20" s="427" t="s">
        <v>111</v>
      </c>
      <c r="D20" s="443">
        <f>SUM(E20:X20)</f>
        <v>0</v>
      </c>
      <c r="E20" s="443">
        <f>SUM('Parametre - Agendové IS'!I96:I105)</f>
        <v>0</v>
      </c>
      <c r="F20" s="443">
        <f>SUM('Parametre - Agendové IS'!L96:L105)</f>
        <v>0</v>
      </c>
      <c r="G20" s="443">
        <f>SUM('Parametre - Agendové IS'!O96:O105)</f>
        <v>0</v>
      </c>
      <c r="H20" s="443">
        <f>SUM('Parametre - Agendové IS'!R96:R105)</f>
        <v>0</v>
      </c>
      <c r="I20" s="443">
        <f>SUM('Parametre - Agendové IS'!U96:U105)</f>
        <v>0</v>
      </c>
      <c r="J20" s="443">
        <f>SUM('Parametre - Agendové IS'!X96:X105)</f>
        <v>0</v>
      </c>
      <c r="K20" s="443">
        <f>SUM('Parametre - Agendové IS'!AA96:AA105)</f>
        <v>0</v>
      </c>
      <c r="L20" s="443">
        <f>SUM('Parametre - Agendové IS'!AD96:AD105)</f>
        <v>0</v>
      </c>
      <c r="M20" s="443">
        <f>SUM('Parametre - Agendové IS'!AG96:AG105)</f>
        <v>0</v>
      </c>
      <c r="N20" s="443">
        <f>SUM('Parametre - Agendové IS'!AJ96:AJ105)</f>
        <v>0</v>
      </c>
      <c r="O20" s="443">
        <f>SUM('Parametre - Agendové IS'!AM96:AM105)</f>
        <v>0</v>
      </c>
      <c r="P20" s="443">
        <f>SUM('Parametre - Agendové IS'!AP96:AP105)</f>
        <v>0</v>
      </c>
      <c r="Q20" s="443">
        <f>SUM('Parametre - Agendové IS'!AS96:AS105)</f>
        <v>0</v>
      </c>
      <c r="R20" s="443">
        <f>SUM('Parametre - Agendové IS'!AV96:AV105)</f>
        <v>0</v>
      </c>
      <c r="S20" s="443">
        <f>SUM('Parametre - Agendové IS'!AY96:AY105)</f>
        <v>0</v>
      </c>
      <c r="T20" s="443">
        <f>SUM('Parametre - Agendové IS'!BB96:BB105)</f>
        <v>0</v>
      </c>
      <c r="U20" s="443">
        <f>SUM('Parametre - Agendové IS'!BE96:BE105)</f>
        <v>0</v>
      </c>
      <c r="V20" s="443">
        <f>SUM('Parametre - Agendové IS'!BH96:BH105)</f>
        <v>0</v>
      </c>
      <c r="W20" s="443">
        <f>SUM('Parametre - Agendové IS'!BK96:BK105)</f>
        <v>0</v>
      </c>
      <c r="X20" s="443">
        <f>SUM('Parametre - Agendové IS'!BN96:BN105)</f>
        <v>0</v>
      </c>
      <c r="Y20" s="443">
        <f>SUM('Parametre - Agendové IS'!BQ96:BQ105)</f>
        <v>0</v>
      </c>
      <c r="AC20" s="426"/>
      <c r="AD20" s="426"/>
      <c r="AE20" s="427" t="s">
        <v>111</v>
      </c>
      <c r="AF20" s="438">
        <f>SUM(AG20:AZ20)</f>
        <v>0</v>
      </c>
      <c r="AG20" s="438">
        <f>'Parametre - Agendové IS'!I96+NPV(Faktory!$D$5,'Parametre - Agendové IS'!I97:I105)</f>
        <v>0</v>
      </c>
      <c r="AH20" s="438">
        <f>'Parametre - Agendové IS'!L96+NPV(Faktory!$D$5,'Parametre - Agendové IS'!L97:L105)</f>
        <v>0</v>
      </c>
      <c r="AI20" s="438">
        <f>'Parametre - Agendové IS'!O96+NPV(Faktory!$D$5,'Parametre - Agendové IS'!O97:O105)</f>
        <v>0</v>
      </c>
      <c r="AJ20" s="438">
        <f>'Parametre - Agendové IS'!R96+NPV(Faktory!$D$5,'Parametre - Agendové IS'!R97:R105)</f>
        <v>0</v>
      </c>
      <c r="AK20" s="438">
        <f>'Parametre - Agendové IS'!U96+NPV(Faktory!$D$5,'Parametre - Agendové IS'!U97:U105)</f>
        <v>0</v>
      </c>
      <c r="AL20" s="438">
        <f>'Parametre - Agendové IS'!X96+NPV(Faktory!$D$5,'Parametre - Agendové IS'!X97:X105)</f>
        <v>0</v>
      </c>
      <c r="AM20" s="438">
        <f>'Parametre - Agendové IS'!AA96+NPV(Faktory!$D$5,'Parametre - Agendové IS'!AA97:AA105)</f>
        <v>0</v>
      </c>
      <c r="AN20" s="438">
        <f>'Parametre - Agendové IS'!AD96+NPV(Faktory!$D$5,'Parametre - Agendové IS'!AD97:AD105)</f>
        <v>0</v>
      </c>
      <c r="AO20" s="438">
        <f>'Parametre - Agendové IS'!AG96+NPV(Faktory!$D$5,'Parametre - Agendové IS'!AG97:AG105)</f>
        <v>0</v>
      </c>
      <c r="AP20" s="438">
        <f>'Parametre - Agendové IS'!AJ96+NPV(Faktory!$D$5,'Parametre - Agendové IS'!AJ97:AJ105)</f>
        <v>0</v>
      </c>
      <c r="AQ20" s="438">
        <f>'Parametre - Agendové IS'!AM96+NPV(Faktory!$D$5,'Parametre - Agendové IS'!AM97:AM105)</f>
        <v>0</v>
      </c>
      <c r="AR20" s="438">
        <f>'Parametre - Agendové IS'!AP96+NPV(Faktory!$D$5,'Parametre - Agendové IS'!AP97:AP105)</f>
        <v>0</v>
      </c>
      <c r="AS20" s="438">
        <f>'Parametre - Agendové IS'!AS96+NPV(Faktory!$D$5,'Parametre - Agendové IS'!AS97:AS105)</f>
        <v>0</v>
      </c>
      <c r="AT20" s="438">
        <f>'Parametre - Agendové IS'!AV96+NPV(Faktory!$D$5,'Parametre - Agendové IS'!AV97:AV105)</f>
        <v>0</v>
      </c>
      <c r="AU20" s="438">
        <f>'Parametre - Agendové IS'!AY96+NPV(Faktory!$D$5,'Parametre - Agendové IS'!AY97:AY105)</f>
        <v>0</v>
      </c>
      <c r="AV20" s="438">
        <f>'Parametre - Agendové IS'!BB96+NPV(Faktory!$D$5,'Parametre - Agendové IS'!BB97:BB105)</f>
        <v>0</v>
      </c>
      <c r="AW20" s="438">
        <f>'Parametre - Agendové IS'!BE96+NPV(Faktory!$D$5,'Parametre - Agendové IS'!BE97:BE105)</f>
        <v>0</v>
      </c>
      <c r="AX20" s="438">
        <f>'Parametre - Agendové IS'!BH96+NPV(Faktory!$D$5,'Parametre - Agendové IS'!BH97:BH105)</f>
        <v>0</v>
      </c>
      <c r="AY20" s="438">
        <f>'Parametre - Agendové IS'!BK96+NPV(Faktory!$D$5,'Parametre - Agendové IS'!BK97:BK105)</f>
        <v>0</v>
      </c>
      <c r="AZ20" s="438">
        <f>'Parametre - Agendové IS'!BN96+NPV(Faktory!$D$5,'Parametre - Agendové IS'!BN97:BN105)</f>
        <v>0</v>
      </c>
      <c r="BA20" s="438">
        <f>'Parametre - Agendové IS'!BQ96+NPV(Faktory!$D$5,'Parametre - Agendové IS'!BQ97:BQC105)</f>
        <v>0</v>
      </c>
    </row>
    <row r="21" spans="1:53" x14ac:dyDescent="0.2">
      <c r="A21" s="426"/>
      <c r="B21" s="426"/>
      <c r="C21" s="427" t="s">
        <v>112</v>
      </c>
      <c r="D21" s="443">
        <f>SUM(E21:X21)</f>
        <v>13856334.708965516</v>
      </c>
      <c r="E21" s="443">
        <f>-(SUM('Parametre - Agendové IS'!I76:I85))</f>
        <v>13856334.708965516</v>
      </c>
      <c r="F21" s="443">
        <f>-(SUM('Parametre - Agendové IS'!L76:L85))</f>
        <v>0</v>
      </c>
      <c r="G21" s="443">
        <f>-(SUM('Parametre - Agendové IS'!O76:O85))</f>
        <v>0</v>
      </c>
      <c r="H21" s="443">
        <f>-(SUM('Parametre - Agendové IS'!R76:R85))</f>
        <v>0</v>
      </c>
      <c r="I21" s="443">
        <f>-(SUM('Parametre - Agendové IS'!U76:U85))</f>
        <v>0</v>
      </c>
      <c r="J21" s="443">
        <f>-(SUM('Parametre - Agendové IS'!X76:X85))</f>
        <v>0</v>
      </c>
      <c r="K21" s="443">
        <f>-(SUM('Parametre - Agendové IS'!AA76:AA85))</f>
        <v>0</v>
      </c>
      <c r="L21" s="443">
        <f>-(SUM('Parametre - Agendové IS'!AD76:AD85))</f>
        <v>0</v>
      </c>
      <c r="M21" s="443">
        <f>-(SUM('Parametre - Agendové IS'!AG76:AG85))</f>
        <v>0</v>
      </c>
      <c r="N21" s="443">
        <f>-(SUM('Parametre - Agendové IS'!AJ76:AJ85))</f>
        <v>0</v>
      </c>
      <c r="O21" s="443">
        <f>-(SUM('Parametre - Agendové IS'!AM76:AM85))</f>
        <v>0</v>
      </c>
      <c r="P21" s="443">
        <f>-(SUM('Parametre - Agendové IS'!AP76:AP85))</f>
        <v>0</v>
      </c>
      <c r="Q21" s="443">
        <f>-(SUM('Parametre - Agendové IS'!AS76:AS85))</f>
        <v>0</v>
      </c>
      <c r="R21" s="443">
        <f>-(SUM('Parametre - Agendové IS'!AV76:AV85))</f>
        <v>0</v>
      </c>
      <c r="S21" s="443">
        <f>-(SUM('Parametre - Agendové IS'!AY76:AY85))</f>
        <v>0</v>
      </c>
      <c r="T21" s="443">
        <f>-(SUM('Parametre - Agendové IS'!BB76:BB85))</f>
        <v>0</v>
      </c>
      <c r="U21" s="443">
        <f>-(SUM('Parametre - Agendové IS'!BE76:BE85))</f>
        <v>0</v>
      </c>
      <c r="V21" s="443">
        <f>-(SUM('Parametre - Agendové IS'!BH76:BH85))</f>
        <v>0</v>
      </c>
      <c r="W21" s="443">
        <f>-(SUM('Parametre - Agendové IS'!BK76:BK85))</f>
        <v>0</v>
      </c>
      <c r="X21" s="443">
        <f>-(SUM('Parametre - Agendové IS'!BN76:BN85))</f>
        <v>0</v>
      </c>
      <c r="Y21" s="443">
        <f>-(SUM('Parametre - Agendové IS'!BQ76:BQ85))</f>
        <v>0</v>
      </c>
      <c r="AC21" s="426"/>
      <c r="AD21" s="426"/>
      <c r="AE21" s="427" t="s">
        <v>112</v>
      </c>
      <c r="AF21" s="438">
        <f>SUM(AG21:AZ21)</f>
        <v>10486423.663355233</v>
      </c>
      <c r="AG21" s="438">
        <f>-('Parametre - Agendové IS'!I76+NPV(Faktory!$D$5,'Parametre - Agendové IS'!I77:I85))</f>
        <v>10486423.663355233</v>
      </c>
      <c r="AH21" s="438">
        <f>-('Parametre - Agendové IS'!L76+NPV(Faktory!$D$5,'Parametre - Agendové IS'!L77:L85))</f>
        <v>0</v>
      </c>
      <c r="AI21" s="438">
        <f>-('Parametre - Agendové IS'!O76+NPV(Faktory!$D$5,'Parametre - Agendové IS'!O77:O85))</f>
        <v>0</v>
      </c>
      <c r="AJ21" s="438">
        <f>-('Parametre - Agendové IS'!R76+NPV(Faktory!$D$5,'Parametre - Agendové IS'!R77:R85))</f>
        <v>0</v>
      </c>
      <c r="AK21" s="438">
        <f>-('Parametre - Agendové IS'!U76+NPV(Faktory!$D$5,'Parametre - Agendové IS'!U77:U85))</f>
        <v>0</v>
      </c>
      <c r="AL21" s="438">
        <f>-('Parametre - Agendové IS'!X76+NPV(Faktory!$D$5,'Parametre - Agendové IS'!X77:X85))</f>
        <v>0</v>
      </c>
      <c r="AM21" s="438">
        <f>-('Parametre - Agendové IS'!AA76+NPV(Faktory!$D$5,'Parametre - Agendové IS'!AA77:AA85))</f>
        <v>0</v>
      </c>
      <c r="AN21" s="438">
        <f>-('Parametre - Agendové IS'!AD76+NPV(Faktory!$D$5,'Parametre - Agendové IS'!AD77:AD85))</f>
        <v>0</v>
      </c>
      <c r="AO21" s="438">
        <f>-('Parametre - Agendové IS'!AG76+NPV(Faktory!$D$5,'Parametre - Agendové IS'!AG77:AG85))</f>
        <v>0</v>
      </c>
      <c r="AP21" s="438">
        <f>-('Parametre - Agendové IS'!AJ76+NPV(Faktory!$D$5,'Parametre - Agendové IS'!AJ77:AJ85))</f>
        <v>0</v>
      </c>
      <c r="AQ21" s="438">
        <f>-('Parametre - Agendové IS'!AM76+NPV(Faktory!$D$5,'Parametre - Agendové IS'!AM77:AM85))</f>
        <v>0</v>
      </c>
      <c r="AR21" s="438">
        <f>-('Parametre - Agendové IS'!AP76+NPV(Faktory!$D$5,'Parametre - Agendové IS'!AP77:AP85))</f>
        <v>0</v>
      </c>
      <c r="AS21" s="438">
        <f>-('Parametre - Agendové IS'!AS76+NPV(Faktory!$D$5,'Parametre - Agendové IS'!AS77:AS85))</f>
        <v>0</v>
      </c>
      <c r="AT21" s="438">
        <f>-('Parametre - Agendové IS'!AV76+NPV(Faktory!$D$5,'Parametre - Agendové IS'!AV77:AV85))</f>
        <v>0</v>
      </c>
      <c r="AU21" s="438">
        <f>-('Parametre - Agendové IS'!AY76+NPV(Faktory!$D$5,'Parametre - Agendové IS'!AY77:AY85))</f>
        <v>0</v>
      </c>
      <c r="AV21" s="438">
        <f>-('Parametre - Agendové IS'!BB76+NPV(Faktory!$D$5,'Parametre - Agendové IS'!BB77:BB85))</f>
        <v>0</v>
      </c>
      <c r="AW21" s="438">
        <f>-('Parametre - Agendové IS'!BE76+NPV(Faktory!$D$5,'Parametre - Agendové IS'!BE77:BE85))</f>
        <v>0</v>
      </c>
      <c r="AX21" s="438">
        <f>-('Parametre - Agendové IS'!BH76+NPV(Faktory!$D$5,'Parametre - Agendové IS'!BH77:BH85))</f>
        <v>0</v>
      </c>
      <c r="AY21" s="438">
        <f>-('Parametre - Agendové IS'!BK76+NPV(Faktory!$D$5,'Parametre - Agendové IS'!BK77:BK85))</f>
        <v>0</v>
      </c>
      <c r="AZ21" s="438">
        <f>-('Parametre - Agendové IS'!BN76+NPV(Faktory!$D$5,'Parametre - Agendové IS'!BN77:BN85))</f>
        <v>0</v>
      </c>
      <c r="BA21" s="438">
        <f>-('Parametre - Agendové IS'!BQ76+NPV(Faktory!$D$5,'Parametre - Agendové IS'!BQ77:BQ85))</f>
        <v>0</v>
      </c>
    </row>
    <row r="22" spans="1:53" x14ac:dyDescent="0.2">
      <c r="A22" s="426"/>
      <c r="B22" s="426"/>
      <c r="C22" s="427" t="s">
        <v>113</v>
      </c>
      <c r="D22" s="441" t="s">
        <v>114</v>
      </c>
      <c r="E22" s="441" t="s">
        <v>114</v>
      </c>
      <c r="F22" s="441" t="s">
        <v>114</v>
      </c>
      <c r="G22" s="441" t="s">
        <v>114</v>
      </c>
      <c r="H22" s="441" t="s">
        <v>114</v>
      </c>
      <c r="I22" s="441" t="s">
        <v>114</v>
      </c>
      <c r="J22" s="441" t="s">
        <v>114</v>
      </c>
      <c r="K22" s="441" t="s">
        <v>114</v>
      </c>
      <c r="L22" s="441" t="s">
        <v>114</v>
      </c>
      <c r="M22" s="441" t="s">
        <v>114</v>
      </c>
      <c r="N22" s="441" t="s">
        <v>114</v>
      </c>
      <c r="O22" s="441" t="s">
        <v>114</v>
      </c>
      <c r="P22" s="441" t="s">
        <v>114</v>
      </c>
      <c r="Q22" s="441" t="s">
        <v>114</v>
      </c>
      <c r="R22" s="441" t="s">
        <v>114</v>
      </c>
      <c r="S22" s="441" t="s">
        <v>114</v>
      </c>
      <c r="T22" s="441" t="s">
        <v>114</v>
      </c>
      <c r="U22" s="441" t="s">
        <v>114</v>
      </c>
      <c r="V22" s="441" t="s">
        <v>114</v>
      </c>
      <c r="W22" s="441" t="s">
        <v>114</v>
      </c>
      <c r="X22" s="441" t="s">
        <v>114</v>
      </c>
      <c r="Y22" s="441" t="s">
        <v>114</v>
      </c>
      <c r="AC22" s="426"/>
      <c r="AD22" s="426"/>
      <c r="AE22" s="427" t="s">
        <v>113</v>
      </c>
      <c r="AF22" s="441" t="s">
        <v>114</v>
      </c>
      <c r="AG22" s="441" t="s">
        <v>114</v>
      </c>
      <c r="AH22" s="441" t="s">
        <v>114</v>
      </c>
      <c r="AI22" s="441" t="s">
        <v>114</v>
      </c>
      <c r="AJ22" s="441" t="s">
        <v>114</v>
      </c>
      <c r="AK22" s="441" t="s">
        <v>114</v>
      </c>
      <c r="AL22" s="441" t="s">
        <v>114</v>
      </c>
      <c r="AM22" s="441" t="s">
        <v>114</v>
      </c>
      <c r="AN22" s="441" t="s">
        <v>114</v>
      </c>
      <c r="AO22" s="441" t="s">
        <v>114</v>
      </c>
      <c r="AP22" s="441" t="s">
        <v>114</v>
      </c>
      <c r="AQ22" s="441" t="s">
        <v>114</v>
      </c>
      <c r="AR22" s="441" t="s">
        <v>114</v>
      </c>
      <c r="AS22" s="441" t="s">
        <v>114</v>
      </c>
      <c r="AT22" s="441" t="s">
        <v>114</v>
      </c>
      <c r="AU22" s="441" t="s">
        <v>114</v>
      </c>
      <c r="AV22" s="441" t="s">
        <v>114</v>
      </c>
      <c r="AW22" s="441" t="s">
        <v>114</v>
      </c>
      <c r="AX22" s="441" t="s">
        <v>114</v>
      </c>
      <c r="AY22" s="441" t="s">
        <v>114</v>
      </c>
      <c r="AZ22" s="441" t="s">
        <v>114</v>
      </c>
      <c r="BA22" s="441" t="s">
        <v>114</v>
      </c>
    </row>
    <row r="23" spans="1:53" x14ac:dyDescent="0.2">
      <c r="A23" s="426"/>
      <c r="B23" s="426"/>
      <c r="C23" s="427" t="s">
        <v>115</v>
      </c>
      <c r="D23" s="443">
        <f>SUM(E23:X23)</f>
        <v>0</v>
      </c>
      <c r="E23" s="443">
        <f>SUM('Parametre - Agendové IS'!I126:I135)</f>
        <v>0</v>
      </c>
      <c r="F23" s="443">
        <f>SUM('Parametre - Agendové IS'!L126:L135)</f>
        <v>0</v>
      </c>
      <c r="G23" s="443">
        <f>SUM('Parametre - Agendové IS'!O126:O135)</f>
        <v>0</v>
      </c>
      <c r="H23" s="443">
        <f>SUM('Parametre - Agendové IS'!R126:R135)</f>
        <v>0</v>
      </c>
      <c r="I23" s="443">
        <f>SUM('Parametre - Agendové IS'!U126:U135)</f>
        <v>0</v>
      </c>
      <c r="J23" s="443">
        <f>SUM('Parametre - Agendové IS'!X126:X135)</f>
        <v>0</v>
      </c>
      <c r="K23" s="443">
        <f>SUM('Parametre - Agendové IS'!AA126:AA135)</f>
        <v>0</v>
      </c>
      <c r="L23" s="443">
        <f>SUM('Parametre - Agendové IS'!AD126:AD135)</f>
        <v>0</v>
      </c>
      <c r="M23" s="443">
        <f>SUM('Parametre - Agendové IS'!AG126:AG135)</f>
        <v>0</v>
      </c>
      <c r="N23" s="443">
        <f>SUM('Parametre - Agendové IS'!AJ126:AJ135)</f>
        <v>0</v>
      </c>
      <c r="O23" s="443">
        <f>SUM('Parametre - Agendové IS'!AM126:AM135)</f>
        <v>0</v>
      </c>
      <c r="P23" s="443">
        <f>SUM('Parametre - Agendové IS'!AP126:AP135)</f>
        <v>0</v>
      </c>
      <c r="Q23" s="443">
        <f>SUM('Parametre - Agendové IS'!AS126:AS135)</f>
        <v>0</v>
      </c>
      <c r="R23" s="443">
        <f>SUM('Parametre - Agendové IS'!AV126:AV135)</f>
        <v>0</v>
      </c>
      <c r="S23" s="443">
        <f>SUM('Parametre - Agendové IS'!AY126:AY135)</f>
        <v>0</v>
      </c>
      <c r="T23" s="443">
        <f>SUM('Parametre - Agendové IS'!BB126:BB135)</f>
        <v>0</v>
      </c>
      <c r="U23" s="443">
        <f>SUM('Parametre - Agendové IS'!BE126:BE135)</f>
        <v>0</v>
      </c>
      <c r="V23" s="443">
        <f>SUM('Parametre - Agendové IS'!BH126:BH135)</f>
        <v>0</v>
      </c>
      <c r="W23" s="443">
        <f>SUM('Parametre - Agendové IS'!BK126:BK135)</f>
        <v>0</v>
      </c>
      <c r="X23" s="443">
        <f>SUM('Parametre - Agendové IS'!BN126:BN135)</f>
        <v>0</v>
      </c>
      <c r="Y23" s="443">
        <f>SUM('Parametre - Agendové IS'!BQ126:BQ135)</f>
        <v>0</v>
      </c>
      <c r="AC23" s="426"/>
      <c r="AD23" s="426"/>
      <c r="AE23" s="427" t="s">
        <v>115</v>
      </c>
      <c r="AF23" s="438">
        <f>SUM(AG23:AZ23)</f>
        <v>0</v>
      </c>
      <c r="AG23" s="438">
        <f>'Parametre - Agendové IS'!I126+NPV(Faktory!$D$5,'Parametre - Agendové IS'!I127:I135)</f>
        <v>0</v>
      </c>
      <c r="AH23" s="438">
        <f>'Parametre - Agendové IS'!L126+NPV(Faktory!$D$5,'Parametre - Agendové IS'!L127:L135)</f>
        <v>0</v>
      </c>
      <c r="AI23" s="438">
        <f>'Parametre - Agendové IS'!O126+NPV(Faktory!$D$5,'Parametre - Agendové IS'!O127:O135)</f>
        <v>0</v>
      </c>
      <c r="AJ23" s="438">
        <f>'Parametre - Agendové IS'!R126+NPV(Faktory!$D$5,'Parametre - Agendové IS'!R127:R135)</f>
        <v>0</v>
      </c>
      <c r="AK23" s="438">
        <f>'Parametre - Agendové IS'!U126+NPV(Faktory!$D$5,'Parametre - Agendové IS'!U127:U135)</f>
        <v>0</v>
      </c>
      <c r="AL23" s="438">
        <f>'Parametre - Agendové IS'!X126+NPV(Faktory!$D$5,'Parametre - Agendové IS'!X127:X135)</f>
        <v>0</v>
      </c>
      <c r="AM23" s="438">
        <f>'Parametre - Agendové IS'!AA126+NPV(Faktory!$D$5,'Parametre - Agendové IS'!AA127:AA135)</f>
        <v>0</v>
      </c>
      <c r="AN23" s="438">
        <f>'Parametre - Agendové IS'!AD126+NPV(Faktory!$D$5,'Parametre - Agendové IS'!AD127:AD135)</f>
        <v>0</v>
      </c>
      <c r="AO23" s="438">
        <f>'Parametre - Agendové IS'!AG126+NPV(Faktory!$D$5,'Parametre - Agendové IS'!AG127:AG135)</f>
        <v>0</v>
      </c>
      <c r="AP23" s="438">
        <f>'Parametre - Agendové IS'!AJ126+NPV(Faktory!$D$5,'Parametre - Agendové IS'!AJ127:AJ135)</f>
        <v>0</v>
      </c>
      <c r="AQ23" s="438">
        <f>'Parametre - Agendové IS'!AM126+NPV(Faktory!$D$5,'Parametre - Agendové IS'!AM127:AM135)</f>
        <v>0</v>
      </c>
      <c r="AR23" s="438">
        <f>'Parametre - Agendové IS'!AP126+NPV(Faktory!$D$5,'Parametre - Agendové IS'!AP127:AP135)</f>
        <v>0</v>
      </c>
      <c r="AS23" s="438">
        <f>'Parametre - Agendové IS'!AS126+NPV(Faktory!$D$5,'Parametre - Agendové IS'!AS127:AS135)</f>
        <v>0</v>
      </c>
      <c r="AT23" s="438">
        <f>'Parametre - Agendové IS'!AV126+NPV(Faktory!$D$5,'Parametre - Agendové IS'!AV127:AV135)</f>
        <v>0</v>
      </c>
      <c r="AU23" s="438">
        <f>'Parametre - Agendové IS'!AY126+NPV(Faktory!$D$5,'Parametre - Agendové IS'!AY127:AY135)</f>
        <v>0</v>
      </c>
      <c r="AV23" s="438">
        <f>'Parametre - Agendové IS'!BB126+NPV(Faktory!$D$5,'Parametre - Agendové IS'!BB127:BB135)</f>
        <v>0</v>
      </c>
      <c r="AW23" s="438">
        <f>'Parametre - Agendové IS'!BE126+NPV(Faktory!$D$5,'Parametre - Agendové IS'!BE127:BE135)</f>
        <v>0</v>
      </c>
      <c r="AX23" s="438">
        <f>'Parametre - Agendové IS'!BH126+NPV(Faktory!$D$5,'Parametre - Agendové IS'!BH127:BH135)</f>
        <v>0</v>
      </c>
      <c r="AY23" s="438">
        <f>'Parametre - Agendové IS'!BK126+NPV(Faktory!$D$5,'Parametre - Agendové IS'!BK127:BK135)</f>
        <v>0</v>
      </c>
      <c r="AZ23" s="438">
        <f>'Parametre - Agendové IS'!BN126+NPV(Faktory!$D$5,'Parametre - Agendové IS'!BN127:BN135)</f>
        <v>0</v>
      </c>
      <c r="BA23" s="438">
        <f>'Parametre - Agendové IS'!BQ126+NPV(Faktory!$D$5,'Parametre - Agendové IS'!BQ127:BQ135)</f>
        <v>0</v>
      </c>
    </row>
    <row r="24" spans="1:53" x14ac:dyDescent="0.2">
      <c r="A24" s="423"/>
      <c r="B24" s="424" t="s">
        <v>116</v>
      </c>
      <c r="C24" s="424"/>
      <c r="D24" s="430"/>
      <c r="E24" s="436"/>
      <c r="F24" s="437"/>
      <c r="G24" s="437"/>
      <c r="H24" s="437"/>
      <c r="I24" s="437"/>
      <c r="J24" s="436"/>
      <c r="K24" s="437"/>
      <c r="L24" s="437"/>
      <c r="M24" s="437"/>
      <c r="N24" s="436"/>
      <c r="O24" s="437"/>
      <c r="P24" s="437"/>
      <c r="Q24" s="437"/>
      <c r="R24" s="436"/>
      <c r="S24" s="437"/>
      <c r="T24" s="437"/>
      <c r="U24" s="437"/>
      <c r="V24" s="436"/>
      <c r="W24" s="437"/>
      <c r="X24" s="437"/>
      <c r="Y24" s="437"/>
      <c r="AC24" s="423"/>
      <c r="AD24" s="424" t="s">
        <v>116</v>
      </c>
      <c r="AE24" s="424"/>
      <c r="AF24" s="430"/>
      <c r="AG24" s="431"/>
      <c r="AH24" s="431"/>
      <c r="AI24" s="431"/>
      <c r="AJ24" s="431"/>
      <c r="AK24" s="430"/>
      <c r="AL24" s="431"/>
      <c r="AM24" s="431"/>
      <c r="AN24" s="431"/>
      <c r="AO24" s="430"/>
      <c r="AP24" s="431"/>
      <c r="AQ24" s="431"/>
      <c r="AR24" s="431"/>
      <c r="AS24" s="430"/>
      <c r="AT24" s="431"/>
      <c r="AU24" s="431"/>
      <c r="AV24" s="431"/>
      <c r="AW24" s="430"/>
      <c r="AX24" s="431"/>
      <c r="AY24" s="431"/>
      <c r="AZ24" s="431"/>
      <c r="BA24" s="430"/>
    </row>
    <row r="25" spans="1:53" x14ac:dyDescent="0.2">
      <c r="A25" s="432"/>
      <c r="B25" s="432"/>
      <c r="C25" s="501" t="s">
        <v>117</v>
      </c>
      <c r="D25" s="433"/>
      <c r="E25" s="432"/>
      <c r="F25" s="432"/>
      <c r="G25" s="432"/>
      <c r="H25" s="432"/>
      <c r="I25" s="432"/>
      <c r="J25" s="432"/>
      <c r="K25" s="432"/>
      <c r="L25" s="432"/>
      <c r="M25" s="432"/>
      <c r="N25" s="432"/>
      <c r="O25" s="432"/>
      <c r="P25" s="432"/>
      <c r="Q25" s="432"/>
      <c r="R25" s="432"/>
      <c r="S25" s="432"/>
      <c r="T25" s="432"/>
      <c r="U25" s="432"/>
      <c r="V25" s="432"/>
      <c r="W25" s="432"/>
      <c r="X25" s="432"/>
      <c r="Y25" s="432"/>
      <c r="AC25" s="432"/>
      <c r="AD25" s="432"/>
      <c r="AE25" s="501" t="s">
        <v>117</v>
      </c>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row>
    <row r="26" spans="1:53" x14ac:dyDescent="0.2">
      <c r="A26" s="432"/>
      <c r="B26" s="432"/>
      <c r="C26" s="501" t="s">
        <v>118</v>
      </c>
      <c r="D26" s="433"/>
      <c r="E26" s="432"/>
      <c r="F26" s="432"/>
      <c r="G26" s="432"/>
      <c r="H26" s="432"/>
      <c r="I26" s="432"/>
      <c r="J26" s="432"/>
      <c r="K26" s="432"/>
      <c r="L26" s="432"/>
      <c r="M26" s="432"/>
      <c r="N26" s="432"/>
      <c r="O26" s="432"/>
      <c r="P26" s="432"/>
      <c r="Q26" s="432"/>
      <c r="R26" s="432"/>
      <c r="S26" s="432"/>
      <c r="T26" s="432"/>
      <c r="U26" s="432"/>
      <c r="V26" s="432"/>
      <c r="W26" s="432"/>
      <c r="X26" s="432"/>
      <c r="Y26" s="432"/>
      <c r="AC26" s="432"/>
      <c r="AD26" s="432"/>
      <c r="AE26" s="501" t="s">
        <v>118</v>
      </c>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row>
    <row r="27" spans="1:53" x14ac:dyDescent="0.2">
      <c r="A27" s="432"/>
      <c r="B27" s="432"/>
      <c r="C27" s="501" t="s">
        <v>118</v>
      </c>
      <c r="D27" s="433"/>
      <c r="E27" s="432"/>
      <c r="F27" s="432"/>
      <c r="G27" s="432"/>
      <c r="H27" s="432"/>
      <c r="I27" s="432"/>
      <c r="J27" s="432"/>
      <c r="K27" s="432"/>
      <c r="L27" s="432"/>
      <c r="M27" s="432"/>
      <c r="N27" s="432"/>
      <c r="O27" s="432"/>
      <c r="P27" s="432"/>
      <c r="Q27" s="432"/>
      <c r="R27" s="432"/>
      <c r="S27" s="432"/>
      <c r="T27" s="432"/>
      <c r="U27" s="432"/>
      <c r="V27" s="432"/>
      <c r="W27" s="432"/>
      <c r="X27" s="432"/>
      <c r="Y27" s="432"/>
      <c r="AC27" s="432"/>
      <c r="AD27" s="432"/>
      <c r="AE27" s="501" t="s">
        <v>118</v>
      </c>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sheetData>
  <sheetProtection insertColumns="0" insertRows="0" deleteColumns="0" deleteRows="0"/>
  <mergeCells count="2">
    <mergeCell ref="A2:C2"/>
    <mergeCell ref="AC2:AE2"/>
  </mergeCells>
  <conditionalFormatting sqref="E2:Y2">
    <cfRule type="cellIs" dxfId="46" priority="1" operator="equal">
      <formula>0</formula>
    </cfRule>
  </conditionalFormatting>
  <conditionalFormatting sqref="AG2:BA2">
    <cfRule type="cellIs" dxfId="45" priority="3"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tabSelected="1" workbookViewId="0">
      <selection activeCell="G4" activeCellId="1" sqref="G16:G19 G4:G5"/>
    </sheetView>
  </sheetViews>
  <sheetFormatPr baseColWidth="10" defaultColWidth="8.6640625" defaultRowHeight="14" x14ac:dyDescent="0.2"/>
  <cols>
    <col min="1" max="1" width="15.33203125" style="485" bestFit="1" customWidth="1"/>
    <col min="2" max="2" width="19.33203125" style="485" bestFit="1" customWidth="1"/>
    <col min="3" max="4" width="12.6640625" style="485" customWidth="1"/>
    <col min="5" max="5" width="12.6640625" style="485" bestFit="1" customWidth="1"/>
    <col min="6" max="6" width="6.6640625" style="485" customWidth="1"/>
    <col min="7" max="7" width="13.1640625" style="485" customWidth="1"/>
    <col min="8" max="8" width="11.6640625" style="485" customWidth="1"/>
    <col min="9" max="13" width="8.5" style="485" customWidth="1"/>
    <col min="14" max="14" width="10.5" style="485" customWidth="1"/>
    <col min="15" max="15" width="13.6640625" style="485" customWidth="1"/>
    <col min="16" max="16" width="12.5" style="485" customWidth="1"/>
    <col min="17" max="17" width="13.6640625" style="485" customWidth="1"/>
    <col min="18" max="19" width="12.5" style="485" customWidth="1"/>
    <col min="20" max="20" width="13.6640625" style="485" customWidth="1"/>
    <col min="21" max="22" width="13.5" style="485" customWidth="1"/>
    <col min="23" max="16384" width="8.6640625" style="485"/>
  </cols>
  <sheetData>
    <row r="1" spans="1:22" s="478" customFormat="1" ht="14.75" customHeight="1" x14ac:dyDescent="0.2">
      <c r="A1" s="780" t="s">
        <v>119</v>
      </c>
      <c r="B1" s="780" t="s">
        <v>120</v>
      </c>
      <c r="C1" s="780" t="s">
        <v>121</v>
      </c>
      <c r="D1" s="788" t="s">
        <v>122</v>
      </c>
      <c r="E1" s="784" t="s">
        <v>123</v>
      </c>
      <c r="F1" s="785"/>
      <c r="G1" s="780" t="s">
        <v>121</v>
      </c>
      <c r="H1" s="781" t="s">
        <v>124</v>
      </c>
      <c r="I1" s="782"/>
      <c r="J1" s="782"/>
      <c r="K1" s="782"/>
      <c r="L1" s="783"/>
      <c r="M1" s="621"/>
      <c r="N1" s="621"/>
      <c r="O1" s="779" t="s">
        <v>125</v>
      </c>
      <c r="P1" s="779"/>
      <c r="Q1" s="779"/>
      <c r="R1" s="779"/>
      <c r="S1" s="779"/>
      <c r="T1" s="779"/>
      <c r="U1" s="777" t="s">
        <v>126</v>
      </c>
      <c r="V1" s="778"/>
    </row>
    <row r="2" spans="1:22" s="478" customFormat="1" ht="45" x14ac:dyDescent="0.2">
      <c r="A2" s="780"/>
      <c r="B2" s="780"/>
      <c r="C2" s="780"/>
      <c r="D2" s="789"/>
      <c r="E2" s="786"/>
      <c r="F2" s="787"/>
      <c r="G2" s="780"/>
      <c r="H2" s="479" t="s">
        <v>127</v>
      </c>
      <c r="I2" s="480" t="s">
        <v>128</v>
      </c>
      <c r="J2" s="480" t="s">
        <v>129</v>
      </c>
      <c r="K2" s="480" t="s">
        <v>130</v>
      </c>
      <c r="L2" s="480" t="s">
        <v>131</v>
      </c>
      <c r="M2" s="480" t="s">
        <v>132</v>
      </c>
      <c r="N2" s="480" t="s">
        <v>133</v>
      </c>
      <c r="O2" s="480" t="s">
        <v>128</v>
      </c>
      <c r="P2" s="480" t="s">
        <v>134</v>
      </c>
      <c r="Q2" s="480" t="s">
        <v>129</v>
      </c>
      <c r="R2" s="480" t="s">
        <v>134</v>
      </c>
      <c r="S2" s="480" t="s">
        <v>130</v>
      </c>
      <c r="T2" s="480" t="s">
        <v>131</v>
      </c>
      <c r="U2" s="480" t="s">
        <v>128</v>
      </c>
      <c r="V2" s="480" t="s">
        <v>129</v>
      </c>
    </row>
    <row r="3" spans="1:22" x14ac:dyDescent="0.2">
      <c r="A3" s="771" t="s">
        <v>135</v>
      </c>
      <c r="B3" s="771" t="s">
        <v>136</v>
      </c>
      <c r="C3" s="760">
        <f>'TCO TO BE- SW'!E36</f>
        <v>3158483.4299999997</v>
      </c>
      <c r="D3" s="609" t="s">
        <v>137</v>
      </c>
      <c r="E3" s="761" t="s">
        <v>138</v>
      </c>
      <c r="F3" s="762"/>
      <c r="G3" s="482">
        <f>SUM('TCO TO BE- SW'!F47:F56,'TCO TO BE- SW'!F67:F76)</f>
        <v>0</v>
      </c>
      <c r="H3" s="483" t="str">
        <f t="shared" ref="H3:H21" si="0">IF(SUM(I3:L3)=0,"",SUM(I3:L3))</f>
        <v/>
      </c>
      <c r="I3" s="717"/>
      <c r="J3" s="717"/>
      <c r="K3" s="717"/>
      <c r="L3" s="717"/>
      <c r="M3" s="586"/>
      <c r="N3" s="586"/>
      <c r="O3" s="484">
        <f>$G3*I3</f>
        <v>0</v>
      </c>
      <c r="P3" s="590"/>
      <c r="Q3" s="484">
        <f t="shared" ref="Q3:Q21" si="1">$G3*J3</f>
        <v>0</v>
      </c>
      <c r="R3" s="590"/>
      <c r="S3" s="484">
        <f>$G3*K3</f>
        <v>0</v>
      </c>
      <c r="T3" s="484">
        <f>$G3*L3</f>
        <v>0</v>
      </c>
      <c r="U3" s="483">
        <f>IFERROR(P3/O3,0)</f>
        <v>0</v>
      </c>
      <c r="V3" s="483">
        <f>IFERROR(R3/Q3,0)</f>
        <v>0</v>
      </c>
    </row>
    <row r="4" spans="1:22" x14ac:dyDescent="0.2">
      <c r="A4" s="776"/>
      <c r="B4" s="776"/>
      <c r="C4" s="760"/>
      <c r="D4" s="609" t="s">
        <v>139</v>
      </c>
      <c r="E4" s="761" t="s">
        <v>138</v>
      </c>
      <c r="F4" s="762"/>
      <c r="G4" s="482">
        <f>SUM('TCO TO BE- SW'!E37:E46)</f>
        <v>3003489.03</v>
      </c>
      <c r="H4" s="483">
        <f t="shared" si="0"/>
        <v>1</v>
      </c>
      <c r="I4" s="717"/>
      <c r="J4" s="717"/>
      <c r="K4" s="717"/>
      <c r="L4" s="718">
        <v>1</v>
      </c>
      <c r="M4" s="586"/>
      <c r="N4" s="586"/>
      <c r="O4" s="484">
        <f t="shared" ref="O4:O21" si="2">$G4*I4</f>
        <v>0</v>
      </c>
      <c r="P4" s="590"/>
      <c r="Q4" s="484">
        <f t="shared" si="1"/>
        <v>0</v>
      </c>
      <c r="R4" s="590"/>
      <c r="S4" s="484">
        <f t="shared" ref="S4:S21" si="3">$G4*K4</f>
        <v>0</v>
      </c>
      <c r="T4" s="484">
        <f t="shared" ref="T4:T21" si="4">$G4*L4</f>
        <v>3003489.03</v>
      </c>
      <c r="U4" s="483">
        <f t="shared" ref="U4:U21" si="5">IFERROR(P4/O4,0)</f>
        <v>0</v>
      </c>
      <c r="V4" s="483">
        <f t="shared" ref="V4:V21" si="6">IFERROR(R4/Q4,0)</f>
        <v>0</v>
      </c>
    </row>
    <row r="5" spans="1:22" x14ac:dyDescent="0.2">
      <c r="A5" s="776"/>
      <c r="B5" s="772"/>
      <c r="C5" s="760"/>
      <c r="D5" s="609" t="s">
        <v>137</v>
      </c>
      <c r="E5" s="761" t="s">
        <v>140</v>
      </c>
      <c r="F5" s="762"/>
      <c r="G5" s="482">
        <f>SUM('TCO TO BE- SW'!E57:E66)</f>
        <v>154994.4</v>
      </c>
      <c r="H5" s="483">
        <f t="shared" si="0"/>
        <v>1</v>
      </c>
      <c r="I5" s="717"/>
      <c r="J5" s="717"/>
      <c r="K5" s="718">
        <v>1</v>
      </c>
      <c r="L5" s="717"/>
      <c r="M5" s="586"/>
      <c r="N5" s="586"/>
      <c r="O5" s="484">
        <f t="shared" si="2"/>
        <v>0</v>
      </c>
      <c r="P5" s="590"/>
      <c r="Q5" s="484">
        <f t="shared" si="1"/>
        <v>0</v>
      </c>
      <c r="R5" s="590"/>
      <c r="S5" s="484">
        <f t="shared" si="3"/>
        <v>154994.4</v>
      </c>
      <c r="T5" s="484">
        <f t="shared" si="4"/>
        <v>0</v>
      </c>
      <c r="U5" s="483">
        <f t="shared" si="5"/>
        <v>0</v>
      </c>
      <c r="V5" s="483">
        <f t="shared" si="6"/>
        <v>0</v>
      </c>
    </row>
    <row r="6" spans="1:22" x14ac:dyDescent="0.2">
      <c r="A6" s="776"/>
      <c r="B6" s="771" t="s">
        <v>141</v>
      </c>
      <c r="C6" s="760">
        <f>'TCO TO BE - HW'!E4+'TCO TO BE- SW'!E5</f>
        <v>0</v>
      </c>
      <c r="D6" s="609" t="s">
        <v>137</v>
      </c>
      <c r="E6" s="761" t="s">
        <v>138</v>
      </c>
      <c r="F6" s="762"/>
      <c r="G6" s="482">
        <f>SUM('TCO TO BE- SW'!E26:E35)+SUM('TCO TO BE - HW'!E15:E34)+SUM('TCO TO BE - HW'!E45:E54)</f>
        <v>0</v>
      </c>
      <c r="H6" s="483" t="str">
        <f t="shared" si="0"/>
        <v/>
      </c>
      <c r="I6" s="717"/>
      <c r="J6" s="717"/>
      <c r="K6" s="717"/>
      <c r="L6" s="717"/>
      <c r="M6" s="586"/>
      <c r="N6" s="586"/>
      <c r="O6" s="484">
        <f t="shared" si="2"/>
        <v>0</v>
      </c>
      <c r="P6" s="590"/>
      <c r="Q6" s="484">
        <f t="shared" si="1"/>
        <v>0</v>
      </c>
      <c r="R6" s="590"/>
      <c r="S6" s="484">
        <f t="shared" si="3"/>
        <v>0</v>
      </c>
      <c r="T6" s="484">
        <f t="shared" si="4"/>
        <v>0</v>
      </c>
      <c r="U6" s="483">
        <f t="shared" si="5"/>
        <v>0</v>
      </c>
      <c r="V6" s="483">
        <f t="shared" si="6"/>
        <v>0</v>
      </c>
    </row>
    <row r="7" spans="1:22" x14ac:dyDescent="0.2">
      <c r="A7" s="776"/>
      <c r="B7" s="776"/>
      <c r="C7" s="760"/>
      <c r="D7" s="609" t="s">
        <v>139</v>
      </c>
      <c r="E7" s="761" t="s">
        <v>138</v>
      </c>
      <c r="F7" s="762"/>
      <c r="G7" s="482">
        <f>SUM('TCO TO BE- SW'!E6:E15)+SUM('TCO TO BE - HW'!E5:E14)</f>
        <v>0</v>
      </c>
      <c r="H7" s="483">
        <f t="shared" si="0"/>
        <v>1</v>
      </c>
      <c r="I7" s="717"/>
      <c r="J7" s="717"/>
      <c r="K7" s="717"/>
      <c r="L7" s="718">
        <v>1</v>
      </c>
      <c r="M7" s="586"/>
      <c r="N7" s="586"/>
      <c r="O7" s="484">
        <f t="shared" si="2"/>
        <v>0</v>
      </c>
      <c r="P7" s="590"/>
      <c r="Q7" s="484">
        <f t="shared" si="1"/>
        <v>0</v>
      </c>
      <c r="R7" s="590"/>
      <c r="S7" s="484">
        <f t="shared" si="3"/>
        <v>0</v>
      </c>
      <c r="T7" s="484">
        <f t="shared" si="4"/>
        <v>0</v>
      </c>
      <c r="U7" s="483">
        <f t="shared" si="5"/>
        <v>0</v>
      </c>
      <c r="V7" s="483">
        <f t="shared" si="6"/>
        <v>0</v>
      </c>
    </row>
    <row r="8" spans="1:22" x14ac:dyDescent="0.2">
      <c r="A8" s="772"/>
      <c r="B8" s="772"/>
      <c r="C8" s="760"/>
      <c r="D8" s="609" t="s">
        <v>137</v>
      </c>
      <c r="E8" s="761" t="s">
        <v>140</v>
      </c>
      <c r="F8" s="762"/>
      <c r="G8" s="482">
        <f>SUM('TCO TO BE- SW'!E16:E25)+SUM('TCO TO BE - HW'!E35:E44)</f>
        <v>0</v>
      </c>
      <c r="H8" s="483" t="str">
        <f t="shared" si="0"/>
        <v/>
      </c>
      <c r="I8" s="717"/>
      <c r="J8" s="717"/>
      <c r="K8" s="717"/>
      <c r="L8" s="717"/>
      <c r="M8" s="586"/>
      <c r="N8" s="586"/>
      <c r="O8" s="484">
        <f t="shared" si="2"/>
        <v>0</v>
      </c>
      <c r="P8" s="590"/>
      <c r="Q8" s="484">
        <f t="shared" si="1"/>
        <v>0</v>
      </c>
      <c r="R8" s="590"/>
      <c r="S8" s="484">
        <f t="shared" si="3"/>
        <v>0</v>
      </c>
      <c r="T8" s="484">
        <f t="shared" si="4"/>
        <v>0</v>
      </c>
      <c r="U8" s="483">
        <f t="shared" si="5"/>
        <v>0</v>
      </c>
      <c r="V8" s="483">
        <f t="shared" si="6"/>
        <v>0</v>
      </c>
    </row>
    <row r="9" spans="1:22" x14ac:dyDescent="0.2">
      <c r="A9" s="771" t="s">
        <v>142</v>
      </c>
      <c r="B9" s="771" t="s">
        <v>100</v>
      </c>
      <c r="C9" s="760">
        <f>'TCO TO BE- SW'!E99</f>
        <v>3243768.152400001</v>
      </c>
      <c r="D9" s="609" t="s">
        <v>137</v>
      </c>
      <c r="E9" s="761" t="s">
        <v>138</v>
      </c>
      <c r="F9" s="762"/>
      <c r="G9" s="482">
        <f>SUM('TCO TO BE- SW'!E100:E119,'TCO TO BE- SW'!E140:E149)</f>
        <v>1351570.0634999999</v>
      </c>
      <c r="H9" s="483">
        <f t="shared" si="0"/>
        <v>1</v>
      </c>
      <c r="I9" s="718">
        <v>1</v>
      </c>
      <c r="J9" s="717"/>
      <c r="K9" s="717"/>
      <c r="L9" s="717"/>
      <c r="M9" s="586"/>
      <c r="N9" s="586"/>
      <c r="O9" s="484">
        <f t="shared" si="2"/>
        <v>1351570.0634999999</v>
      </c>
      <c r="P9" s="590"/>
      <c r="Q9" s="484">
        <f t="shared" si="1"/>
        <v>0</v>
      </c>
      <c r="R9" s="590"/>
      <c r="S9" s="484">
        <f t="shared" si="3"/>
        <v>0</v>
      </c>
      <c r="T9" s="484">
        <f t="shared" si="4"/>
        <v>0</v>
      </c>
      <c r="U9" s="483">
        <f t="shared" si="5"/>
        <v>0</v>
      </c>
      <c r="V9" s="483">
        <f t="shared" si="6"/>
        <v>0</v>
      </c>
    </row>
    <row r="10" spans="1:22" x14ac:dyDescent="0.2">
      <c r="A10" s="776"/>
      <c r="B10" s="776"/>
      <c r="C10" s="760"/>
      <c r="D10" s="609" t="s">
        <v>139</v>
      </c>
      <c r="E10" s="761" t="s">
        <v>138</v>
      </c>
      <c r="F10" s="762"/>
      <c r="G10" s="482">
        <f>SUM('TCO TO BE- SW'!E120:E129)</f>
        <v>1892198.0889000008</v>
      </c>
      <c r="H10" s="483">
        <f t="shared" si="0"/>
        <v>1</v>
      </c>
      <c r="I10" s="717"/>
      <c r="J10" s="718">
        <v>1</v>
      </c>
      <c r="K10" s="717"/>
      <c r="L10" s="717"/>
      <c r="M10" s="586"/>
      <c r="N10" s="586"/>
      <c r="O10" s="484">
        <f t="shared" si="2"/>
        <v>0</v>
      </c>
      <c r="P10" s="590"/>
      <c r="Q10" s="484">
        <f t="shared" si="1"/>
        <v>1892198.0889000008</v>
      </c>
      <c r="R10" s="590"/>
      <c r="S10" s="484">
        <f t="shared" si="3"/>
        <v>0</v>
      </c>
      <c r="T10" s="484">
        <f t="shared" si="4"/>
        <v>0</v>
      </c>
      <c r="U10" s="483">
        <f t="shared" si="5"/>
        <v>0</v>
      </c>
      <c r="V10" s="483">
        <f t="shared" si="6"/>
        <v>0</v>
      </c>
    </row>
    <row r="11" spans="1:22" x14ac:dyDescent="0.2">
      <c r="A11" s="776"/>
      <c r="B11" s="772"/>
      <c r="C11" s="760"/>
      <c r="D11" s="609" t="s">
        <v>137</v>
      </c>
      <c r="E11" s="761" t="s">
        <v>140</v>
      </c>
      <c r="F11" s="762"/>
      <c r="G11" s="482">
        <f>SUM('TCO TO BE- SW'!E130:E139)</f>
        <v>0</v>
      </c>
      <c r="H11" s="483" t="str">
        <f t="shared" si="0"/>
        <v/>
      </c>
      <c r="I11" s="717"/>
      <c r="J11" s="717"/>
      <c r="K11" s="717"/>
      <c r="L11" s="717"/>
      <c r="M11" s="586"/>
      <c r="N11" s="586"/>
      <c r="O11" s="484">
        <f t="shared" si="2"/>
        <v>0</v>
      </c>
      <c r="P11" s="590"/>
      <c r="Q11" s="484">
        <f t="shared" si="1"/>
        <v>0</v>
      </c>
      <c r="R11" s="590"/>
      <c r="S11" s="484">
        <f t="shared" si="3"/>
        <v>0</v>
      </c>
      <c r="T11" s="484">
        <f t="shared" si="4"/>
        <v>0</v>
      </c>
      <c r="U11" s="483">
        <f t="shared" si="5"/>
        <v>0</v>
      </c>
      <c r="V11" s="483">
        <f t="shared" si="6"/>
        <v>0</v>
      </c>
    </row>
    <row r="12" spans="1:22" x14ac:dyDescent="0.2">
      <c r="A12" s="776"/>
      <c r="B12" s="771" t="s">
        <v>143</v>
      </c>
      <c r="C12" s="760">
        <f>'TCO TO BE - HW'!E55+'TCO TO BE- SW'!E78</f>
        <v>0</v>
      </c>
      <c r="D12" s="609" t="s">
        <v>137</v>
      </c>
      <c r="E12" s="761" t="s">
        <v>138</v>
      </c>
      <c r="F12" s="762"/>
      <c r="G12" s="482">
        <f>SUM('TCO TO BE- SW'!E79:E88)+SUM('TCO TO BE - HW'!E56:E65,'TCO TO BE - HW'!E76:E85,'TCO TO BE - HW'!E96:E105)</f>
        <v>0</v>
      </c>
      <c r="H12" s="483" t="str">
        <f t="shared" si="0"/>
        <v/>
      </c>
      <c r="I12" s="718"/>
      <c r="J12" s="717"/>
      <c r="K12" s="717"/>
      <c r="L12" s="717"/>
      <c r="M12" s="586"/>
      <c r="N12" s="586"/>
      <c r="O12" s="484">
        <f t="shared" si="2"/>
        <v>0</v>
      </c>
      <c r="P12" s="590"/>
      <c r="Q12" s="484">
        <f t="shared" si="1"/>
        <v>0</v>
      </c>
      <c r="R12" s="590"/>
      <c r="S12" s="484">
        <f t="shared" si="3"/>
        <v>0</v>
      </c>
      <c r="T12" s="484">
        <f t="shared" si="4"/>
        <v>0</v>
      </c>
      <c r="U12" s="483">
        <f t="shared" si="5"/>
        <v>0</v>
      </c>
      <c r="V12" s="483">
        <f t="shared" si="6"/>
        <v>0</v>
      </c>
    </row>
    <row r="13" spans="1:22" x14ac:dyDescent="0.2">
      <c r="A13" s="776"/>
      <c r="B13" s="776"/>
      <c r="C13" s="760"/>
      <c r="D13" s="609" t="s">
        <v>139</v>
      </c>
      <c r="E13" s="761" t="s">
        <v>138</v>
      </c>
      <c r="F13" s="762"/>
      <c r="G13" s="482">
        <f>SUM('TCO TO BE- SW'!E89:E98)+SUM('TCO TO BE - HW'!E66:E75)</f>
        <v>0</v>
      </c>
      <c r="H13" s="483" t="str">
        <f t="shared" si="0"/>
        <v/>
      </c>
      <c r="I13" s="717"/>
      <c r="J13" s="718"/>
      <c r="K13" s="717"/>
      <c r="L13" s="717"/>
      <c r="M13" s="586"/>
      <c r="N13" s="586"/>
      <c r="O13" s="484">
        <f t="shared" si="2"/>
        <v>0</v>
      </c>
      <c r="P13" s="590"/>
      <c r="Q13" s="484">
        <f t="shared" si="1"/>
        <v>0</v>
      </c>
      <c r="R13" s="590"/>
      <c r="S13" s="484">
        <f t="shared" si="3"/>
        <v>0</v>
      </c>
      <c r="T13" s="484">
        <f t="shared" si="4"/>
        <v>0</v>
      </c>
      <c r="U13" s="483">
        <f t="shared" si="5"/>
        <v>0</v>
      </c>
      <c r="V13" s="483">
        <f t="shared" si="6"/>
        <v>0</v>
      </c>
    </row>
    <row r="14" spans="1:22" x14ac:dyDescent="0.2">
      <c r="A14" s="772"/>
      <c r="B14" s="772"/>
      <c r="C14" s="760"/>
      <c r="D14" s="609" t="s">
        <v>137</v>
      </c>
      <c r="E14" s="761" t="s">
        <v>140</v>
      </c>
      <c r="F14" s="762"/>
      <c r="G14" s="482">
        <f>SUM('TCO TO BE - HW'!E86:E95)</f>
        <v>0</v>
      </c>
      <c r="H14" s="483" t="str">
        <f t="shared" si="0"/>
        <v/>
      </c>
      <c r="I14" s="717"/>
      <c r="J14" s="717"/>
      <c r="K14" s="717"/>
      <c r="L14" s="717"/>
      <c r="M14" s="586"/>
      <c r="N14" s="586"/>
      <c r="O14" s="484">
        <f t="shared" si="2"/>
        <v>0</v>
      </c>
      <c r="P14" s="590"/>
      <c r="Q14" s="484">
        <f t="shared" si="1"/>
        <v>0</v>
      </c>
      <c r="R14" s="590"/>
      <c r="S14" s="484">
        <f t="shared" si="3"/>
        <v>0</v>
      </c>
      <c r="T14" s="484">
        <f t="shared" si="4"/>
        <v>0</v>
      </c>
      <c r="U14" s="483">
        <f t="shared" si="5"/>
        <v>0</v>
      </c>
      <c r="V14" s="483">
        <f t="shared" si="6"/>
        <v>0</v>
      </c>
    </row>
    <row r="15" spans="1:22" ht="14.75" customHeight="1" x14ac:dyDescent="0.2">
      <c r="A15" s="773" t="s">
        <v>144</v>
      </c>
      <c r="B15" s="771" t="s">
        <v>145</v>
      </c>
      <c r="C15" s="760">
        <f>SUM('TCO TO BE- SW'!E151:E160)</f>
        <v>81576</v>
      </c>
      <c r="D15" s="609" t="s">
        <v>137</v>
      </c>
      <c r="E15" s="761" t="s">
        <v>138</v>
      </c>
      <c r="F15" s="762"/>
      <c r="G15" s="484">
        <f>SUM(AKTIVITY_POZICIE!M41:M52)</f>
        <v>0</v>
      </c>
      <c r="H15" s="483" t="str">
        <f t="shared" si="0"/>
        <v/>
      </c>
      <c r="I15" s="717"/>
      <c r="J15" s="717"/>
      <c r="K15" s="717"/>
      <c r="L15" s="717"/>
      <c r="M15" s="586"/>
      <c r="N15" s="586"/>
      <c r="O15" s="484">
        <f t="shared" si="2"/>
        <v>0</v>
      </c>
      <c r="P15" s="590"/>
      <c r="Q15" s="484">
        <f t="shared" si="1"/>
        <v>0</v>
      </c>
      <c r="R15" s="590"/>
      <c r="S15" s="484">
        <f t="shared" si="3"/>
        <v>0</v>
      </c>
      <c r="T15" s="484">
        <f t="shared" si="4"/>
        <v>0</v>
      </c>
      <c r="U15" s="483">
        <f t="shared" si="5"/>
        <v>0</v>
      </c>
      <c r="V15" s="483">
        <f t="shared" si="6"/>
        <v>0</v>
      </c>
    </row>
    <row r="16" spans="1:22" x14ac:dyDescent="0.2">
      <c r="A16" s="774"/>
      <c r="B16" s="772"/>
      <c r="C16" s="760"/>
      <c r="D16" s="609" t="s">
        <v>137</v>
      </c>
      <c r="E16" s="761" t="s">
        <v>140</v>
      </c>
      <c r="F16" s="762"/>
      <c r="G16" s="482">
        <f>SUM(POZICIE_INTERNE!I40:I51)</f>
        <v>81576</v>
      </c>
      <c r="H16" s="483">
        <f t="shared" si="0"/>
        <v>1</v>
      </c>
      <c r="I16" s="717"/>
      <c r="J16" s="717"/>
      <c r="K16" s="718">
        <v>1</v>
      </c>
      <c r="L16" s="717"/>
      <c r="M16" s="586"/>
      <c r="N16" s="586"/>
      <c r="O16" s="484">
        <f t="shared" si="2"/>
        <v>0</v>
      </c>
      <c r="P16" s="590"/>
      <c r="Q16" s="484">
        <f t="shared" si="1"/>
        <v>0</v>
      </c>
      <c r="R16" s="590"/>
      <c r="S16" s="484">
        <f t="shared" si="3"/>
        <v>81576</v>
      </c>
      <c r="T16" s="484">
        <f t="shared" si="4"/>
        <v>0</v>
      </c>
      <c r="U16" s="483">
        <f t="shared" si="5"/>
        <v>0</v>
      </c>
      <c r="V16" s="483">
        <f t="shared" si="6"/>
        <v>0</v>
      </c>
    </row>
    <row r="17" spans="1:22" x14ac:dyDescent="0.2">
      <c r="A17" s="774"/>
      <c r="B17" s="771" t="s">
        <v>146</v>
      </c>
      <c r="C17" s="760">
        <f>SUM('TCO TO BE- SW'!E161:E170)</f>
        <v>139517.8401</v>
      </c>
      <c r="D17" s="609" t="s">
        <v>137</v>
      </c>
      <c r="E17" s="761" t="s">
        <v>138</v>
      </c>
      <c r="F17" s="762"/>
      <c r="G17" s="482">
        <f>SUM(AKTIVITY_POZICIE!M53:M64)</f>
        <v>0</v>
      </c>
      <c r="H17" s="483" t="str">
        <f t="shared" si="0"/>
        <v/>
      </c>
      <c r="I17" s="717"/>
      <c r="J17" s="717"/>
      <c r="K17" s="717"/>
      <c r="L17" s="717"/>
      <c r="M17" s="586"/>
      <c r="N17" s="586"/>
      <c r="O17" s="484">
        <f t="shared" si="2"/>
        <v>0</v>
      </c>
      <c r="P17" s="590"/>
      <c r="Q17" s="484">
        <f t="shared" si="1"/>
        <v>0</v>
      </c>
      <c r="R17" s="590"/>
      <c r="S17" s="484">
        <f t="shared" si="3"/>
        <v>0</v>
      </c>
      <c r="T17" s="484">
        <f t="shared" si="4"/>
        <v>0</v>
      </c>
      <c r="U17" s="483">
        <f t="shared" si="5"/>
        <v>0</v>
      </c>
      <c r="V17" s="483">
        <f t="shared" si="6"/>
        <v>0</v>
      </c>
    </row>
    <row r="18" spans="1:22" x14ac:dyDescent="0.2">
      <c r="A18" s="774"/>
      <c r="B18" s="772"/>
      <c r="C18" s="760"/>
      <c r="D18" s="609" t="s">
        <v>137</v>
      </c>
      <c r="E18" s="761" t="s">
        <v>140</v>
      </c>
      <c r="F18" s="762"/>
      <c r="G18" s="482">
        <f>SUM(POZICIE_INTERNE!I52:I62)</f>
        <v>4078.8</v>
      </c>
      <c r="H18" s="483" t="str">
        <f t="shared" si="0"/>
        <v/>
      </c>
      <c r="I18" s="717"/>
      <c r="J18" s="717"/>
      <c r="K18" s="717"/>
      <c r="L18" s="717"/>
      <c r="M18" s="586"/>
      <c r="N18" s="586"/>
      <c r="O18" s="484">
        <f t="shared" si="2"/>
        <v>0</v>
      </c>
      <c r="P18" s="590"/>
      <c r="Q18" s="484">
        <f t="shared" si="1"/>
        <v>0</v>
      </c>
      <c r="R18" s="590"/>
      <c r="S18" s="484">
        <f t="shared" si="3"/>
        <v>0</v>
      </c>
      <c r="T18" s="484">
        <f t="shared" si="4"/>
        <v>0</v>
      </c>
      <c r="U18" s="483">
        <f t="shared" si="5"/>
        <v>0</v>
      </c>
      <c r="V18" s="483">
        <f t="shared" si="6"/>
        <v>0</v>
      </c>
    </row>
    <row r="19" spans="1:22" x14ac:dyDescent="0.2">
      <c r="A19" s="775"/>
      <c r="B19" s="624" t="s">
        <v>147</v>
      </c>
      <c r="C19" s="608"/>
      <c r="D19" s="763" t="s">
        <v>148</v>
      </c>
      <c r="E19" s="764"/>
      <c r="F19" s="623"/>
      <c r="G19" s="482">
        <f>POZICIE_INTERNE!I63</f>
        <v>135439.04009999998</v>
      </c>
      <c r="H19" s="483"/>
      <c r="I19" s="717"/>
      <c r="J19" s="717"/>
      <c r="K19" s="718">
        <v>1</v>
      </c>
      <c r="L19" s="717"/>
      <c r="M19" s="586"/>
      <c r="N19" s="586"/>
      <c r="O19" s="484"/>
      <c r="P19" s="590"/>
      <c r="Q19" s="484"/>
      <c r="R19" s="590"/>
      <c r="S19" s="484">
        <f t="shared" ref="S19" si="7">$G19*K19</f>
        <v>135439.04009999998</v>
      </c>
      <c r="T19" s="484">
        <f t="shared" ref="T19" si="8">$G19*L19</f>
        <v>0</v>
      </c>
      <c r="U19" s="483">
        <f t="shared" ref="U19" si="9">IFERROR(P19/O19,0)</f>
        <v>0</v>
      </c>
      <c r="V19" s="483">
        <f t="shared" ref="V19" si="10">IFERROR(R19/Q19,0)</f>
        <v>0</v>
      </c>
    </row>
    <row r="20" spans="1:22" x14ac:dyDescent="0.2">
      <c r="A20" s="767" t="s">
        <v>105</v>
      </c>
      <c r="B20" s="768"/>
      <c r="C20" s="760">
        <f>'TCO TO BE- SW'!E171</f>
        <v>0</v>
      </c>
      <c r="D20" s="608"/>
      <c r="E20" s="481" t="s">
        <v>138</v>
      </c>
      <c r="F20" s="586"/>
      <c r="G20" s="482">
        <f>C20*F20</f>
        <v>0</v>
      </c>
      <c r="H20" s="483" t="str">
        <f t="shared" si="0"/>
        <v/>
      </c>
      <c r="I20" s="586"/>
      <c r="J20" s="586"/>
      <c r="K20" s="586"/>
      <c r="L20" s="586"/>
      <c r="M20" s="586"/>
      <c r="N20" s="586"/>
      <c r="O20" s="484">
        <f t="shared" si="2"/>
        <v>0</v>
      </c>
      <c r="P20" s="590"/>
      <c r="Q20" s="484">
        <f t="shared" si="1"/>
        <v>0</v>
      </c>
      <c r="R20" s="590"/>
      <c r="S20" s="484">
        <f t="shared" si="3"/>
        <v>0</v>
      </c>
      <c r="T20" s="484">
        <f t="shared" si="4"/>
        <v>0</v>
      </c>
      <c r="U20" s="483">
        <f t="shared" si="5"/>
        <v>0</v>
      </c>
      <c r="V20" s="483">
        <f t="shared" si="6"/>
        <v>0</v>
      </c>
    </row>
    <row r="21" spans="1:22" x14ac:dyDescent="0.2">
      <c r="A21" s="769"/>
      <c r="B21" s="770"/>
      <c r="C21" s="760"/>
      <c r="D21" s="608"/>
      <c r="E21" s="481" t="s">
        <v>140</v>
      </c>
      <c r="F21" s="586"/>
      <c r="G21" s="482">
        <f>F21*C20</f>
        <v>0</v>
      </c>
      <c r="H21" s="483" t="str">
        <f t="shared" si="0"/>
        <v/>
      </c>
      <c r="I21" s="586"/>
      <c r="J21" s="586"/>
      <c r="K21" s="586"/>
      <c r="L21" s="586"/>
      <c r="M21" s="586"/>
      <c r="N21" s="586"/>
      <c r="O21" s="484">
        <f t="shared" si="2"/>
        <v>0</v>
      </c>
      <c r="P21" s="590"/>
      <c r="Q21" s="484">
        <f t="shared" si="1"/>
        <v>0</v>
      </c>
      <c r="R21" s="590"/>
      <c r="S21" s="484">
        <f t="shared" si="3"/>
        <v>0</v>
      </c>
      <c r="T21" s="484">
        <f t="shared" si="4"/>
        <v>0</v>
      </c>
      <c r="U21" s="483">
        <f t="shared" si="5"/>
        <v>0</v>
      </c>
      <c r="V21" s="483">
        <f t="shared" si="6"/>
        <v>0</v>
      </c>
    </row>
    <row r="22" spans="1:22" x14ac:dyDescent="0.2">
      <c r="A22" s="765" t="s">
        <v>149</v>
      </c>
      <c r="B22" s="766"/>
      <c r="C22" s="486">
        <f>SUM(C3:C21)</f>
        <v>6623345.4225000003</v>
      </c>
      <c r="D22" s="486"/>
      <c r="E22" s="481" t="s">
        <v>150</v>
      </c>
      <c r="F22" s="481"/>
      <c r="G22" s="482">
        <f>SUM(G3:G21)</f>
        <v>6623345.4225000003</v>
      </c>
      <c r="H22" s="487"/>
      <c r="I22" s="488"/>
      <c r="J22" s="488"/>
      <c r="K22" s="488"/>
      <c r="L22" s="488"/>
      <c r="M22" s="488"/>
      <c r="N22" s="488"/>
      <c r="O22" s="482">
        <f t="shared" ref="O22:T22" si="11">SUM(O3:O21)</f>
        <v>1351570.0634999999</v>
      </c>
      <c r="P22" s="482">
        <f>SUM(P3:P21)</f>
        <v>0</v>
      </c>
      <c r="Q22" s="482">
        <f t="shared" si="11"/>
        <v>1892198.0889000008</v>
      </c>
      <c r="R22" s="482">
        <f>SUM(R3:R21)</f>
        <v>0</v>
      </c>
      <c r="S22" s="482">
        <f t="shared" si="11"/>
        <v>372009.44010000001</v>
      </c>
      <c r="T22" s="482">
        <f t="shared" si="11"/>
        <v>3003489.03</v>
      </c>
      <c r="U22" s="591"/>
      <c r="V22" s="591"/>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G22">
    <cfRule type="expression" dxfId="44" priority="6">
      <formula>$C$22=$G$22</formula>
    </cfRule>
    <cfRule type="expression" dxfId="43" priority="7">
      <formula>$C$22&lt;&gt;$G$22</formula>
    </cfRule>
  </conditionalFormatting>
  <conditionalFormatting sqref="H3:H21">
    <cfRule type="expression" dxfId="42" priority="10">
      <formula>H3=1</formula>
    </cfRule>
    <cfRule type="expression" dxfId="41" priority="11">
      <formula>H3&lt;&gt;1</formula>
    </cfRule>
  </conditionalFormatting>
  <conditionalFormatting sqref="O22 Q22">
    <cfRule type="expression" dxfId="40" priority="8">
      <formula>SUM($O$22,$Q$22,$S$22,$T$22)=$G$22</formula>
    </cfRule>
    <cfRule type="expression" dxfId="39" priority="9">
      <formula>SUM($O$22,$Q$22,$S$22,$T$22)&lt;&gt;$G$22</formula>
    </cfRule>
  </conditionalFormatting>
  <conditionalFormatting sqref="S22:T22">
    <cfRule type="expression" dxfId="38" priority="1">
      <formula>SUM($O$22,$Q$22,$S$22,$T$22)=$G$22</formula>
    </cfRule>
    <cfRule type="expression" dxfId="37" priority="2">
      <formula>SUM($O$22,$Q$22,$S$22,$T$22)&lt;&gt;$G$22</formula>
    </cfRule>
  </conditionalFormatting>
  <conditionalFormatting sqref="U3:V21">
    <cfRule type="cellIs" dxfId="36" priority="3" operator="greaterThan">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workbookViewId="0">
      <selection sqref="A1:L22"/>
    </sheetView>
  </sheetViews>
  <sheetFormatPr baseColWidth="10" defaultColWidth="8.6640625" defaultRowHeight="15" x14ac:dyDescent="0.2"/>
  <cols>
    <col min="1" max="1" width="9.33203125" customWidth="1"/>
    <col min="2" max="7" width="13.6640625" customWidth="1"/>
    <col min="8" max="8" width="9.6640625" customWidth="1"/>
    <col min="9" max="9" width="15.33203125" customWidth="1"/>
    <col min="10" max="10" width="13" customWidth="1"/>
    <col min="11" max="11" width="14.33203125" customWidth="1"/>
    <col min="12" max="12" width="23.1640625" customWidth="1"/>
  </cols>
  <sheetData>
    <row r="1" spans="1:12" ht="16" thickBot="1" x14ac:dyDescent="0.25">
      <c r="A1" s="9"/>
      <c r="B1" s="792" t="s">
        <v>151</v>
      </c>
      <c r="C1" s="793"/>
      <c r="D1" s="793"/>
      <c r="E1" s="793"/>
      <c r="F1" s="793"/>
      <c r="G1" s="794"/>
      <c r="H1" s="795" t="s">
        <v>152</v>
      </c>
      <c r="I1" s="796"/>
      <c r="J1" s="796"/>
      <c r="K1" s="796"/>
      <c r="L1" s="797"/>
    </row>
    <row r="2" spans="1:12" ht="32" x14ac:dyDescent="0.2">
      <c r="A2" s="10"/>
      <c r="B2" s="795" t="s">
        <v>153</v>
      </c>
      <c r="C2" s="796"/>
      <c r="D2" s="797"/>
      <c r="E2" s="795" t="s">
        <v>154</v>
      </c>
      <c r="F2" s="796"/>
      <c r="G2" s="797"/>
      <c r="H2" s="50" t="s">
        <v>155</v>
      </c>
      <c r="I2" s="45" t="s">
        <v>156</v>
      </c>
      <c r="J2" s="12" t="s">
        <v>157</v>
      </c>
      <c r="K2" s="798" t="s">
        <v>158</v>
      </c>
      <c r="L2" s="799"/>
    </row>
    <row r="3" spans="1:12" ht="17" thickBot="1" x14ac:dyDescent="0.25">
      <c r="A3" s="11" t="s">
        <v>159</v>
      </c>
      <c r="B3" s="14" t="s">
        <v>160</v>
      </c>
      <c r="C3" s="15" t="s">
        <v>161</v>
      </c>
      <c r="D3" s="16" t="s">
        <v>162</v>
      </c>
      <c r="E3" s="14" t="s">
        <v>160</v>
      </c>
      <c r="F3" s="15" t="s">
        <v>161</v>
      </c>
      <c r="G3" s="16" t="s">
        <v>162</v>
      </c>
      <c r="H3" s="51"/>
      <c r="I3" s="46"/>
      <c r="J3" s="13"/>
      <c r="K3" s="790"/>
      <c r="L3" s="791"/>
    </row>
    <row r="4" spans="1:12" ht="16" x14ac:dyDescent="0.2">
      <c r="A4" s="44" t="s">
        <v>163</v>
      </c>
      <c r="B4" s="26">
        <f>'Prínosy - Agendové IS'!V4-'Výdavky - Agendové IS'!U4</f>
        <v>0</v>
      </c>
      <c r="C4" s="25">
        <f>'Prínosy - Agendové IS'!W4-'Výdavky - Agendové IS'!V4</f>
        <v>-176875.07208000001</v>
      </c>
      <c r="D4" s="32">
        <f>C4-B4</f>
        <v>-176875.07208000001</v>
      </c>
      <c r="E4" s="26">
        <f>'Prínosy - Agendové IS'!Y4-('Výdavky - Agendové IS'!U4/1.2)</f>
        <v>-3651208.0919540231</v>
      </c>
      <c r="F4" s="26">
        <f>'Prínosy - Agendové IS'!Z4-('Výdavky - Agendové IS'!V4/1.2)</f>
        <v>-3798603.9853540231</v>
      </c>
      <c r="G4" s="32">
        <f t="shared" ref="G4:G13" si="0">F4-E4</f>
        <v>-147395.89339999994</v>
      </c>
      <c r="H4" s="52">
        <v>0</v>
      </c>
      <c r="I4" s="47">
        <f>D4*(1/(1+Faktory!$D$3)^H4)</f>
        <v>-176875.07208000001</v>
      </c>
      <c r="J4" s="54">
        <f>G4*(1/(1+Faktory!$D$5)^H4)</f>
        <v>-147395.89339999994</v>
      </c>
      <c r="K4" s="53">
        <f>J4</f>
        <v>-147395.89339999994</v>
      </c>
      <c r="L4" s="30" t="str">
        <f>IF(K4&gt;0,"Rok návratu investície","&lt;")</f>
        <v>&lt;</v>
      </c>
    </row>
    <row r="5" spans="1:12" ht="16" x14ac:dyDescent="0.2">
      <c r="A5" s="31" t="s">
        <v>164</v>
      </c>
      <c r="B5" s="26">
        <f>'Prínosy - Agendové IS'!V5-'Výdavky - Agendové IS'!U5</f>
        <v>-10582</v>
      </c>
      <c r="C5" s="25">
        <f>'Prínosy - Agendové IS'!W5-'Výdavky - Agendové IS'!V5</f>
        <v>-3563120.8816199997</v>
      </c>
      <c r="D5" s="28">
        <f t="shared" ref="D5:D13" si="1">C5-B5</f>
        <v>-3552538.8816199997</v>
      </c>
      <c r="E5" s="26">
        <f>'Prínosy - Agendové IS'!Y5-('Výdavky - Agendové IS'!U5/1.2)</f>
        <v>-3660026.4252873566</v>
      </c>
      <c r="F5" s="26">
        <f>'Prínosy - Agendové IS'!Z5-('Výdavky - Agendové IS'!V5/1.2)</f>
        <v>-6138516.0251660924</v>
      </c>
      <c r="G5" s="28">
        <f t="shared" si="0"/>
        <v>-2478489.5998787358</v>
      </c>
      <c r="H5" s="52">
        <v>1</v>
      </c>
      <c r="I5" s="48">
        <f>D5*(1/(1+Faktory!$D$3)^H5)</f>
        <v>-3415902.770788461</v>
      </c>
      <c r="J5" s="55">
        <f>G5*(1/(1+Faktory!$D$5)^H5)</f>
        <v>-2360466.2855987959</v>
      </c>
      <c r="K5" s="53">
        <f>J5+K4</f>
        <v>-2507862.1789987958</v>
      </c>
      <c r="L5" s="30" t="str">
        <f>IF(L4="&lt;",IF(K5&gt;0,"Rok návratu investície","&lt;"),"&gt;")</f>
        <v>&lt;</v>
      </c>
    </row>
    <row r="6" spans="1:12" ht="16" x14ac:dyDescent="0.2">
      <c r="A6" s="31" t="s">
        <v>165</v>
      </c>
      <c r="B6" s="26">
        <f>'Prínosy - Agendové IS'!V6-'Výdavky - Agendové IS'!U6</f>
        <v>0</v>
      </c>
      <c r="C6" s="25">
        <f>'Prínosy - Agendové IS'!W6-'Výdavky - Agendové IS'!V6</f>
        <v>-360418.68360000005</v>
      </c>
      <c r="D6" s="28">
        <f t="shared" si="1"/>
        <v>-360418.68360000005</v>
      </c>
      <c r="E6" s="26">
        <f>'Prínosy - Agendové IS'!Y6-('Výdavky - Agendové IS'!U6/1.2)</f>
        <v>-3651208.0919540231</v>
      </c>
      <c r="F6" s="26">
        <f>'Prínosy - Agendové IS'!Z6-('Výdavky - Agendové IS'!V6/1.2)</f>
        <v>-2987638.0586781609</v>
      </c>
      <c r="G6" s="28">
        <f t="shared" si="0"/>
        <v>663570.03327586222</v>
      </c>
      <c r="H6" s="52">
        <v>2</v>
      </c>
      <c r="I6" s="48">
        <f>D6*(1/(1+Faktory!$D$3)^H6)</f>
        <v>-333227.33321005915</v>
      </c>
      <c r="J6" s="55">
        <f>G6*(1/(1+Faktory!$D$5)^H6)</f>
        <v>601877.58120259608</v>
      </c>
      <c r="K6" s="53">
        <f t="shared" ref="K6:K13" si="2">J6+K5</f>
        <v>-1905984.5977961998</v>
      </c>
      <c r="L6" s="30" t="str">
        <f t="shared" ref="L6:L13" si="3">IF(L5="&lt;",IF(K6&gt;0,"Rok návratu investície","&lt;"),"&gt;")</f>
        <v>&lt;</v>
      </c>
    </row>
    <row r="7" spans="1:12" ht="16" x14ac:dyDescent="0.2">
      <c r="A7" s="31" t="s">
        <v>166</v>
      </c>
      <c r="B7" s="26">
        <f>'Prínosy - Agendové IS'!V7-'Výdavky - Agendové IS'!U7</f>
        <v>-55600</v>
      </c>
      <c r="C7" s="25">
        <f>'Prínosy - Agendové IS'!W7-'Výdavky - Agendové IS'!V7</f>
        <v>-360418.68360000005</v>
      </c>
      <c r="D7" s="28">
        <f t="shared" si="1"/>
        <v>-304818.68360000005</v>
      </c>
      <c r="E7" s="26">
        <f>'Prínosy - Agendové IS'!Y7-('Výdavky - Agendové IS'!U7/1.2)</f>
        <v>-3697541.4252873566</v>
      </c>
      <c r="F7" s="26">
        <f>'Prínosy - Agendové IS'!Z7-('Výdavky - Agendové IS'!V7/1.2)</f>
        <v>-2746658.3246091953</v>
      </c>
      <c r="G7" s="28">
        <f t="shared" si="0"/>
        <v>950883.10067816125</v>
      </c>
      <c r="H7" s="52">
        <v>3</v>
      </c>
      <c r="I7" s="48">
        <f>D7*(1/(1+Faktory!$D$3)^H7)</f>
        <v>-270982.69977526175</v>
      </c>
      <c r="J7" s="55">
        <f>G7*(1/(1+Faktory!$D$5)^H7)</f>
        <v>821408.57417398656</v>
      </c>
      <c r="K7" s="53">
        <f t="shared" si="2"/>
        <v>-1084576.0236222134</v>
      </c>
      <c r="L7" s="30" t="str">
        <f t="shared" si="3"/>
        <v>&lt;</v>
      </c>
    </row>
    <row r="8" spans="1:12" ht="16" x14ac:dyDescent="0.2">
      <c r="A8" s="31" t="s">
        <v>167</v>
      </c>
      <c r="B8" s="26">
        <f>'Prínosy - Agendové IS'!V8-'Výdavky - Agendové IS'!U8</f>
        <v>-250000</v>
      </c>
      <c r="C8" s="25">
        <f>'Prínosy - Agendové IS'!W8-'Výdavky - Agendové IS'!V8</f>
        <v>-360418.68360000005</v>
      </c>
      <c r="D8" s="28">
        <f t="shared" si="1"/>
        <v>-110418.68360000005</v>
      </c>
      <c r="E8" s="26">
        <f>'Prínosy - Agendové IS'!Y8-('Výdavky - Agendové IS'!U8/1.2)</f>
        <v>-3859541.4252873566</v>
      </c>
      <c r="F8" s="26">
        <f>'Prínosy - Agendové IS'!Z8-('Výdavky - Agendové IS'!V8/1.2)</f>
        <v>-2505678.5905402298</v>
      </c>
      <c r="G8" s="28">
        <f t="shared" si="0"/>
        <v>1353862.8347471268</v>
      </c>
      <c r="H8" s="52">
        <v>4</v>
      </c>
      <c r="I8" s="48">
        <f>D8*(1/(1+Faktory!$D$3)^H8)</f>
        <v>-94386.353509265289</v>
      </c>
      <c r="J8" s="55">
        <f>G8*(1/(1+Faktory!$D$5)^H8)</f>
        <v>1113826.304675214</v>
      </c>
      <c r="K8" s="53">
        <f t="shared" si="2"/>
        <v>29250.281053000595</v>
      </c>
      <c r="L8" s="30" t="str">
        <f t="shared" si="3"/>
        <v>Rok návratu investície</v>
      </c>
    </row>
    <row r="9" spans="1:12" ht="16" x14ac:dyDescent="0.2">
      <c r="A9" s="31" t="s">
        <v>168</v>
      </c>
      <c r="B9" s="26">
        <f>'Prínosy - Agendové IS'!V9-'Výdavky - Agendové IS'!U9</f>
        <v>0</v>
      </c>
      <c r="C9" s="25">
        <f>'Prínosy - Agendové IS'!W9-'Výdavky - Agendové IS'!V9</f>
        <v>-360418.68360000005</v>
      </c>
      <c r="D9" s="28">
        <f t="shared" si="1"/>
        <v>-360418.68360000005</v>
      </c>
      <c r="E9" s="26">
        <f>'Prínosy - Agendové IS'!Y9-('Výdavky - Agendové IS'!U9/1.2)</f>
        <v>-3651208.0919540231</v>
      </c>
      <c r="F9" s="26">
        <f>'Prínosy - Agendové IS'!Z9-('Výdavky - Agendové IS'!V9/1.2)</f>
        <v>-2264698.8564712643</v>
      </c>
      <c r="G9" s="28">
        <f t="shared" si="0"/>
        <v>1386509.2354827588</v>
      </c>
      <c r="H9" s="52">
        <v>5</v>
      </c>
      <c r="I9" s="48">
        <f>D9*(1/(1+Faktory!$D$3)^H9)</f>
        <v>-296237.88583336218</v>
      </c>
      <c r="J9" s="55">
        <f>G9*(1/(1+Faktory!$D$5)^H9)</f>
        <v>1086366.2660509199</v>
      </c>
      <c r="K9" s="53">
        <f t="shared" si="2"/>
        <v>1115616.5471039205</v>
      </c>
      <c r="L9" s="30" t="str">
        <f t="shared" si="3"/>
        <v>&gt;</v>
      </c>
    </row>
    <row r="10" spans="1:12" ht="16" x14ac:dyDescent="0.2">
      <c r="A10" s="31" t="s">
        <v>169</v>
      </c>
      <c r="B10" s="26">
        <f>'Prínosy - Agendové IS'!V10-'Výdavky - Agendové IS'!U10</f>
        <v>0</v>
      </c>
      <c r="C10" s="25">
        <f>'Prínosy - Agendové IS'!W10-'Výdavky - Agendové IS'!V10</f>
        <v>-360418.68360000005</v>
      </c>
      <c r="D10" s="28">
        <f t="shared" si="1"/>
        <v>-360418.68360000005</v>
      </c>
      <c r="E10" s="26">
        <f>'Prínosy - Agendové IS'!Y10-('Výdavky - Agendové IS'!U10/1.2)</f>
        <v>-3651208.0919540231</v>
      </c>
      <c r="F10" s="26">
        <f>'Prínosy - Agendové IS'!Z10-('Výdavky - Agendové IS'!V10/1.2)</f>
        <v>-2023719.1224022992</v>
      </c>
      <c r="G10" s="28">
        <f t="shared" si="0"/>
        <v>1627488.9695517239</v>
      </c>
      <c r="H10" s="52">
        <v>6</v>
      </c>
      <c r="I10" s="48">
        <f>D10*(1/(1+Faktory!$D$3)^H10)</f>
        <v>-284844.12099361746</v>
      </c>
      <c r="J10" s="55">
        <f>G10*(1/(1+Faktory!$D$5)^H10)</f>
        <v>1214457.326935776</v>
      </c>
      <c r="K10" s="53">
        <f t="shared" si="2"/>
        <v>2330073.8740396965</v>
      </c>
      <c r="L10" s="30" t="str">
        <f t="shared" si="3"/>
        <v>&gt;</v>
      </c>
    </row>
    <row r="11" spans="1:12" ht="16" x14ac:dyDescent="0.2">
      <c r="A11" s="31" t="s">
        <v>170</v>
      </c>
      <c r="B11" s="26">
        <f>'Prínosy - Agendové IS'!V11-'Výdavky - Agendové IS'!U11</f>
        <v>-8500</v>
      </c>
      <c r="C11" s="25">
        <f>'Prínosy - Agendové IS'!W11-'Výdavky - Agendové IS'!V11</f>
        <v>-360418.68360000005</v>
      </c>
      <c r="D11" s="28">
        <f t="shared" si="1"/>
        <v>-351918.68360000005</v>
      </c>
      <c r="E11" s="26">
        <f>'Prínosy - Agendové IS'!Y11-('Výdavky - Agendové IS'!U11/1.2)</f>
        <v>-3658291.4252873566</v>
      </c>
      <c r="F11" s="26">
        <f>'Prínosy - Agendové IS'!Z11-('Výdavky - Agendové IS'!V11/1.2)</f>
        <v>-1903229.2553678164</v>
      </c>
      <c r="G11" s="28">
        <f t="shared" si="0"/>
        <v>1755062.1699195402</v>
      </c>
      <c r="H11" s="52">
        <v>7</v>
      </c>
      <c r="I11" s="48">
        <f>D11*(1/(1+Faktory!$D$3)^H11)</f>
        <v>-267429.27646626084</v>
      </c>
      <c r="J11" s="55">
        <f>G11*(1/(1+Faktory!$D$5)^H11)</f>
        <v>1247289.9173794761</v>
      </c>
      <c r="K11" s="53">
        <f t="shared" si="2"/>
        <v>3577363.7914191727</v>
      </c>
      <c r="L11" s="30" t="str">
        <f t="shared" si="3"/>
        <v>&gt;</v>
      </c>
    </row>
    <row r="12" spans="1:12" ht="16" x14ac:dyDescent="0.2">
      <c r="A12" s="31" t="s">
        <v>171</v>
      </c>
      <c r="B12" s="26">
        <f>'Prínosy - Agendové IS'!V12-'Výdavky - Agendové IS'!U12</f>
        <v>-12500</v>
      </c>
      <c r="C12" s="25">
        <f>'Prínosy - Agendové IS'!W12-'Výdavky - Agendové IS'!V12</f>
        <v>-360418.68360000005</v>
      </c>
      <c r="D12" s="28">
        <f t="shared" si="1"/>
        <v>-347918.68360000005</v>
      </c>
      <c r="E12" s="26">
        <f>'Prínosy - Agendové IS'!Y12-('Výdavky - Agendové IS'!U12/1.2)</f>
        <v>-3661624.7586206896</v>
      </c>
      <c r="F12" s="26">
        <f>'Prínosy - Agendové IS'!Z12-('Výdavky - Agendové IS'!V12/1.2)</f>
        <v>-1903229.2553678164</v>
      </c>
      <c r="G12" s="28">
        <f t="shared" si="0"/>
        <v>1758395.5032528732</v>
      </c>
      <c r="H12" s="52">
        <v>8</v>
      </c>
      <c r="I12" s="48">
        <f>D12*(1/(1+Faktory!$D$3)^H12)</f>
        <v>-254220.77424370436</v>
      </c>
      <c r="J12" s="55">
        <f>G12*(1/(1+Faktory!$D$5)^H12)</f>
        <v>1190151.290615787</v>
      </c>
      <c r="K12" s="53">
        <f t="shared" si="2"/>
        <v>4767515.0820349595</v>
      </c>
      <c r="L12" s="30" t="str">
        <f t="shared" si="3"/>
        <v>&gt;</v>
      </c>
    </row>
    <row r="13" spans="1:12" ht="17" thickBot="1" x14ac:dyDescent="0.25">
      <c r="A13" s="31" t="s">
        <v>172</v>
      </c>
      <c r="B13" s="43">
        <f>'Prínosy - Agendové IS'!V13-'Výdavky - Agendové IS'!U13</f>
        <v>0</v>
      </c>
      <c r="C13" s="39">
        <f>'Prínosy - Agendové IS'!W13-'Výdavky - Agendové IS'!V13</f>
        <v>-360418.68360000005</v>
      </c>
      <c r="D13" s="33">
        <f t="shared" si="1"/>
        <v>-360418.68360000005</v>
      </c>
      <c r="E13" s="26">
        <f>'Prínosy - Agendové IS'!Y13-('Výdavky - Agendové IS'!U13/1.2)</f>
        <v>-3651208.0919540231</v>
      </c>
      <c r="F13" s="26">
        <f>'Prínosy - Agendové IS'!Z13-('Výdavky - Agendové IS'!V13/1.2)</f>
        <v>-1903229.2553678164</v>
      </c>
      <c r="G13" s="33">
        <f t="shared" si="0"/>
        <v>1747978.8365862067</v>
      </c>
      <c r="H13" s="52">
        <v>9</v>
      </c>
      <c r="I13" s="49">
        <f>D13*(1/(1+Faktory!$D$3)^H13)</f>
        <v>-253225.3863521434</v>
      </c>
      <c r="J13" s="56">
        <f>G13*(1/(1+Faktory!$D$5)^H13)</f>
        <v>1126762.7434234808</v>
      </c>
      <c r="K13" s="53">
        <f t="shared" si="2"/>
        <v>5894277.82545844</v>
      </c>
      <c r="L13" s="30" t="str">
        <f t="shared" si="3"/>
        <v>&gt;</v>
      </c>
    </row>
    <row r="14" spans="1:12" ht="16" thickBot="1" x14ac:dyDescent="0.25">
      <c r="A14" s="58" t="s">
        <v>149</v>
      </c>
      <c r="B14" s="40">
        <f t="shared" ref="B14:G14" si="4">SUM(B4:B13)</f>
        <v>-337182</v>
      </c>
      <c r="C14" s="41">
        <f t="shared" si="4"/>
        <v>-6623345.4225000003</v>
      </c>
      <c r="D14" s="41">
        <f t="shared" si="4"/>
        <v>-6286163.4225000003</v>
      </c>
      <c r="E14" s="41">
        <f t="shared" si="4"/>
        <v>-36793065.919540234</v>
      </c>
      <c r="F14" s="41">
        <f t="shared" si="4"/>
        <v>-28175200.72932471</v>
      </c>
      <c r="G14" s="42">
        <f t="shared" si="4"/>
        <v>8617865.1902155168</v>
      </c>
      <c r="H14" s="59" t="s">
        <v>149</v>
      </c>
      <c r="I14" s="134">
        <f>SUM(I4:I13)</f>
        <v>-5647331.6732521346</v>
      </c>
      <c r="J14" s="135">
        <f>SUM(J4:J13)</f>
        <v>5894277.82545844</v>
      </c>
      <c r="K14" s="7"/>
      <c r="L14" s="7"/>
    </row>
    <row r="16" spans="1:12" ht="16" thickBot="1" x14ac:dyDescent="0.25">
      <c r="H16" s="97" t="s">
        <v>173</v>
      </c>
      <c r="J16" s="145" t="s">
        <v>174</v>
      </c>
      <c r="K16" s="145" t="s">
        <v>175</v>
      </c>
    </row>
    <row r="17" spans="5:11" s="114" customFormat="1" ht="25" thickBot="1" x14ac:dyDescent="0.2">
      <c r="H17" s="139" t="s">
        <v>176</v>
      </c>
      <c r="I17" s="141" t="s">
        <v>177</v>
      </c>
      <c r="J17" s="142">
        <f>'Prínosy - Agendové IS'!AA16/('Výdavky - Agendové IS'!V15)</f>
        <v>1.8578150275357399</v>
      </c>
      <c r="K17" s="146">
        <v>1</v>
      </c>
    </row>
    <row r="18" spans="5:11" s="114" customFormat="1" ht="25" thickBot="1" x14ac:dyDescent="0.2">
      <c r="H18" s="140" t="s">
        <v>178</v>
      </c>
      <c r="I18" s="141" t="s">
        <v>179</v>
      </c>
      <c r="J18" s="143" t="e">
        <f>IRR($D$4:$D$13,0.01)</f>
        <v>#NUM!</v>
      </c>
      <c r="K18" s="147" t="s">
        <v>180</v>
      </c>
    </row>
    <row r="19" spans="5:11" s="114" customFormat="1" ht="25" thickBot="1" x14ac:dyDescent="0.2">
      <c r="E19" s="136"/>
      <c r="H19" s="140" t="s">
        <v>181</v>
      </c>
      <c r="I19" s="141" t="s">
        <v>182</v>
      </c>
      <c r="J19" s="143">
        <f>IRR($G$4:$G$13,0.01)</f>
        <v>0.39274850006929629</v>
      </c>
      <c r="K19" s="147">
        <v>0.05</v>
      </c>
    </row>
    <row r="20" spans="5:11" ht="16" thickBot="1" x14ac:dyDescent="0.25">
      <c r="H20" s="137"/>
      <c r="I20" s="138"/>
      <c r="J20" s="137"/>
      <c r="K20" s="148"/>
    </row>
    <row r="21" spans="5:11" s="114" customFormat="1" ht="25" thickBot="1" x14ac:dyDescent="0.2">
      <c r="H21" s="140" t="s">
        <v>183</v>
      </c>
      <c r="I21" s="141" t="s">
        <v>184</v>
      </c>
      <c r="J21" s="144">
        <f>I14</f>
        <v>-5647331.6732521346</v>
      </c>
      <c r="K21" s="149" t="s">
        <v>180</v>
      </c>
    </row>
    <row r="22" spans="5:11" s="114" customFormat="1" ht="25" thickBot="1" x14ac:dyDescent="0.2">
      <c r="H22" s="140" t="s">
        <v>185</v>
      </c>
      <c r="I22" s="141" t="s">
        <v>186</v>
      </c>
      <c r="J22" s="144">
        <f>J14</f>
        <v>5894277.82545844</v>
      </c>
      <c r="K22" s="149">
        <v>0</v>
      </c>
    </row>
  </sheetData>
  <mergeCells count="6">
    <mergeCell ref="K3:L3"/>
    <mergeCell ref="B1:G1"/>
    <mergeCell ref="H1:L1"/>
    <mergeCell ref="B2:D2"/>
    <mergeCell ref="E2:G2"/>
    <mergeCell ref="K2:L2"/>
  </mergeCells>
  <conditionalFormatting sqref="L4:L13">
    <cfRule type="cellIs" dxfId="35"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workbookViewId="0">
      <selection activeCell="I5" sqref="I5"/>
    </sheetView>
  </sheetViews>
  <sheetFormatPr baseColWidth="10" defaultColWidth="8.6640625" defaultRowHeight="15" x14ac:dyDescent="0.2"/>
  <cols>
    <col min="2" max="2" width="4.5" bestFit="1" customWidth="1"/>
    <col min="3" max="3" width="14.33203125" customWidth="1"/>
    <col min="4" max="4" width="15.6640625" bestFit="1" customWidth="1"/>
    <col min="5" max="5" width="16.6640625" bestFit="1" customWidth="1"/>
    <col min="6" max="7" width="13.5" bestFit="1" customWidth="1"/>
    <col min="8" max="8" width="16.6640625" bestFit="1" customWidth="1"/>
    <col min="9" max="9" width="14.5" bestFit="1" customWidth="1"/>
    <col min="10" max="10" width="13.5" bestFit="1" customWidth="1"/>
    <col min="11" max="11" width="16.6640625" bestFit="1" customWidth="1"/>
    <col min="12" max="17" width="16.6640625" customWidth="1"/>
    <col min="18" max="18" width="13.5" bestFit="1" customWidth="1"/>
    <col min="19" max="19" width="15.6640625" bestFit="1" customWidth="1"/>
    <col min="20" max="20" width="15.33203125" customWidth="1"/>
    <col min="21" max="22" width="17" bestFit="1" customWidth="1"/>
    <col min="23" max="23" width="14.33203125" bestFit="1" customWidth="1"/>
  </cols>
  <sheetData>
    <row r="1" spans="1:24" ht="15.75" customHeight="1" thickBot="1" x14ac:dyDescent="0.25">
      <c r="A1" s="614"/>
      <c r="B1" s="615"/>
      <c r="C1" s="806" t="s">
        <v>187</v>
      </c>
      <c r="D1" s="806"/>
      <c r="E1" s="806"/>
      <c r="F1" s="806"/>
      <c r="G1" s="806"/>
      <c r="H1" s="806"/>
      <c r="I1" s="806"/>
      <c r="J1" s="806"/>
      <c r="K1" s="806"/>
      <c r="L1" s="806"/>
      <c r="M1" s="806"/>
      <c r="N1" s="807"/>
      <c r="O1" s="805" t="s">
        <v>104</v>
      </c>
      <c r="P1" s="806"/>
      <c r="Q1" s="807"/>
      <c r="R1" s="804" t="s">
        <v>188</v>
      </c>
      <c r="S1" s="804"/>
      <c r="T1" s="804"/>
      <c r="U1" s="792" t="s">
        <v>189</v>
      </c>
      <c r="V1" s="793"/>
      <c r="W1" s="794"/>
    </row>
    <row r="2" spans="1:24" ht="15.75" customHeight="1" thickBot="1" x14ac:dyDescent="0.25">
      <c r="A2" s="616"/>
      <c r="B2" s="610"/>
      <c r="C2" s="793" t="s">
        <v>102</v>
      </c>
      <c r="D2" s="793"/>
      <c r="E2" s="794"/>
      <c r="F2" s="793" t="s">
        <v>101</v>
      </c>
      <c r="G2" s="793"/>
      <c r="H2" s="794"/>
      <c r="I2" s="793" t="s">
        <v>100</v>
      </c>
      <c r="J2" s="793"/>
      <c r="K2" s="794"/>
      <c r="L2" s="793" t="s">
        <v>190</v>
      </c>
      <c r="M2" s="793"/>
      <c r="N2" s="794"/>
      <c r="O2" s="793"/>
      <c r="P2" s="793"/>
      <c r="Q2" s="794"/>
      <c r="R2" s="793" t="s">
        <v>98</v>
      </c>
      <c r="S2" s="793"/>
      <c r="T2" s="794"/>
      <c r="U2" s="8"/>
      <c r="V2" s="8"/>
      <c r="W2" s="35"/>
    </row>
    <row r="3" spans="1:24" ht="19.25" customHeight="1" thickBot="1" x14ac:dyDescent="0.25">
      <c r="A3" s="36" t="s">
        <v>159</v>
      </c>
      <c r="B3" s="613" t="s">
        <v>191</v>
      </c>
      <c r="C3" s="37" t="s">
        <v>160</v>
      </c>
      <c r="D3" s="37" t="s">
        <v>161</v>
      </c>
      <c r="E3" s="38" t="s">
        <v>162</v>
      </c>
      <c r="F3" s="37" t="s">
        <v>160</v>
      </c>
      <c r="G3" s="37" t="s">
        <v>161</v>
      </c>
      <c r="H3" s="38" t="s">
        <v>162</v>
      </c>
      <c r="I3" s="37" t="s">
        <v>160</v>
      </c>
      <c r="J3" s="37" t="s">
        <v>161</v>
      </c>
      <c r="K3" s="38" t="s">
        <v>162</v>
      </c>
      <c r="L3" s="37" t="s">
        <v>160</v>
      </c>
      <c r="M3" s="37" t="s">
        <v>161</v>
      </c>
      <c r="N3" s="38" t="s">
        <v>162</v>
      </c>
      <c r="O3" s="37" t="s">
        <v>160</v>
      </c>
      <c r="P3" s="37" t="s">
        <v>161</v>
      </c>
      <c r="Q3" s="38" t="s">
        <v>162</v>
      </c>
      <c r="R3" s="37" t="s">
        <v>160</v>
      </c>
      <c r="S3" s="37" t="s">
        <v>161</v>
      </c>
      <c r="T3" s="38" t="s">
        <v>162</v>
      </c>
      <c r="U3" s="37" t="s">
        <v>160</v>
      </c>
      <c r="V3" s="37" t="s">
        <v>161</v>
      </c>
      <c r="W3" s="38" t="s">
        <v>162</v>
      </c>
    </row>
    <row r="4" spans="1:24" ht="16" x14ac:dyDescent="0.2">
      <c r="A4" s="24" t="s">
        <v>163</v>
      </c>
      <c r="B4" s="63">
        <v>1</v>
      </c>
      <c r="C4" s="26">
        <f>TCO!D26+TCO!D27</f>
        <v>0</v>
      </c>
      <c r="D4" s="25">
        <f>(TCO!D$12*(1+$X$5))+TCO!D$13</f>
        <v>0</v>
      </c>
      <c r="E4" s="32">
        <f>D4-C4</f>
        <v>0</v>
      </c>
      <c r="F4" s="26">
        <f>TCO!D22+TCO!D23</f>
        <v>0</v>
      </c>
      <c r="G4" s="25">
        <f>(TCO!D$7*(1+$X$5))+TCO!D$8</f>
        <v>0</v>
      </c>
      <c r="H4" s="32">
        <f>G4-F4</f>
        <v>0</v>
      </c>
      <c r="I4" s="25">
        <f>TCO!D24+TCO!D25</f>
        <v>0</v>
      </c>
      <c r="J4" s="25">
        <f>(TCO!D$9*(1+$X$5))+TCO!D$10</f>
        <v>0</v>
      </c>
      <c r="K4" s="32">
        <f>J4-I4</f>
        <v>0</v>
      </c>
      <c r="L4" s="26">
        <v>0</v>
      </c>
      <c r="M4" s="26">
        <f>TCO!D11</f>
        <v>0</v>
      </c>
      <c r="N4" s="32">
        <f>M4-L4</f>
        <v>0</v>
      </c>
      <c r="O4" s="26">
        <v>0</v>
      </c>
      <c r="P4" s="26">
        <f>TCO!D14</f>
        <v>176875.07208000001</v>
      </c>
      <c r="Q4" s="32">
        <f>P4-O4</f>
        <v>176875.07208000001</v>
      </c>
      <c r="R4" s="26">
        <f>'Parametre - Agendové IS'!D106</f>
        <v>0</v>
      </c>
      <c r="S4" s="26">
        <f>'Parametre - Agendové IS'!E106</f>
        <v>0</v>
      </c>
      <c r="T4" s="32">
        <f t="shared" ref="T4:T13" si="0">IF(ISERR(S4-R4),"-",S4-R4)</f>
        <v>0</v>
      </c>
      <c r="U4" s="25">
        <f>SUM(C4,F4,I4,L4,O4,R4)</f>
        <v>0</v>
      </c>
      <c r="V4" s="25">
        <f>((D4+G4+M4+P4+J4)*(1+$X$4))+S4</f>
        <v>176875.07208000001</v>
      </c>
      <c r="W4" s="32">
        <f>V4-U4</f>
        <v>176875.07208000001</v>
      </c>
      <c r="X4" s="163">
        <f>'Analyza citlivosti - AgendovéIS'!B7</f>
        <v>0</v>
      </c>
    </row>
    <row r="5" spans="1:24" ht="16" x14ac:dyDescent="0.2">
      <c r="A5" s="24" t="s">
        <v>164</v>
      </c>
      <c r="B5" s="64">
        <v>2</v>
      </c>
      <c r="C5" s="26">
        <f>TCO!E26+TCO!E27</f>
        <v>0</v>
      </c>
      <c r="D5" s="25">
        <f>(TCO!E$12*(1+$X$5))+TCO!E$13</f>
        <v>0</v>
      </c>
      <c r="E5" s="28">
        <f t="shared" ref="E5:E13" si="1">D5-C5</f>
        <v>0</v>
      </c>
      <c r="F5" s="26">
        <f>TCO!E22+TCO!E23</f>
        <v>0</v>
      </c>
      <c r="G5" s="25">
        <f>(TCO!E$7*(1+$X$5))+TCO!E$8</f>
        <v>0</v>
      </c>
      <c r="H5" s="28">
        <f t="shared" ref="H5:H13" si="2">G5-F5</f>
        <v>0</v>
      </c>
      <c r="I5" s="25">
        <f>TCO!E24+TCO!E25</f>
        <v>10582</v>
      </c>
      <c r="J5" s="25">
        <f>(TCO!E$9*(1+$X$5))+TCO!E$10</f>
        <v>3518902.1135999998</v>
      </c>
      <c r="K5" s="28">
        <f t="shared" ref="K5:K13" si="3">J5-I5</f>
        <v>3508320.1135999998</v>
      </c>
      <c r="L5" s="26">
        <v>0</v>
      </c>
      <c r="M5" s="26">
        <f>TCO!E11</f>
        <v>0</v>
      </c>
      <c r="N5" s="28">
        <f t="shared" ref="N5:N13" si="4">M5-L5</f>
        <v>0</v>
      </c>
      <c r="O5" s="26">
        <v>0</v>
      </c>
      <c r="P5" s="26">
        <f>TCO!E14</f>
        <v>44218.768020000003</v>
      </c>
      <c r="Q5" s="28">
        <f t="shared" ref="Q5:Q13" si="5">P5-O5</f>
        <v>44218.768020000003</v>
      </c>
      <c r="R5" s="26">
        <f>'Parametre - Agendové IS'!D107</f>
        <v>0</v>
      </c>
      <c r="S5" s="26">
        <f>'Parametre - Agendové IS'!E107</f>
        <v>0</v>
      </c>
      <c r="T5" s="28">
        <f t="shared" si="0"/>
        <v>0</v>
      </c>
      <c r="U5" s="25">
        <f t="shared" ref="U5:U13" si="6">SUM(C5,F5,I5,L5,O5,R5)</f>
        <v>10582</v>
      </c>
      <c r="V5" s="25">
        <f t="shared" ref="V5:V13" si="7">((D5+G5+M5+P5+J5)*(1+$X$4))+S5</f>
        <v>3563120.8816199997</v>
      </c>
      <c r="W5" s="28">
        <f t="shared" ref="W5:W13" si="8">V5-U5</f>
        <v>3552538.8816199997</v>
      </c>
      <c r="X5" s="163">
        <f>'Analyza citlivosti - AgendovéIS'!E7</f>
        <v>0</v>
      </c>
    </row>
    <row r="6" spans="1:24" ht="16" x14ac:dyDescent="0.2">
      <c r="A6" s="24" t="s">
        <v>165</v>
      </c>
      <c r="B6" s="64">
        <v>3</v>
      </c>
      <c r="C6" s="26">
        <f>TCO!F26+TCO!F27</f>
        <v>0</v>
      </c>
      <c r="D6" s="25">
        <f>(TCO!F$12*(1+$X$5))+TCO!F$13</f>
        <v>0</v>
      </c>
      <c r="E6" s="28">
        <f t="shared" si="1"/>
        <v>0</v>
      </c>
      <c r="F6" s="26">
        <f>TCO!F22+TCO!F23</f>
        <v>0</v>
      </c>
      <c r="G6" s="25">
        <f>(TCO!F$7*(1+$X$5))+TCO!F$8</f>
        <v>0</v>
      </c>
      <c r="H6" s="28">
        <f t="shared" si="2"/>
        <v>0</v>
      </c>
      <c r="I6" s="25">
        <f>TCO!F24+TCO!F25</f>
        <v>0</v>
      </c>
      <c r="J6" s="25">
        <f>(TCO!F$9*(1+$X$5))+TCO!F$10</f>
        <v>360418.68360000005</v>
      </c>
      <c r="K6" s="28">
        <f t="shared" si="3"/>
        <v>360418.68360000005</v>
      </c>
      <c r="L6" s="26">
        <v>0</v>
      </c>
      <c r="M6" s="26">
        <f>TCO!F11</f>
        <v>0</v>
      </c>
      <c r="N6" s="28">
        <f t="shared" si="4"/>
        <v>0</v>
      </c>
      <c r="O6" s="26">
        <v>0</v>
      </c>
      <c r="P6" s="26">
        <f>TCO!F14</f>
        <v>0</v>
      </c>
      <c r="Q6" s="28">
        <f t="shared" si="5"/>
        <v>0</v>
      </c>
      <c r="R6" s="26">
        <f>'Parametre - Agendové IS'!D108</f>
        <v>0</v>
      </c>
      <c r="S6" s="26">
        <f>'Parametre - Agendové IS'!E108</f>
        <v>0</v>
      </c>
      <c r="T6" s="28">
        <f t="shared" si="0"/>
        <v>0</v>
      </c>
      <c r="U6" s="25">
        <f t="shared" si="6"/>
        <v>0</v>
      </c>
      <c r="V6" s="25">
        <f t="shared" si="7"/>
        <v>360418.68360000005</v>
      </c>
      <c r="W6" s="28">
        <f t="shared" si="8"/>
        <v>360418.68360000005</v>
      </c>
    </row>
    <row r="7" spans="1:24" ht="16" x14ac:dyDescent="0.2">
      <c r="A7" s="24" t="s">
        <v>166</v>
      </c>
      <c r="B7" s="64">
        <v>4</v>
      </c>
      <c r="C7" s="26">
        <f>TCO!G26+TCO!G27</f>
        <v>0</v>
      </c>
      <c r="D7" s="25">
        <f>(TCO!G$12*(1+$X$5))+TCO!G$13</f>
        <v>0</v>
      </c>
      <c r="E7" s="28">
        <f t="shared" si="1"/>
        <v>0</v>
      </c>
      <c r="F7" s="26">
        <f>TCO!G22+TCO!G23</f>
        <v>0</v>
      </c>
      <c r="G7" s="25">
        <f>(TCO!G$7*(1+$X$5))+TCO!G$8</f>
        <v>0</v>
      </c>
      <c r="H7" s="28">
        <f t="shared" si="2"/>
        <v>0</v>
      </c>
      <c r="I7" s="25">
        <f>TCO!G24+TCO!G25</f>
        <v>55600</v>
      </c>
      <c r="J7" s="25">
        <f>(TCO!G$9*(1+$X$5))+TCO!G$10</f>
        <v>360418.68360000005</v>
      </c>
      <c r="K7" s="28">
        <f t="shared" si="3"/>
        <v>304818.68360000005</v>
      </c>
      <c r="L7" s="26">
        <v>0</v>
      </c>
      <c r="M7" s="26">
        <f>TCO!G11</f>
        <v>0</v>
      </c>
      <c r="N7" s="28">
        <f t="shared" si="4"/>
        <v>0</v>
      </c>
      <c r="O7" s="26">
        <v>0</v>
      </c>
      <c r="P7" s="26">
        <f>TCO!G14</f>
        <v>0</v>
      </c>
      <c r="Q7" s="28">
        <f t="shared" si="5"/>
        <v>0</v>
      </c>
      <c r="R7" s="26">
        <f>'Parametre - Agendové IS'!D109</f>
        <v>0</v>
      </c>
      <c r="S7" s="26">
        <f>'Parametre - Agendové IS'!E109</f>
        <v>0</v>
      </c>
      <c r="T7" s="28">
        <f t="shared" si="0"/>
        <v>0</v>
      </c>
      <c r="U7" s="25">
        <f t="shared" si="6"/>
        <v>55600</v>
      </c>
      <c r="V7" s="25">
        <f t="shared" si="7"/>
        <v>360418.68360000005</v>
      </c>
      <c r="W7" s="28">
        <f t="shared" si="8"/>
        <v>304818.68360000005</v>
      </c>
    </row>
    <row r="8" spans="1:24" ht="16" x14ac:dyDescent="0.2">
      <c r="A8" s="24" t="s">
        <v>167</v>
      </c>
      <c r="B8" s="64">
        <v>5</v>
      </c>
      <c r="C8" s="26">
        <f>TCO!H26+TCO!H27</f>
        <v>250000</v>
      </c>
      <c r="D8" s="25">
        <f>(TCO!H$12*(1+$X$5))+TCO!H$13</f>
        <v>0</v>
      </c>
      <c r="E8" s="28">
        <f t="shared" si="1"/>
        <v>-250000</v>
      </c>
      <c r="F8" s="26">
        <f>TCO!H22+TCO!H23</f>
        <v>0</v>
      </c>
      <c r="G8" s="25">
        <f>(TCO!H$7*(1+$X$5))+TCO!H$8</f>
        <v>0</v>
      </c>
      <c r="H8" s="28">
        <f t="shared" si="2"/>
        <v>0</v>
      </c>
      <c r="I8" s="25">
        <f>TCO!H24+TCO!H25</f>
        <v>0</v>
      </c>
      <c r="J8" s="25">
        <f>(TCO!H$9*(1+$X$5))+TCO!H$10</f>
        <v>360418.68360000005</v>
      </c>
      <c r="K8" s="28">
        <f t="shared" si="3"/>
        <v>360418.68360000005</v>
      </c>
      <c r="L8" s="26">
        <v>0</v>
      </c>
      <c r="M8" s="26">
        <f>TCO!H11</f>
        <v>0</v>
      </c>
      <c r="N8" s="28">
        <f t="shared" si="4"/>
        <v>0</v>
      </c>
      <c r="O8" s="26">
        <v>0</v>
      </c>
      <c r="P8" s="26">
        <f>TCO!H14</f>
        <v>0</v>
      </c>
      <c r="Q8" s="28">
        <f t="shared" si="5"/>
        <v>0</v>
      </c>
      <c r="R8" s="26">
        <f>'Parametre - Agendové IS'!D110</f>
        <v>0</v>
      </c>
      <c r="S8" s="26">
        <f>'Parametre - Agendové IS'!E110</f>
        <v>0</v>
      </c>
      <c r="T8" s="28">
        <f t="shared" si="0"/>
        <v>0</v>
      </c>
      <c r="U8" s="25">
        <f t="shared" si="6"/>
        <v>250000</v>
      </c>
      <c r="V8" s="25">
        <f t="shared" si="7"/>
        <v>360418.68360000005</v>
      </c>
      <c r="W8" s="28">
        <f t="shared" si="8"/>
        <v>110418.68360000005</v>
      </c>
    </row>
    <row r="9" spans="1:24" ht="16" x14ac:dyDescent="0.2">
      <c r="A9" s="24" t="s">
        <v>168</v>
      </c>
      <c r="B9" s="64">
        <v>6</v>
      </c>
      <c r="C9" s="26">
        <f>TCO!I26+TCO!I27</f>
        <v>0</v>
      </c>
      <c r="D9" s="25">
        <f>(TCO!I$12*(1+$X$5))+TCO!I$13</f>
        <v>0</v>
      </c>
      <c r="E9" s="28">
        <f t="shared" si="1"/>
        <v>0</v>
      </c>
      <c r="F9" s="26">
        <f>TCO!I22+TCO!I23</f>
        <v>0</v>
      </c>
      <c r="G9" s="25">
        <f>(TCO!I$7*(1+$X$5))+TCO!I$8</f>
        <v>0</v>
      </c>
      <c r="H9" s="28">
        <f t="shared" si="2"/>
        <v>0</v>
      </c>
      <c r="I9" s="25">
        <f>TCO!I24+TCO!I25</f>
        <v>0</v>
      </c>
      <c r="J9" s="25">
        <f>(TCO!I$9*(1+$X$5))+TCO!I$10</f>
        <v>360418.68360000005</v>
      </c>
      <c r="K9" s="28">
        <f t="shared" si="3"/>
        <v>360418.68360000005</v>
      </c>
      <c r="L9" s="26">
        <v>0</v>
      </c>
      <c r="M9" s="26">
        <f>TCO!I11</f>
        <v>0</v>
      </c>
      <c r="N9" s="28">
        <f t="shared" si="4"/>
        <v>0</v>
      </c>
      <c r="O9" s="26">
        <v>0</v>
      </c>
      <c r="P9" s="26">
        <f>TCO!I14</f>
        <v>0</v>
      </c>
      <c r="Q9" s="28">
        <f t="shared" si="5"/>
        <v>0</v>
      </c>
      <c r="R9" s="26">
        <f>'Parametre - Agendové IS'!D111</f>
        <v>0</v>
      </c>
      <c r="S9" s="26">
        <f>'Parametre - Agendové IS'!E111</f>
        <v>0</v>
      </c>
      <c r="T9" s="28">
        <f t="shared" si="0"/>
        <v>0</v>
      </c>
      <c r="U9" s="25">
        <f t="shared" si="6"/>
        <v>0</v>
      </c>
      <c r="V9" s="25">
        <f t="shared" si="7"/>
        <v>360418.68360000005</v>
      </c>
      <c r="W9" s="28">
        <f t="shared" si="8"/>
        <v>360418.68360000005</v>
      </c>
    </row>
    <row r="10" spans="1:24" ht="16" x14ac:dyDescent="0.2">
      <c r="A10" s="24" t="s">
        <v>169</v>
      </c>
      <c r="B10" s="64">
        <v>7</v>
      </c>
      <c r="C10" s="26">
        <f>TCO!J26+TCO!J27</f>
        <v>0</v>
      </c>
      <c r="D10" s="25">
        <f>(TCO!J$12*(1+$X$5))+TCO!J$13</f>
        <v>0</v>
      </c>
      <c r="E10" s="28">
        <f t="shared" si="1"/>
        <v>0</v>
      </c>
      <c r="F10" s="26">
        <f>TCO!J22+TCO!J23</f>
        <v>0</v>
      </c>
      <c r="G10" s="25">
        <f>(TCO!J$7*(1+$X$5))+TCO!J$8</f>
        <v>0</v>
      </c>
      <c r="H10" s="28">
        <f t="shared" si="2"/>
        <v>0</v>
      </c>
      <c r="I10" s="25">
        <f>TCO!J24+TCO!J25</f>
        <v>0</v>
      </c>
      <c r="J10" s="25">
        <f>(TCO!J$9*(1+$X$5))+TCO!J$10</f>
        <v>360418.68360000005</v>
      </c>
      <c r="K10" s="28">
        <f t="shared" si="3"/>
        <v>360418.68360000005</v>
      </c>
      <c r="L10" s="26">
        <v>0</v>
      </c>
      <c r="M10" s="26">
        <f>TCO!J11</f>
        <v>0</v>
      </c>
      <c r="N10" s="28">
        <f t="shared" si="4"/>
        <v>0</v>
      </c>
      <c r="O10" s="26">
        <v>0</v>
      </c>
      <c r="P10" s="26">
        <f>TCO!J14</f>
        <v>0</v>
      </c>
      <c r="Q10" s="28">
        <f t="shared" si="5"/>
        <v>0</v>
      </c>
      <c r="R10" s="26">
        <f>'Parametre - Agendové IS'!D112</f>
        <v>0</v>
      </c>
      <c r="S10" s="26">
        <f>'Parametre - Agendové IS'!E112</f>
        <v>0</v>
      </c>
      <c r="T10" s="28">
        <f t="shared" si="0"/>
        <v>0</v>
      </c>
      <c r="U10" s="25">
        <f t="shared" si="6"/>
        <v>0</v>
      </c>
      <c r="V10" s="25">
        <f t="shared" si="7"/>
        <v>360418.68360000005</v>
      </c>
      <c r="W10" s="28">
        <f t="shared" si="8"/>
        <v>360418.68360000005</v>
      </c>
    </row>
    <row r="11" spans="1:24" ht="16" x14ac:dyDescent="0.2">
      <c r="A11" s="24" t="s">
        <v>170</v>
      </c>
      <c r="B11" s="64">
        <v>8</v>
      </c>
      <c r="C11" s="26">
        <f>TCO!K26+TCO!K27</f>
        <v>8500</v>
      </c>
      <c r="D11" s="25">
        <f>(TCO!K$12*(1+$X$5))+TCO!K$13</f>
        <v>0</v>
      </c>
      <c r="E11" s="28">
        <f t="shared" si="1"/>
        <v>-8500</v>
      </c>
      <c r="F11" s="26">
        <f>TCO!K22+TCO!K23</f>
        <v>0</v>
      </c>
      <c r="G11" s="25">
        <f>(TCO!K$7*(1+$X$5))+TCO!K$8</f>
        <v>0</v>
      </c>
      <c r="H11" s="28">
        <f t="shared" si="2"/>
        <v>0</v>
      </c>
      <c r="I11" s="25">
        <f>TCO!K24+TCO!K25</f>
        <v>0</v>
      </c>
      <c r="J11" s="25">
        <f>(TCO!K$9*(1+$X$5))+TCO!K$10</f>
        <v>360418.68360000005</v>
      </c>
      <c r="K11" s="28">
        <f t="shared" si="3"/>
        <v>360418.68360000005</v>
      </c>
      <c r="L11" s="26">
        <v>0</v>
      </c>
      <c r="M11" s="26">
        <f>TCO!K11</f>
        <v>0</v>
      </c>
      <c r="N11" s="28">
        <f t="shared" si="4"/>
        <v>0</v>
      </c>
      <c r="O11" s="26">
        <v>0</v>
      </c>
      <c r="P11" s="26">
        <f>TCO!K14</f>
        <v>0</v>
      </c>
      <c r="Q11" s="28">
        <f t="shared" si="5"/>
        <v>0</v>
      </c>
      <c r="R11" s="26">
        <f>'Parametre - Agendové IS'!D113</f>
        <v>0</v>
      </c>
      <c r="S11" s="26">
        <f>'Parametre - Agendové IS'!E113</f>
        <v>0</v>
      </c>
      <c r="T11" s="28">
        <f t="shared" si="0"/>
        <v>0</v>
      </c>
      <c r="U11" s="25">
        <f t="shared" si="6"/>
        <v>8500</v>
      </c>
      <c r="V11" s="25">
        <f t="shared" si="7"/>
        <v>360418.68360000005</v>
      </c>
      <c r="W11" s="28">
        <f t="shared" si="8"/>
        <v>351918.68360000005</v>
      </c>
    </row>
    <row r="12" spans="1:24" ht="16" x14ac:dyDescent="0.2">
      <c r="A12" s="24" t="s">
        <v>171</v>
      </c>
      <c r="B12" s="64">
        <v>9</v>
      </c>
      <c r="C12" s="26">
        <f>TCO!L26+TCO!L27</f>
        <v>0</v>
      </c>
      <c r="D12" s="25">
        <f>(TCO!L$12*(1+$X$5))+TCO!L$13</f>
        <v>0</v>
      </c>
      <c r="E12" s="28">
        <f t="shared" si="1"/>
        <v>0</v>
      </c>
      <c r="F12" s="26">
        <f>TCO!L22+TCO!L23</f>
        <v>0</v>
      </c>
      <c r="G12" s="25">
        <f>(TCO!L$7*(1+$X$5))+TCO!L$8</f>
        <v>0</v>
      </c>
      <c r="H12" s="28">
        <f t="shared" si="2"/>
        <v>0</v>
      </c>
      <c r="I12" s="25">
        <f>TCO!L24+TCO!L25</f>
        <v>12500</v>
      </c>
      <c r="J12" s="25">
        <f>(TCO!L$9*(1+$X$5))+TCO!L$10</f>
        <v>360418.68360000005</v>
      </c>
      <c r="K12" s="28">
        <f t="shared" si="3"/>
        <v>347918.68360000005</v>
      </c>
      <c r="L12" s="26">
        <v>0</v>
      </c>
      <c r="M12" s="26">
        <f>TCO!L11</f>
        <v>0</v>
      </c>
      <c r="N12" s="28">
        <f t="shared" si="4"/>
        <v>0</v>
      </c>
      <c r="O12" s="26">
        <v>0</v>
      </c>
      <c r="P12" s="26">
        <f>TCO!L14</f>
        <v>0</v>
      </c>
      <c r="Q12" s="28">
        <f t="shared" si="5"/>
        <v>0</v>
      </c>
      <c r="R12" s="26">
        <f>'Parametre - Agendové IS'!D114</f>
        <v>0</v>
      </c>
      <c r="S12" s="26">
        <f>'Parametre - Agendové IS'!E114</f>
        <v>0</v>
      </c>
      <c r="T12" s="28">
        <f t="shared" si="0"/>
        <v>0</v>
      </c>
      <c r="U12" s="25">
        <f t="shared" si="6"/>
        <v>12500</v>
      </c>
      <c r="V12" s="25">
        <f t="shared" si="7"/>
        <v>360418.68360000005</v>
      </c>
      <c r="W12" s="28">
        <f t="shared" si="8"/>
        <v>347918.68360000005</v>
      </c>
    </row>
    <row r="13" spans="1:24" ht="17" thickBot="1" x14ac:dyDescent="0.25">
      <c r="A13" s="24" t="s">
        <v>172</v>
      </c>
      <c r="B13" s="65">
        <v>10</v>
      </c>
      <c r="C13" s="43">
        <f>TCO!M26+TCO!M27</f>
        <v>0</v>
      </c>
      <c r="D13" s="39">
        <f>(TCO!M$12*(1+$X$5))+TCO!M$13</f>
        <v>0</v>
      </c>
      <c r="E13" s="124">
        <f t="shared" si="1"/>
        <v>0</v>
      </c>
      <c r="F13" s="26">
        <f>TCO!M22+TCO!M23</f>
        <v>0</v>
      </c>
      <c r="G13" s="39">
        <f>(TCO!M$7*(1+$X$5))+TCO!M$8</f>
        <v>0</v>
      </c>
      <c r="H13" s="124">
        <f t="shared" si="2"/>
        <v>0</v>
      </c>
      <c r="I13" s="39">
        <f>TCO!M24+TCO!M25</f>
        <v>0</v>
      </c>
      <c r="J13" s="39">
        <f>(TCO!M$9*(1+$X$5))+TCO!M$10</f>
        <v>360418.68360000005</v>
      </c>
      <c r="K13" s="124">
        <f t="shared" si="3"/>
        <v>360418.68360000005</v>
      </c>
      <c r="L13" s="43">
        <v>0</v>
      </c>
      <c r="M13" s="43">
        <f>TCO!M11</f>
        <v>0</v>
      </c>
      <c r="N13" s="124">
        <f t="shared" si="4"/>
        <v>0</v>
      </c>
      <c r="O13" s="43">
        <v>0</v>
      </c>
      <c r="P13" s="43">
        <f>TCO!M14</f>
        <v>0</v>
      </c>
      <c r="Q13" s="124">
        <f t="shared" si="5"/>
        <v>0</v>
      </c>
      <c r="R13" s="43">
        <f>'Parametre - Agendové IS'!D115</f>
        <v>0</v>
      </c>
      <c r="S13" s="43">
        <f>'Parametre - Agendové IS'!E115</f>
        <v>0</v>
      </c>
      <c r="T13" s="124">
        <f t="shared" si="0"/>
        <v>0</v>
      </c>
      <c r="U13" s="25">
        <f t="shared" si="6"/>
        <v>0</v>
      </c>
      <c r="V13" s="25">
        <f t="shared" si="7"/>
        <v>360418.68360000005</v>
      </c>
      <c r="W13" s="124">
        <f t="shared" si="8"/>
        <v>360418.68360000005</v>
      </c>
    </row>
    <row r="14" spans="1:24" x14ac:dyDescent="0.2">
      <c r="A14" s="800" t="s">
        <v>96</v>
      </c>
      <c r="B14" s="801"/>
      <c r="C14" s="347">
        <f>SUM(C4:C13)</f>
        <v>258500</v>
      </c>
      <c r="D14" s="345">
        <f t="shared" ref="D14:T14" si="9">SUM(D4:D13)</f>
        <v>0</v>
      </c>
      <c r="E14" s="344">
        <f t="shared" si="9"/>
        <v>-258500</v>
      </c>
      <c r="F14" s="347">
        <f t="shared" si="9"/>
        <v>0</v>
      </c>
      <c r="G14" s="345">
        <f t="shared" si="9"/>
        <v>0</v>
      </c>
      <c r="H14" s="344">
        <f t="shared" si="9"/>
        <v>0</v>
      </c>
      <c r="I14" s="347">
        <f t="shared" si="9"/>
        <v>78682</v>
      </c>
      <c r="J14" s="345">
        <f t="shared" si="9"/>
        <v>6402251.5824000007</v>
      </c>
      <c r="K14" s="344">
        <f t="shared" si="9"/>
        <v>6323569.5824000007</v>
      </c>
      <c r="L14" s="347">
        <f t="shared" ref="L14:Q14" si="10">SUM(L4:L13)</f>
        <v>0</v>
      </c>
      <c r="M14" s="345">
        <f t="shared" si="10"/>
        <v>0</v>
      </c>
      <c r="N14" s="344">
        <f t="shared" si="10"/>
        <v>0</v>
      </c>
      <c r="O14" s="347">
        <f t="shared" si="10"/>
        <v>0</v>
      </c>
      <c r="P14" s="345">
        <f t="shared" si="10"/>
        <v>221093.84010000003</v>
      </c>
      <c r="Q14" s="344">
        <f t="shared" si="10"/>
        <v>221093.84010000003</v>
      </c>
      <c r="R14" s="347">
        <f t="shared" si="9"/>
        <v>0</v>
      </c>
      <c r="S14" s="345">
        <f t="shared" si="9"/>
        <v>0</v>
      </c>
      <c r="T14" s="344">
        <f t="shared" si="9"/>
        <v>0</v>
      </c>
      <c r="U14" s="356">
        <f>SUM(U4:U13)</f>
        <v>337182</v>
      </c>
      <c r="V14" s="357">
        <f>SUM(V4:V13)</f>
        <v>6623345.4225000003</v>
      </c>
      <c r="W14" s="358">
        <f>SUM(W4:W13)</f>
        <v>6286163.4225000003</v>
      </c>
    </row>
    <row r="15" spans="1:24" ht="16" thickBot="1" x14ac:dyDescent="0.25">
      <c r="A15" s="802" t="s">
        <v>192</v>
      </c>
      <c r="B15" s="803"/>
      <c r="C15" s="355"/>
      <c r="D15" s="353">
        <f>D4+NPV(Faktory!$D$5,D5:D13)</f>
        <v>0</v>
      </c>
      <c r="E15" s="351">
        <f>E4+NPV(Faktory!$D$5,E5:E13)</f>
        <v>-211716.41000407649</v>
      </c>
      <c r="F15" s="355"/>
      <c r="G15" s="353">
        <f>G4+NPV(Faktory!$D$5,G5:G13)</f>
        <v>0</v>
      </c>
      <c r="H15" s="351">
        <f>H4+NPV(Faktory!$D$5,H5:H13)</f>
        <v>0</v>
      </c>
      <c r="I15" s="355"/>
      <c r="J15" s="353">
        <f>J4+NPV(Faktory!$D$5,J5:J13)</f>
        <v>5569871.1887420332</v>
      </c>
      <c r="K15" s="351">
        <f>K4+NPV(Faktory!$D$5,K5:K13)</f>
        <v>5503303.2310002288</v>
      </c>
      <c r="L15" s="355"/>
      <c r="M15" s="353">
        <f>M4+NPV(Faktory!$D$5,M5:M13)</f>
        <v>0</v>
      </c>
      <c r="N15" s="351">
        <f>N4+NPV(Faktory!$D$5,N5:N13)</f>
        <v>0</v>
      </c>
      <c r="O15" s="355"/>
      <c r="P15" s="353">
        <f>P4+NPV(Faktory!$D$5,P5:P13)</f>
        <v>218988.18448</v>
      </c>
      <c r="Q15" s="351">
        <f>Q4+NPV(Faktory!$D$5,Q5:Q13)</f>
        <v>218988.18448</v>
      </c>
      <c r="R15" s="355"/>
      <c r="S15" s="353">
        <f>S4+NPV(Faktory!$D$5,S5:S13)</f>
        <v>0</v>
      </c>
      <c r="T15" s="351">
        <f>T4+NPV(Faktory!$D$5,T5:T13)</f>
        <v>0</v>
      </c>
      <c r="U15" s="359"/>
      <c r="V15" s="353">
        <f>V4+NPV(Faktory!$D$5,V5:V13)</f>
        <v>5788859.3732220335</v>
      </c>
      <c r="W15" s="360">
        <f>W4+NPV(Faktory!$D$5,W5:W13)</f>
        <v>5510575.0054761535</v>
      </c>
    </row>
    <row r="16" spans="1:24" x14ac:dyDescent="0.2">
      <c r="A16" s="7"/>
      <c r="B16" s="7"/>
      <c r="C16" s="7"/>
      <c r="D16" s="7"/>
      <c r="E16" s="116"/>
      <c r="F16" s="7"/>
      <c r="G16" s="7"/>
      <c r="H16" s="116"/>
      <c r="I16" s="7"/>
      <c r="J16" s="7"/>
      <c r="K16" s="116"/>
      <c r="L16" s="116"/>
      <c r="M16" s="116"/>
      <c r="N16" s="116"/>
      <c r="O16" s="116"/>
      <c r="P16" s="116"/>
      <c r="Q16" s="116"/>
      <c r="R16" s="7"/>
      <c r="S16" s="7"/>
      <c r="T16" s="116"/>
      <c r="U16" s="125"/>
      <c r="V16" s="125"/>
      <c r="W16" s="125"/>
    </row>
    <row r="17" spans="1:3" x14ac:dyDescent="0.2">
      <c r="A17" s="7"/>
      <c r="B17" s="7"/>
      <c r="C17" s="97" t="s">
        <v>193</v>
      </c>
    </row>
    <row r="22" spans="1:3" x14ac:dyDescent="0.2">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workbookViewId="0">
      <selection activeCell="I30" sqref="I30"/>
    </sheetView>
  </sheetViews>
  <sheetFormatPr baseColWidth="10" defaultColWidth="8.6640625" defaultRowHeight="15" x14ac:dyDescent="0.2"/>
  <cols>
    <col min="1" max="1" width="9.5" customWidth="1"/>
    <col min="2" max="2" width="4.5" bestFit="1" customWidth="1"/>
    <col min="3" max="4" width="14.33203125" bestFit="1" customWidth="1"/>
    <col min="5" max="9" width="13.5" customWidth="1"/>
    <col min="10" max="10" width="11.1640625" customWidth="1"/>
    <col min="11" max="11" width="12" customWidth="1"/>
    <col min="13" max="13" width="12" customWidth="1"/>
    <col min="14" max="14" width="14" customWidth="1"/>
    <col min="15" max="15" width="14.6640625" customWidth="1"/>
    <col min="16" max="16" width="13.5" customWidth="1"/>
    <col min="17" max="17" width="13.5" bestFit="1" customWidth="1"/>
    <col min="18" max="21" width="13.6640625" customWidth="1"/>
    <col min="22" max="22" width="14.6640625" customWidth="1"/>
    <col min="23" max="23" width="14" customWidth="1"/>
    <col min="24" max="24" width="14.5" customWidth="1"/>
    <col min="25" max="25" width="14.33203125" bestFit="1" customWidth="1"/>
    <col min="26" max="26" width="13.6640625" customWidth="1"/>
    <col min="27" max="27" width="15.5" customWidth="1"/>
  </cols>
  <sheetData>
    <row r="1" spans="1:27" ht="15.75" customHeight="1" thickBot="1" x14ac:dyDescent="0.25">
      <c r="A1" s="18"/>
      <c r="B1" s="35"/>
      <c r="C1" s="792" t="s">
        <v>194</v>
      </c>
      <c r="D1" s="793"/>
      <c r="E1" s="793"/>
      <c r="F1" s="793"/>
      <c r="G1" s="793"/>
      <c r="H1" s="793"/>
      <c r="I1" s="794"/>
      <c r="J1" s="792" t="s">
        <v>195</v>
      </c>
      <c r="K1" s="793"/>
      <c r="L1" s="793"/>
      <c r="M1" s="793"/>
      <c r="N1" s="793"/>
      <c r="O1" s="793"/>
      <c r="P1" s="793"/>
      <c r="Q1" s="793"/>
      <c r="R1" s="793"/>
      <c r="S1" s="793"/>
      <c r="T1" s="793"/>
      <c r="U1" s="794"/>
      <c r="V1" s="795" t="s">
        <v>196</v>
      </c>
      <c r="W1" s="796"/>
      <c r="X1" s="796"/>
      <c r="Y1" s="796"/>
      <c r="Z1" s="796"/>
      <c r="AA1" s="797"/>
    </row>
    <row r="2" spans="1:27" ht="16" thickBot="1" x14ac:dyDescent="0.25">
      <c r="A2" s="612"/>
      <c r="B2" s="610"/>
      <c r="C2" s="795" t="s">
        <v>108</v>
      </c>
      <c r="D2" s="796"/>
      <c r="E2" s="797"/>
      <c r="F2" s="795" t="s">
        <v>197</v>
      </c>
      <c r="G2" s="796"/>
      <c r="H2" s="796"/>
      <c r="I2" s="797"/>
      <c r="J2" s="812" t="s">
        <v>109</v>
      </c>
      <c r="K2" s="813"/>
      <c r="L2" s="814"/>
      <c r="M2" s="815" t="s">
        <v>198</v>
      </c>
      <c r="N2" s="813"/>
      <c r="O2" s="814"/>
      <c r="P2" s="815" t="s">
        <v>199</v>
      </c>
      <c r="Q2" s="813"/>
      <c r="R2" s="814"/>
      <c r="S2" s="815" t="s">
        <v>200</v>
      </c>
      <c r="T2" s="813"/>
      <c r="U2" s="816"/>
      <c r="V2" s="796" t="s">
        <v>107</v>
      </c>
      <c r="W2" s="796"/>
      <c r="X2" s="797"/>
      <c r="Y2" s="796" t="s">
        <v>110</v>
      </c>
      <c r="Z2" s="796"/>
      <c r="AA2" s="797"/>
    </row>
    <row r="3" spans="1:27" ht="18.5" customHeight="1" thickBot="1" x14ac:dyDescent="0.25">
      <c r="A3" s="620" t="s">
        <v>159</v>
      </c>
      <c r="B3" s="70" t="s">
        <v>191</v>
      </c>
      <c r="C3" s="22" t="s">
        <v>160</v>
      </c>
      <c r="D3" s="19" t="s">
        <v>161</v>
      </c>
      <c r="E3" s="23" t="s">
        <v>162</v>
      </c>
      <c r="F3" s="22" t="s">
        <v>102</v>
      </c>
      <c r="G3" s="19" t="s">
        <v>101</v>
      </c>
      <c r="H3" s="19" t="s">
        <v>201</v>
      </c>
      <c r="I3" s="19" t="s">
        <v>100</v>
      </c>
      <c r="J3" s="14" t="s">
        <v>160</v>
      </c>
      <c r="K3" s="15" t="s">
        <v>161</v>
      </c>
      <c r="L3" s="21" t="s">
        <v>162</v>
      </c>
      <c r="M3" s="20" t="s">
        <v>160</v>
      </c>
      <c r="N3" s="15" t="s">
        <v>161</v>
      </c>
      <c r="O3" s="21" t="s">
        <v>162</v>
      </c>
      <c r="P3" s="20" t="s">
        <v>160</v>
      </c>
      <c r="Q3" s="15" t="s">
        <v>161</v>
      </c>
      <c r="R3" s="21" t="s">
        <v>162</v>
      </c>
      <c r="S3" s="20" t="s">
        <v>160</v>
      </c>
      <c r="T3" s="15" t="s">
        <v>161</v>
      </c>
      <c r="U3" s="16" t="s">
        <v>162</v>
      </c>
      <c r="V3" s="15" t="s">
        <v>160</v>
      </c>
      <c r="W3" s="15" t="s">
        <v>161</v>
      </c>
      <c r="X3" s="16" t="s">
        <v>162</v>
      </c>
      <c r="Y3" s="15" t="s">
        <v>160</v>
      </c>
      <c r="Z3" s="15" t="s">
        <v>161</v>
      </c>
      <c r="AA3" s="16" t="s">
        <v>162</v>
      </c>
    </row>
    <row r="4" spans="1:27" ht="16" x14ac:dyDescent="0.2">
      <c r="A4" s="31" t="s">
        <v>163</v>
      </c>
      <c r="B4" s="63">
        <v>1</v>
      </c>
      <c r="C4" s="26">
        <f>'Parametre - Agendové IS'!D116</f>
        <v>0</v>
      </c>
      <c r="D4" s="26">
        <f>'Parametre - Agendové IS'!E116</f>
        <v>0</v>
      </c>
      <c r="E4" s="28">
        <f>IF(ISERR(D4-C4),"-",D4-C4)</f>
        <v>0</v>
      </c>
      <c r="F4" s="26">
        <f>IF(B4&lt;=MIN(MODULY_CBA!$N$3:$N$23),0,TCO!D26+TCO!D27)</f>
        <v>0</v>
      </c>
      <c r="G4" s="26">
        <f>IF(B4&lt;=MIN(MODULY_CBA!$N$3:$N$23),0,TCO!D22+TCO!D23)</f>
        <v>0</v>
      </c>
      <c r="H4" s="611">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-3651208.0919540231</v>
      </c>
      <c r="T4" s="25">
        <f>-'Parametre - Agendové IS'!E76</f>
        <v>-3651208.0919540231</v>
      </c>
      <c r="U4" s="32">
        <f t="shared" ref="U4:U13" si="1">IF(ISERR(T4-S4),"-",T4-S4)</f>
        <v>0</v>
      </c>
      <c r="V4" s="26">
        <f t="shared" ref="V4:V13" si="2">SUM(C4,J4)</f>
        <v>0</v>
      </c>
      <c r="W4" s="25">
        <f t="shared" ref="W4:W13" si="3">SUM(D4,K4)</f>
        <v>0</v>
      </c>
      <c r="X4" s="28">
        <f>W4-V4</f>
        <v>0</v>
      </c>
      <c r="Y4" s="26">
        <f>SUM(M4,P4,S4)</f>
        <v>-3651208.0919540231</v>
      </c>
      <c r="Z4" s="25">
        <f>SUM(N4,Q4,T4)</f>
        <v>-3651208.0919540231</v>
      </c>
      <c r="AA4" s="28">
        <f>Z4-Y4</f>
        <v>0</v>
      </c>
    </row>
    <row r="5" spans="1:27" ht="16" x14ac:dyDescent="0.2">
      <c r="A5" s="31" t="s">
        <v>164</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11">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-3651208.0919540231</v>
      </c>
      <c r="T5" s="25">
        <f>-'Parametre - Agendové IS'!E77</f>
        <v>-3169248.623816092</v>
      </c>
      <c r="U5" s="28">
        <f t="shared" si="1"/>
        <v>481959.46813793108</v>
      </c>
      <c r="V5" s="26">
        <f t="shared" si="2"/>
        <v>0</v>
      </c>
      <c r="W5" s="25">
        <f t="shared" si="3"/>
        <v>0</v>
      </c>
      <c r="X5" s="28">
        <f t="shared" ref="X5:X12" si="6">W5-V5</f>
        <v>0</v>
      </c>
      <c r="Y5" s="26">
        <f t="shared" ref="Y5:Z13" si="7">SUM(M5,P5,S5)</f>
        <v>-3651208.0919540231</v>
      </c>
      <c r="Z5" s="25">
        <f t="shared" si="7"/>
        <v>-3169248.623816092</v>
      </c>
      <c r="AA5" s="28">
        <f t="shared" ref="AA5:AA13" si="8">Z5-Y5</f>
        <v>481959.46813793108</v>
      </c>
    </row>
    <row r="6" spans="1:27" ht="16" x14ac:dyDescent="0.2">
      <c r="A6" s="31" t="s">
        <v>165</v>
      </c>
      <c r="B6" s="64">
        <v>3</v>
      </c>
      <c r="C6" s="26">
        <f>'Parametre - Agendové IS'!D118</f>
        <v>0</v>
      </c>
      <c r="D6" s="26">
        <f>'Parametre - Agendové IS'!E118</f>
        <v>0</v>
      </c>
      <c r="E6" s="28">
        <f t="shared" si="4"/>
        <v>0</v>
      </c>
      <c r="F6" s="26">
        <f>IF(B6&lt;=MIN(MODULY_CBA!$N$3:$N$23),0,TCO!F26+TCO!F27)</f>
        <v>0</v>
      </c>
      <c r="G6" s="26">
        <f>IF(B6&lt;=MIN(MODULY_CBA!$N$3:$N$23),0,TCO!F22+TCO!F23)</f>
        <v>0</v>
      </c>
      <c r="H6" s="611">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0</v>
      </c>
      <c r="Q6" s="26">
        <f>'Parametre - Agendové IS'!E128</f>
        <v>0</v>
      </c>
      <c r="R6" s="28">
        <f t="shared" si="5"/>
        <v>0</v>
      </c>
      <c r="S6" s="25">
        <f>-'Parametre - Agendové IS'!D78</f>
        <v>-3651208.0919540231</v>
      </c>
      <c r="T6" s="25">
        <f>-'Parametre - Agendové IS'!E78</f>
        <v>-2687289.155678161</v>
      </c>
      <c r="U6" s="28">
        <f t="shared" si="1"/>
        <v>963918.93627586216</v>
      </c>
      <c r="V6" s="26">
        <f t="shared" si="2"/>
        <v>0</v>
      </c>
      <c r="W6" s="25">
        <f t="shared" si="3"/>
        <v>0</v>
      </c>
      <c r="X6" s="28">
        <f t="shared" si="6"/>
        <v>0</v>
      </c>
      <c r="Y6" s="26">
        <f t="shared" si="7"/>
        <v>-3651208.0919540231</v>
      </c>
      <c r="Z6" s="25">
        <f t="shared" si="7"/>
        <v>-2687289.155678161</v>
      </c>
      <c r="AA6" s="28">
        <f t="shared" si="8"/>
        <v>963918.93627586216</v>
      </c>
    </row>
    <row r="7" spans="1:27" ht="16" x14ac:dyDescent="0.2">
      <c r="A7" s="31" t="s">
        <v>166</v>
      </c>
      <c r="B7" s="64">
        <v>4</v>
      </c>
      <c r="C7" s="26">
        <f>'Parametre - Agendové IS'!D119</f>
        <v>0</v>
      </c>
      <c r="D7" s="26">
        <f>'Parametre - Agendové IS'!E119</f>
        <v>0</v>
      </c>
      <c r="E7" s="28">
        <f t="shared" si="4"/>
        <v>0</v>
      </c>
      <c r="F7" s="26">
        <f>IF(B7&lt;=MIN(MODULY_CBA!$N$3:$N$23),0,TCO!G26+TCO!G27)</f>
        <v>0</v>
      </c>
      <c r="G7" s="26">
        <f>IF(B7&lt;=MIN(MODULY_CBA!$N$3:$N$23),0,TCO!G22+TCO!G23)</f>
        <v>0</v>
      </c>
      <c r="H7" s="611">
        <f>IF(B7&lt;=MIN(MODULY_CBA!$N$3:$N$23),0,'Parametre - Agendové IS'!D109)</f>
        <v>0</v>
      </c>
      <c r="I7" s="28">
        <f>IF(B7&lt;=MIN(MODULY_CBA!$N$3:$N$23),0,TCO!G24+TCO!G25)</f>
        <v>55600</v>
      </c>
      <c r="J7" s="238"/>
      <c r="K7" s="239"/>
      <c r="L7" s="28">
        <f t="shared" si="0"/>
        <v>0</v>
      </c>
      <c r="M7" s="29">
        <v>0</v>
      </c>
      <c r="N7" s="25">
        <f>'Parametre - Agendové IS'!E99</f>
        <v>0</v>
      </c>
      <c r="O7" s="28">
        <f t="shared" si="9"/>
        <v>0</v>
      </c>
      <c r="P7" s="26">
        <f>'Parametre - Agendové IS'!D129</f>
        <v>0</v>
      </c>
      <c r="Q7" s="26">
        <f>'Parametre - Agendové IS'!E129</f>
        <v>0</v>
      </c>
      <c r="R7" s="28">
        <f t="shared" si="5"/>
        <v>0</v>
      </c>
      <c r="S7" s="25">
        <f>-'Parametre - Agendové IS'!D79</f>
        <v>-3651208.0919540231</v>
      </c>
      <c r="T7" s="25">
        <f>-'Parametre - Agendové IS'!E79</f>
        <v>-2446309.4216091954</v>
      </c>
      <c r="U7" s="28">
        <f t="shared" si="1"/>
        <v>1204898.6703448277</v>
      </c>
      <c r="V7" s="26">
        <f t="shared" si="2"/>
        <v>0</v>
      </c>
      <c r="W7" s="25">
        <f t="shared" si="3"/>
        <v>0</v>
      </c>
      <c r="X7" s="28">
        <f t="shared" si="6"/>
        <v>0</v>
      </c>
      <c r="Y7" s="26">
        <f t="shared" si="7"/>
        <v>-3651208.0919540231</v>
      </c>
      <c r="Z7" s="25">
        <f t="shared" si="7"/>
        <v>-2446309.4216091954</v>
      </c>
      <c r="AA7" s="28">
        <f t="shared" si="8"/>
        <v>1204898.6703448277</v>
      </c>
    </row>
    <row r="8" spans="1:27" ht="16" x14ac:dyDescent="0.2">
      <c r="A8" s="31" t="s">
        <v>167</v>
      </c>
      <c r="B8" s="64">
        <v>5</v>
      </c>
      <c r="C8" s="26">
        <f>'Parametre - Agendové IS'!D120</f>
        <v>0</v>
      </c>
      <c r="D8" s="26">
        <f>'Parametre - Agendové IS'!E120</f>
        <v>0</v>
      </c>
      <c r="E8" s="28">
        <f t="shared" si="4"/>
        <v>0</v>
      </c>
      <c r="F8" s="26">
        <f>IF(B8&lt;=MIN(MODULY_CBA!$N$3:$N$23),0,TCO!H26+TCO!H27)</f>
        <v>250000</v>
      </c>
      <c r="G8" s="26">
        <f>IF(B8&lt;=MIN(MODULY_CBA!$N$3:$N$23),0,TCO!H22+TCO!H23)</f>
        <v>0</v>
      </c>
      <c r="H8" s="611">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0</v>
      </c>
      <c r="Q8" s="26">
        <f>'Parametre - Agendové IS'!E130</f>
        <v>0</v>
      </c>
      <c r="R8" s="28">
        <f t="shared" si="5"/>
        <v>0</v>
      </c>
      <c r="S8" s="25">
        <f>-'Parametre - Agendové IS'!D80</f>
        <v>-3651208.0919540231</v>
      </c>
      <c r="T8" s="25">
        <f>-'Parametre - Agendové IS'!E80</f>
        <v>-2205329.6875402299</v>
      </c>
      <c r="U8" s="28">
        <f t="shared" si="1"/>
        <v>1445878.4044137932</v>
      </c>
      <c r="V8" s="26">
        <f t="shared" si="2"/>
        <v>0</v>
      </c>
      <c r="W8" s="25">
        <f t="shared" si="3"/>
        <v>0</v>
      </c>
      <c r="X8" s="28">
        <f t="shared" si="6"/>
        <v>0</v>
      </c>
      <c r="Y8" s="26">
        <f t="shared" si="7"/>
        <v>-3651208.0919540231</v>
      </c>
      <c r="Z8" s="25">
        <f t="shared" si="7"/>
        <v>-2205329.6875402299</v>
      </c>
      <c r="AA8" s="28">
        <f t="shared" si="8"/>
        <v>1445878.4044137932</v>
      </c>
    </row>
    <row r="9" spans="1:27" ht="16" x14ac:dyDescent="0.2">
      <c r="A9" s="31" t="s">
        <v>168</v>
      </c>
      <c r="B9" s="64">
        <v>6</v>
      </c>
      <c r="C9" s="26">
        <f>'Parametre - Agendové IS'!D121</f>
        <v>0</v>
      </c>
      <c r="D9" s="26">
        <f>'Parametre - Agendové IS'!E121</f>
        <v>0</v>
      </c>
      <c r="E9" s="28">
        <f t="shared" si="4"/>
        <v>0</v>
      </c>
      <c r="F9" s="26">
        <f>IF(B9&lt;=MIN(MODULY_CBA!$N$3:$N$23),0,TCO!I26+TCO!I27)</f>
        <v>0</v>
      </c>
      <c r="G9" s="26">
        <f>IF(B9&lt;=MIN(MODULY_CBA!$N$3:$N$23),0,TCO!I22+TCO!I23)</f>
        <v>0</v>
      </c>
      <c r="H9" s="611">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0</v>
      </c>
      <c r="Q9" s="26">
        <f>'Parametre - Agendové IS'!E131</f>
        <v>0</v>
      </c>
      <c r="R9" s="28">
        <f t="shared" si="5"/>
        <v>0</v>
      </c>
      <c r="S9" s="25">
        <f>-'Parametre - Agendové IS'!D81</f>
        <v>-3651208.0919540231</v>
      </c>
      <c r="T9" s="25">
        <f>-'Parametre - Agendové IS'!E81</f>
        <v>-1964349.9534712643</v>
      </c>
      <c r="U9" s="28">
        <f t="shared" si="1"/>
        <v>1686858.1384827588</v>
      </c>
      <c r="V9" s="26">
        <f t="shared" si="2"/>
        <v>0</v>
      </c>
      <c r="W9" s="25">
        <f t="shared" si="3"/>
        <v>0</v>
      </c>
      <c r="X9" s="28">
        <f t="shared" si="6"/>
        <v>0</v>
      </c>
      <c r="Y9" s="26">
        <f t="shared" si="7"/>
        <v>-3651208.0919540231</v>
      </c>
      <c r="Z9" s="25">
        <f t="shared" si="7"/>
        <v>-1964349.9534712643</v>
      </c>
      <c r="AA9" s="28">
        <f t="shared" si="8"/>
        <v>1686858.1384827588</v>
      </c>
    </row>
    <row r="10" spans="1:27" ht="16" x14ac:dyDescent="0.2">
      <c r="A10" s="31" t="s">
        <v>169</v>
      </c>
      <c r="B10" s="64">
        <v>7</v>
      </c>
      <c r="C10" s="26">
        <f>'Parametre - Agendové IS'!D122</f>
        <v>0</v>
      </c>
      <c r="D10" s="26">
        <f>'Parametre - Agendové IS'!E122</f>
        <v>0</v>
      </c>
      <c r="E10" s="28">
        <f t="shared" si="4"/>
        <v>0</v>
      </c>
      <c r="F10" s="26">
        <f>IF(B10&lt;=MIN(MODULY_CBA!$N$3:$N$23),0,TCO!J26+TCO!J27)</f>
        <v>0</v>
      </c>
      <c r="G10" s="26">
        <f>IF(B10&lt;=MIN(MODULY_CBA!$N$3:$N$23),0,TCO!J22+TCO!J23)</f>
        <v>0</v>
      </c>
      <c r="H10" s="611">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0</v>
      </c>
      <c r="Q10" s="26">
        <f>'Parametre - Agendové IS'!E132</f>
        <v>0</v>
      </c>
      <c r="R10" s="28">
        <f t="shared" si="5"/>
        <v>0</v>
      </c>
      <c r="S10" s="25">
        <f>-'Parametre - Agendové IS'!D82</f>
        <v>-3651208.0919540231</v>
      </c>
      <c r="T10" s="25">
        <f>-'Parametre - Agendové IS'!E82</f>
        <v>-1723370.219402299</v>
      </c>
      <c r="U10" s="28">
        <f t="shared" si="1"/>
        <v>1927837.8725517241</v>
      </c>
      <c r="V10" s="26">
        <f t="shared" si="2"/>
        <v>0</v>
      </c>
      <c r="W10" s="25">
        <f t="shared" si="3"/>
        <v>0</v>
      </c>
      <c r="X10" s="28">
        <f t="shared" si="6"/>
        <v>0</v>
      </c>
      <c r="Y10" s="26">
        <f t="shared" si="7"/>
        <v>-3651208.0919540231</v>
      </c>
      <c r="Z10" s="25">
        <f t="shared" si="7"/>
        <v>-1723370.219402299</v>
      </c>
      <c r="AA10" s="28">
        <f t="shared" si="8"/>
        <v>1927837.8725517241</v>
      </c>
    </row>
    <row r="11" spans="1:27" ht="16" x14ac:dyDescent="0.2">
      <c r="A11" s="31" t="s">
        <v>170</v>
      </c>
      <c r="B11" s="64">
        <v>8</v>
      </c>
      <c r="C11" s="26">
        <f>'Parametre - Agendové IS'!D123</f>
        <v>0</v>
      </c>
      <c r="D11" s="26">
        <f>'Parametre - Agendové IS'!E123</f>
        <v>0</v>
      </c>
      <c r="E11" s="28">
        <f t="shared" si="4"/>
        <v>0</v>
      </c>
      <c r="F11" s="26">
        <f>IF(B11&lt;=MIN(MODULY_CBA!$N$3:$N$23),0,TCO!K26+TCO!K27)</f>
        <v>8500</v>
      </c>
      <c r="G11" s="26">
        <f>IF(B11&lt;=MIN(MODULY_CBA!$N$3:$N$23),0,TCO!K22+TCO!K23)</f>
        <v>0</v>
      </c>
      <c r="H11" s="611">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0</v>
      </c>
      <c r="Q11" s="26">
        <f>'Parametre - Agendové IS'!E133</f>
        <v>0</v>
      </c>
      <c r="R11" s="28">
        <f t="shared" si="5"/>
        <v>0</v>
      </c>
      <c r="S11" s="25">
        <f>-'Parametre - Agendové IS'!D83</f>
        <v>-3651208.0919540231</v>
      </c>
      <c r="T11" s="25">
        <f>-'Parametre - Agendové IS'!E83</f>
        <v>-1602880.3523678165</v>
      </c>
      <c r="U11" s="28">
        <f t="shared" si="1"/>
        <v>2048327.7395862066</v>
      </c>
      <c r="V11" s="26">
        <f t="shared" si="2"/>
        <v>0</v>
      </c>
      <c r="W11" s="25">
        <f t="shared" si="3"/>
        <v>0</v>
      </c>
      <c r="X11" s="28">
        <f t="shared" si="6"/>
        <v>0</v>
      </c>
      <c r="Y11" s="26">
        <f t="shared" si="7"/>
        <v>-3651208.0919540231</v>
      </c>
      <c r="Z11" s="25">
        <f t="shared" si="7"/>
        <v>-1602880.3523678165</v>
      </c>
      <c r="AA11" s="28">
        <f t="shared" si="8"/>
        <v>2048327.7395862066</v>
      </c>
    </row>
    <row r="12" spans="1:27" ht="16" x14ac:dyDescent="0.2">
      <c r="A12" s="31" t="s">
        <v>171</v>
      </c>
      <c r="B12" s="64">
        <v>9</v>
      </c>
      <c r="C12" s="26">
        <f>'Parametre - Agendové IS'!D124</f>
        <v>0</v>
      </c>
      <c r="D12" s="26">
        <f>'Parametre - Agendové IS'!E124</f>
        <v>0</v>
      </c>
      <c r="E12" s="28">
        <f t="shared" si="4"/>
        <v>0</v>
      </c>
      <c r="F12" s="26">
        <f>IF(B12&lt;=MIN(MODULY_CBA!$N$3:$N$23),0,TCO!L26+TCO!L27)</f>
        <v>0</v>
      </c>
      <c r="G12" s="26">
        <f>IF(B12&lt;=MIN(MODULY_CBA!$N$3:$N$23),0,TCO!L22+TCO!L23)</f>
        <v>0</v>
      </c>
      <c r="H12" s="611">
        <f>IF(B12&lt;=MIN(MODULY_CBA!$N$3:$N$23),0,'Parametre - Agendové IS'!D114)</f>
        <v>0</v>
      </c>
      <c r="I12" s="28">
        <f>IF(B12&lt;=MIN(MODULY_CBA!$N$3:$N$23),0,TCO!L24+TCO!L25)</f>
        <v>12500</v>
      </c>
      <c r="J12" s="238"/>
      <c r="K12" s="239"/>
      <c r="L12" s="28">
        <f t="shared" si="0"/>
        <v>0</v>
      </c>
      <c r="M12" s="29">
        <v>0</v>
      </c>
      <c r="N12" s="25">
        <f>'Parametre - Agendové IS'!E104</f>
        <v>0</v>
      </c>
      <c r="O12" s="28">
        <f t="shared" si="9"/>
        <v>0</v>
      </c>
      <c r="P12" s="26">
        <f>'Parametre - Agendové IS'!D134</f>
        <v>0</v>
      </c>
      <c r="Q12" s="26">
        <f>'Parametre - Agendové IS'!E134</f>
        <v>0</v>
      </c>
      <c r="R12" s="28">
        <f t="shared" si="5"/>
        <v>0</v>
      </c>
      <c r="S12" s="25">
        <f>-'Parametre - Agendové IS'!D84</f>
        <v>-3651208.0919540231</v>
      </c>
      <c r="T12" s="25">
        <f>-'Parametre - Agendové IS'!E84</f>
        <v>-1602880.3523678165</v>
      </c>
      <c r="U12" s="28">
        <f t="shared" si="1"/>
        <v>2048327.7395862066</v>
      </c>
      <c r="V12" s="26">
        <f t="shared" si="2"/>
        <v>0</v>
      </c>
      <c r="W12" s="25">
        <f t="shared" si="3"/>
        <v>0</v>
      </c>
      <c r="X12" s="28">
        <f t="shared" si="6"/>
        <v>0</v>
      </c>
      <c r="Y12" s="26">
        <f t="shared" si="7"/>
        <v>-3651208.0919540231</v>
      </c>
      <c r="Z12" s="25">
        <f t="shared" si="7"/>
        <v>-1602880.3523678165</v>
      </c>
      <c r="AA12" s="28">
        <f t="shared" si="8"/>
        <v>2048327.7395862066</v>
      </c>
    </row>
    <row r="13" spans="1:27" ht="15.5" customHeight="1" thickBot="1" x14ac:dyDescent="0.25">
      <c r="A13" s="31" t="s">
        <v>172</v>
      </c>
      <c r="B13" s="65">
        <v>10</v>
      </c>
      <c r="C13" s="43">
        <f>'Parametre - Agendové IS'!D125</f>
        <v>0</v>
      </c>
      <c r="D13" s="43">
        <f>'Parametre - Agendové IS'!E125</f>
        <v>0</v>
      </c>
      <c r="E13" s="124">
        <f t="shared" si="4"/>
        <v>0</v>
      </c>
      <c r="F13" s="26">
        <f>IF(B13&lt;=MIN(MODULY_CBA!$N$3:$N$23),0,TCO!M26+TCO!M27)</f>
        <v>0</v>
      </c>
      <c r="G13" s="26">
        <f>IF(B13&lt;=MIN(MODULY_CBA!$N$3:$N$23),0,TCO!M22+TCO!M23)</f>
        <v>0</v>
      </c>
      <c r="H13" s="611">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0</v>
      </c>
      <c r="Q13" s="43">
        <f>'Parametre - Agendové IS'!E135</f>
        <v>0</v>
      </c>
      <c r="R13" s="124">
        <f t="shared" si="5"/>
        <v>0</v>
      </c>
      <c r="S13" s="39">
        <f>-'Parametre - Agendové IS'!D85</f>
        <v>-3651208.0919540231</v>
      </c>
      <c r="T13" s="39">
        <f>-'Parametre - Agendové IS'!E85</f>
        <v>-1602880.3523678165</v>
      </c>
      <c r="U13" s="39">
        <f t="shared" si="1"/>
        <v>2048327.7395862066</v>
      </c>
      <c r="V13" s="127">
        <f t="shared" si="2"/>
        <v>0</v>
      </c>
      <c r="W13" s="39">
        <f t="shared" si="3"/>
        <v>0</v>
      </c>
      <c r="X13" s="124">
        <f>W13-V13</f>
        <v>0</v>
      </c>
      <c r="Y13" s="43">
        <f t="shared" si="7"/>
        <v>-3651208.0919540231</v>
      </c>
      <c r="Z13" s="39">
        <f t="shared" si="7"/>
        <v>-1602880.3523678165</v>
      </c>
      <c r="AA13" s="124">
        <f t="shared" si="8"/>
        <v>2048327.7395862066</v>
      </c>
    </row>
    <row r="14" spans="1:27" x14ac:dyDescent="0.2">
      <c r="A14" s="808" t="s">
        <v>96</v>
      </c>
      <c r="B14" s="809"/>
      <c r="C14" s="343">
        <f>SUM(C4:C13)</f>
        <v>0</v>
      </c>
      <c r="D14" s="343">
        <f t="shared" ref="D14:U14" si="10">SUM(D4:D13)</f>
        <v>0</v>
      </c>
      <c r="E14" s="344">
        <f t="shared" si="10"/>
        <v>0</v>
      </c>
      <c r="F14" s="343">
        <f>SUM(F4:F13)</f>
        <v>258500</v>
      </c>
      <c r="G14" s="343">
        <f t="shared" ref="G14:I14" si="11">SUM(G4:G13)</f>
        <v>0</v>
      </c>
      <c r="H14" s="343">
        <f t="shared" si="11"/>
        <v>0</v>
      </c>
      <c r="I14" s="344">
        <f t="shared" si="11"/>
        <v>68100</v>
      </c>
      <c r="J14" s="343">
        <f t="shared" si="10"/>
        <v>0</v>
      </c>
      <c r="K14" s="345">
        <f t="shared" si="10"/>
        <v>0</v>
      </c>
      <c r="L14" s="344">
        <f t="shared" si="10"/>
        <v>0</v>
      </c>
      <c r="M14" s="343">
        <f t="shared" si="10"/>
        <v>0</v>
      </c>
      <c r="N14" s="345">
        <f t="shared" si="10"/>
        <v>0</v>
      </c>
      <c r="O14" s="344">
        <f t="shared" si="10"/>
        <v>0</v>
      </c>
      <c r="P14" s="343">
        <f t="shared" si="10"/>
        <v>0</v>
      </c>
      <c r="Q14" s="343">
        <f t="shared" si="10"/>
        <v>0</v>
      </c>
      <c r="R14" s="344">
        <f t="shared" si="10"/>
        <v>0</v>
      </c>
      <c r="S14" s="345">
        <f t="shared" si="10"/>
        <v>-36512080.919540234</v>
      </c>
      <c r="T14" s="345">
        <f t="shared" si="10"/>
        <v>-22655746.210574716</v>
      </c>
      <c r="U14" s="346">
        <f t="shared" si="10"/>
        <v>13856334.708965516</v>
      </c>
      <c r="V14" s="347">
        <f t="shared" ref="V14:AA14" si="12">SUM(V4:V13)</f>
        <v>0</v>
      </c>
      <c r="W14" s="345">
        <f t="shared" si="12"/>
        <v>0</v>
      </c>
      <c r="X14" s="348">
        <f t="shared" si="12"/>
        <v>0</v>
      </c>
      <c r="Y14" s="347">
        <f t="shared" si="12"/>
        <v>-36512080.919540234</v>
      </c>
      <c r="Z14" s="345">
        <f t="shared" si="12"/>
        <v>-22655746.210574716</v>
      </c>
      <c r="AA14" s="349">
        <f t="shared" si="12"/>
        <v>13856334.708965516</v>
      </c>
    </row>
    <row r="15" spans="1:27" ht="16" thickBot="1" x14ac:dyDescent="0.25">
      <c r="A15" s="810" t="s">
        <v>192</v>
      </c>
      <c r="B15" s="811"/>
      <c r="C15" s="350"/>
      <c r="D15" s="350"/>
      <c r="E15" s="351">
        <f>E4+NPV(Faktory!$D$5,'Prínosy - Agendové IS'!E5:E13)</f>
        <v>0</v>
      </c>
      <c r="F15" s="617">
        <f>F4+NPV(Faktory!$D$5,'Prínosy - Agendové IS'!F5:F13)</f>
        <v>211716.41000407649</v>
      </c>
      <c r="G15" s="618">
        <f>G4+NPV(Faktory!$D$5,'Prínosy - Agendové IS'!G5:G13)</f>
        <v>0</v>
      </c>
      <c r="H15" s="618">
        <f>H4+NPV(Faktory!$D$5,'Prínosy - Agendové IS'!H5:H13)</f>
        <v>0</v>
      </c>
      <c r="I15" s="619">
        <f>I4+NPV(Faktory!$D$5,'Prínosy - Agendové IS'!I5:I13)</f>
        <v>56489.862503708653</v>
      </c>
      <c r="J15" s="352"/>
      <c r="K15" s="353"/>
      <c r="L15" s="351">
        <f>L4+NPV(Faktory!$D$3,'Prínosy - Agendové IS'!L5:L13)</f>
        <v>0</v>
      </c>
      <c r="M15" s="352"/>
      <c r="N15" s="353"/>
      <c r="O15" s="351">
        <f>O4+NPV(Faktory!$D$5,'Prínosy - Agendové IS'!O5:O13)</f>
        <v>0</v>
      </c>
      <c r="P15" s="350"/>
      <c r="Q15" s="350"/>
      <c r="R15" s="351">
        <f>R4+NPV(Faktory!$D$5,'Prínosy - Agendové IS'!R5:R13)</f>
        <v>0</v>
      </c>
      <c r="S15" s="353"/>
      <c r="T15" s="353"/>
      <c r="U15" s="354">
        <f>U4+NPV(Faktory!$D$5,'Prínosy - Agendové IS'!U5:U13)</f>
        <v>10486423.663355233</v>
      </c>
      <c r="V15" s="355"/>
      <c r="W15" s="353"/>
      <c r="X15" s="351">
        <f>X4+NPV(Faktory!$D$5,'Prínosy - Agendové IS'!X5:X13)</f>
        <v>0</v>
      </c>
      <c r="Y15" s="355"/>
      <c r="Z15" s="353"/>
      <c r="AA15" s="351">
        <f>AA4+NPV(Faktory!$D$5,'Prínosy - Agendové IS'!AA5:AA13)</f>
        <v>10486423.663355233</v>
      </c>
    </row>
    <row r="16" spans="1:27" ht="16" thickBot="1" x14ac:dyDescent="0.25">
      <c r="AA16" s="351">
        <f>(AA15+SUM(F15:I15))</f>
        <v>10754629.935863018</v>
      </c>
    </row>
    <row r="17" spans="3:3" x14ac:dyDescent="0.2">
      <c r="C17" s="97" t="s">
        <v>202</v>
      </c>
    </row>
    <row r="38" spans="20:20" x14ac:dyDescent="0.2">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workbookViewId="0">
      <selection activeCell="J35" sqref="J35"/>
    </sheetView>
  </sheetViews>
  <sheetFormatPr baseColWidth="10" defaultColWidth="9.1640625" defaultRowHeight="15" x14ac:dyDescent="0.2"/>
  <cols>
    <col min="1" max="1" width="19.1640625" style="7" customWidth="1"/>
    <col min="2" max="2" width="9.6640625" style="7" bestFit="1" customWidth="1"/>
    <col min="3" max="3" width="8.6640625" style="7" bestFit="1" customWidth="1"/>
    <col min="4" max="4" width="14.5" style="7" bestFit="1" customWidth="1"/>
    <col min="5" max="5" width="15.6640625" style="7" bestFit="1" customWidth="1"/>
    <col min="6" max="6" width="14.5" style="7" bestFit="1" customWidth="1"/>
    <col min="7" max="7" width="14.1640625" style="7" customWidth="1"/>
    <col min="8" max="8" width="14.1640625" style="317" customWidth="1"/>
    <col min="9" max="18" width="14.1640625" style="7" customWidth="1"/>
    <col min="19" max="19" width="14.1640625" style="318" customWidth="1"/>
    <col min="20" max="20" width="14.1640625" style="317" customWidth="1"/>
    <col min="21" max="21" width="14.1640625" style="7" customWidth="1"/>
    <col min="22" max="22" width="14.1640625" style="318" customWidth="1"/>
    <col min="23" max="23" width="14.1640625" style="317" customWidth="1"/>
    <col min="24" max="33" width="14.1640625" style="7" customWidth="1"/>
    <col min="34" max="34" width="14.1640625" style="318" customWidth="1"/>
    <col min="35" max="35" width="14.1640625" style="317" customWidth="1"/>
    <col min="36" max="36" width="14.1640625" style="7" customWidth="1"/>
    <col min="37" max="37" width="14.1640625" style="318" customWidth="1"/>
    <col min="38" max="38" width="14.1640625" style="317" customWidth="1"/>
    <col min="39" max="48" width="14.1640625" style="7" customWidth="1"/>
    <col min="49" max="49" width="14.1640625" style="318" customWidth="1"/>
    <col min="50" max="50" width="14.1640625" style="317" customWidth="1"/>
    <col min="51" max="51" width="14.1640625" style="7" customWidth="1"/>
    <col min="52" max="52" width="14.1640625" style="318" customWidth="1"/>
    <col min="53" max="53" width="14.1640625" style="317" customWidth="1"/>
    <col min="54" max="63" width="14.1640625" style="7" customWidth="1"/>
    <col min="64" max="64" width="14.1640625" style="318" customWidth="1"/>
    <col min="65" max="65" width="14.1640625" style="317" customWidth="1"/>
    <col min="66" max="66" width="14.1640625" style="7" customWidth="1"/>
    <col min="67" max="67" width="14.1640625" style="318" customWidth="1"/>
    <col min="68" max="68" width="14.1640625" style="317" customWidth="1"/>
    <col min="69" max="69" width="14.1640625" style="7" customWidth="1"/>
    <col min="70" max="70" width="14.6640625" style="243" customWidth="1"/>
    <col min="71" max="73" width="9.1640625" style="7"/>
    <col min="74" max="74" width="12.5" style="7" bestFit="1" customWidth="1"/>
    <col min="75" max="309" width="9.1640625" style="7"/>
    <col min="310" max="310" width="1.6640625" style="7" customWidth="1"/>
    <col min="311" max="311" width="19.1640625" style="7" customWidth="1"/>
    <col min="312" max="312" width="35.1640625" style="7" customWidth="1"/>
    <col min="313" max="313" width="9.6640625" style="7" bestFit="1" customWidth="1"/>
    <col min="314" max="314" width="8.6640625" style="7" bestFit="1" customWidth="1"/>
    <col min="315" max="325" width="10.33203125" style="7" customWidth="1"/>
    <col min="326" max="565" width="9.1640625" style="7"/>
    <col min="566" max="566" width="1.6640625" style="7" customWidth="1"/>
    <col min="567" max="567" width="19.1640625" style="7" customWidth="1"/>
    <col min="568" max="568" width="35.1640625" style="7" customWidth="1"/>
    <col min="569" max="569" width="9.6640625" style="7" bestFit="1" customWidth="1"/>
    <col min="570" max="570" width="8.6640625" style="7" bestFit="1" customWidth="1"/>
    <col min="571" max="581" width="10.33203125" style="7" customWidth="1"/>
    <col min="582" max="821" width="9.1640625" style="7"/>
    <col min="822" max="822" width="1.6640625" style="7" customWidth="1"/>
    <col min="823" max="823" width="19.1640625" style="7" customWidth="1"/>
    <col min="824" max="824" width="35.1640625" style="7" customWidth="1"/>
    <col min="825" max="825" width="9.6640625" style="7" bestFit="1" customWidth="1"/>
    <col min="826" max="826" width="8.6640625" style="7" bestFit="1" customWidth="1"/>
    <col min="827" max="837" width="10.33203125" style="7" customWidth="1"/>
    <col min="838" max="1077" width="9.1640625" style="7"/>
    <col min="1078" max="1078" width="1.6640625" style="7" customWidth="1"/>
    <col min="1079" max="1079" width="19.1640625" style="7" customWidth="1"/>
    <col min="1080" max="1080" width="35.1640625" style="7" customWidth="1"/>
    <col min="1081" max="1081" width="9.6640625" style="7" bestFit="1" customWidth="1"/>
    <col min="1082" max="1082" width="8.6640625" style="7" bestFit="1" customWidth="1"/>
    <col min="1083" max="1093" width="10.33203125" style="7" customWidth="1"/>
    <col min="1094" max="1333" width="9.1640625" style="7"/>
    <col min="1334" max="1334" width="1.6640625" style="7" customWidth="1"/>
    <col min="1335" max="1335" width="19.1640625" style="7" customWidth="1"/>
    <col min="1336" max="1336" width="35.1640625" style="7" customWidth="1"/>
    <col min="1337" max="1337" width="9.6640625" style="7" bestFit="1" customWidth="1"/>
    <col min="1338" max="1338" width="8.6640625" style="7" bestFit="1" customWidth="1"/>
    <col min="1339" max="1349" width="10.33203125" style="7" customWidth="1"/>
    <col min="1350" max="1589" width="9.1640625" style="7"/>
    <col min="1590" max="1590" width="1.6640625" style="7" customWidth="1"/>
    <col min="1591" max="1591" width="19.1640625" style="7" customWidth="1"/>
    <col min="1592" max="1592" width="35.1640625" style="7" customWidth="1"/>
    <col min="1593" max="1593" width="9.6640625" style="7" bestFit="1" customWidth="1"/>
    <col min="1594" max="1594" width="8.6640625" style="7" bestFit="1" customWidth="1"/>
    <col min="1595" max="1605" width="10.33203125" style="7" customWidth="1"/>
    <col min="1606" max="1845" width="9.1640625" style="7"/>
    <col min="1846" max="1846" width="1.6640625" style="7" customWidth="1"/>
    <col min="1847" max="1847" width="19.1640625" style="7" customWidth="1"/>
    <col min="1848" max="1848" width="35.1640625" style="7" customWidth="1"/>
    <col min="1849" max="1849" width="9.6640625" style="7" bestFit="1" customWidth="1"/>
    <col min="1850" max="1850" width="8.6640625" style="7" bestFit="1" customWidth="1"/>
    <col min="1851" max="1861" width="10.33203125" style="7" customWidth="1"/>
    <col min="1862" max="2101" width="9.1640625" style="7"/>
    <col min="2102" max="2102" width="1.6640625" style="7" customWidth="1"/>
    <col min="2103" max="2103" width="19.1640625" style="7" customWidth="1"/>
    <col min="2104" max="2104" width="35.1640625" style="7" customWidth="1"/>
    <col min="2105" max="2105" width="9.6640625" style="7" bestFit="1" customWidth="1"/>
    <col min="2106" max="2106" width="8.6640625" style="7" bestFit="1" customWidth="1"/>
    <col min="2107" max="2117" width="10.33203125" style="7" customWidth="1"/>
    <col min="2118" max="2357" width="9.1640625" style="7"/>
    <col min="2358" max="2358" width="1.6640625" style="7" customWidth="1"/>
    <col min="2359" max="2359" width="19.1640625" style="7" customWidth="1"/>
    <col min="2360" max="2360" width="35.1640625" style="7" customWidth="1"/>
    <col min="2361" max="2361" width="9.6640625" style="7" bestFit="1" customWidth="1"/>
    <col min="2362" max="2362" width="8.6640625" style="7" bestFit="1" customWidth="1"/>
    <col min="2363" max="2373" width="10.33203125" style="7" customWidth="1"/>
    <col min="2374" max="2613" width="9.1640625" style="7"/>
    <col min="2614" max="2614" width="1.6640625" style="7" customWidth="1"/>
    <col min="2615" max="2615" width="19.1640625" style="7" customWidth="1"/>
    <col min="2616" max="2616" width="35.1640625" style="7" customWidth="1"/>
    <col min="2617" max="2617" width="9.6640625" style="7" bestFit="1" customWidth="1"/>
    <col min="2618" max="2618" width="8.6640625" style="7" bestFit="1" customWidth="1"/>
    <col min="2619" max="2629" width="10.33203125" style="7" customWidth="1"/>
    <col min="2630" max="2869" width="9.1640625" style="7"/>
    <col min="2870" max="2870" width="1.6640625" style="7" customWidth="1"/>
    <col min="2871" max="2871" width="19.1640625" style="7" customWidth="1"/>
    <col min="2872" max="2872" width="35.1640625" style="7" customWidth="1"/>
    <col min="2873" max="2873" width="9.6640625" style="7" bestFit="1" customWidth="1"/>
    <col min="2874" max="2874" width="8.6640625" style="7" bestFit="1" customWidth="1"/>
    <col min="2875" max="2885" width="10.33203125" style="7" customWidth="1"/>
    <col min="2886" max="3125" width="9.1640625" style="7"/>
    <col min="3126" max="3126" width="1.6640625" style="7" customWidth="1"/>
    <col min="3127" max="3127" width="19.1640625" style="7" customWidth="1"/>
    <col min="3128" max="3128" width="35.1640625" style="7" customWidth="1"/>
    <col min="3129" max="3129" width="9.6640625" style="7" bestFit="1" customWidth="1"/>
    <col min="3130" max="3130" width="8.6640625" style="7" bestFit="1" customWidth="1"/>
    <col min="3131" max="3141" width="10.33203125" style="7" customWidth="1"/>
    <col min="3142" max="3381" width="9.1640625" style="7"/>
    <col min="3382" max="3382" width="1.6640625" style="7" customWidth="1"/>
    <col min="3383" max="3383" width="19.1640625" style="7" customWidth="1"/>
    <col min="3384" max="3384" width="35.1640625" style="7" customWidth="1"/>
    <col min="3385" max="3385" width="9.6640625" style="7" bestFit="1" customWidth="1"/>
    <col min="3386" max="3386" width="8.6640625" style="7" bestFit="1" customWidth="1"/>
    <col min="3387" max="3397" width="10.33203125" style="7" customWidth="1"/>
    <col min="3398" max="3637" width="9.1640625" style="7"/>
    <col min="3638" max="3638" width="1.6640625" style="7" customWidth="1"/>
    <col min="3639" max="3639" width="19.1640625" style="7" customWidth="1"/>
    <col min="3640" max="3640" width="35.1640625" style="7" customWidth="1"/>
    <col min="3641" max="3641" width="9.6640625" style="7" bestFit="1" customWidth="1"/>
    <col min="3642" max="3642" width="8.6640625" style="7" bestFit="1" customWidth="1"/>
    <col min="3643" max="3653" width="10.33203125" style="7" customWidth="1"/>
    <col min="3654" max="3893" width="9.1640625" style="7"/>
    <col min="3894" max="3894" width="1.6640625" style="7" customWidth="1"/>
    <col min="3895" max="3895" width="19.1640625" style="7" customWidth="1"/>
    <col min="3896" max="3896" width="35.1640625" style="7" customWidth="1"/>
    <col min="3897" max="3897" width="9.6640625" style="7" bestFit="1" customWidth="1"/>
    <col min="3898" max="3898" width="8.6640625" style="7" bestFit="1" customWidth="1"/>
    <col min="3899" max="3909" width="10.33203125" style="7" customWidth="1"/>
    <col min="3910" max="4149" width="9.1640625" style="7"/>
    <col min="4150" max="4150" width="1.6640625" style="7" customWidth="1"/>
    <col min="4151" max="4151" width="19.1640625" style="7" customWidth="1"/>
    <col min="4152" max="4152" width="35.1640625" style="7" customWidth="1"/>
    <col min="4153" max="4153" width="9.6640625" style="7" bestFit="1" customWidth="1"/>
    <col min="4154" max="4154" width="8.6640625" style="7" bestFit="1" customWidth="1"/>
    <col min="4155" max="4165" width="10.33203125" style="7" customWidth="1"/>
    <col min="4166" max="4405" width="9.1640625" style="7"/>
    <col min="4406" max="4406" width="1.6640625" style="7" customWidth="1"/>
    <col min="4407" max="4407" width="19.1640625" style="7" customWidth="1"/>
    <col min="4408" max="4408" width="35.1640625" style="7" customWidth="1"/>
    <col min="4409" max="4409" width="9.6640625" style="7" bestFit="1" customWidth="1"/>
    <col min="4410" max="4410" width="8.6640625" style="7" bestFit="1" customWidth="1"/>
    <col min="4411" max="4421" width="10.33203125" style="7" customWidth="1"/>
    <col min="4422" max="4661" width="9.1640625" style="7"/>
    <col min="4662" max="4662" width="1.6640625" style="7" customWidth="1"/>
    <col min="4663" max="4663" width="19.1640625" style="7" customWidth="1"/>
    <col min="4664" max="4664" width="35.1640625" style="7" customWidth="1"/>
    <col min="4665" max="4665" width="9.6640625" style="7" bestFit="1" customWidth="1"/>
    <col min="4666" max="4666" width="8.6640625" style="7" bestFit="1" customWidth="1"/>
    <col min="4667" max="4677" width="10.33203125" style="7" customWidth="1"/>
    <col min="4678" max="4917" width="9.1640625" style="7"/>
    <col min="4918" max="4918" width="1.6640625" style="7" customWidth="1"/>
    <col min="4919" max="4919" width="19.1640625" style="7" customWidth="1"/>
    <col min="4920" max="4920" width="35.1640625" style="7" customWidth="1"/>
    <col min="4921" max="4921" width="9.6640625" style="7" bestFit="1" customWidth="1"/>
    <col min="4922" max="4922" width="8.6640625" style="7" bestFit="1" customWidth="1"/>
    <col min="4923" max="4933" width="10.33203125" style="7" customWidth="1"/>
    <col min="4934" max="5173" width="9.1640625" style="7"/>
    <col min="5174" max="5174" width="1.6640625" style="7" customWidth="1"/>
    <col min="5175" max="5175" width="19.1640625" style="7" customWidth="1"/>
    <col min="5176" max="5176" width="35.1640625" style="7" customWidth="1"/>
    <col min="5177" max="5177" width="9.6640625" style="7" bestFit="1" customWidth="1"/>
    <col min="5178" max="5178" width="8.6640625" style="7" bestFit="1" customWidth="1"/>
    <col min="5179" max="5189" width="10.33203125" style="7" customWidth="1"/>
    <col min="5190" max="5429" width="9.1640625" style="7"/>
    <col min="5430" max="5430" width="1.6640625" style="7" customWidth="1"/>
    <col min="5431" max="5431" width="19.1640625" style="7" customWidth="1"/>
    <col min="5432" max="5432" width="35.1640625" style="7" customWidth="1"/>
    <col min="5433" max="5433" width="9.6640625" style="7" bestFit="1" customWidth="1"/>
    <col min="5434" max="5434" width="8.6640625" style="7" bestFit="1" customWidth="1"/>
    <col min="5435" max="5445" width="10.33203125" style="7" customWidth="1"/>
    <col min="5446" max="5685" width="9.1640625" style="7"/>
    <col min="5686" max="5686" width="1.6640625" style="7" customWidth="1"/>
    <col min="5687" max="5687" width="19.1640625" style="7" customWidth="1"/>
    <col min="5688" max="5688" width="35.1640625" style="7" customWidth="1"/>
    <col min="5689" max="5689" width="9.6640625" style="7" bestFit="1" customWidth="1"/>
    <col min="5690" max="5690" width="8.6640625" style="7" bestFit="1" customWidth="1"/>
    <col min="5691" max="5701" width="10.33203125" style="7" customWidth="1"/>
    <col min="5702" max="5941" width="9.1640625" style="7"/>
    <col min="5942" max="5942" width="1.6640625" style="7" customWidth="1"/>
    <col min="5943" max="5943" width="19.1640625" style="7" customWidth="1"/>
    <col min="5944" max="5944" width="35.1640625" style="7" customWidth="1"/>
    <col min="5945" max="5945" width="9.6640625" style="7" bestFit="1" customWidth="1"/>
    <col min="5946" max="5946" width="8.6640625" style="7" bestFit="1" customWidth="1"/>
    <col min="5947" max="5957" width="10.33203125" style="7" customWidth="1"/>
    <col min="5958" max="6197" width="9.1640625" style="7"/>
    <col min="6198" max="6198" width="1.6640625" style="7" customWidth="1"/>
    <col min="6199" max="6199" width="19.1640625" style="7" customWidth="1"/>
    <col min="6200" max="6200" width="35.1640625" style="7" customWidth="1"/>
    <col min="6201" max="6201" width="9.6640625" style="7" bestFit="1" customWidth="1"/>
    <col min="6202" max="6202" width="8.6640625" style="7" bestFit="1" customWidth="1"/>
    <col min="6203" max="6213" width="10.33203125" style="7" customWidth="1"/>
    <col min="6214" max="6453" width="9.1640625" style="7"/>
    <col min="6454" max="6454" width="1.6640625" style="7" customWidth="1"/>
    <col min="6455" max="6455" width="19.1640625" style="7" customWidth="1"/>
    <col min="6456" max="6456" width="35.1640625" style="7" customWidth="1"/>
    <col min="6457" max="6457" width="9.6640625" style="7" bestFit="1" customWidth="1"/>
    <col min="6458" max="6458" width="8.6640625" style="7" bestFit="1" customWidth="1"/>
    <col min="6459" max="6469" width="10.33203125" style="7" customWidth="1"/>
    <col min="6470" max="6709" width="9.1640625" style="7"/>
    <col min="6710" max="6710" width="1.6640625" style="7" customWidth="1"/>
    <col min="6711" max="6711" width="19.1640625" style="7" customWidth="1"/>
    <col min="6712" max="6712" width="35.1640625" style="7" customWidth="1"/>
    <col min="6713" max="6713" width="9.6640625" style="7" bestFit="1" customWidth="1"/>
    <col min="6714" max="6714" width="8.6640625" style="7" bestFit="1" customWidth="1"/>
    <col min="6715" max="6725" width="10.33203125" style="7" customWidth="1"/>
    <col min="6726" max="6965" width="9.1640625" style="7"/>
    <col min="6966" max="6966" width="1.6640625" style="7" customWidth="1"/>
    <col min="6967" max="6967" width="19.1640625" style="7" customWidth="1"/>
    <col min="6968" max="6968" width="35.1640625" style="7" customWidth="1"/>
    <col min="6969" max="6969" width="9.6640625" style="7" bestFit="1" customWidth="1"/>
    <col min="6970" max="6970" width="8.6640625" style="7" bestFit="1" customWidth="1"/>
    <col min="6971" max="6981" width="10.33203125" style="7" customWidth="1"/>
    <col min="6982" max="7221" width="9.1640625" style="7"/>
    <col min="7222" max="7222" width="1.6640625" style="7" customWidth="1"/>
    <col min="7223" max="7223" width="19.1640625" style="7" customWidth="1"/>
    <col min="7224" max="7224" width="35.1640625" style="7" customWidth="1"/>
    <col min="7225" max="7225" width="9.6640625" style="7" bestFit="1" customWidth="1"/>
    <col min="7226" max="7226" width="8.6640625" style="7" bestFit="1" customWidth="1"/>
    <col min="7227" max="7237" width="10.33203125" style="7" customWidth="1"/>
    <col min="7238" max="7477" width="9.1640625" style="7"/>
    <col min="7478" max="7478" width="1.6640625" style="7" customWidth="1"/>
    <col min="7479" max="7479" width="19.1640625" style="7" customWidth="1"/>
    <col min="7480" max="7480" width="35.1640625" style="7" customWidth="1"/>
    <col min="7481" max="7481" width="9.6640625" style="7" bestFit="1" customWidth="1"/>
    <col min="7482" max="7482" width="8.6640625" style="7" bestFit="1" customWidth="1"/>
    <col min="7483" max="7493" width="10.33203125" style="7" customWidth="1"/>
    <col min="7494" max="7733" width="9.1640625" style="7"/>
    <col min="7734" max="7734" width="1.6640625" style="7" customWidth="1"/>
    <col min="7735" max="7735" width="19.1640625" style="7" customWidth="1"/>
    <col min="7736" max="7736" width="35.1640625" style="7" customWidth="1"/>
    <col min="7737" max="7737" width="9.6640625" style="7" bestFit="1" customWidth="1"/>
    <col min="7738" max="7738" width="8.6640625" style="7" bestFit="1" customWidth="1"/>
    <col min="7739" max="7749" width="10.33203125" style="7" customWidth="1"/>
    <col min="7750" max="7989" width="9.1640625" style="7"/>
    <col min="7990" max="7990" width="1.6640625" style="7" customWidth="1"/>
    <col min="7991" max="7991" width="19.1640625" style="7" customWidth="1"/>
    <col min="7992" max="7992" width="35.1640625" style="7" customWidth="1"/>
    <col min="7993" max="7993" width="9.6640625" style="7" bestFit="1" customWidth="1"/>
    <col min="7994" max="7994" width="8.6640625" style="7" bestFit="1" customWidth="1"/>
    <col min="7995" max="8005" width="10.33203125" style="7" customWidth="1"/>
    <col min="8006" max="8245" width="9.1640625" style="7"/>
    <col min="8246" max="8246" width="1.6640625" style="7" customWidth="1"/>
    <col min="8247" max="8247" width="19.1640625" style="7" customWidth="1"/>
    <col min="8248" max="8248" width="35.1640625" style="7" customWidth="1"/>
    <col min="8249" max="8249" width="9.6640625" style="7" bestFit="1" customWidth="1"/>
    <col min="8250" max="8250" width="8.6640625" style="7" bestFit="1" customWidth="1"/>
    <col min="8251" max="8261" width="10.33203125" style="7" customWidth="1"/>
    <col min="8262" max="8501" width="9.1640625" style="7"/>
    <col min="8502" max="8502" width="1.6640625" style="7" customWidth="1"/>
    <col min="8503" max="8503" width="19.1640625" style="7" customWidth="1"/>
    <col min="8504" max="8504" width="35.1640625" style="7" customWidth="1"/>
    <col min="8505" max="8505" width="9.6640625" style="7" bestFit="1" customWidth="1"/>
    <col min="8506" max="8506" width="8.6640625" style="7" bestFit="1" customWidth="1"/>
    <col min="8507" max="8517" width="10.33203125" style="7" customWidth="1"/>
    <col min="8518" max="8757" width="9.1640625" style="7"/>
    <col min="8758" max="8758" width="1.6640625" style="7" customWidth="1"/>
    <col min="8759" max="8759" width="19.1640625" style="7" customWidth="1"/>
    <col min="8760" max="8760" width="35.1640625" style="7" customWidth="1"/>
    <col min="8761" max="8761" width="9.6640625" style="7" bestFit="1" customWidth="1"/>
    <col min="8762" max="8762" width="8.6640625" style="7" bestFit="1" customWidth="1"/>
    <col min="8763" max="8773" width="10.33203125" style="7" customWidth="1"/>
    <col min="8774" max="9013" width="9.1640625" style="7"/>
    <col min="9014" max="9014" width="1.6640625" style="7" customWidth="1"/>
    <col min="9015" max="9015" width="19.1640625" style="7" customWidth="1"/>
    <col min="9016" max="9016" width="35.1640625" style="7" customWidth="1"/>
    <col min="9017" max="9017" width="9.6640625" style="7" bestFit="1" customWidth="1"/>
    <col min="9018" max="9018" width="8.6640625" style="7" bestFit="1" customWidth="1"/>
    <col min="9019" max="9029" width="10.33203125" style="7" customWidth="1"/>
    <col min="9030" max="9269" width="9.1640625" style="7"/>
    <col min="9270" max="9270" width="1.6640625" style="7" customWidth="1"/>
    <col min="9271" max="9271" width="19.1640625" style="7" customWidth="1"/>
    <col min="9272" max="9272" width="35.1640625" style="7" customWidth="1"/>
    <col min="9273" max="9273" width="9.6640625" style="7" bestFit="1" customWidth="1"/>
    <col min="9274" max="9274" width="8.6640625" style="7" bestFit="1" customWidth="1"/>
    <col min="9275" max="9285" width="10.33203125" style="7" customWidth="1"/>
    <col min="9286" max="9525" width="9.1640625" style="7"/>
    <col min="9526" max="9526" width="1.6640625" style="7" customWidth="1"/>
    <col min="9527" max="9527" width="19.1640625" style="7" customWidth="1"/>
    <col min="9528" max="9528" width="35.1640625" style="7" customWidth="1"/>
    <col min="9529" max="9529" width="9.6640625" style="7" bestFit="1" customWidth="1"/>
    <col min="9530" max="9530" width="8.6640625" style="7" bestFit="1" customWidth="1"/>
    <col min="9531" max="9541" width="10.33203125" style="7" customWidth="1"/>
    <col min="9542" max="9781" width="9.1640625" style="7"/>
    <col min="9782" max="9782" width="1.6640625" style="7" customWidth="1"/>
    <col min="9783" max="9783" width="19.1640625" style="7" customWidth="1"/>
    <col min="9784" max="9784" width="35.1640625" style="7" customWidth="1"/>
    <col min="9785" max="9785" width="9.6640625" style="7" bestFit="1" customWidth="1"/>
    <col min="9786" max="9786" width="8.6640625" style="7" bestFit="1" customWidth="1"/>
    <col min="9787" max="9797" width="10.33203125" style="7" customWidth="1"/>
    <col min="9798" max="10037" width="9.1640625" style="7"/>
    <col min="10038" max="10038" width="1.6640625" style="7" customWidth="1"/>
    <col min="10039" max="10039" width="19.1640625" style="7" customWidth="1"/>
    <col min="10040" max="10040" width="35.1640625" style="7" customWidth="1"/>
    <col min="10041" max="10041" width="9.6640625" style="7" bestFit="1" customWidth="1"/>
    <col min="10042" max="10042" width="8.6640625" style="7" bestFit="1" customWidth="1"/>
    <col min="10043" max="10053" width="10.33203125" style="7" customWidth="1"/>
    <col min="10054" max="10293" width="9.1640625" style="7"/>
    <col min="10294" max="10294" width="1.6640625" style="7" customWidth="1"/>
    <col min="10295" max="10295" width="19.1640625" style="7" customWidth="1"/>
    <col min="10296" max="10296" width="35.1640625" style="7" customWidth="1"/>
    <col min="10297" max="10297" width="9.6640625" style="7" bestFit="1" customWidth="1"/>
    <col min="10298" max="10298" width="8.6640625" style="7" bestFit="1" customWidth="1"/>
    <col min="10299" max="10309" width="10.33203125" style="7" customWidth="1"/>
    <col min="10310" max="10549" width="9.1640625" style="7"/>
    <col min="10550" max="10550" width="1.6640625" style="7" customWidth="1"/>
    <col min="10551" max="10551" width="19.1640625" style="7" customWidth="1"/>
    <col min="10552" max="10552" width="35.1640625" style="7" customWidth="1"/>
    <col min="10553" max="10553" width="9.6640625" style="7" bestFit="1" customWidth="1"/>
    <col min="10554" max="10554" width="8.6640625" style="7" bestFit="1" customWidth="1"/>
    <col min="10555" max="10565" width="10.33203125" style="7" customWidth="1"/>
    <col min="10566" max="10805" width="9.1640625" style="7"/>
    <col min="10806" max="10806" width="1.6640625" style="7" customWidth="1"/>
    <col min="10807" max="10807" width="19.1640625" style="7" customWidth="1"/>
    <col min="10808" max="10808" width="35.1640625" style="7" customWidth="1"/>
    <col min="10809" max="10809" width="9.6640625" style="7" bestFit="1" customWidth="1"/>
    <col min="10810" max="10810" width="8.6640625" style="7" bestFit="1" customWidth="1"/>
    <col min="10811" max="10821" width="10.33203125" style="7" customWidth="1"/>
    <col min="10822" max="11061" width="9.1640625" style="7"/>
    <col min="11062" max="11062" width="1.6640625" style="7" customWidth="1"/>
    <col min="11063" max="11063" width="19.1640625" style="7" customWidth="1"/>
    <col min="11064" max="11064" width="35.1640625" style="7" customWidth="1"/>
    <col min="11065" max="11065" width="9.6640625" style="7" bestFit="1" customWidth="1"/>
    <col min="11066" max="11066" width="8.6640625" style="7" bestFit="1" customWidth="1"/>
    <col min="11067" max="11077" width="10.33203125" style="7" customWidth="1"/>
    <col min="11078" max="11317" width="9.1640625" style="7"/>
    <col min="11318" max="11318" width="1.6640625" style="7" customWidth="1"/>
    <col min="11319" max="11319" width="19.1640625" style="7" customWidth="1"/>
    <col min="11320" max="11320" width="35.1640625" style="7" customWidth="1"/>
    <col min="11321" max="11321" width="9.6640625" style="7" bestFit="1" customWidth="1"/>
    <col min="11322" max="11322" width="8.6640625" style="7" bestFit="1" customWidth="1"/>
    <col min="11323" max="11333" width="10.33203125" style="7" customWidth="1"/>
    <col min="11334" max="11573" width="9.1640625" style="7"/>
    <col min="11574" max="11574" width="1.6640625" style="7" customWidth="1"/>
    <col min="11575" max="11575" width="19.1640625" style="7" customWidth="1"/>
    <col min="11576" max="11576" width="35.1640625" style="7" customWidth="1"/>
    <col min="11577" max="11577" width="9.6640625" style="7" bestFit="1" customWidth="1"/>
    <col min="11578" max="11578" width="8.6640625" style="7" bestFit="1" customWidth="1"/>
    <col min="11579" max="11589" width="10.33203125" style="7" customWidth="1"/>
    <col min="11590" max="11829" width="9.1640625" style="7"/>
    <col min="11830" max="11830" width="1.6640625" style="7" customWidth="1"/>
    <col min="11831" max="11831" width="19.1640625" style="7" customWidth="1"/>
    <col min="11832" max="11832" width="35.1640625" style="7" customWidth="1"/>
    <col min="11833" max="11833" width="9.6640625" style="7" bestFit="1" customWidth="1"/>
    <col min="11834" max="11834" width="8.6640625" style="7" bestFit="1" customWidth="1"/>
    <col min="11835" max="11845" width="10.33203125" style="7" customWidth="1"/>
    <col min="11846" max="12085" width="9.1640625" style="7"/>
    <col min="12086" max="12086" width="1.6640625" style="7" customWidth="1"/>
    <col min="12087" max="12087" width="19.1640625" style="7" customWidth="1"/>
    <col min="12088" max="12088" width="35.1640625" style="7" customWidth="1"/>
    <col min="12089" max="12089" width="9.6640625" style="7" bestFit="1" customWidth="1"/>
    <col min="12090" max="12090" width="8.6640625" style="7" bestFit="1" customWidth="1"/>
    <col min="12091" max="12101" width="10.33203125" style="7" customWidth="1"/>
    <col min="12102" max="12341" width="9.1640625" style="7"/>
    <col min="12342" max="12342" width="1.6640625" style="7" customWidth="1"/>
    <col min="12343" max="12343" width="19.1640625" style="7" customWidth="1"/>
    <col min="12344" max="12344" width="35.1640625" style="7" customWidth="1"/>
    <col min="12345" max="12345" width="9.6640625" style="7" bestFit="1" customWidth="1"/>
    <col min="12346" max="12346" width="8.6640625" style="7" bestFit="1" customWidth="1"/>
    <col min="12347" max="12357" width="10.33203125" style="7" customWidth="1"/>
    <col min="12358" max="12597" width="9.1640625" style="7"/>
    <col min="12598" max="12598" width="1.6640625" style="7" customWidth="1"/>
    <col min="12599" max="12599" width="19.1640625" style="7" customWidth="1"/>
    <col min="12600" max="12600" width="35.1640625" style="7" customWidth="1"/>
    <col min="12601" max="12601" width="9.6640625" style="7" bestFit="1" customWidth="1"/>
    <col min="12602" max="12602" width="8.6640625" style="7" bestFit="1" customWidth="1"/>
    <col min="12603" max="12613" width="10.33203125" style="7" customWidth="1"/>
    <col min="12614" max="12853" width="9.1640625" style="7"/>
    <col min="12854" max="12854" width="1.6640625" style="7" customWidth="1"/>
    <col min="12855" max="12855" width="19.1640625" style="7" customWidth="1"/>
    <col min="12856" max="12856" width="35.1640625" style="7" customWidth="1"/>
    <col min="12857" max="12857" width="9.6640625" style="7" bestFit="1" customWidth="1"/>
    <col min="12858" max="12858" width="8.6640625" style="7" bestFit="1" customWidth="1"/>
    <col min="12859" max="12869" width="10.33203125" style="7" customWidth="1"/>
    <col min="12870" max="13109" width="9.1640625" style="7"/>
    <col min="13110" max="13110" width="1.6640625" style="7" customWidth="1"/>
    <col min="13111" max="13111" width="19.1640625" style="7" customWidth="1"/>
    <col min="13112" max="13112" width="35.1640625" style="7" customWidth="1"/>
    <col min="13113" max="13113" width="9.6640625" style="7" bestFit="1" customWidth="1"/>
    <col min="13114" max="13114" width="8.6640625" style="7" bestFit="1" customWidth="1"/>
    <col min="13115" max="13125" width="10.33203125" style="7" customWidth="1"/>
    <col min="13126" max="13365" width="9.1640625" style="7"/>
    <col min="13366" max="13366" width="1.6640625" style="7" customWidth="1"/>
    <col min="13367" max="13367" width="19.1640625" style="7" customWidth="1"/>
    <col min="13368" max="13368" width="35.1640625" style="7" customWidth="1"/>
    <col min="13369" max="13369" width="9.6640625" style="7" bestFit="1" customWidth="1"/>
    <col min="13370" max="13370" width="8.6640625" style="7" bestFit="1" customWidth="1"/>
    <col min="13371" max="13381" width="10.33203125" style="7" customWidth="1"/>
    <col min="13382" max="13621" width="9.1640625" style="7"/>
    <col min="13622" max="13622" width="1.6640625" style="7" customWidth="1"/>
    <col min="13623" max="13623" width="19.1640625" style="7" customWidth="1"/>
    <col min="13624" max="13624" width="35.1640625" style="7" customWidth="1"/>
    <col min="13625" max="13625" width="9.6640625" style="7" bestFit="1" customWidth="1"/>
    <col min="13626" max="13626" width="8.6640625" style="7" bestFit="1" customWidth="1"/>
    <col min="13627" max="13637" width="10.33203125" style="7" customWidth="1"/>
    <col min="13638" max="13877" width="9.1640625" style="7"/>
    <col min="13878" max="13878" width="1.6640625" style="7" customWidth="1"/>
    <col min="13879" max="13879" width="19.1640625" style="7" customWidth="1"/>
    <col min="13880" max="13880" width="35.1640625" style="7" customWidth="1"/>
    <col min="13881" max="13881" width="9.6640625" style="7" bestFit="1" customWidth="1"/>
    <col min="13882" max="13882" width="8.6640625" style="7" bestFit="1" customWidth="1"/>
    <col min="13883" max="13893" width="10.33203125" style="7" customWidth="1"/>
    <col min="13894" max="14133" width="9.1640625" style="7"/>
    <col min="14134" max="14134" width="1.6640625" style="7" customWidth="1"/>
    <col min="14135" max="14135" width="19.1640625" style="7" customWidth="1"/>
    <col min="14136" max="14136" width="35.1640625" style="7" customWidth="1"/>
    <col min="14137" max="14137" width="9.6640625" style="7" bestFit="1" customWidth="1"/>
    <col min="14138" max="14138" width="8.6640625" style="7" bestFit="1" customWidth="1"/>
    <col min="14139" max="14149" width="10.33203125" style="7" customWidth="1"/>
    <col min="14150" max="14389" width="9.1640625" style="7"/>
    <col min="14390" max="14390" width="1.6640625" style="7" customWidth="1"/>
    <col min="14391" max="14391" width="19.1640625" style="7" customWidth="1"/>
    <col min="14392" max="14392" width="35.1640625" style="7" customWidth="1"/>
    <col min="14393" max="14393" width="9.6640625" style="7" bestFit="1" customWidth="1"/>
    <col min="14394" max="14394" width="8.6640625" style="7" bestFit="1" customWidth="1"/>
    <col min="14395" max="14405" width="10.33203125" style="7" customWidth="1"/>
    <col min="14406" max="14645" width="9.1640625" style="7"/>
    <col min="14646" max="14646" width="1.6640625" style="7" customWidth="1"/>
    <col min="14647" max="14647" width="19.1640625" style="7" customWidth="1"/>
    <col min="14648" max="14648" width="35.1640625" style="7" customWidth="1"/>
    <col min="14649" max="14649" width="9.6640625" style="7" bestFit="1" customWidth="1"/>
    <col min="14650" max="14650" width="8.6640625" style="7" bestFit="1" customWidth="1"/>
    <col min="14651" max="14661" width="10.33203125" style="7" customWidth="1"/>
    <col min="14662" max="14901" width="9.1640625" style="7"/>
    <col min="14902" max="14902" width="1.6640625" style="7" customWidth="1"/>
    <col min="14903" max="14903" width="19.1640625" style="7" customWidth="1"/>
    <col min="14904" max="14904" width="35.1640625" style="7" customWidth="1"/>
    <col min="14905" max="14905" width="9.6640625" style="7" bestFit="1" customWidth="1"/>
    <col min="14906" max="14906" width="8.6640625" style="7" bestFit="1" customWidth="1"/>
    <col min="14907" max="14917" width="10.33203125" style="7" customWidth="1"/>
    <col min="14918" max="15157" width="9.1640625" style="7"/>
    <col min="15158" max="15158" width="1.6640625" style="7" customWidth="1"/>
    <col min="15159" max="15159" width="19.1640625" style="7" customWidth="1"/>
    <col min="15160" max="15160" width="35.1640625" style="7" customWidth="1"/>
    <col min="15161" max="15161" width="9.6640625" style="7" bestFit="1" customWidth="1"/>
    <col min="15162" max="15162" width="8.6640625" style="7" bestFit="1" customWidth="1"/>
    <col min="15163" max="15173" width="10.33203125" style="7" customWidth="1"/>
    <col min="15174" max="15413" width="9.1640625" style="7"/>
    <col min="15414" max="15414" width="1.6640625" style="7" customWidth="1"/>
    <col min="15415" max="15415" width="19.1640625" style="7" customWidth="1"/>
    <col min="15416" max="15416" width="35.1640625" style="7" customWidth="1"/>
    <col min="15417" max="15417" width="9.6640625" style="7" bestFit="1" customWidth="1"/>
    <col min="15418" max="15418" width="8.6640625" style="7" bestFit="1" customWidth="1"/>
    <col min="15419" max="15429" width="10.33203125" style="7" customWidth="1"/>
    <col min="15430" max="15669" width="9.1640625" style="7"/>
    <col min="15670" max="15670" width="1.6640625" style="7" customWidth="1"/>
    <col min="15671" max="15671" width="19.1640625" style="7" customWidth="1"/>
    <col min="15672" max="15672" width="35.1640625" style="7" customWidth="1"/>
    <col min="15673" max="15673" width="9.6640625" style="7" bestFit="1" customWidth="1"/>
    <col min="15674" max="15674" width="8.6640625" style="7" bestFit="1" customWidth="1"/>
    <col min="15675" max="15685" width="10.33203125" style="7" customWidth="1"/>
    <col min="15686" max="15925" width="9.1640625" style="7"/>
    <col min="15926" max="15926" width="1.6640625" style="7" customWidth="1"/>
    <col min="15927" max="15927" width="19.1640625" style="7" customWidth="1"/>
    <col min="15928" max="15928" width="35.1640625" style="7" customWidth="1"/>
    <col min="15929" max="15929" width="9.6640625" style="7" bestFit="1" customWidth="1"/>
    <col min="15930" max="15930" width="8.6640625" style="7" bestFit="1" customWidth="1"/>
    <col min="15931" max="15941" width="10.33203125" style="7" customWidth="1"/>
    <col min="15942" max="16181" width="9.1640625" style="7"/>
    <col min="16182" max="16182" width="1.6640625" style="7" customWidth="1"/>
    <col min="16183" max="16183" width="19.1640625" style="7" customWidth="1"/>
    <col min="16184" max="16184" width="35.1640625" style="7" customWidth="1"/>
    <col min="16185" max="16185" width="9.6640625" style="7" bestFit="1" customWidth="1"/>
    <col min="16186" max="16186" width="8.6640625" style="7" bestFit="1" customWidth="1"/>
    <col min="16187" max="16197" width="10.33203125" style="7" customWidth="1"/>
    <col min="16198" max="16384" width="9.1640625" style="7"/>
  </cols>
  <sheetData>
    <row r="1" spans="1:70" ht="27" thickBot="1" x14ac:dyDescent="0.25">
      <c r="A1" s="836"/>
      <c r="B1" s="836"/>
      <c r="C1" s="836"/>
      <c r="D1" s="836"/>
      <c r="E1" s="836"/>
      <c r="F1" s="836"/>
      <c r="G1" s="837" t="s">
        <v>203</v>
      </c>
      <c r="H1" s="838"/>
      <c r="I1" s="838"/>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39"/>
      <c r="AY1" s="839"/>
      <c r="AZ1" s="839"/>
      <c r="BA1" s="839"/>
      <c r="BB1" s="839"/>
      <c r="BC1" s="839"/>
      <c r="BD1" s="839"/>
      <c r="BE1" s="839"/>
      <c r="BF1" s="839"/>
      <c r="BG1" s="839"/>
      <c r="BH1" s="839"/>
      <c r="BI1" s="839"/>
      <c r="BJ1" s="839"/>
      <c r="BK1" s="839"/>
      <c r="BL1" s="839"/>
      <c r="BM1" s="839"/>
      <c r="BN1" s="839"/>
      <c r="BO1" s="839"/>
      <c r="BP1" s="839"/>
      <c r="BQ1" s="840"/>
    </row>
    <row r="2" spans="1:70" ht="36" customHeight="1" x14ac:dyDescent="0.2">
      <c r="A2" s="242"/>
      <c r="B2" s="242"/>
      <c r="C2" s="242"/>
      <c r="D2" s="826" t="s">
        <v>96</v>
      </c>
      <c r="E2" s="827"/>
      <c r="F2" s="828"/>
      <c r="G2" s="823" t="str">
        <f>'TCO TO BE- SW'!F2</f>
        <v>Modul MyData</v>
      </c>
      <c r="H2" s="824"/>
      <c r="I2" s="825"/>
      <c r="J2" s="823" t="str">
        <f>'TCO TO BE- SW'!G2</f>
        <v>Transformačný modul</v>
      </c>
      <c r="K2" s="824"/>
      <c r="L2" s="825"/>
      <c r="M2" s="823" t="str">
        <f>'TCO TO BE- SW'!H2</f>
        <v xml:space="preserve">Modul kvality a čistenia údajov </v>
      </c>
      <c r="N2" s="824"/>
      <c r="O2" s="825"/>
      <c r="P2" s="823" t="str">
        <f>'TCO TO BE- SW'!I2</f>
        <v>Centrálny integračný komponent </v>
      </c>
      <c r="Q2" s="824"/>
      <c r="R2" s="825"/>
      <c r="S2" s="823" t="str">
        <f>'TCO TO BE- SW'!J2</f>
        <v xml:space="preserve">Centrálna správa kmeňových údajov </v>
      </c>
      <c r="T2" s="824"/>
      <c r="U2" s="825"/>
      <c r="V2" s="823" t="str">
        <f>'TCO TO BE- SW'!K2</f>
        <v>Centrálna správa agendových číselníkov</v>
      </c>
      <c r="W2" s="824"/>
      <c r="X2" s="825"/>
      <c r="Y2" s="823" t="str">
        <f>'TCO TO BE- SW'!L2</f>
        <v>Lokálny katalóg otvorených údajov</v>
      </c>
      <c r="Z2" s="824"/>
      <c r="AA2" s="825"/>
      <c r="AB2" s="823">
        <f>'TCO TO BE- SW'!M2</f>
        <v>0</v>
      </c>
      <c r="AC2" s="824"/>
      <c r="AD2" s="825"/>
      <c r="AE2" s="823">
        <f>'TCO TO BE- SW'!N2</f>
        <v>0</v>
      </c>
      <c r="AF2" s="824"/>
      <c r="AG2" s="825"/>
      <c r="AH2" s="823">
        <f>'TCO TO BE- SW'!O2</f>
        <v>0</v>
      </c>
      <c r="AI2" s="824"/>
      <c r="AJ2" s="825"/>
      <c r="AK2" s="823">
        <f>'TCO TO BE- SW'!P2</f>
        <v>0</v>
      </c>
      <c r="AL2" s="824"/>
      <c r="AM2" s="825"/>
      <c r="AN2" s="823">
        <f>'TCO TO BE- SW'!Q2</f>
        <v>0</v>
      </c>
      <c r="AO2" s="824"/>
      <c r="AP2" s="825"/>
      <c r="AQ2" s="823">
        <f>'TCO TO BE- SW'!R2</f>
        <v>0</v>
      </c>
      <c r="AR2" s="824"/>
      <c r="AS2" s="825"/>
      <c r="AT2" s="823">
        <f>'TCO TO BE- SW'!S2</f>
        <v>0</v>
      </c>
      <c r="AU2" s="824"/>
      <c r="AV2" s="825"/>
      <c r="AW2" s="823">
        <f>'TCO TO BE- SW'!T2</f>
        <v>0</v>
      </c>
      <c r="AX2" s="824"/>
      <c r="AY2" s="825"/>
      <c r="AZ2" s="823">
        <f>'TCO TO BE- SW'!U2</f>
        <v>0</v>
      </c>
      <c r="BA2" s="824"/>
      <c r="BB2" s="825"/>
      <c r="BC2" s="823">
        <f>'TCO TO BE- SW'!V2</f>
        <v>0</v>
      </c>
      <c r="BD2" s="824"/>
      <c r="BE2" s="825"/>
      <c r="BF2" s="823">
        <f>'TCO TO BE- SW'!W2</f>
        <v>0</v>
      </c>
      <c r="BG2" s="824"/>
      <c r="BH2" s="825"/>
      <c r="BI2" s="823">
        <f>'TCO TO BE- SW'!X2</f>
        <v>0</v>
      </c>
      <c r="BJ2" s="824"/>
      <c r="BK2" s="825"/>
      <c r="BL2" s="823">
        <f>'TCO TO BE- SW'!Y2</f>
        <v>0</v>
      </c>
      <c r="BM2" s="824"/>
      <c r="BN2" s="825"/>
      <c r="BO2" s="823">
        <f>'TCO TO BE- SW'!Z2</f>
        <v>0</v>
      </c>
      <c r="BP2" s="824"/>
      <c r="BQ2" s="825"/>
    </row>
    <row r="3" spans="1:70" ht="36" customHeight="1" thickBot="1" x14ac:dyDescent="0.25">
      <c r="A3" s="242" t="s">
        <v>204</v>
      </c>
      <c r="B3" s="242"/>
      <c r="C3" s="242"/>
      <c r="D3" s="363"/>
      <c r="E3" s="361"/>
      <c r="F3" s="362"/>
      <c r="G3" s="829"/>
      <c r="H3" s="830"/>
      <c r="I3" s="831"/>
      <c r="J3" s="829"/>
      <c r="K3" s="830"/>
      <c r="L3" s="831"/>
      <c r="M3" s="829"/>
      <c r="N3" s="830"/>
      <c r="O3" s="831"/>
      <c r="P3" s="829"/>
      <c r="Q3" s="830"/>
      <c r="R3" s="831"/>
      <c r="S3" s="829"/>
      <c r="T3" s="830"/>
      <c r="U3" s="831"/>
      <c r="V3" s="829"/>
      <c r="W3" s="830"/>
      <c r="X3" s="831"/>
      <c r="Y3" s="829"/>
      <c r="Z3" s="830"/>
      <c r="AA3" s="831"/>
      <c r="AB3" s="829"/>
      <c r="AC3" s="830"/>
      <c r="AD3" s="831"/>
      <c r="AE3" s="829"/>
      <c r="AF3" s="830"/>
      <c r="AG3" s="831"/>
      <c r="AH3" s="829"/>
      <c r="AI3" s="830"/>
      <c r="AJ3" s="831"/>
      <c r="AK3" s="829"/>
      <c r="AL3" s="830"/>
      <c r="AM3" s="831"/>
      <c r="AN3" s="829"/>
      <c r="AO3" s="830"/>
      <c r="AP3" s="831"/>
      <c r="AQ3" s="829"/>
      <c r="AR3" s="830"/>
      <c r="AS3" s="831"/>
      <c r="AT3" s="829"/>
      <c r="AU3" s="830"/>
      <c r="AV3" s="831"/>
      <c r="AW3" s="829"/>
      <c r="AX3" s="830"/>
      <c r="AY3" s="831"/>
      <c r="AZ3" s="829"/>
      <c r="BA3" s="830"/>
      <c r="BB3" s="831"/>
      <c r="BC3" s="829"/>
      <c r="BD3" s="830"/>
      <c r="BE3" s="831"/>
      <c r="BF3" s="829"/>
      <c r="BG3" s="830"/>
      <c r="BH3" s="831"/>
      <c r="BI3" s="829"/>
      <c r="BJ3" s="830"/>
      <c r="BK3" s="831"/>
      <c r="BL3" s="829"/>
      <c r="BM3" s="830"/>
      <c r="BN3" s="831"/>
      <c r="BO3" s="829"/>
      <c r="BP3" s="830"/>
      <c r="BQ3" s="831"/>
    </row>
    <row r="4" spans="1:70" s="58" customFormat="1" ht="15.75" customHeight="1" thickBot="1" x14ac:dyDescent="0.25">
      <c r="A4" s="244" t="s">
        <v>205</v>
      </c>
      <c r="B4" s="244" t="s">
        <v>206</v>
      </c>
      <c r="C4" s="244" t="s">
        <v>159</v>
      </c>
      <c r="D4" s="245" t="s">
        <v>160</v>
      </c>
      <c r="E4" s="246" t="s">
        <v>161</v>
      </c>
      <c r="F4" s="247" t="s">
        <v>207</v>
      </c>
      <c r="G4" s="248" t="s">
        <v>160</v>
      </c>
      <c r="H4" s="248" t="s">
        <v>161</v>
      </c>
      <c r="I4" s="249" t="s">
        <v>207</v>
      </c>
      <c r="J4" s="248" t="s">
        <v>160</v>
      </c>
      <c r="K4" s="248" t="s">
        <v>161</v>
      </c>
      <c r="L4" s="249" t="s">
        <v>207</v>
      </c>
      <c r="M4" s="248" t="s">
        <v>160</v>
      </c>
      <c r="N4" s="248" t="s">
        <v>161</v>
      </c>
      <c r="O4" s="249" t="s">
        <v>207</v>
      </c>
      <c r="P4" s="248" t="s">
        <v>160</v>
      </c>
      <c r="Q4" s="248" t="s">
        <v>161</v>
      </c>
      <c r="R4" s="249" t="s">
        <v>207</v>
      </c>
      <c r="S4" s="248" t="s">
        <v>160</v>
      </c>
      <c r="T4" s="248" t="s">
        <v>161</v>
      </c>
      <c r="U4" s="249" t="s">
        <v>207</v>
      </c>
      <c r="V4" s="248" t="s">
        <v>160</v>
      </c>
      <c r="W4" s="248" t="s">
        <v>161</v>
      </c>
      <c r="X4" s="249" t="s">
        <v>207</v>
      </c>
      <c r="Y4" s="248" t="s">
        <v>160</v>
      </c>
      <c r="Z4" s="248" t="s">
        <v>161</v>
      </c>
      <c r="AA4" s="249" t="s">
        <v>207</v>
      </c>
      <c r="AB4" s="248" t="s">
        <v>160</v>
      </c>
      <c r="AC4" s="248" t="s">
        <v>161</v>
      </c>
      <c r="AD4" s="249" t="s">
        <v>207</v>
      </c>
      <c r="AE4" s="248" t="s">
        <v>160</v>
      </c>
      <c r="AF4" s="248" t="s">
        <v>161</v>
      </c>
      <c r="AG4" s="249" t="s">
        <v>207</v>
      </c>
      <c r="AH4" s="248" t="s">
        <v>160</v>
      </c>
      <c r="AI4" s="248" t="s">
        <v>161</v>
      </c>
      <c r="AJ4" s="249" t="s">
        <v>207</v>
      </c>
      <c r="AK4" s="248" t="s">
        <v>160</v>
      </c>
      <c r="AL4" s="248" t="s">
        <v>161</v>
      </c>
      <c r="AM4" s="249" t="s">
        <v>207</v>
      </c>
      <c r="AN4" s="248" t="s">
        <v>160</v>
      </c>
      <c r="AO4" s="248" t="s">
        <v>161</v>
      </c>
      <c r="AP4" s="249" t="s">
        <v>207</v>
      </c>
      <c r="AQ4" s="248" t="s">
        <v>160</v>
      </c>
      <c r="AR4" s="248" t="s">
        <v>161</v>
      </c>
      <c r="AS4" s="249" t="s">
        <v>207</v>
      </c>
      <c r="AT4" s="248" t="s">
        <v>160</v>
      </c>
      <c r="AU4" s="248" t="s">
        <v>161</v>
      </c>
      <c r="AV4" s="249" t="s">
        <v>207</v>
      </c>
      <c r="AW4" s="248" t="s">
        <v>160</v>
      </c>
      <c r="AX4" s="248" t="s">
        <v>161</v>
      </c>
      <c r="AY4" s="249" t="s">
        <v>207</v>
      </c>
      <c r="AZ4" s="248" t="s">
        <v>160</v>
      </c>
      <c r="BA4" s="248" t="s">
        <v>161</v>
      </c>
      <c r="BB4" s="249" t="s">
        <v>207</v>
      </c>
      <c r="BC4" s="248" t="s">
        <v>160</v>
      </c>
      <c r="BD4" s="248" t="s">
        <v>161</v>
      </c>
      <c r="BE4" s="249" t="s">
        <v>207</v>
      </c>
      <c r="BF4" s="248" t="s">
        <v>160</v>
      </c>
      <c r="BG4" s="248" t="s">
        <v>161</v>
      </c>
      <c r="BH4" s="249" t="s">
        <v>207</v>
      </c>
      <c r="BI4" s="248" t="s">
        <v>160</v>
      </c>
      <c r="BJ4" s="248" t="s">
        <v>161</v>
      </c>
      <c r="BK4" s="249" t="s">
        <v>207</v>
      </c>
      <c r="BL4" s="248" t="s">
        <v>160</v>
      </c>
      <c r="BM4" s="248" t="s">
        <v>161</v>
      </c>
      <c r="BN4" s="249" t="s">
        <v>207</v>
      </c>
      <c r="BO4" s="248" t="s">
        <v>160</v>
      </c>
      <c r="BP4" s="248" t="s">
        <v>161</v>
      </c>
      <c r="BQ4" s="249" t="s">
        <v>207</v>
      </c>
      <c r="BR4" s="250"/>
    </row>
    <row r="5" spans="1:70" ht="14.75" customHeight="1" x14ac:dyDescent="0.2">
      <c r="A5" s="817" t="s">
        <v>208</v>
      </c>
      <c r="B5" s="820" t="s">
        <v>209</v>
      </c>
      <c r="C5" s="251" t="s">
        <v>163</v>
      </c>
      <c r="D5" s="252">
        <f>SUM(G5,J5,M5,P5,S5,V5,Y5,AB5,AE5,AH5,AK5,AN5,AQ5,AT5,AW5,AZ5,AZ5,BC5,BF5,BI5,BL5,BO5)</f>
        <v>430000</v>
      </c>
      <c r="E5" s="253">
        <f>SUM(H5,K5,N5,Q5,T5,W5,Z5,AC5,AF5,AI5,AL5,AO5,AR5,AU5,AX5,BA5,BA5,BD5,BG5,BJ5,BM5,BP5)</f>
        <v>430000</v>
      </c>
      <c r="F5" s="254">
        <f>SUM(I5,L5,O5,R5,U5,X5,AA5,AD5,AG5,AJ5,AM5,AP5,AS5,AV5,AY5,BB5,BB5,BE5,BH5,BK5,BN5,BQ5)</f>
        <v>0</v>
      </c>
      <c r="G5" s="255">
        <f>+SUM('PPA statistiky 2023'!D2:D4)</f>
        <v>430000</v>
      </c>
      <c r="H5" s="255">
        <f>+SUM('PPA statistiky 2023'!D2:D4)</f>
        <v>430000</v>
      </c>
      <c r="I5" s="257">
        <f>H5-G5</f>
        <v>0</v>
      </c>
      <c r="J5" s="255"/>
      <c r="K5" s="255"/>
      <c r="L5" s="257">
        <f>K5-J5</f>
        <v>0</v>
      </c>
      <c r="M5" s="255"/>
      <c r="N5" s="255"/>
      <c r="O5" s="257">
        <f>N5-M5</f>
        <v>0</v>
      </c>
      <c r="P5" s="255"/>
      <c r="Q5" s="255"/>
      <c r="R5" s="257">
        <f>Q5-P5</f>
        <v>0</v>
      </c>
      <c r="S5" s="255"/>
      <c r="T5" s="256"/>
      <c r="U5" s="257">
        <f>T5-S5</f>
        <v>0</v>
      </c>
      <c r="V5" s="255"/>
      <c r="W5" s="255"/>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ht="16" x14ac:dyDescent="0.2">
      <c r="A6" s="818"/>
      <c r="B6" s="821"/>
      <c r="C6" s="24" t="s">
        <v>164</v>
      </c>
      <c r="D6" s="259">
        <f t="shared" ref="D6:D14" si="0">SUM(G6,J6,M6,P6,S6,V6,Y6,AB6,AE6,AH6,AK6,AN6,AQ6,AT6,AW6,AZ6,AZ6,BC6,BF6,BI6,BL6,BO6)</f>
        <v>430000</v>
      </c>
      <c r="E6" s="260">
        <f t="shared" ref="E6:E14" si="1">SUM(H6,K6,N6,Q6,T6,W6,Z6,AC6,AF6,AI6,AL6,AO6,AR6,AU6,AX6,BA6,BA6,BD6,BG6,BJ6,BM6,BP6)</f>
        <v>430000</v>
      </c>
      <c r="F6" s="261">
        <f t="shared" ref="F6:F14" si="2">SUM(I6,L6,O6,R6,U6,X6,AA6,AD6,AG6,AJ6,AM6,AP6,AS6,AV6,AY6,BB6,BB6,BE6,BH6,BK6,BN6,BQ6)</f>
        <v>0</v>
      </c>
      <c r="G6" s="504">
        <f>G5</f>
        <v>430000</v>
      </c>
      <c r="H6" s="504">
        <f>H5</f>
        <v>430000</v>
      </c>
      <c r="I6" s="262">
        <f t="shared" ref="I6:I24" si="3">H6-G6</f>
        <v>0</v>
      </c>
      <c r="J6" s="504"/>
      <c r="K6" s="504"/>
      <c r="L6" s="262">
        <f t="shared" ref="L6:L24" si="4">K6-J6</f>
        <v>0</v>
      </c>
      <c r="M6" s="504"/>
      <c r="N6" s="504"/>
      <c r="O6" s="262">
        <f t="shared" ref="O6:O24" si="5">N6-M6</f>
        <v>0</v>
      </c>
      <c r="P6" s="504"/>
      <c r="Q6" s="504"/>
      <c r="R6" s="262">
        <f t="shared" ref="R6:R24" si="6">Q6-P6</f>
        <v>0</v>
      </c>
      <c r="S6" s="504"/>
      <c r="T6" s="504"/>
      <c r="U6" s="262">
        <f t="shared" ref="U6:U24" si="7">T6-S6</f>
        <v>0</v>
      </c>
      <c r="V6" s="504"/>
      <c r="W6" s="504"/>
      <c r="X6" s="262">
        <f t="shared" ref="X6:X24" si="8">W6-V6</f>
        <v>0</v>
      </c>
      <c r="Y6" s="504"/>
      <c r="Z6" s="504"/>
      <c r="AA6" s="262">
        <f t="shared" ref="AA6:AA24" si="9">Z6-Y6</f>
        <v>0</v>
      </c>
      <c r="AB6" s="504"/>
      <c r="AC6" s="505"/>
      <c r="AD6" s="262">
        <f t="shared" ref="AD6:AD24" si="10">AC6-AB6</f>
        <v>0</v>
      </c>
      <c r="AE6" s="504"/>
      <c r="AF6" s="505"/>
      <c r="AG6" s="262">
        <f t="shared" ref="AG6:AG24" si="11">AF6-AE6</f>
        <v>0</v>
      </c>
      <c r="AH6" s="504"/>
      <c r="AI6" s="505"/>
      <c r="AJ6" s="262">
        <f t="shared" ref="AJ6:AJ24" si="12">AI6-AH6</f>
        <v>0</v>
      </c>
      <c r="AK6" s="504"/>
      <c r="AL6" s="505"/>
      <c r="AM6" s="262">
        <f t="shared" ref="AM6:AM24" si="13">AL6-AK6</f>
        <v>0</v>
      </c>
      <c r="AN6" s="504"/>
      <c r="AO6" s="505"/>
      <c r="AP6" s="262">
        <f t="shared" ref="AP6:AP24" si="14">AO6-AN6</f>
        <v>0</v>
      </c>
      <c r="AQ6" s="504"/>
      <c r="AR6" s="505"/>
      <c r="AS6" s="262">
        <f t="shared" ref="AS6:AS24" si="15">AR6-AQ6</f>
        <v>0</v>
      </c>
      <c r="AT6" s="504"/>
      <c r="AU6" s="505"/>
      <c r="AV6" s="262">
        <f t="shared" ref="AV6:AV24" si="16">AU6-AT6</f>
        <v>0</v>
      </c>
      <c r="AW6" s="504"/>
      <c r="AX6" s="505"/>
      <c r="AY6" s="262">
        <f t="shared" ref="AY6:AY24" si="17">AX6-AW6</f>
        <v>0</v>
      </c>
      <c r="AZ6" s="504"/>
      <c r="BA6" s="505"/>
      <c r="BB6" s="262">
        <f t="shared" ref="BB6:BB24" si="18">BA6-AZ6</f>
        <v>0</v>
      </c>
      <c r="BC6" s="504"/>
      <c r="BD6" s="505"/>
      <c r="BE6" s="262">
        <f t="shared" ref="BE6:BE24" si="19">BD6-BC6</f>
        <v>0</v>
      </c>
      <c r="BF6" s="504"/>
      <c r="BG6" s="505"/>
      <c r="BH6" s="262">
        <f t="shared" ref="BH6:BH24" si="20">BG6-BF6</f>
        <v>0</v>
      </c>
      <c r="BI6" s="504"/>
      <c r="BJ6" s="505"/>
      <c r="BK6" s="262">
        <f t="shared" ref="BK6:BK24" si="21">BJ6-BI6</f>
        <v>0</v>
      </c>
      <c r="BL6" s="504"/>
      <c r="BM6" s="505"/>
      <c r="BN6" s="262">
        <f t="shared" ref="BN6:BN24" si="22">BM6-BL6</f>
        <v>0</v>
      </c>
      <c r="BO6" s="504"/>
      <c r="BP6" s="505"/>
      <c r="BQ6" s="262">
        <f t="shared" ref="BQ6:BQ24" si="23">BP6-BO6</f>
        <v>0</v>
      </c>
      <c r="BR6" s="258"/>
    </row>
    <row r="7" spans="1:70" ht="16" x14ac:dyDescent="0.2">
      <c r="A7" s="818"/>
      <c r="B7" s="821"/>
      <c r="C7" s="24" t="s">
        <v>165</v>
      </c>
      <c r="D7" s="259">
        <f t="shared" si="0"/>
        <v>430000</v>
      </c>
      <c r="E7" s="260">
        <f t="shared" si="1"/>
        <v>430000</v>
      </c>
      <c r="F7" s="261">
        <f t="shared" si="2"/>
        <v>0</v>
      </c>
      <c r="G7" s="504">
        <f t="shared" ref="G7:G14" si="24">G6</f>
        <v>430000</v>
      </c>
      <c r="H7" s="504">
        <f t="shared" ref="H7" si="25">H6</f>
        <v>430000</v>
      </c>
      <c r="I7" s="262">
        <f t="shared" si="3"/>
        <v>0</v>
      </c>
      <c r="J7" s="504"/>
      <c r="K7" s="504"/>
      <c r="L7" s="262">
        <f t="shared" si="4"/>
        <v>0</v>
      </c>
      <c r="M7" s="504"/>
      <c r="N7" s="504"/>
      <c r="O7" s="262">
        <f t="shared" si="5"/>
        <v>0</v>
      </c>
      <c r="P7" s="504"/>
      <c r="Q7" s="504"/>
      <c r="R7" s="262">
        <f t="shared" si="6"/>
        <v>0</v>
      </c>
      <c r="S7" s="504"/>
      <c r="T7" s="504"/>
      <c r="U7" s="262">
        <f t="shared" si="7"/>
        <v>0</v>
      </c>
      <c r="V7" s="504"/>
      <c r="W7" s="504"/>
      <c r="X7" s="262">
        <f t="shared" si="8"/>
        <v>0</v>
      </c>
      <c r="Y7" s="504"/>
      <c r="Z7" s="504"/>
      <c r="AA7" s="262">
        <f t="shared" si="9"/>
        <v>0</v>
      </c>
      <c r="AB7" s="504"/>
      <c r="AC7" s="505"/>
      <c r="AD7" s="262">
        <f t="shared" si="10"/>
        <v>0</v>
      </c>
      <c r="AE7" s="504"/>
      <c r="AF7" s="505"/>
      <c r="AG7" s="262">
        <f t="shared" si="11"/>
        <v>0</v>
      </c>
      <c r="AH7" s="504"/>
      <c r="AI7" s="505"/>
      <c r="AJ7" s="262">
        <f t="shared" si="12"/>
        <v>0</v>
      </c>
      <c r="AK7" s="504"/>
      <c r="AL7" s="505"/>
      <c r="AM7" s="262">
        <f t="shared" si="13"/>
        <v>0</v>
      </c>
      <c r="AN7" s="504"/>
      <c r="AO7" s="505"/>
      <c r="AP7" s="262">
        <f t="shared" si="14"/>
        <v>0</v>
      </c>
      <c r="AQ7" s="504"/>
      <c r="AR7" s="505"/>
      <c r="AS7" s="262">
        <f t="shared" si="15"/>
        <v>0</v>
      </c>
      <c r="AT7" s="504"/>
      <c r="AU7" s="505"/>
      <c r="AV7" s="262">
        <f t="shared" si="16"/>
        <v>0</v>
      </c>
      <c r="AW7" s="504"/>
      <c r="AX7" s="505"/>
      <c r="AY7" s="262">
        <f t="shared" si="17"/>
        <v>0</v>
      </c>
      <c r="AZ7" s="504"/>
      <c r="BA7" s="505"/>
      <c r="BB7" s="262">
        <f t="shared" si="18"/>
        <v>0</v>
      </c>
      <c r="BC7" s="504"/>
      <c r="BD7" s="505"/>
      <c r="BE7" s="262">
        <f t="shared" si="19"/>
        <v>0</v>
      </c>
      <c r="BF7" s="504"/>
      <c r="BG7" s="505"/>
      <c r="BH7" s="262">
        <f t="shared" si="20"/>
        <v>0</v>
      </c>
      <c r="BI7" s="504"/>
      <c r="BJ7" s="505"/>
      <c r="BK7" s="262">
        <f t="shared" si="21"/>
        <v>0</v>
      </c>
      <c r="BL7" s="504"/>
      <c r="BM7" s="505"/>
      <c r="BN7" s="262">
        <f t="shared" si="22"/>
        <v>0</v>
      </c>
      <c r="BO7" s="504"/>
      <c r="BP7" s="505"/>
      <c r="BQ7" s="262">
        <f t="shared" si="23"/>
        <v>0</v>
      </c>
      <c r="BR7" s="258"/>
    </row>
    <row r="8" spans="1:70" ht="16" x14ac:dyDescent="0.2">
      <c r="A8" s="818"/>
      <c r="B8" s="821"/>
      <c r="C8" s="24" t="s">
        <v>166</v>
      </c>
      <c r="D8" s="259">
        <f t="shared" si="0"/>
        <v>430000</v>
      </c>
      <c r="E8" s="260">
        <f t="shared" si="1"/>
        <v>430000</v>
      </c>
      <c r="F8" s="261">
        <f t="shared" si="2"/>
        <v>0</v>
      </c>
      <c r="G8" s="504">
        <f t="shared" si="24"/>
        <v>430000</v>
      </c>
      <c r="H8" s="504">
        <f t="shared" ref="H8" si="26">H7</f>
        <v>430000</v>
      </c>
      <c r="I8" s="262">
        <f t="shared" si="3"/>
        <v>0</v>
      </c>
      <c r="J8" s="504"/>
      <c r="K8" s="504"/>
      <c r="L8" s="262">
        <f t="shared" si="4"/>
        <v>0</v>
      </c>
      <c r="M8" s="504"/>
      <c r="N8" s="504"/>
      <c r="O8" s="262">
        <f t="shared" si="5"/>
        <v>0</v>
      </c>
      <c r="P8" s="504"/>
      <c r="Q8" s="504"/>
      <c r="R8" s="262">
        <f t="shared" si="6"/>
        <v>0</v>
      </c>
      <c r="S8" s="504"/>
      <c r="T8" s="504"/>
      <c r="U8" s="262">
        <f t="shared" si="7"/>
        <v>0</v>
      </c>
      <c r="V8" s="504"/>
      <c r="W8" s="504"/>
      <c r="X8" s="262">
        <f t="shared" si="8"/>
        <v>0</v>
      </c>
      <c r="Y8" s="504"/>
      <c r="Z8" s="504"/>
      <c r="AA8" s="262">
        <f t="shared" si="9"/>
        <v>0</v>
      </c>
      <c r="AB8" s="504"/>
      <c r="AC8" s="505"/>
      <c r="AD8" s="262">
        <f t="shared" si="10"/>
        <v>0</v>
      </c>
      <c r="AE8" s="504"/>
      <c r="AF8" s="505"/>
      <c r="AG8" s="262">
        <f t="shared" si="11"/>
        <v>0</v>
      </c>
      <c r="AH8" s="504"/>
      <c r="AI8" s="505"/>
      <c r="AJ8" s="262">
        <f t="shared" si="12"/>
        <v>0</v>
      </c>
      <c r="AK8" s="504"/>
      <c r="AL8" s="505"/>
      <c r="AM8" s="262">
        <f t="shared" si="13"/>
        <v>0</v>
      </c>
      <c r="AN8" s="504"/>
      <c r="AO8" s="505"/>
      <c r="AP8" s="262">
        <f t="shared" si="14"/>
        <v>0</v>
      </c>
      <c r="AQ8" s="504"/>
      <c r="AR8" s="505"/>
      <c r="AS8" s="262">
        <f t="shared" si="15"/>
        <v>0</v>
      </c>
      <c r="AT8" s="504"/>
      <c r="AU8" s="505"/>
      <c r="AV8" s="262">
        <f t="shared" si="16"/>
        <v>0</v>
      </c>
      <c r="AW8" s="504"/>
      <c r="AX8" s="505"/>
      <c r="AY8" s="262">
        <f t="shared" si="17"/>
        <v>0</v>
      </c>
      <c r="AZ8" s="504"/>
      <c r="BA8" s="505"/>
      <c r="BB8" s="262">
        <f t="shared" si="18"/>
        <v>0</v>
      </c>
      <c r="BC8" s="504"/>
      <c r="BD8" s="505"/>
      <c r="BE8" s="262">
        <f t="shared" si="19"/>
        <v>0</v>
      </c>
      <c r="BF8" s="504"/>
      <c r="BG8" s="505"/>
      <c r="BH8" s="262">
        <f t="shared" si="20"/>
        <v>0</v>
      </c>
      <c r="BI8" s="504"/>
      <c r="BJ8" s="505"/>
      <c r="BK8" s="262">
        <f t="shared" si="21"/>
        <v>0</v>
      </c>
      <c r="BL8" s="504"/>
      <c r="BM8" s="505"/>
      <c r="BN8" s="262">
        <f t="shared" si="22"/>
        <v>0</v>
      </c>
      <c r="BO8" s="504"/>
      <c r="BP8" s="505"/>
      <c r="BQ8" s="262">
        <f t="shared" si="23"/>
        <v>0</v>
      </c>
      <c r="BR8" s="258"/>
    </row>
    <row r="9" spans="1:70" ht="16" x14ac:dyDescent="0.2">
      <c r="A9" s="818"/>
      <c r="B9" s="821"/>
      <c r="C9" s="24" t="s">
        <v>167</v>
      </c>
      <c r="D9" s="259">
        <f t="shared" si="0"/>
        <v>430000</v>
      </c>
      <c r="E9" s="260">
        <f t="shared" si="1"/>
        <v>430000</v>
      </c>
      <c r="F9" s="261">
        <f t="shared" si="2"/>
        <v>0</v>
      </c>
      <c r="G9" s="504">
        <f t="shared" si="24"/>
        <v>430000</v>
      </c>
      <c r="H9" s="504">
        <f t="shared" ref="H9" si="27">H8</f>
        <v>430000</v>
      </c>
      <c r="I9" s="262">
        <f t="shared" si="3"/>
        <v>0</v>
      </c>
      <c r="J9" s="504"/>
      <c r="K9" s="504"/>
      <c r="L9" s="262">
        <f t="shared" si="4"/>
        <v>0</v>
      </c>
      <c r="M9" s="504"/>
      <c r="N9" s="504"/>
      <c r="O9" s="262">
        <f t="shared" si="5"/>
        <v>0</v>
      </c>
      <c r="P9" s="504"/>
      <c r="Q9" s="504"/>
      <c r="R9" s="262">
        <f t="shared" si="6"/>
        <v>0</v>
      </c>
      <c r="S9" s="504"/>
      <c r="T9" s="504"/>
      <c r="U9" s="262">
        <f t="shared" si="7"/>
        <v>0</v>
      </c>
      <c r="V9" s="504"/>
      <c r="W9" s="504"/>
      <c r="X9" s="262">
        <f t="shared" si="8"/>
        <v>0</v>
      </c>
      <c r="Y9" s="504"/>
      <c r="Z9" s="504"/>
      <c r="AA9" s="262">
        <f t="shared" si="9"/>
        <v>0</v>
      </c>
      <c r="AB9" s="504"/>
      <c r="AC9" s="505"/>
      <c r="AD9" s="262">
        <f t="shared" si="10"/>
        <v>0</v>
      </c>
      <c r="AE9" s="504"/>
      <c r="AF9" s="505"/>
      <c r="AG9" s="262">
        <f t="shared" si="11"/>
        <v>0</v>
      </c>
      <c r="AH9" s="504"/>
      <c r="AI9" s="505"/>
      <c r="AJ9" s="262">
        <f t="shared" si="12"/>
        <v>0</v>
      </c>
      <c r="AK9" s="504"/>
      <c r="AL9" s="505"/>
      <c r="AM9" s="262">
        <f t="shared" si="13"/>
        <v>0</v>
      </c>
      <c r="AN9" s="504"/>
      <c r="AO9" s="505"/>
      <c r="AP9" s="262">
        <f t="shared" si="14"/>
        <v>0</v>
      </c>
      <c r="AQ9" s="504"/>
      <c r="AR9" s="505"/>
      <c r="AS9" s="262">
        <f t="shared" si="15"/>
        <v>0</v>
      </c>
      <c r="AT9" s="504"/>
      <c r="AU9" s="505"/>
      <c r="AV9" s="262">
        <f t="shared" si="16"/>
        <v>0</v>
      </c>
      <c r="AW9" s="504"/>
      <c r="AX9" s="505"/>
      <c r="AY9" s="262">
        <f t="shared" si="17"/>
        <v>0</v>
      </c>
      <c r="AZ9" s="504"/>
      <c r="BA9" s="505"/>
      <c r="BB9" s="262">
        <f t="shared" si="18"/>
        <v>0</v>
      </c>
      <c r="BC9" s="504"/>
      <c r="BD9" s="505"/>
      <c r="BE9" s="262">
        <f t="shared" si="19"/>
        <v>0</v>
      </c>
      <c r="BF9" s="504"/>
      <c r="BG9" s="505"/>
      <c r="BH9" s="262">
        <f t="shared" si="20"/>
        <v>0</v>
      </c>
      <c r="BI9" s="504"/>
      <c r="BJ9" s="505"/>
      <c r="BK9" s="262">
        <f t="shared" si="21"/>
        <v>0</v>
      </c>
      <c r="BL9" s="504"/>
      <c r="BM9" s="505"/>
      <c r="BN9" s="262">
        <f t="shared" si="22"/>
        <v>0</v>
      </c>
      <c r="BO9" s="504"/>
      <c r="BP9" s="505"/>
      <c r="BQ9" s="262">
        <f t="shared" si="23"/>
        <v>0</v>
      </c>
      <c r="BR9" s="258"/>
    </row>
    <row r="10" spans="1:70" ht="16" x14ac:dyDescent="0.2">
      <c r="A10" s="818"/>
      <c r="B10" s="821"/>
      <c r="C10" s="24" t="s">
        <v>168</v>
      </c>
      <c r="D10" s="259">
        <f t="shared" si="0"/>
        <v>430000</v>
      </c>
      <c r="E10" s="260">
        <f t="shared" si="1"/>
        <v>430000</v>
      </c>
      <c r="F10" s="261">
        <f t="shared" si="2"/>
        <v>0</v>
      </c>
      <c r="G10" s="504">
        <f t="shared" si="24"/>
        <v>430000</v>
      </c>
      <c r="H10" s="504">
        <f t="shared" ref="H10" si="28">H9</f>
        <v>430000</v>
      </c>
      <c r="I10" s="262">
        <f t="shared" si="3"/>
        <v>0</v>
      </c>
      <c r="J10" s="504"/>
      <c r="K10" s="504"/>
      <c r="L10" s="262">
        <f t="shared" si="4"/>
        <v>0</v>
      </c>
      <c r="M10" s="504"/>
      <c r="N10" s="504"/>
      <c r="O10" s="262">
        <f t="shared" si="5"/>
        <v>0</v>
      </c>
      <c r="P10" s="504"/>
      <c r="Q10" s="504"/>
      <c r="R10" s="262">
        <f t="shared" si="6"/>
        <v>0</v>
      </c>
      <c r="S10" s="504"/>
      <c r="T10" s="504"/>
      <c r="U10" s="262">
        <f t="shared" si="7"/>
        <v>0</v>
      </c>
      <c r="V10" s="504"/>
      <c r="W10" s="504"/>
      <c r="X10" s="262">
        <f t="shared" si="8"/>
        <v>0</v>
      </c>
      <c r="Y10" s="504"/>
      <c r="Z10" s="504"/>
      <c r="AA10" s="262">
        <f t="shared" si="9"/>
        <v>0</v>
      </c>
      <c r="AB10" s="504"/>
      <c r="AC10" s="505"/>
      <c r="AD10" s="262">
        <f t="shared" si="10"/>
        <v>0</v>
      </c>
      <c r="AE10" s="504"/>
      <c r="AF10" s="505"/>
      <c r="AG10" s="262">
        <f t="shared" si="11"/>
        <v>0</v>
      </c>
      <c r="AH10" s="504"/>
      <c r="AI10" s="505"/>
      <c r="AJ10" s="262">
        <f t="shared" si="12"/>
        <v>0</v>
      </c>
      <c r="AK10" s="504"/>
      <c r="AL10" s="505"/>
      <c r="AM10" s="262">
        <f t="shared" si="13"/>
        <v>0</v>
      </c>
      <c r="AN10" s="504"/>
      <c r="AO10" s="505"/>
      <c r="AP10" s="262">
        <f t="shared" si="14"/>
        <v>0</v>
      </c>
      <c r="AQ10" s="504"/>
      <c r="AR10" s="505"/>
      <c r="AS10" s="262">
        <f t="shared" si="15"/>
        <v>0</v>
      </c>
      <c r="AT10" s="504"/>
      <c r="AU10" s="505"/>
      <c r="AV10" s="262">
        <f t="shared" si="16"/>
        <v>0</v>
      </c>
      <c r="AW10" s="504"/>
      <c r="AX10" s="505"/>
      <c r="AY10" s="262">
        <f t="shared" si="17"/>
        <v>0</v>
      </c>
      <c r="AZ10" s="504"/>
      <c r="BA10" s="505"/>
      <c r="BB10" s="262">
        <f t="shared" si="18"/>
        <v>0</v>
      </c>
      <c r="BC10" s="504"/>
      <c r="BD10" s="505"/>
      <c r="BE10" s="262">
        <f t="shared" si="19"/>
        <v>0</v>
      </c>
      <c r="BF10" s="504"/>
      <c r="BG10" s="505"/>
      <c r="BH10" s="262">
        <f t="shared" si="20"/>
        <v>0</v>
      </c>
      <c r="BI10" s="504"/>
      <c r="BJ10" s="505"/>
      <c r="BK10" s="262">
        <f t="shared" si="21"/>
        <v>0</v>
      </c>
      <c r="BL10" s="504"/>
      <c r="BM10" s="505"/>
      <c r="BN10" s="262">
        <f t="shared" si="22"/>
        <v>0</v>
      </c>
      <c r="BO10" s="504"/>
      <c r="BP10" s="505"/>
      <c r="BQ10" s="262">
        <f t="shared" si="23"/>
        <v>0</v>
      </c>
      <c r="BR10" s="258"/>
    </row>
    <row r="11" spans="1:70" ht="16" x14ac:dyDescent="0.2">
      <c r="A11" s="818"/>
      <c r="B11" s="821"/>
      <c r="C11" s="24" t="s">
        <v>169</v>
      </c>
      <c r="D11" s="259">
        <f t="shared" si="0"/>
        <v>430000</v>
      </c>
      <c r="E11" s="260">
        <f t="shared" si="1"/>
        <v>430000</v>
      </c>
      <c r="F11" s="261">
        <f t="shared" si="2"/>
        <v>0</v>
      </c>
      <c r="G11" s="504">
        <f t="shared" si="24"/>
        <v>430000</v>
      </c>
      <c r="H11" s="504">
        <f t="shared" ref="H11" si="29">H10</f>
        <v>430000</v>
      </c>
      <c r="I11" s="262">
        <f t="shared" si="3"/>
        <v>0</v>
      </c>
      <c r="J11" s="504"/>
      <c r="K11" s="504"/>
      <c r="L11" s="262">
        <f t="shared" si="4"/>
        <v>0</v>
      </c>
      <c r="M11" s="504"/>
      <c r="N11" s="504"/>
      <c r="O11" s="262">
        <f t="shared" si="5"/>
        <v>0</v>
      </c>
      <c r="P11" s="504"/>
      <c r="Q11" s="504"/>
      <c r="R11" s="262">
        <f t="shared" si="6"/>
        <v>0</v>
      </c>
      <c r="S11" s="504"/>
      <c r="T11" s="504"/>
      <c r="U11" s="262">
        <f t="shared" si="7"/>
        <v>0</v>
      </c>
      <c r="V11" s="504"/>
      <c r="W11" s="504"/>
      <c r="X11" s="262">
        <f t="shared" si="8"/>
        <v>0</v>
      </c>
      <c r="Y11" s="504"/>
      <c r="Z11" s="504"/>
      <c r="AA11" s="262">
        <f t="shared" si="9"/>
        <v>0</v>
      </c>
      <c r="AB11" s="504"/>
      <c r="AC11" s="505"/>
      <c r="AD11" s="262">
        <f t="shared" si="10"/>
        <v>0</v>
      </c>
      <c r="AE11" s="504"/>
      <c r="AF11" s="505"/>
      <c r="AG11" s="262">
        <f t="shared" si="11"/>
        <v>0</v>
      </c>
      <c r="AH11" s="504"/>
      <c r="AI11" s="505"/>
      <c r="AJ11" s="262">
        <f t="shared" si="12"/>
        <v>0</v>
      </c>
      <c r="AK11" s="504"/>
      <c r="AL11" s="505"/>
      <c r="AM11" s="262">
        <f t="shared" si="13"/>
        <v>0</v>
      </c>
      <c r="AN11" s="504"/>
      <c r="AO11" s="505"/>
      <c r="AP11" s="262">
        <f t="shared" si="14"/>
        <v>0</v>
      </c>
      <c r="AQ11" s="504"/>
      <c r="AR11" s="505"/>
      <c r="AS11" s="262">
        <f t="shared" si="15"/>
        <v>0</v>
      </c>
      <c r="AT11" s="504"/>
      <c r="AU11" s="505"/>
      <c r="AV11" s="262">
        <f t="shared" si="16"/>
        <v>0</v>
      </c>
      <c r="AW11" s="504"/>
      <c r="AX11" s="505"/>
      <c r="AY11" s="262">
        <f t="shared" si="17"/>
        <v>0</v>
      </c>
      <c r="AZ11" s="504"/>
      <c r="BA11" s="505"/>
      <c r="BB11" s="262">
        <f t="shared" si="18"/>
        <v>0</v>
      </c>
      <c r="BC11" s="504"/>
      <c r="BD11" s="505"/>
      <c r="BE11" s="262">
        <f t="shared" si="19"/>
        <v>0</v>
      </c>
      <c r="BF11" s="504"/>
      <c r="BG11" s="505"/>
      <c r="BH11" s="262">
        <f t="shared" si="20"/>
        <v>0</v>
      </c>
      <c r="BI11" s="504"/>
      <c r="BJ11" s="505"/>
      <c r="BK11" s="262">
        <f t="shared" si="21"/>
        <v>0</v>
      </c>
      <c r="BL11" s="504"/>
      <c r="BM11" s="505"/>
      <c r="BN11" s="262">
        <f t="shared" si="22"/>
        <v>0</v>
      </c>
      <c r="BO11" s="504"/>
      <c r="BP11" s="505"/>
      <c r="BQ11" s="262">
        <f t="shared" si="23"/>
        <v>0</v>
      </c>
      <c r="BR11" s="258"/>
    </row>
    <row r="12" spans="1:70" ht="16" x14ac:dyDescent="0.2">
      <c r="A12" s="818"/>
      <c r="B12" s="821"/>
      <c r="C12" s="24" t="s">
        <v>170</v>
      </c>
      <c r="D12" s="259">
        <f t="shared" si="0"/>
        <v>430000</v>
      </c>
      <c r="E12" s="260">
        <f t="shared" si="1"/>
        <v>430000</v>
      </c>
      <c r="F12" s="261">
        <f t="shared" si="2"/>
        <v>0</v>
      </c>
      <c r="G12" s="504">
        <f t="shared" si="24"/>
        <v>430000</v>
      </c>
      <c r="H12" s="504">
        <f t="shared" ref="H12" si="30">H11</f>
        <v>430000</v>
      </c>
      <c r="I12" s="262">
        <f t="shared" si="3"/>
        <v>0</v>
      </c>
      <c r="J12" s="504"/>
      <c r="K12" s="504"/>
      <c r="L12" s="262">
        <f t="shared" si="4"/>
        <v>0</v>
      </c>
      <c r="M12" s="504"/>
      <c r="N12" s="504"/>
      <c r="O12" s="262">
        <f t="shared" si="5"/>
        <v>0</v>
      </c>
      <c r="P12" s="504"/>
      <c r="Q12" s="504"/>
      <c r="R12" s="262">
        <f t="shared" si="6"/>
        <v>0</v>
      </c>
      <c r="S12" s="504"/>
      <c r="T12" s="504"/>
      <c r="U12" s="262">
        <f t="shared" si="7"/>
        <v>0</v>
      </c>
      <c r="V12" s="504"/>
      <c r="W12" s="504"/>
      <c r="X12" s="262">
        <f t="shared" si="8"/>
        <v>0</v>
      </c>
      <c r="Y12" s="504"/>
      <c r="Z12" s="504"/>
      <c r="AA12" s="262">
        <f t="shared" si="9"/>
        <v>0</v>
      </c>
      <c r="AB12" s="504"/>
      <c r="AC12" s="505"/>
      <c r="AD12" s="262">
        <f t="shared" si="10"/>
        <v>0</v>
      </c>
      <c r="AE12" s="504"/>
      <c r="AF12" s="505"/>
      <c r="AG12" s="262">
        <f t="shared" si="11"/>
        <v>0</v>
      </c>
      <c r="AH12" s="504"/>
      <c r="AI12" s="505"/>
      <c r="AJ12" s="262">
        <f t="shared" si="12"/>
        <v>0</v>
      </c>
      <c r="AK12" s="504"/>
      <c r="AL12" s="505"/>
      <c r="AM12" s="262">
        <f t="shared" si="13"/>
        <v>0</v>
      </c>
      <c r="AN12" s="504"/>
      <c r="AO12" s="505"/>
      <c r="AP12" s="262">
        <f t="shared" si="14"/>
        <v>0</v>
      </c>
      <c r="AQ12" s="504"/>
      <c r="AR12" s="505"/>
      <c r="AS12" s="262">
        <f t="shared" si="15"/>
        <v>0</v>
      </c>
      <c r="AT12" s="504"/>
      <c r="AU12" s="505"/>
      <c r="AV12" s="262">
        <f t="shared" si="16"/>
        <v>0</v>
      </c>
      <c r="AW12" s="504"/>
      <c r="AX12" s="505"/>
      <c r="AY12" s="262">
        <f t="shared" si="17"/>
        <v>0</v>
      </c>
      <c r="AZ12" s="504"/>
      <c r="BA12" s="505"/>
      <c r="BB12" s="262">
        <f t="shared" si="18"/>
        <v>0</v>
      </c>
      <c r="BC12" s="504"/>
      <c r="BD12" s="505"/>
      <c r="BE12" s="262">
        <f t="shared" si="19"/>
        <v>0</v>
      </c>
      <c r="BF12" s="504"/>
      <c r="BG12" s="505"/>
      <c r="BH12" s="262">
        <f t="shared" si="20"/>
        <v>0</v>
      </c>
      <c r="BI12" s="504"/>
      <c r="BJ12" s="505"/>
      <c r="BK12" s="262">
        <f t="shared" si="21"/>
        <v>0</v>
      </c>
      <c r="BL12" s="504"/>
      <c r="BM12" s="505"/>
      <c r="BN12" s="262">
        <f t="shared" si="22"/>
        <v>0</v>
      </c>
      <c r="BO12" s="504"/>
      <c r="BP12" s="505"/>
      <c r="BQ12" s="262">
        <f t="shared" si="23"/>
        <v>0</v>
      </c>
      <c r="BR12" s="258"/>
    </row>
    <row r="13" spans="1:70" ht="16" x14ac:dyDescent="0.2">
      <c r="A13" s="818"/>
      <c r="B13" s="821"/>
      <c r="C13" s="24" t="s">
        <v>171</v>
      </c>
      <c r="D13" s="259">
        <f t="shared" si="0"/>
        <v>430000</v>
      </c>
      <c r="E13" s="260">
        <f t="shared" si="1"/>
        <v>430000</v>
      </c>
      <c r="F13" s="261">
        <f t="shared" si="2"/>
        <v>0</v>
      </c>
      <c r="G13" s="504">
        <f t="shared" si="24"/>
        <v>430000</v>
      </c>
      <c r="H13" s="504">
        <f t="shared" ref="H13" si="31">H12</f>
        <v>430000</v>
      </c>
      <c r="I13" s="262">
        <f t="shared" si="3"/>
        <v>0</v>
      </c>
      <c r="J13" s="504"/>
      <c r="K13" s="504"/>
      <c r="L13" s="262">
        <f t="shared" si="4"/>
        <v>0</v>
      </c>
      <c r="M13" s="504"/>
      <c r="N13" s="504"/>
      <c r="O13" s="262">
        <f t="shared" si="5"/>
        <v>0</v>
      </c>
      <c r="P13" s="504"/>
      <c r="Q13" s="504"/>
      <c r="R13" s="262">
        <f t="shared" si="6"/>
        <v>0</v>
      </c>
      <c r="S13" s="504"/>
      <c r="T13" s="504"/>
      <c r="U13" s="262">
        <f t="shared" si="7"/>
        <v>0</v>
      </c>
      <c r="V13" s="504"/>
      <c r="W13" s="504"/>
      <c r="X13" s="262">
        <f t="shared" si="8"/>
        <v>0</v>
      </c>
      <c r="Y13" s="504"/>
      <c r="Z13" s="504"/>
      <c r="AA13" s="262">
        <f t="shared" si="9"/>
        <v>0</v>
      </c>
      <c r="AB13" s="504"/>
      <c r="AC13" s="505"/>
      <c r="AD13" s="262">
        <f t="shared" si="10"/>
        <v>0</v>
      </c>
      <c r="AE13" s="504"/>
      <c r="AF13" s="505"/>
      <c r="AG13" s="262">
        <f t="shared" si="11"/>
        <v>0</v>
      </c>
      <c r="AH13" s="504"/>
      <c r="AI13" s="505"/>
      <c r="AJ13" s="262">
        <f t="shared" si="12"/>
        <v>0</v>
      </c>
      <c r="AK13" s="504"/>
      <c r="AL13" s="505"/>
      <c r="AM13" s="262">
        <f t="shared" si="13"/>
        <v>0</v>
      </c>
      <c r="AN13" s="504"/>
      <c r="AO13" s="505"/>
      <c r="AP13" s="262">
        <f t="shared" si="14"/>
        <v>0</v>
      </c>
      <c r="AQ13" s="504"/>
      <c r="AR13" s="505"/>
      <c r="AS13" s="262">
        <f t="shared" si="15"/>
        <v>0</v>
      </c>
      <c r="AT13" s="504"/>
      <c r="AU13" s="505"/>
      <c r="AV13" s="262">
        <f t="shared" si="16"/>
        <v>0</v>
      </c>
      <c r="AW13" s="504"/>
      <c r="AX13" s="505"/>
      <c r="AY13" s="262">
        <f t="shared" si="17"/>
        <v>0</v>
      </c>
      <c r="AZ13" s="504"/>
      <c r="BA13" s="505"/>
      <c r="BB13" s="262">
        <f t="shared" si="18"/>
        <v>0</v>
      </c>
      <c r="BC13" s="504"/>
      <c r="BD13" s="505"/>
      <c r="BE13" s="262">
        <f t="shared" si="19"/>
        <v>0</v>
      </c>
      <c r="BF13" s="504"/>
      <c r="BG13" s="505"/>
      <c r="BH13" s="262">
        <f t="shared" si="20"/>
        <v>0</v>
      </c>
      <c r="BI13" s="504"/>
      <c r="BJ13" s="505"/>
      <c r="BK13" s="262">
        <f t="shared" si="21"/>
        <v>0</v>
      </c>
      <c r="BL13" s="504"/>
      <c r="BM13" s="505"/>
      <c r="BN13" s="262">
        <f t="shared" si="22"/>
        <v>0</v>
      </c>
      <c r="BO13" s="504"/>
      <c r="BP13" s="505"/>
      <c r="BQ13" s="262">
        <f t="shared" si="23"/>
        <v>0</v>
      </c>
      <c r="BR13" s="258"/>
    </row>
    <row r="14" spans="1:70" ht="16" x14ac:dyDescent="0.2">
      <c r="A14" s="819"/>
      <c r="B14" s="822"/>
      <c r="C14" s="263" t="s">
        <v>172</v>
      </c>
      <c r="D14" s="264">
        <f t="shared" si="0"/>
        <v>430000</v>
      </c>
      <c r="E14" s="265">
        <f t="shared" si="1"/>
        <v>430000</v>
      </c>
      <c r="F14" s="266">
        <f t="shared" si="2"/>
        <v>0</v>
      </c>
      <c r="G14" s="504">
        <f t="shared" si="24"/>
        <v>430000</v>
      </c>
      <c r="H14" s="504">
        <f t="shared" ref="H14" si="32">H13</f>
        <v>430000</v>
      </c>
      <c r="I14" s="267">
        <f t="shared" si="3"/>
        <v>0</v>
      </c>
      <c r="J14" s="504"/>
      <c r="K14" s="504"/>
      <c r="L14" s="267">
        <f t="shared" si="4"/>
        <v>0</v>
      </c>
      <c r="M14" s="504"/>
      <c r="N14" s="504"/>
      <c r="O14" s="267">
        <f t="shared" si="5"/>
        <v>0</v>
      </c>
      <c r="P14" s="504"/>
      <c r="Q14" s="504"/>
      <c r="R14" s="267">
        <f t="shared" si="6"/>
        <v>0</v>
      </c>
      <c r="S14" s="504"/>
      <c r="T14" s="504"/>
      <c r="U14" s="267">
        <f t="shared" si="7"/>
        <v>0</v>
      </c>
      <c r="V14" s="504"/>
      <c r="W14" s="504"/>
      <c r="X14" s="267">
        <f t="shared" si="8"/>
        <v>0</v>
      </c>
      <c r="Y14" s="504"/>
      <c r="Z14" s="504"/>
      <c r="AA14" s="267">
        <f t="shared" si="9"/>
        <v>0</v>
      </c>
      <c r="AB14" s="506"/>
      <c r="AC14" s="507"/>
      <c r="AD14" s="267">
        <f t="shared" si="10"/>
        <v>0</v>
      </c>
      <c r="AE14" s="506"/>
      <c r="AF14" s="507"/>
      <c r="AG14" s="267">
        <f t="shared" si="11"/>
        <v>0</v>
      </c>
      <c r="AH14" s="506"/>
      <c r="AI14" s="507"/>
      <c r="AJ14" s="267">
        <f t="shared" si="12"/>
        <v>0</v>
      </c>
      <c r="AK14" s="506"/>
      <c r="AL14" s="507"/>
      <c r="AM14" s="267">
        <f t="shared" si="13"/>
        <v>0</v>
      </c>
      <c r="AN14" s="506"/>
      <c r="AO14" s="507"/>
      <c r="AP14" s="267">
        <f t="shared" si="14"/>
        <v>0</v>
      </c>
      <c r="AQ14" s="506"/>
      <c r="AR14" s="507"/>
      <c r="AS14" s="267">
        <f t="shared" si="15"/>
        <v>0</v>
      </c>
      <c r="AT14" s="506"/>
      <c r="AU14" s="507"/>
      <c r="AV14" s="267">
        <f t="shared" si="16"/>
        <v>0</v>
      </c>
      <c r="AW14" s="506"/>
      <c r="AX14" s="507"/>
      <c r="AY14" s="267">
        <f t="shared" si="17"/>
        <v>0</v>
      </c>
      <c r="AZ14" s="506"/>
      <c r="BA14" s="507"/>
      <c r="BB14" s="267">
        <f t="shared" si="18"/>
        <v>0</v>
      </c>
      <c r="BC14" s="506"/>
      <c r="BD14" s="507"/>
      <c r="BE14" s="267">
        <f t="shared" si="19"/>
        <v>0</v>
      </c>
      <c r="BF14" s="506"/>
      <c r="BG14" s="507"/>
      <c r="BH14" s="267">
        <f t="shared" si="20"/>
        <v>0</v>
      </c>
      <c r="BI14" s="506"/>
      <c r="BJ14" s="507"/>
      <c r="BK14" s="267">
        <f t="shared" si="21"/>
        <v>0</v>
      </c>
      <c r="BL14" s="506"/>
      <c r="BM14" s="507"/>
      <c r="BN14" s="267">
        <f t="shared" si="22"/>
        <v>0</v>
      </c>
      <c r="BO14" s="506"/>
      <c r="BP14" s="507"/>
      <c r="BQ14" s="267">
        <f t="shared" si="23"/>
        <v>0</v>
      </c>
      <c r="BR14" s="258"/>
    </row>
    <row r="15" spans="1:70" ht="16" x14ac:dyDescent="0.2">
      <c r="A15" s="817" t="s">
        <v>210</v>
      </c>
      <c r="B15" s="820" t="s">
        <v>211</v>
      </c>
      <c r="C15" s="251" t="s">
        <v>163</v>
      </c>
      <c r="D15" s="268"/>
      <c r="E15" s="269"/>
      <c r="F15" s="270"/>
      <c r="G15" s="508"/>
      <c r="H15" s="509"/>
      <c r="I15" s="271">
        <f t="shared" si="3"/>
        <v>0</v>
      </c>
      <c r="J15" s="508"/>
      <c r="K15" s="509"/>
      <c r="L15" s="271">
        <f t="shared" si="4"/>
        <v>0</v>
      </c>
      <c r="M15" s="508"/>
      <c r="N15" s="509"/>
      <c r="O15" s="271">
        <f t="shared" si="5"/>
        <v>0</v>
      </c>
      <c r="P15" s="508"/>
      <c r="Q15" s="509"/>
      <c r="R15" s="271">
        <f t="shared" si="6"/>
        <v>0</v>
      </c>
      <c r="S15" s="508"/>
      <c r="T15" s="509"/>
      <c r="U15" s="271">
        <f t="shared" si="7"/>
        <v>0</v>
      </c>
      <c r="V15" s="508"/>
      <c r="W15" s="509"/>
      <c r="X15" s="271">
        <f t="shared" si="8"/>
        <v>0</v>
      </c>
      <c r="Y15" s="508"/>
      <c r="Z15" s="509"/>
      <c r="AA15" s="271">
        <f t="shared" si="9"/>
        <v>0</v>
      </c>
      <c r="AB15" s="508"/>
      <c r="AC15" s="509"/>
      <c r="AD15" s="271">
        <f t="shared" si="10"/>
        <v>0</v>
      </c>
      <c r="AE15" s="508"/>
      <c r="AF15" s="509"/>
      <c r="AG15" s="271">
        <f t="shared" si="11"/>
        <v>0</v>
      </c>
      <c r="AH15" s="508"/>
      <c r="AI15" s="509"/>
      <c r="AJ15" s="271">
        <f t="shared" si="12"/>
        <v>0</v>
      </c>
      <c r="AK15" s="508"/>
      <c r="AL15" s="509"/>
      <c r="AM15" s="271">
        <f t="shared" si="13"/>
        <v>0</v>
      </c>
      <c r="AN15" s="508"/>
      <c r="AO15" s="509"/>
      <c r="AP15" s="271">
        <f t="shared" si="14"/>
        <v>0</v>
      </c>
      <c r="AQ15" s="508"/>
      <c r="AR15" s="509"/>
      <c r="AS15" s="271">
        <f t="shared" si="15"/>
        <v>0</v>
      </c>
      <c r="AT15" s="508"/>
      <c r="AU15" s="509"/>
      <c r="AV15" s="271">
        <f t="shared" si="16"/>
        <v>0</v>
      </c>
      <c r="AW15" s="508"/>
      <c r="AX15" s="509"/>
      <c r="AY15" s="271">
        <f t="shared" si="17"/>
        <v>0</v>
      </c>
      <c r="AZ15" s="508"/>
      <c r="BA15" s="509"/>
      <c r="BB15" s="271">
        <f t="shared" si="18"/>
        <v>0</v>
      </c>
      <c r="BC15" s="508"/>
      <c r="BD15" s="509"/>
      <c r="BE15" s="271">
        <f t="shared" si="19"/>
        <v>0</v>
      </c>
      <c r="BF15" s="508"/>
      <c r="BG15" s="509"/>
      <c r="BH15" s="271">
        <f t="shared" si="20"/>
        <v>0</v>
      </c>
      <c r="BI15" s="508"/>
      <c r="BJ15" s="509"/>
      <c r="BK15" s="271">
        <f t="shared" si="21"/>
        <v>0</v>
      </c>
      <c r="BL15" s="508"/>
      <c r="BM15" s="509"/>
      <c r="BN15" s="271">
        <f t="shared" si="22"/>
        <v>0</v>
      </c>
      <c r="BO15" s="508"/>
      <c r="BP15" s="509"/>
      <c r="BQ15" s="271">
        <f t="shared" si="23"/>
        <v>0</v>
      </c>
      <c r="BR15" s="258"/>
    </row>
    <row r="16" spans="1:70" ht="16" x14ac:dyDescent="0.2">
      <c r="A16" s="818"/>
      <c r="B16" s="821"/>
      <c r="C16" s="24" t="s">
        <v>164</v>
      </c>
      <c r="D16" s="272"/>
      <c r="E16" s="273"/>
      <c r="F16" s="274"/>
      <c r="G16" s="510"/>
      <c r="H16" s="511"/>
      <c r="I16" s="275">
        <f t="shared" si="3"/>
        <v>0</v>
      </c>
      <c r="J16" s="510"/>
      <c r="K16" s="511"/>
      <c r="L16" s="275">
        <f t="shared" si="4"/>
        <v>0</v>
      </c>
      <c r="M16" s="510"/>
      <c r="N16" s="511"/>
      <c r="O16" s="275">
        <f t="shared" si="5"/>
        <v>0</v>
      </c>
      <c r="P16" s="510"/>
      <c r="Q16" s="511"/>
      <c r="R16" s="275">
        <f t="shared" si="6"/>
        <v>0</v>
      </c>
      <c r="S16" s="510"/>
      <c r="T16" s="511"/>
      <c r="U16" s="275">
        <f t="shared" si="7"/>
        <v>0</v>
      </c>
      <c r="V16" s="510"/>
      <c r="W16" s="511"/>
      <c r="X16" s="275">
        <f t="shared" si="8"/>
        <v>0</v>
      </c>
      <c r="Y16" s="510"/>
      <c r="Z16" s="511"/>
      <c r="AA16" s="275">
        <f t="shared" si="9"/>
        <v>0</v>
      </c>
      <c r="AB16" s="510"/>
      <c r="AC16" s="511"/>
      <c r="AD16" s="275">
        <f t="shared" si="10"/>
        <v>0</v>
      </c>
      <c r="AE16" s="510"/>
      <c r="AF16" s="511"/>
      <c r="AG16" s="275">
        <f t="shared" si="11"/>
        <v>0</v>
      </c>
      <c r="AH16" s="510"/>
      <c r="AI16" s="511"/>
      <c r="AJ16" s="275">
        <f t="shared" si="12"/>
        <v>0</v>
      </c>
      <c r="AK16" s="510"/>
      <c r="AL16" s="511"/>
      <c r="AM16" s="275">
        <f t="shared" si="13"/>
        <v>0</v>
      </c>
      <c r="AN16" s="510"/>
      <c r="AO16" s="511"/>
      <c r="AP16" s="275">
        <f t="shared" si="14"/>
        <v>0</v>
      </c>
      <c r="AQ16" s="510"/>
      <c r="AR16" s="511"/>
      <c r="AS16" s="275">
        <f t="shared" si="15"/>
        <v>0</v>
      </c>
      <c r="AT16" s="510"/>
      <c r="AU16" s="511"/>
      <c r="AV16" s="275">
        <f t="shared" si="16"/>
        <v>0</v>
      </c>
      <c r="AW16" s="510"/>
      <c r="AX16" s="511"/>
      <c r="AY16" s="275">
        <f t="shared" si="17"/>
        <v>0</v>
      </c>
      <c r="AZ16" s="510"/>
      <c r="BA16" s="511"/>
      <c r="BB16" s="275">
        <f t="shared" si="18"/>
        <v>0</v>
      </c>
      <c r="BC16" s="510"/>
      <c r="BD16" s="511"/>
      <c r="BE16" s="275">
        <f t="shared" si="19"/>
        <v>0</v>
      </c>
      <c r="BF16" s="510"/>
      <c r="BG16" s="511"/>
      <c r="BH16" s="275">
        <f t="shared" si="20"/>
        <v>0</v>
      </c>
      <c r="BI16" s="510"/>
      <c r="BJ16" s="511"/>
      <c r="BK16" s="275">
        <f t="shared" si="21"/>
        <v>0</v>
      </c>
      <c r="BL16" s="510"/>
      <c r="BM16" s="511"/>
      <c r="BN16" s="275">
        <f t="shared" si="22"/>
        <v>0</v>
      </c>
      <c r="BO16" s="510"/>
      <c r="BP16" s="511"/>
      <c r="BQ16" s="275">
        <f t="shared" si="23"/>
        <v>0</v>
      </c>
      <c r="BR16" s="258"/>
    </row>
    <row r="17" spans="1:70" ht="16" x14ac:dyDescent="0.2">
      <c r="A17" s="818"/>
      <c r="B17" s="821"/>
      <c r="C17" s="24" t="s">
        <v>165</v>
      </c>
      <c r="D17" s="272"/>
      <c r="E17" s="273"/>
      <c r="F17" s="274"/>
      <c r="G17" s="510"/>
      <c r="H17" s="511"/>
      <c r="I17" s="275">
        <f t="shared" si="3"/>
        <v>0</v>
      </c>
      <c r="J17" s="510"/>
      <c r="K17" s="511"/>
      <c r="L17" s="275">
        <f t="shared" si="4"/>
        <v>0</v>
      </c>
      <c r="M17" s="510"/>
      <c r="N17" s="511"/>
      <c r="O17" s="275">
        <f t="shared" si="5"/>
        <v>0</v>
      </c>
      <c r="P17" s="510"/>
      <c r="Q17" s="511"/>
      <c r="R17" s="275">
        <f t="shared" si="6"/>
        <v>0</v>
      </c>
      <c r="S17" s="510"/>
      <c r="T17" s="511"/>
      <c r="U17" s="275">
        <f t="shared" si="7"/>
        <v>0</v>
      </c>
      <c r="V17" s="510"/>
      <c r="W17" s="511"/>
      <c r="X17" s="275">
        <f t="shared" si="8"/>
        <v>0</v>
      </c>
      <c r="Y17" s="510"/>
      <c r="Z17" s="511"/>
      <c r="AA17" s="275">
        <f t="shared" si="9"/>
        <v>0</v>
      </c>
      <c r="AB17" s="510"/>
      <c r="AC17" s="511"/>
      <c r="AD17" s="275">
        <f t="shared" si="10"/>
        <v>0</v>
      </c>
      <c r="AE17" s="510"/>
      <c r="AF17" s="511"/>
      <c r="AG17" s="275">
        <f t="shared" si="11"/>
        <v>0</v>
      </c>
      <c r="AH17" s="510"/>
      <c r="AI17" s="511"/>
      <c r="AJ17" s="275">
        <f t="shared" si="12"/>
        <v>0</v>
      </c>
      <c r="AK17" s="510"/>
      <c r="AL17" s="511"/>
      <c r="AM17" s="275">
        <f t="shared" si="13"/>
        <v>0</v>
      </c>
      <c r="AN17" s="510"/>
      <c r="AO17" s="511"/>
      <c r="AP17" s="275">
        <f t="shared" si="14"/>
        <v>0</v>
      </c>
      <c r="AQ17" s="510"/>
      <c r="AR17" s="511"/>
      <c r="AS17" s="275">
        <f t="shared" si="15"/>
        <v>0</v>
      </c>
      <c r="AT17" s="510"/>
      <c r="AU17" s="511"/>
      <c r="AV17" s="275">
        <f t="shared" si="16"/>
        <v>0</v>
      </c>
      <c r="AW17" s="510"/>
      <c r="AX17" s="511"/>
      <c r="AY17" s="275">
        <f t="shared" si="17"/>
        <v>0</v>
      </c>
      <c r="AZ17" s="510"/>
      <c r="BA17" s="511"/>
      <c r="BB17" s="275">
        <f t="shared" si="18"/>
        <v>0</v>
      </c>
      <c r="BC17" s="510"/>
      <c r="BD17" s="511"/>
      <c r="BE17" s="275">
        <f t="shared" si="19"/>
        <v>0</v>
      </c>
      <c r="BF17" s="510"/>
      <c r="BG17" s="511"/>
      <c r="BH17" s="275">
        <f t="shared" si="20"/>
        <v>0</v>
      </c>
      <c r="BI17" s="510"/>
      <c r="BJ17" s="511"/>
      <c r="BK17" s="275">
        <f t="shared" si="21"/>
        <v>0</v>
      </c>
      <c r="BL17" s="510"/>
      <c r="BM17" s="511"/>
      <c r="BN17" s="275">
        <f t="shared" si="22"/>
        <v>0</v>
      </c>
      <c r="BO17" s="510"/>
      <c r="BP17" s="511"/>
      <c r="BQ17" s="275">
        <f t="shared" si="23"/>
        <v>0</v>
      </c>
      <c r="BR17" s="258"/>
    </row>
    <row r="18" spans="1:70" ht="16" x14ac:dyDescent="0.2">
      <c r="A18" s="818"/>
      <c r="B18" s="821"/>
      <c r="C18" s="24" t="s">
        <v>166</v>
      </c>
      <c r="D18" s="272"/>
      <c r="E18" s="273"/>
      <c r="F18" s="274"/>
      <c r="G18" s="510"/>
      <c r="H18" s="511"/>
      <c r="I18" s="275">
        <f t="shared" si="3"/>
        <v>0</v>
      </c>
      <c r="J18" s="510"/>
      <c r="K18" s="511"/>
      <c r="L18" s="275">
        <f t="shared" si="4"/>
        <v>0</v>
      </c>
      <c r="M18" s="510"/>
      <c r="N18" s="511"/>
      <c r="O18" s="275">
        <f t="shared" si="5"/>
        <v>0</v>
      </c>
      <c r="P18" s="510"/>
      <c r="Q18" s="511"/>
      <c r="R18" s="275">
        <f t="shared" si="6"/>
        <v>0</v>
      </c>
      <c r="S18" s="510"/>
      <c r="T18" s="511"/>
      <c r="U18" s="275">
        <f t="shared" si="7"/>
        <v>0</v>
      </c>
      <c r="V18" s="510"/>
      <c r="W18" s="511"/>
      <c r="X18" s="275">
        <f t="shared" si="8"/>
        <v>0</v>
      </c>
      <c r="Y18" s="510"/>
      <c r="Z18" s="511"/>
      <c r="AA18" s="275">
        <f t="shared" si="9"/>
        <v>0</v>
      </c>
      <c r="AB18" s="510"/>
      <c r="AC18" s="511"/>
      <c r="AD18" s="275">
        <f t="shared" si="10"/>
        <v>0</v>
      </c>
      <c r="AE18" s="510"/>
      <c r="AF18" s="511"/>
      <c r="AG18" s="275">
        <f t="shared" si="11"/>
        <v>0</v>
      </c>
      <c r="AH18" s="510"/>
      <c r="AI18" s="511"/>
      <c r="AJ18" s="275">
        <f t="shared" si="12"/>
        <v>0</v>
      </c>
      <c r="AK18" s="510"/>
      <c r="AL18" s="511"/>
      <c r="AM18" s="275">
        <f t="shared" si="13"/>
        <v>0</v>
      </c>
      <c r="AN18" s="510"/>
      <c r="AO18" s="511"/>
      <c r="AP18" s="275">
        <f t="shared" si="14"/>
        <v>0</v>
      </c>
      <c r="AQ18" s="510"/>
      <c r="AR18" s="511"/>
      <c r="AS18" s="275">
        <f t="shared" si="15"/>
        <v>0</v>
      </c>
      <c r="AT18" s="510"/>
      <c r="AU18" s="511"/>
      <c r="AV18" s="275">
        <f t="shared" si="16"/>
        <v>0</v>
      </c>
      <c r="AW18" s="510"/>
      <c r="AX18" s="511"/>
      <c r="AY18" s="275">
        <f t="shared" si="17"/>
        <v>0</v>
      </c>
      <c r="AZ18" s="510"/>
      <c r="BA18" s="511"/>
      <c r="BB18" s="275">
        <f t="shared" si="18"/>
        <v>0</v>
      </c>
      <c r="BC18" s="510"/>
      <c r="BD18" s="511"/>
      <c r="BE18" s="275">
        <f t="shared" si="19"/>
        <v>0</v>
      </c>
      <c r="BF18" s="510"/>
      <c r="BG18" s="511"/>
      <c r="BH18" s="275">
        <f t="shared" si="20"/>
        <v>0</v>
      </c>
      <c r="BI18" s="510"/>
      <c r="BJ18" s="511"/>
      <c r="BK18" s="275">
        <f t="shared" si="21"/>
        <v>0</v>
      </c>
      <c r="BL18" s="510"/>
      <c r="BM18" s="511"/>
      <c r="BN18" s="275">
        <f t="shared" si="22"/>
        <v>0</v>
      </c>
      <c r="BO18" s="510"/>
      <c r="BP18" s="511"/>
      <c r="BQ18" s="275">
        <f t="shared" si="23"/>
        <v>0</v>
      </c>
      <c r="BR18" s="258"/>
    </row>
    <row r="19" spans="1:70" ht="16" x14ac:dyDescent="0.2">
      <c r="A19" s="818"/>
      <c r="B19" s="821"/>
      <c r="C19" s="24" t="s">
        <v>167</v>
      </c>
      <c r="D19" s="272"/>
      <c r="E19" s="273"/>
      <c r="F19" s="274"/>
      <c r="G19" s="510"/>
      <c r="H19" s="511"/>
      <c r="I19" s="275">
        <f t="shared" si="3"/>
        <v>0</v>
      </c>
      <c r="J19" s="510"/>
      <c r="K19" s="511"/>
      <c r="L19" s="275">
        <f t="shared" si="4"/>
        <v>0</v>
      </c>
      <c r="M19" s="510"/>
      <c r="N19" s="511"/>
      <c r="O19" s="275">
        <f t="shared" si="5"/>
        <v>0</v>
      </c>
      <c r="P19" s="510"/>
      <c r="Q19" s="511"/>
      <c r="R19" s="275">
        <f t="shared" si="6"/>
        <v>0</v>
      </c>
      <c r="S19" s="510"/>
      <c r="T19" s="511"/>
      <c r="U19" s="275">
        <f t="shared" si="7"/>
        <v>0</v>
      </c>
      <c r="V19" s="510"/>
      <c r="W19" s="511"/>
      <c r="X19" s="275">
        <f t="shared" si="8"/>
        <v>0</v>
      </c>
      <c r="Y19" s="510"/>
      <c r="Z19" s="511"/>
      <c r="AA19" s="275">
        <f t="shared" si="9"/>
        <v>0</v>
      </c>
      <c r="AB19" s="510"/>
      <c r="AC19" s="511"/>
      <c r="AD19" s="275">
        <f t="shared" si="10"/>
        <v>0</v>
      </c>
      <c r="AE19" s="510"/>
      <c r="AF19" s="511"/>
      <c r="AG19" s="275">
        <f t="shared" si="11"/>
        <v>0</v>
      </c>
      <c r="AH19" s="510"/>
      <c r="AI19" s="511"/>
      <c r="AJ19" s="275">
        <f t="shared" si="12"/>
        <v>0</v>
      </c>
      <c r="AK19" s="510"/>
      <c r="AL19" s="511"/>
      <c r="AM19" s="275">
        <f t="shared" si="13"/>
        <v>0</v>
      </c>
      <c r="AN19" s="510"/>
      <c r="AO19" s="511"/>
      <c r="AP19" s="275">
        <f t="shared" si="14"/>
        <v>0</v>
      </c>
      <c r="AQ19" s="510"/>
      <c r="AR19" s="511"/>
      <c r="AS19" s="275">
        <f t="shared" si="15"/>
        <v>0</v>
      </c>
      <c r="AT19" s="510"/>
      <c r="AU19" s="511"/>
      <c r="AV19" s="275">
        <f t="shared" si="16"/>
        <v>0</v>
      </c>
      <c r="AW19" s="510"/>
      <c r="AX19" s="511"/>
      <c r="AY19" s="275">
        <f t="shared" si="17"/>
        <v>0</v>
      </c>
      <c r="AZ19" s="510"/>
      <c r="BA19" s="511"/>
      <c r="BB19" s="275">
        <f t="shared" si="18"/>
        <v>0</v>
      </c>
      <c r="BC19" s="510"/>
      <c r="BD19" s="511"/>
      <c r="BE19" s="275">
        <f t="shared" si="19"/>
        <v>0</v>
      </c>
      <c r="BF19" s="510"/>
      <c r="BG19" s="511"/>
      <c r="BH19" s="275">
        <f t="shared" si="20"/>
        <v>0</v>
      </c>
      <c r="BI19" s="510"/>
      <c r="BJ19" s="511"/>
      <c r="BK19" s="275">
        <f t="shared" si="21"/>
        <v>0</v>
      </c>
      <c r="BL19" s="510"/>
      <c r="BM19" s="511"/>
      <c r="BN19" s="275">
        <f t="shared" si="22"/>
        <v>0</v>
      </c>
      <c r="BO19" s="510"/>
      <c r="BP19" s="511"/>
      <c r="BQ19" s="275">
        <f t="shared" si="23"/>
        <v>0</v>
      </c>
      <c r="BR19" s="258"/>
    </row>
    <row r="20" spans="1:70" ht="16" x14ac:dyDescent="0.2">
      <c r="A20" s="818"/>
      <c r="B20" s="821"/>
      <c r="C20" s="24" t="s">
        <v>168</v>
      </c>
      <c r="D20" s="272"/>
      <c r="E20" s="273"/>
      <c r="F20" s="274"/>
      <c r="G20" s="510"/>
      <c r="H20" s="511"/>
      <c r="I20" s="275">
        <f t="shared" si="3"/>
        <v>0</v>
      </c>
      <c r="J20" s="510"/>
      <c r="K20" s="511"/>
      <c r="L20" s="275">
        <f t="shared" si="4"/>
        <v>0</v>
      </c>
      <c r="M20" s="510"/>
      <c r="N20" s="511"/>
      <c r="O20" s="275">
        <f t="shared" si="5"/>
        <v>0</v>
      </c>
      <c r="P20" s="510"/>
      <c r="Q20" s="511"/>
      <c r="R20" s="275">
        <f t="shared" si="6"/>
        <v>0</v>
      </c>
      <c r="S20" s="510"/>
      <c r="T20" s="511"/>
      <c r="U20" s="275">
        <f t="shared" si="7"/>
        <v>0</v>
      </c>
      <c r="V20" s="510"/>
      <c r="W20" s="511"/>
      <c r="X20" s="275">
        <f t="shared" si="8"/>
        <v>0</v>
      </c>
      <c r="Y20" s="510"/>
      <c r="Z20" s="511"/>
      <c r="AA20" s="275">
        <f t="shared" si="9"/>
        <v>0</v>
      </c>
      <c r="AB20" s="510"/>
      <c r="AC20" s="511"/>
      <c r="AD20" s="275">
        <f t="shared" si="10"/>
        <v>0</v>
      </c>
      <c r="AE20" s="510"/>
      <c r="AF20" s="511"/>
      <c r="AG20" s="275">
        <f t="shared" si="11"/>
        <v>0</v>
      </c>
      <c r="AH20" s="510"/>
      <c r="AI20" s="511"/>
      <c r="AJ20" s="275">
        <f t="shared" si="12"/>
        <v>0</v>
      </c>
      <c r="AK20" s="510"/>
      <c r="AL20" s="511"/>
      <c r="AM20" s="275">
        <f t="shared" si="13"/>
        <v>0</v>
      </c>
      <c r="AN20" s="510"/>
      <c r="AO20" s="511"/>
      <c r="AP20" s="275">
        <f t="shared" si="14"/>
        <v>0</v>
      </c>
      <c r="AQ20" s="510"/>
      <c r="AR20" s="511"/>
      <c r="AS20" s="275">
        <f t="shared" si="15"/>
        <v>0</v>
      </c>
      <c r="AT20" s="510"/>
      <c r="AU20" s="511"/>
      <c r="AV20" s="275">
        <f t="shared" si="16"/>
        <v>0</v>
      </c>
      <c r="AW20" s="510"/>
      <c r="AX20" s="511"/>
      <c r="AY20" s="275">
        <f t="shared" si="17"/>
        <v>0</v>
      </c>
      <c r="AZ20" s="510"/>
      <c r="BA20" s="511"/>
      <c r="BB20" s="275">
        <f t="shared" si="18"/>
        <v>0</v>
      </c>
      <c r="BC20" s="510"/>
      <c r="BD20" s="511"/>
      <c r="BE20" s="275">
        <f t="shared" si="19"/>
        <v>0</v>
      </c>
      <c r="BF20" s="510"/>
      <c r="BG20" s="511"/>
      <c r="BH20" s="275">
        <f t="shared" si="20"/>
        <v>0</v>
      </c>
      <c r="BI20" s="510"/>
      <c r="BJ20" s="511"/>
      <c r="BK20" s="275">
        <f t="shared" si="21"/>
        <v>0</v>
      </c>
      <c r="BL20" s="510"/>
      <c r="BM20" s="511"/>
      <c r="BN20" s="275">
        <f t="shared" si="22"/>
        <v>0</v>
      </c>
      <c r="BO20" s="510"/>
      <c r="BP20" s="511"/>
      <c r="BQ20" s="275">
        <f t="shared" si="23"/>
        <v>0</v>
      </c>
      <c r="BR20" s="258"/>
    </row>
    <row r="21" spans="1:70" ht="16" x14ac:dyDescent="0.2">
      <c r="A21" s="818"/>
      <c r="B21" s="821"/>
      <c r="C21" s="24" t="s">
        <v>169</v>
      </c>
      <c r="D21" s="272"/>
      <c r="E21" s="273"/>
      <c r="F21" s="274"/>
      <c r="G21" s="510"/>
      <c r="H21" s="511"/>
      <c r="I21" s="275">
        <f t="shared" si="3"/>
        <v>0</v>
      </c>
      <c r="J21" s="510"/>
      <c r="K21" s="511"/>
      <c r="L21" s="275">
        <f t="shared" si="4"/>
        <v>0</v>
      </c>
      <c r="M21" s="510"/>
      <c r="N21" s="511"/>
      <c r="O21" s="275">
        <f t="shared" si="5"/>
        <v>0</v>
      </c>
      <c r="P21" s="510"/>
      <c r="Q21" s="511"/>
      <c r="R21" s="275">
        <f t="shared" si="6"/>
        <v>0</v>
      </c>
      <c r="S21" s="510"/>
      <c r="T21" s="511"/>
      <c r="U21" s="275">
        <f t="shared" si="7"/>
        <v>0</v>
      </c>
      <c r="V21" s="510"/>
      <c r="W21" s="511"/>
      <c r="X21" s="275">
        <f t="shared" si="8"/>
        <v>0</v>
      </c>
      <c r="Y21" s="510"/>
      <c r="Z21" s="511"/>
      <c r="AA21" s="275">
        <f t="shared" si="9"/>
        <v>0</v>
      </c>
      <c r="AB21" s="510"/>
      <c r="AC21" s="511"/>
      <c r="AD21" s="275">
        <f t="shared" si="10"/>
        <v>0</v>
      </c>
      <c r="AE21" s="510"/>
      <c r="AF21" s="511"/>
      <c r="AG21" s="275">
        <f t="shared" si="11"/>
        <v>0</v>
      </c>
      <c r="AH21" s="510"/>
      <c r="AI21" s="511"/>
      <c r="AJ21" s="275">
        <f t="shared" si="12"/>
        <v>0</v>
      </c>
      <c r="AK21" s="510"/>
      <c r="AL21" s="511"/>
      <c r="AM21" s="275">
        <f t="shared" si="13"/>
        <v>0</v>
      </c>
      <c r="AN21" s="510"/>
      <c r="AO21" s="511"/>
      <c r="AP21" s="275">
        <f t="shared" si="14"/>
        <v>0</v>
      </c>
      <c r="AQ21" s="510"/>
      <c r="AR21" s="511"/>
      <c r="AS21" s="275">
        <f t="shared" si="15"/>
        <v>0</v>
      </c>
      <c r="AT21" s="510"/>
      <c r="AU21" s="511"/>
      <c r="AV21" s="275">
        <f t="shared" si="16"/>
        <v>0</v>
      </c>
      <c r="AW21" s="510"/>
      <c r="AX21" s="511"/>
      <c r="AY21" s="275">
        <f t="shared" si="17"/>
        <v>0</v>
      </c>
      <c r="AZ21" s="510"/>
      <c r="BA21" s="511"/>
      <c r="BB21" s="275">
        <f t="shared" si="18"/>
        <v>0</v>
      </c>
      <c r="BC21" s="510"/>
      <c r="BD21" s="511"/>
      <c r="BE21" s="275">
        <f t="shared" si="19"/>
        <v>0</v>
      </c>
      <c r="BF21" s="510"/>
      <c r="BG21" s="511"/>
      <c r="BH21" s="275">
        <f t="shared" si="20"/>
        <v>0</v>
      </c>
      <c r="BI21" s="510"/>
      <c r="BJ21" s="511"/>
      <c r="BK21" s="275">
        <f t="shared" si="21"/>
        <v>0</v>
      </c>
      <c r="BL21" s="510"/>
      <c r="BM21" s="511"/>
      <c r="BN21" s="275">
        <f t="shared" si="22"/>
        <v>0</v>
      </c>
      <c r="BO21" s="510"/>
      <c r="BP21" s="511"/>
      <c r="BQ21" s="275">
        <f t="shared" si="23"/>
        <v>0</v>
      </c>
      <c r="BR21" s="258"/>
    </row>
    <row r="22" spans="1:70" ht="16" x14ac:dyDescent="0.2">
      <c r="A22" s="818"/>
      <c r="B22" s="821"/>
      <c r="C22" s="24" t="s">
        <v>170</v>
      </c>
      <c r="D22" s="272"/>
      <c r="E22" s="273"/>
      <c r="F22" s="274"/>
      <c r="G22" s="510"/>
      <c r="H22" s="511"/>
      <c r="I22" s="275">
        <f t="shared" si="3"/>
        <v>0</v>
      </c>
      <c r="J22" s="510"/>
      <c r="K22" s="511"/>
      <c r="L22" s="275">
        <f t="shared" si="4"/>
        <v>0</v>
      </c>
      <c r="M22" s="510"/>
      <c r="N22" s="511"/>
      <c r="O22" s="275">
        <f t="shared" si="5"/>
        <v>0</v>
      </c>
      <c r="P22" s="510"/>
      <c r="Q22" s="511"/>
      <c r="R22" s="275">
        <f t="shared" si="6"/>
        <v>0</v>
      </c>
      <c r="S22" s="510"/>
      <c r="T22" s="511"/>
      <c r="U22" s="275">
        <f t="shared" si="7"/>
        <v>0</v>
      </c>
      <c r="V22" s="510"/>
      <c r="W22" s="511"/>
      <c r="X22" s="275">
        <f t="shared" si="8"/>
        <v>0</v>
      </c>
      <c r="Y22" s="510"/>
      <c r="Z22" s="511"/>
      <c r="AA22" s="275">
        <f t="shared" si="9"/>
        <v>0</v>
      </c>
      <c r="AB22" s="510"/>
      <c r="AC22" s="511"/>
      <c r="AD22" s="275">
        <f t="shared" si="10"/>
        <v>0</v>
      </c>
      <c r="AE22" s="510"/>
      <c r="AF22" s="511"/>
      <c r="AG22" s="275">
        <f t="shared" si="11"/>
        <v>0</v>
      </c>
      <c r="AH22" s="510"/>
      <c r="AI22" s="511"/>
      <c r="AJ22" s="275">
        <f t="shared" si="12"/>
        <v>0</v>
      </c>
      <c r="AK22" s="510"/>
      <c r="AL22" s="511"/>
      <c r="AM22" s="275">
        <f t="shared" si="13"/>
        <v>0</v>
      </c>
      <c r="AN22" s="510"/>
      <c r="AO22" s="511"/>
      <c r="AP22" s="275">
        <f t="shared" si="14"/>
        <v>0</v>
      </c>
      <c r="AQ22" s="510"/>
      <c r="AR22" s="511"/>
      <c r="AS22" s="275">
        <f t="shared" si="15"/>
        <v>0</v>
      </c>
      <c r="AT22" s="510"/>
      <c r="AU22" s="511"/>
      <c r="AV22" s="275">
        <f t="shared" si="16"/>
        <v>0</v>
      </c>
      <c r="AW22" s="510"/>
      <c r="AX22" s="511"/>
      <c r="AY22" s="275">
        <f t="shared" si="17"/>
        <v>0</v>
      </c>
      <c r="AZ22" s="510"/>
      <c r="BA22" s="511"/>
      <c r="BB22" s="275">
        <f t="shared" si="18"/>
        <v>0</v>
      </c>
      <c r="BC22" s="510"/>
      <c r="BD22" s="511"/>
      <c r="BE22" s="275">
        <f t="shared" si="19"/>
        <v>0</v>
      </c>
      <c r="BF22" s="510"/>
      <c r="BG22" s="511"/>
      <c r="BH22" s="275">
        <f t="shared" si="20"/>
        <v>0</v>
      </c>
      <c r="BI22" s="510"/>
      <c r="BJ22" s="511"/>
      <c r="BK22" s="275">
        <f t="shared" si="21"/>
        <v>0</v>
      </c>
      <c r="BL22" s="510"/>
      <c r="BM22" s="511"/>
      <c r="BN22" s="275">
        <f t="shared" si="22"/>
        <v>0</v>
      </c>
      <c r="BO22" s="510"/>
      <c r="BP22" s="511"/>
      <c r="BQ22" s="275">
        <f t="shared" si="23"/>
        <v>0</v>
      </c>
      <c r="BR22" s="258"/>
    </row>
    <row r="23" spans="1:70" ht="16" x14ac:dyDescent="0.2">
      <c r="A23" s="818"/>
      <c r="B23" s="821"/>
      <c r="C23" s="24" t="s">
        <v>171</v>
      </c>
      <c r="D23" s="272"/>
      <c r="E23" s="273"/>
      <c r="F23" s="274"/>
      <c r="G23" s="510"/>
      <c r="H23" s="511"/>
      <c r="I23" s="275">
        <f t="shared" si="3"/>
        <v>0</v>
      </c>
      <c r="J23" s="510"/>
      <c r="K23" s="511"/>
      <c r="L23" s="275">
        <f t="shared" si="4"/>
        <v>0</v>
      </c>
      <c r="M23" s="510"/>
      <c r="N23" s="511"/>
      <c r="O23" s="275">
        <f t="shared" si="5"/>
        <v>0</v>
      </c>
      <c r="P23" s="510"/>
      <c r="Q23" s="511"/>
      <c r="R23" s="275">
        <f t="shared" si="6"/>
        <v>0</v>
      </c>
      <c r="S23" s="510"/>
      <c r="T23" s="511"/>
      <c r="U23" s="275">
        <f t="shared" si="7"/>
        <v>0</v>
      </c>
      <c r="V23" s="510"/>
      <c r="W23" s="511"/>
      <c r="X23" s="275">
        <f t="shared" si="8"/>
        <v>0</v>
      </c>
      <c r="Y23" s="510"/>
      <c r="Z23" s="511"/>
      <c r="AA23" s="275">
        <f t="shared" si="9"/>
        <v>0</v>
      </c>
      <c r="AB23" s="510"/>
      <c r="AC23" s="511"/>
      <c r="AD23" s="275">
        <f t="shared" si="10"/>
        <v>0</v>
      </c>
      <c r="AE23" s="510"/>
      <c r="AF23" s="511"/>
      <c r="AG23" s="275">
        <f t="shared" si="11"/>
        <v>0</v>
      </c>
      <c r="AH23" s="510"/>
      <c r="AI23" s="511"/>
      <c r="AJ23" s="275">
        <f t="shared" si="12"/>
        <v>0</v>
      </c>
      <c r="AK23" s="510"/>
      <c r="AL23" s="511"/>
      <c r="AM23" s="275">
        <f t="shared" si="13"/>
        <v>0</v>
      </c>
      <c r="AN23" s="510"/>
      <c r="AO23" s="511"/>
      <c r="AP23" s="275">
        <f t="shared" si="14"/>
        <v>0</v>
      </c>
      <c r="AQ23" s="510"/>
      <c r="AR23" s="511"/>
      <c r="AS23" s="275">
        <f t="shared" si="15"/>
        <v>0</v>
      </c>
      <c r="AT23" s="510"/>
      <c r="AU23" s="511"/>
      <c r="AV23" s="275">
        <f t="shared" si="16"/>
        <v>0</v>
      </c>
      <c r="AW23" s="510"/>
      <c r="AX23" s="511"/>
      <c r="AY23" s="275">
        <f t="shared" si="17"/>
        <v>0</v>
      </c>
      <c r="AZ23" s="510"/>
      <c r="BA23" s="511"/>
      <c r="BB23" s="275">
        <f t="shared" si="18"/>
        <v>0</v>
      </c>
      <c r="BC23" s="510"/>
      <c r="BD23" s="511"/>
      <c r="BE23" s="275">
        <f t="shared" si="19"/>
        <v>0</v>
      </c>
      <c r="BF23" s="510"/>
      <c r="BG23" s="511"/>
      <c r="BH23" s="275">
        <f t="shared" si="20"/>
        <v>0</v>
      </c>
      <c r="BI23" s="510"/>
      <c r="BJ23" s="511"/>
      <c r="BK23" s="275">
        <f t="shared" si="21"/>
        <v>0</v>
      </c>
      <c r="BL23" s="510"/>
      <c r="BM23" s="511"/>
      <c r="BN23" s="275">
        <f t="shared" si="22"/>
        <v>0</v>
      </c>
      <c r="BO23" s="510"/>
      <c r="BP23" s="511"/>
      <c r="BQ23" s="275">
        <f t="shared" si="23"/>
        <v>0</v>
      </c>
      <c r="BR23" s="258"/>
    </row>
    <row r="24" spans="1:70" ht="17" thickBot="1" x14ac:dyDescent="0.25">
      <c r="A24" s="819"/>
      <c r="B24" s="822"/>
      <c r="C24" s="263" t="s">
        <v>172</v>
      </c>
      <c r="D24" s="276"/>
      <c r="E24" s="277"/>
      <c r="F24" s="278"/>
      <c r="G24" s="512"/>
      <c r="H24" s="513"/>
      <c r="I24" s="279">
        <f t="shared" si="3"/>
        <v>0</v>
      </c>
      <c r="J24" s="512"/>
      <c r="K24" s="513"/>
      <c r="L24" s="279">
        <f t="shared" si="4"/>
        <v>0</v>
      </c>
      <c r="M24" s="512"/>
      <c r="N24" s="513"/>
      <c r="O24" s="279">
        <f t="shared" si="5"/>
        <v>0</v>
      </c>
      <c r="P24" s="512"/>
      <c r="Q24" s="513"/>
      <c r="R24" s="279">
        <f t="shared" si="6"/>
        <v>0</v>
      </c>
      <c r="S24" s="512"/>
      <c r="T24" s="513"/>
      <c r="U24" s="279">
        <f t="shared" si="7"/>
        <v>0</v>
      </c>
      <c r="V24" s="512"/>
      <c r="W24" s="513"/>
      <c r="X24" s="279">
        <f t="shared" si="8"/>
        <v>0</v>
      </c>
      <c r="Y24" s="512"/>
      <c r="Z24" s="513"/>
      <c r="AA24" s="279">
        <f t="shared" si="9"/>
        <v>0</v>
      </c>
      <c r="AB24" s="512"/>
      <c r="AC24" s="513"/>
      <c r="AD24" s="279">
        <f t="shared" si="10"/>
        <v>0</v>
      </c>
      <c r="AE24" s="512"/>
      <c r="AF24" s="513"/>
      <c r="AG24" s="279">
        <f t="shared" si="11"/>
        <v>0</v>
      </c>
      <c r="AH24" s="512"/>
      <c r="AI24" s="513"/>
      <c r="AJ24" s="279">
        <f t="shared" si="12"/>
        <v>0</v>
      </c>
      <c r="AK24" s="512"/>
      <c r="AL24" s="513"/>
      <c r="AM24" s="279">
        <f t="shared" si="13"/>
        <v>0</v>
      </c>
      <c r="AN24" s="512"/>
      <c r="AO24" s="513"/>
      <c r="AP24" s="279">
        <f t="shared" si="14"/>
        <v>0</v>
      </c>
      <c r="AQ24" s="512"/>
      <c r="AR24" s="513"/>
      <c r="AS24" s="279">
        <f t="shared" si="15"/>
        <v>0</v>
      </c>
      <c r="AT24" s="512"/>
      <c r="AU24" s="513"/>
      <c r="AV24" s="279">
        <f t="shared" si="16"/>
        <v>0</v>
      </c>
      <c r="AW24" s="512"/>
      <c r="AX24" s="513"/>
      <c r="AY24" s="279">
        <f t="shared" si="17"/>
        <v>0</v>
      </c>
      <c r="AZ24" s="512"/>
      <c r="BA24" s="513"/>
      <c r="BB24" s="279">
        <f t="shared" si="18"/>
        <v>0</v>
      </c>
      <c r="BC24" s="512"/>
      <c r="BD24" s="513"/>
      <c r="BE24" s="279">
        <f t="shared" si="19"/>
        <v>0</v>
      </c>
      <c r="BF24" s="512"/>
      <c r="BG24" s="513"/>
      <c r="BH24" s="279">
        <f t="shared" si="20"/>
        <v>0</v>
      </c>
      <c r="BI24" s="512"/>
      <c r="BJ24" s="513"/>
      <c r="BK24" s="279">
        <f t="shared" si="21"/>
        <v>0</v>
      </c>
      <c r="BL24" s="512"/>
      <c r="BM24" s="513"/>
      <c r="BN24" s="279">
        <f t="shared" si="22"/>
        <v>0</v>
      </c>
      <c r="BO24" s="512"/>
      <c r="BP24" s="513"/>
      <c r="BQ24" s="279">
        <f t="shared" si="23"/>
        <v>0</v>
      </c>
      <c r="BR24" s="258"/>
    </row>
    <row r="25" spans="1:70" s="281" customFormat="1" ht="14.25" customHeight="1" x14ac:dyDescent="0.2">
      <c r="A25" s="817" t="s">
        <v>212</v>
      </c>
      <c r="B25" s="820" t="s">
        <v>211</v>
      </c>
      <c r="C25" s="251" t="s">
        <v>163</v>
      </c>
      <c r="D25" s="268"/>
      <c r="E25" s="269"/>
      <c r="F25" s="270"/>
      <c r="G25" s="508"/>
      <c r="H25" s="509"/>
      <c r="I25" s="271">
        <f>H25-G25</f>
        <v>0</v>
      </c>
      <c r="J25" s="508"/>
      <c r="K25" s="509"/>
      <c r="L25" s="271">
        <f>K25-J25</f>
        <v>0</v>
      </c>
      <c r="M25" s="508"/>
      <c r="N25" s="509"/>
      <c r="O25" s="271">
        <f>N25-M25</f>
        <v>0</v>
      </c>
      <c r="P25" s="508"/>
      <c r="Q25" s="509"/>
      <c r="R25" s="271">
        <f>Q25-P25</f>
        <v>0</v>
      </c>
      <c r="S25" s="508"/>
      <c r="T25" s="509"/>
      <c r="U25" s="271">
        <f>T25-S25</f>
        <v>0</v>
      </c>
      <c r="V25" s="508"/>
      <c r="W25" s="509"/>
      <c r="X25" s="271">
        <f>W25-V25</f>
        <v>0</v>
      </c>
      <c r="Y25" s="508"/>
      <c r="Z25" s="509"/>
      <c r="AA25" s="271">
        <f>Z25-Y25</f>
        <v>0</v>
      </c>
      <c r="AB25" s="508"/>
      <c r="AC25" s="509"/>
      <c r="AD25" s="271">
        <f>AC25-AB25</f>
        <v>0</v>
      </c>
      <c r="AE25" s="508"/>
      <c r="AF25" s="509"/>
      <c r="AG25" s="271">
        <f>AF25-AE25</f>
        <v>0</v>
      </c>
      <c r="AH25" s="508"/>
      <c r="AI25" s="509"/>
      <c r="AJ25" s="271">
        <f>AI25-AH25</f>
        <v>0</v>
      </c>
      <c r="AK25" s="508"/>
      <c r="AL25" s="509"/>
      <c r="AM25" s="271">
        <f>AL25-AK25</f>
        <v>0</v>
      </c>
      <c r="AN25" s="508"/>
      <c r="AO25" s="509"/>
      <c r="AP25" s="271">
        <f>AO25-AN25</f>
        <v>0</v>
      </c>
      <c r="AQ25" s="508"/>
      <c r="AR25" s="509"/>
      <c r="AS25" s="271">
        <f>AR25-AQ25</f>
        <v>0</v>
      </c>
      <c r="AT25" s="508"/>
      <c r="AU25" s="509"/>
      <c r="AV25" s="271">
        <f>AU25-AT25</f>
        <v>0</v>
      </c>
      <c r="AW25" s="508"/>
      <c r="AX25" s="509"/>
      <c r="AY25" s="271">
        <f>AX25-AW25</f>
        <v>0</v>
      </c>
      <c r="AZ25" s="508"/>
      <c r="BA25" s="509"/>
      <c r="BB25" s="271">
        <f>BA25-AZ25</f>
        <v>0</v>
      </c>
      <c r="BC25" s="508"/>
      <c r="BD25" s="509"/>
      <c r="BE25" s="271">
        <f>BD25-BC25</f>
        <v>0</v>
      </c>
      <c r="BF25" s="508"/>
      <c r="BG25" s="509"/>
      <c r="BH25" s="271">
        <f>BG25-BF25</f>
        <v>0</v>
      </c>
      <c r="BI25" s="508"/>
      <c r="BJ25" s="509"/>
      <c r="BK25" s="271">
        <f>BJ25-BI25</f>
        <v>0</v>
      </c>
      <c r="BL25" s="508"/>
      <c r="BM25" s="509"/>
      <c r="BN25" s="271">
        <f>BM25-BL25</f>
        <v>0</v>
      </c>
      <c r="BO25" s="508"/>
      <c r="BP25" s="509"/>
      <c r="BQ25" s="271">
        <f>BP25-BO25</f>
        <v>0</v>
      </c>
      <c r="BR25" s="280"/>
    </row>
    <row r="26" spans="1:70" ht="16" x14ac:dyDescent="0.2">
      <c r="A26" s="818"/>
      <c r="B26" s="821"/>
      <c r="C26" s="24" t="s">
        <v>164</v>
      </c>
      <c r="D26" s="272"/>
      <c r="E26" s="273"/>
      <c r="F26" s="274"/>
      <c r="G26" s="510"/>
      <c r="H26" s="511"/>
      <c r="I26" s="275">
        <f t="shared" ref="I26:I43" si="33">H26-G26</f>
        <v>0</v>
      </c>
      <c r="J26" s="510"/>
      <c r="K26" s="511"/>
      <c r="L26" s="275">
        <f t="shared" ref="L26:L43" si="34">K26-J26</f>
        <v>0</v>
      </c>
      <c r="M26" s="510"/>
      <c r="N26" s="511"/>
      <c r="O26" s="275">
        <f t="shared" ref="O26:O43" si="35">N26-M26</f>
        <v>0</v>
      </c>
      <c r="P26" s="510"/>
      <c r="Q26" s="511"/>
      <c r="R26" s="275">
        <f t="shared" ref="R26:R43" si="36">Q26-P26</f>
        <v>0</v>
      </c>
      <c r="S26" s="510"/>
      <c r="T26" s="511"/>
      <c r="U26" s="275">
        <f t="shared" ref="U26:U43" si="37">T26-S26</f>
        <v>0</v>
      </c>
      <c r="V26" s="510"/>
      <c r="W26" s="511"/>
      <c r="X26" s="275">
        <f t="shared" ref="X26:X43" si="38">W26-V26</f>
        <v>0</v>
      </c>
      <c r="Y26" s="510"/>
      <c r="Z26" s="511"/>
      <c r="AA26" s="275">
        <f t="shared" ref="AA26:AA43" si="39">Z26-Y26</f>
        <v>0</v>
      </c>
      <c r="AB26" s="510"/>
      <c r="AC26" s="511"/>
      <c r="AD26" s="275">
        <f t="shared" ref="AD26:AD43" si="40">AC26-AB26</f>
        <v>0</v>
      </c>
      <c r="AE26" s="510"/>
      <c r="AF26" s="511"/>
      <c r="AG26" s="275">
        <f t="shared" ref="AG26:AG43" si="41">AF26-AE26</f>
        <v>0</v>
      </c>
      <c r="AH26" s="510"/>
      <c r="AI26" s="511"/>
      <c r="AJ26" s="275">
        <f t="shared" ref="AJ26:AJ43" si="42">AI26-AH26</f>
        <v>0</v>
      </c>
      <c r="AK26" s="510"/>
      <c r="AL26" s="511"/>
      <c r="AM26" s="275">
        <f t="shared" ref="AM26:AM43" si="43">AL26-AK26</f>
        <v>0</v>
      </c>
      <c r="AN26" s="510"/>
      <c r="AO26" s="511"/>
      <c r="AP26" s="275">
        <f t="shared" ref="AP26:AP43" si="44">AO26-AN26</f>
        <v>0</v>
      </c>
      <c r="AQ26" s="510"/>
      <c r="AR26" s="511"/>
      <c r="AS26" s="275">
        <f t="shared" ref="AS26:AS43" si="45">AR26-AQ26</f>
        <v>0</v>
      </c>
      <c r="AT26" s="510"/>
      <c r="AU26" s="511"/>
      <c r="AV26" s="275">
        <f t="shared" ref="AV26:AV43" si="46">AU26-AT26</f>
        <v>0</v>
      </c>
      <c r="AW26" s="510"/>
      <c r="AX26" s="511"/>
      <c r="AY26" s="275">
        <f t="shared" ref="AY26:AY43" si="47">AX26-AW26</f>
        <v>0</v>
      </c>
      <c r="AZ26" s="510"/>
      <c r="BA26" s="511"/>
      <c r="BB26" s="275">
        <f t="shared" ref="BB26:BB43" si="48">BA26-AZ26</f>
        <v>0</v>
      </c>
      <c r="BC26" s="510"/>
      <c r="BD26" s="511"/>
      <c r="BE26" s="275">
        <f t="shared" ref="BE26:BE43" si="49">BD26-BC26</f>
        <v>0</v>
      </c>
      <c r="BF26" s="510"/>
      <c r="BG26" s="511"/>
      <c r="BH26" s="275">
        <f t="shared" ref="BH26:BH43" si="50">BG26-BF26</f>
        <v>0</v>
      </c>
      <c r="BI26" s="510"/>
      <c r="BJ26" s="511"/>
      <c r="BK26" s="275">
        <f t="shared" ref="BK26:BK43" si="51">BJ26-BI26</f>
        <v>0</v>
      </c>
      <c r="BL26" s="510"/>
      <c r="BM26" s="511"/>
      <c r="BN26" s="275">
        <f t="shared" ref="BN26:BN43" si="52">BM26-BL26</f>
        <v>0</v>
      </c>
      <c r="BO26" s="510"/>
      <c r="BP26" s="511"/>
      <c r="BQ26" s="275">
        <f t="shared" ref="BQ26:BQ53" si="53">BP26-BO26</f>
        <v>0</v>
      </c>
    </row>
    <row r="27" spans="1:70" ht="16" x14ac:dyDescent="0.2">
      <c r="A27" s="818"/>
      <c r="B27" s="821"/>
      <c r="C27" s="24" t="s">
        <v>165</v>
      </c>
      <c r="D27" s="272"/>
      <c r="E27" s="273"/>
      <c r="F27" s="274"/>
      <c r="G27" s="510"/>
      <c r="H27" s="511"/>
      <c r="I27" s="275">
        <f t="shared" si="33"/>
        <v>0</v>
      </c>
      <c r="J27" s="510"/>
      <c r="K27" s="511"/>
      <c r="L27" s="275">
        <f t="shared" si="34"/>
        <v>0</v>
      </c>
      <c r="M27" s="510"/>
      <c r="N27" s="511"/>
      <c r="O27" s="275">
        <f t="shared" si="35"/>
        <v>0</v>
      </c>
      <c r="P27" s="510"/>
      <c r="Q27" s="511"/>
      <c r="R27" s="275">
        <f t="shared" si="36"/>
        <v>0</v>
      </c>
      <c r="S27" s="510"/>
      <c r="T27" s="511"/>
      <c r="U27" s="275">
        <f t="shared" si="37"/>
        <v>0</v>
      </c>
      <c r="V27" s="510"/>
      <c r="W27" s="511"/>
      <c r="X27" s="275">
        <f t="shared" si="38"/>
        <v>0</v>
      </c>
      <c r="Y27" s="510"/>
      <c r="Z27" s="511"/>
      <c r="AA27" s="275">
        <f t="shared" si="39"/>
        <v>0</v>
      </c>
      <c r="AB27" s="510"/>
      <c r="AC27" s="511"/>
      <c r="AD27" s="275">
        <f t="shared" si="40"/>
        <v>0</v>
      </c>
      <c r="AE27" s="510"/>
      <c r="AF27" s="511"/>
      <c r="AG27" s="275">
        <f t="shared" si="41"/>
        <v>0</v>
      </c>
      <c r="AH27" s="510"/>
      <c r="AI27" s="511"/>
      <c r="AJ27" s="275">
        <f t="shared" si="42"/>
        <v>0</v>
      </c>
      <c r="AK27" s="510"/>
      <c r="AL27" s="511"/>
      <c r="AM27" s="275">
        <f t="shared" si="43"/>
        <v>0</v>
      </c>
      <c r="AN27" s="510"/>
      <c r="AO27" s="511"/>
      <c r="AP27" s="275">
        <f t="shared" si="44"/>
        <v>0</v>
      </c>
      <c r="AQ27" s="510"/>
      <c r="AR27" s="511"/>
      <c r="AS27" s="275">
        <f t="shared" si="45"/>
        <v>0</v>
      </c>
      <c r="AT27" s="510"/>
      <c r="AU27" s="511"/>
      <c r="AV27" s="275">
        <f t="shared" si="46"/>
        <v>0</v>
      </c>
      <c r="AW27" s="510"/>
      <c r="AX27" s="511"/>
      <c r="AY27" s="275">
        <f t="shared" si="47"/>
        <v>0</v>
      </c>
      <c r="AZ27" s="510"/>
      <c r="BA27" s="511"/>
      <c r="BB27" s="275">
        <f t="shared" si="48"/>
        <v>0</v>
      </c>
      <c r="BC27" s="510"/>
      <c r="BD27" s="511"/>
      <c r="BE27" s="275">
        <f t="shared" si="49"/>
        <v>0</v>
      </c>
      <c r="BF27" s="510"/>
      <c r="BG27" s="511"/>
      <c r="BH27" s="275">
        <f t="shared" si="50"/>
        <v>0</v>
      </c>
      <c r="BI27" s="510"/>
      <c r="BJ27" s="511"/>
      <c r="BK27" s="275">
        <f t="shared" si="51"/>
        <v>0</v>
      </c>
      <c r="BL27" s="510"/>
      <c r="BM27" s="511"/>
      <c r="BN27" s="275">
        <f t="shared" si="52"/>
        <v>0</v>
      </c>
      <c r="BO27" s="510"/>
      <c r="BP27" s="511"/>
      <c r="BQ27" s="275">
        <f t="shared" si="53"/>
        <v>0</v>
      </c>
    </row>
    <row r="28" spans="1:70" ht="16" x14ac:dyDescent="0.2">
      <c r="A28" s="818"/>
      <c r="B28" s="821"/>
      <c r="C28" s="24" t="s">
        <v>166</v>
      </c>
      <c r="D28" s="272"/>
      <c r="E28" s="273"/>
      <c r="F28" s="274"/>
      <c r="G28" s="510"/>
      <c r="H28" s="511"/>
      <c r="I28" s="275">
        <f t="shared" si="33"/>
        <v>0</v>
      </c>
      <c r="J28" s="510"/>
      <c r="K28" s="511"/>
      <c r="L28" s="275">
        <f t="shared" si="34"/>
        <v>0</v>
      </c>
      <c r="M28" s="510"/>
      <c r="N28" s="511"/>
      <c r="O28" s="275">
        <f t="shared" si="35"/>
        <v>0</v>
      </c>
      <c r="P28" s="510"/>
      <c r="Q28" s="511"/>
      <c r="R28" s="275">
        <f t="shared" si="36"/>
        <v>0</v>
      </c>
      <c r="S28" s="510"/>
      <c r="T28" s="511"/>
      <c r="U28" s="275">
        <f t="shared" si="37"/>
        <v>0</v>
      </c>
      <c r="V28" s="510"/>
      <c r="W28" s="511"/>
      <c r="X28" s="275">
        <f t="shared" si="38"/>
        <v>0</v>
      </c>
      <c r="Y28" s="510"/>
      <c r="Z28" s="511"/>
      <c r="AA28" s="275">
        <f t="shared" si="39"/>
        <v>0</v>
      </c>
      <c r="AB28" s="510"/>
      <c r="AC28" s="511"/>
      <c r="AD28" s="275">
        <f t="shared" si="40"/>
        <v>0</v>
      </c>
      <c r="AE28" s="510"/>
      <c r="AF28" s="511"/>
      <c r="AG28" s="275">
        <f t="shared" si="41"/>
        <v>0</v>
      </c>
      <c r="AH28" s="510"/>
      <c r="AI28" s="511"/>
      <c r="AJ28" s="275">
        <f t="shared" si="42"/>
        <v>0</v>
      </c>
      <c r="AK28" s="510"/>
      <c r="AL28" s="511"/>
      <c r="AM28" s="275">
        <f t="shared" si="43"/>
        <v>0</v>
      </c>
      <c r="AN28" s="510"/>
      <c r="AO28" s="511"/>
      <c r="AP28" s="275">
        <f t="shared" si="44"/>
        <v>0</v>
      </c>
      <c r="AQ28" s="510"/>
      <c r="AR28" s="511"/>
      <c r="AS28" s="275">
        <f t="shared" si="45"/>
        <v>0</v>
      </c>
      <c r="AT28" s="510"/>
      <c r="AU28" s="511"/>
      <c r="AV28" s="275">
        <f t="shared" si="46"/>
        <v>0</v>
      </c>
      <c r="AW28" s="510"/>
      <c r="AX28" s="511"/>
      <c r="AY28" s="275">
        <f t="shared" si="47"/>
        <v>0</v>
      </c>
      <c r="AZ28" s="510"/>
      <c r="BA28" s="511"/>
      <c r="BB28" s="275">
        <f t="shared" si="48"/>
        <v>0</v>
      </c>
      <c r="BC28" s="510"/>
      <c r="BD28" s="511"/>
      <c r="BE28" s="275">
        <f t="shared" si="49"/>
        <v>0</v>
      </c>
      <c r="BF28" s="510"/>
      <c r="BG28" s="511"/>
      <c r="BH28" s="275">
        <f t="shared" si="50"/>
        <v>0</v>
      </c>
      <c r="BI28" s="510"/>
      <c r="BJ28" s="511"/>
      <c r="BK28" s="275">
        <f t="shared" si="51"/>
        <v>0</v>
      </c>
      <c r="BL28" s="510"/>
      <c r="BM28" s="511"/>
      <c r="BN28" s="275">
        <f t="shared" si="52"/>
        <v>0</v>
      </c>
      <c r="BO28" s="510"/>
      <c r="BP28" s="511"/>
      <c r="BQ28" s="275">
        <f t="shared" si="53"/>
        <v>0</v>
      </c>
    </row>
    <row r="29" spans="1:70" ht="16" x14ac:dyDescent="0.2">
      <c r="A29" s="818"/>
      <c r="B29" s="821"/>
      <c r="C29" s="24" t="s">
        <v>167</v>
      </c>
      <c r="D29" s="272"/>
      <c r="E29" s="273"/>
      <c r="F29" s="274"/>
      <c r="G29" s="510"/>
      <c r="H29" s="511"/>
      <c r="I29" s="275">
        <f t="shared" si="33"/>
        <v>0</v>
      </c>
      <c r="J29" s="510"/>
      <c r="K29" s="511"/>
      <c r="L29" s="275">
        <f t="shared" si="34"/>
        <v>0</v>
      </c>
      <c r="M29" s="510"/>
      <c r="N29" s="511"/>
      <c r="O29" s="275">
        <f t="shared" si="35"/>
        <v>0</v>
      </c>
      <c r="P29" s="510"/>
      <c r="Q29" s="511"/>
      <c r="R29" s="275">
        <f t="shared" si="36"/>
        <v>0</v>
      </c>
      <c r="S29" s="510"/>
      <c r="T29" s="511"/>
      <c r="U29" s="275">
        <f t="shared" si="37"/>
        <v>0</v>
      </c>
      <c r="V29" s="510"/>
      <c r="W29" s="511"/>
      <c r="X29" s="275">
        <f t="shared" si="38"/>
        <v>0</v>
      </c>
      <c r="Y29" s="510"/>
      <c r="Z29" s="511"/>
      <c r="AA29" s="275">
        <f t="shared" si="39"/>
        <v>0</v>
      </c>
      <c r="AB29" s="510"/>
      <c r="AC29" s="511"/>
      <c r="AD29" s="275">
        <f t="shared" si="40"/>
        <v>0</v>
      </c>
      <c r="AE29" s="510"/>
      <c r="AF29" s="511"/>
      <c r="AG29" s="275">
        <f t="shared" si="41"/>
        <v>0</v>
      </c>
      <c r="AH29" s="510"/>
      <c r="AI29" s="511"/>
      <c r="AJ29" s="275">
        <f t="shared" si="42"/>
        <v>0</v>
      </c>
      <c r="AK29" s="510"/>
      <c r="AL29" s="511"/>
      <c r="AM29" s="275">
        <f t="shared" si="43"/>
        <v>0</v>
      </c>
      <c r="AN29" s="510"/>
      <c r="AO29" s="511"/>
      <c r="AP29" s="275">
        <f t="shared" si="44"/>
        <v>0</v>
      </c>
      <c r="AQ29" s="510"/>
      <c r="AR29" s="511"/>
      <c r="AS29" s="275">
        <f t="shared" si="45"/>
        <v>0</v>
      </c>
      <c r="AT29" s="510"/>
      <c r="AU29" s="511"/>
      <c r="AV29" s="275">
        <f t="shared" si="46"/>
        <v>0</v>
      </c>
      <c r="AW29" s="510"/>
      <c r="AX29" s="511"/>
      <c r="AY29" s="275">
        <f t="shared" si="47"/>
        <v>0</v>
      </c>
      <c r="AZ29" s="510"/>
      <c r="BA29" s="511"/>
      <c r="BB29" s="275">
        <f t="shared" si="48"/>
        <v>0</v>
      </c>
      <c r="BC29" s="510"/>
      <c r="BD29" s="511"/>
      <c r="BE29" s="275">
        <f t="shared" si="49"/>
        <v>0</v>
      </c>
      <c r="BF29" s="510"/>
      <c r="BG29" s="511"/>
      <c r="BH29" s="275">
        <f t="shared" si="50"/>
        <v>0</v>
      </c>
      <c r="BI29" s="510"/>
      <c r="BJ29" s="511"/>
      <c r="BK29" s="275">
        <f t="shared" si="51"/>
        <v>0</v>
      </c>
      <c r="BL29" s="510"/>
      <c r="BM29" s="511"/>
      <c r="BN29" s="275">
        <f t="shared" si="52"/>
        <v>0</v>
      </c>
      <c r="BO29" s="510"/>
      <c r="BP29" s="511"/>
      <c r="BQ29" s="275">
        <f t="shared" si="53"/>
        <v>0</v>
      </c>
    </row>
    <row r="30" spans="1:70" ht="16" x14ac:dyDescent="0.2">
      <c r="A30" s="818"/>
      <c r="B30" s="821"/>
      <c r="C30" s="24" t="s">
        <v>168</v>
      </c>
      <c r="D30" s="272"/>
      <c r="E30" s="273"/>
      <c r="F30" s="274"/>
      <c r="G30" s="510"/>
      <c r="H30" s="511"/>
      <c r="I30" s="275">
        <f t="shared" si="33"/>
        <v>0</v>
      </c>
      <c r="J30" s="510"/>
      <c r="K30" s="511"/>
      <c r="L30" s="275">
        <f t="shared" si="34"/>
        <v>0</v>
      </c>
      <c r="M30" s="510"/>
      <c r="N30" s="511"/>
      <c r="O30" s="275">
        <f t="shared" si="35"/>
        <v>0</v>
      </c>
      <c r="P30" s="510"/>
      <c r="Q30" s="511"/>
      <c r="R30" s="275">
        <f t="shared" si="36"/>
        <v>0</v>
      </c>
      <c r="S30" s="510"/>
      <c r="T30" s="511"/>
      <c r="U30" s="275">
        <f t="shared" si="37"/>
        <v>0</v>
      </c>
      <c r="V30" s="510"/>
      <c r="W30" s="511"/>
      <c r="X30" s="275">
        <f t="shared" si="38"/>
        <v>0</v>
      </c>
      <c r="Y30" s="510"/>
      <c r="Z30" s="511"/>
      <c r="AA30" s="275">
        <f t="shared" si="39"/>
        <v>0</v>
      </c>
      <c r="AB30" s="510"/>
      <c r="AC30" s="511"/>
      <c r="AD30" s="275">
        <f t="shared" si="40"/>
        <v>0</v>
      </c>
      <c r="AE30" s="510"/>
      <c r="AF30" s="511"/>
      <c r="AG30" s="275">
        <f t="shared" si="41"/>
        <v>0</v>
      </c>
      <c r="AH30" s="510"/>
      <c r="AI30" s="511"/>
      <c r="AJ30" s="275">
        <f t="shared" si="42"/>
        <v>0</v>
      </c>
      <c r="AK30" s="510"/>
      <c r="AL30" s="511"/>
      <c r="AM30" s="275">
        <f t="shared" si="43"/>
        <v>0</v>
      </c>
      <c r="AN30" s="510"/>
      <c r="AO30" s="511"/>
      <c r="AP30" s="275">
        <f t="shared" si="44"/>
        <v>0</v>
      </c>
      <c r="AQ30" s="510"/>
      <c r="AR30" s="511"/>
      <c r="AS30" s="275">
        <f t="shared" si="45"/>
        <v>0</v>
      </c>
      <c r="AT30" s="510"/>
      <c r="AU30" s="511"/>
      <c r="AV30" s="275">
        <f t="shared" si="46"/>
        <v>0</v>
      </c>
      <c r="AW30" s="510"/>
      <c r="AX30" s="511"/>
      <c r="AY30" s="275">
        <f t="shared" si="47"/>
        <v>0</v>
      </c>
      <c r="AZ30" s="510"/>
      <c r="BA30" s="511"/>
      <c r="BB30" s="275">
        <f t="shared" si="48"/>
        <v>0</v>
      </c>
      <c r="BC30" s="510"/>
      <c r="BD30" s="511"/>
      <c r="BE30" s="275">
        <f t="shared" si="49"/>
        <v>0</v>
      </c>
      <c r="BF30" s="510"/>
      <c r="BG30" s="511"/>
      <c r="BH30" s="275">
        <f t="shared" si="50"/>
        <v>0</v>
      </c>
      <c r="BI30" s="510"/>
      <c r="BJ30" s="511"/>
      <c r="BK30" s="275">
        <f t="shared" si="51"/>
        <v>0</v>
      </c>
      <c r="BL30" s="510"/>
      <c r="BM30" s="511"/>
      <c r="BN30" s="275">
        <f t="shared" si="52"/>
        <v>0</v>
      </c>
      <c r="BO30" s="510"/>
      <c r="BP30" s="511"/>
      <c r="BQ30" s="275">
        <f t="shared" si="53"/>
        <v>0</v>
      </c>
    </row>
    <row r="31" spans="1:70" ht="16" x14ac:dyDescent="0.2">
      <c r="A31" s="818"/>
      <c r="B31" s="821"/>
      <c r="C31" s="24" t="s">
        <v>169</v>
      </c>
      <c r="D31" s="272"/>
      <c r="E31" s="273"/>
      <c r="F31" s="274"/>
      <c r="G31" s="510"/>
      <c r="H31" s="511"/>
      <c r="I31" s="275">
        <f t="shared" si="33"/>
        <v>0</v>
      </c>
      <c r="J31" s="510"/>
      <c r="K31" s="511"/>
      <c r="L31" s="275">
        <f t="shared" si="34"/>
        <v>0</v>
      </c>
      <c r="M31" s="510"/>
      <c r="N31" s="511"/>
      <c r="O31" s="275">
        <f t="shared" si="35"/>
        <v>0</v>
      </c>
      <c r="P31" s="510"/>
      <c r="Q31" s="511"/>
      <c r="R31" s="275">
        <f t="shared" si="36"/>
        <v>0</v>
      </c>
      <c r="S31" s="510"/>
      <c r="T31" s="511"/>
      <c r="U31" s="275">
        <f t="shared" si="37"/>
        <v>0</v>
      </c>
      <c r="V31" s="510"/>
      <c r="W31" s="511"/>
      <c r="X31" s="275">
        <f t="shared" si="38"/>
        <v>0</v>
      </c>
      <c r="Y31" s="510"/>
      <c r="Z31" s="511"/>
      <c r="AA31" s="275">
        <f t="shared" si="39"/>
        <v>0</v>
      </c>
      <c r="AB31" s="510"/>
      <c r="AC31" s="511"/>
      <c r="AD31" s="275">
        <f t="shared" si="40"/>
        <v>0</v>
      </c>
      <c r="AE31" s="510"/>
      <c r="AF31" s="511"/>
      <c r="AG31" s="275">
        <f t="shared" si="41"/>
        <v>0</v>
      </c>
      <c r="AH31" s="510"/>
      <c r="AI31" s="511"/>
      <c r="AJ31" s="275">
        <f t="shared" si="42"/>
        <v>0</v>
      </c>
      <c r="AK31" s="510"/>
      <c r="AL31" s="511"/>
      <c r="AM31" s="275">
        <f t="shared" si="43"/>
        <v>0</v>
      </c>
      <c r="AN31" s="510"/>
      <c r="AO31" s="511"/>
      <c r="AP31" s="275">
        <f t="shared" si="44"/>
        <v>0</v>
      </c>
      <c r="AQ31" s="510"/>
      <c r="AR31" s="511"/>
      <c r="AS31" s="275">
        <f t="shared" si="45"/>
        <v>0</v>
      </c>
      <c r="AT31" s="510"/>
      <c r="AU31" s="511"/>
      <c r="AV31" s="275">
        <f t="shared" si="46"/>
        <v>0</v>
      </c>
      <c r="AW31" s="510"/>
      <c r="AX31" s="511"/>
      <c r="AY31" s="275">
        <f t="shared" si="47"/>
        <v>0</v>
      </c>
      <c r="AZ31" s="510"/>
      <c r="BA31" s="511"/>
      <c r="BB31" s="275">
        <f t="shared" si="48"/>
        <v>0</v>
      </c>
      <c r="BC31" s="510"/>
      <c r="BD31" s="511"/>
      <c r="BE31" s="275">
        <f t="shared" si="49"/>
        <v>0</v>
      </c>
      <c r="BF31" s="510"/>
      <c r="BG31" s="511"/>
      <c r="BH31" s="275">
        <f t="shared" si="50"/>
        <v>0</v>
      </c>
      <c r="BI31" s="510"/>
      <c r="BJ31" s="511"/>
      <c r="BK31" s="275">
        <f t="shared" si="51"/>
        <v>0</v>
      </c>
      <c r="BL31" s="510"/>
      <c r="BM31" s="511"/>
      <c r="BN31" s="275">
        <f t="shared" si="52"/>
        <v>0</v>
      </c>
      <c r="BO31" s="510"/>
      <c r="BP31" s="511"/>
      <c r="BQ31" s="275">
        <f t="shared" si="53"/>
        <v>0</v>
      </c>
    </row>
    <row r="32" spans="1:70" ht="16" x14ac:dyDescent="0.2">
      <c r="A32" s="818"/>
      <c r="B32" s="821"/>
      <c r="C32" s="24" t="s">
        <v>170</v>
      </c>
      <c r="D32" s="272"/>
      <c r="E32" s="273"/>
      <c r="F32" s="274"/>
      <c r="G32" s="510"/>
      <c r="H32" s="511"/>
      <c r="I32" s="275">
        <f t="shared" si="33"/>
        <v>0</v>
      </c>
      <c r="J32" s="510"/>
      <c r="K32" s="511"/>
      <c r="L32" s="275">
        <f t="shared" si="34"/>
        <v>0</v>
      </c>
      <c r="M32" s="510"/>
      <c r="N32" s="511"/>
      <c r="O32" s="275">
        <f t="shared" si="35"/>
        <v>0</v>
      </c>
      <c r="P32" s="510"/>
      <c r="Q32" s="511"/>
      <c r="R32" s="275">
        <f t="shared" si="36"/>
        <v>0</v>
      </c>
      <c r="S32" s="510"/>
      <c r="T32" s="511"/>
      <c r="U32" s="275">
        <f t="shared" si="37"/>
        <v>0</v>
      </c>
      <c r="V32" s="510"/>
      <c r="W32" s="511"/>
      <c r="X32" s="275">
        <f t="shared" si="38"/>
        <v>0</v>
      </c>
      <c r="Y32" s="510"/>
      <c r="Z32" s="511"/>
      <c r="AA32" s="275">
        <f t="shared" si="39"/>
        <v>0</v>
      </c>
      <c r="AB32" s="510"/>
      <c r="AC32" s="511"/>
      <c r="AD32" s="275">
        <f t="shared" si="40"/>
        <v>0</v>
      </c>
      <c r="AE32" s="510"/>
      <c r="AF32" s="511"/>
      <c r="AG32" s="275">
        <f t="shared" si="41"/>
        <v>0</v>
      </c>
      <c r="AH32" s="510"/>
      <c r="AI32" s="511"/>
      <c r="AJ32" s="275">
        <f t="shared" si="42"/>
        <v>0</v>
      </c>
      <c r="AK32" s="510"/>
      <c r="AL32" s="511"/>
      <c r="AM32" s="275">
        <f t="shared" si="43"/>
        <v>0</v>
      </c>
      <c r="AN32" s="510"/>
      <c r="AO32" s="511"/>
      <c r="AP32" s="275">
        <f t="shared" si="44"/>
        <v>0</v>
      </c>
      <c r="AQ32" s="510"/>
      <c r="AR32" s="511"/>
      <c r="AS32" s="275">
        <f t="shared" si="45"/>
        <v>0</v>
      </c>
      <c r="AT32" s="510"/>
      <c r="AU32" s="511"/>
      <c r="AV32" s="275">
        <f t="shared" si="46"/>
        <v>0</v>
      </c>
      <c r="AW32" s="510"/>
      <c r="AX32" s="511"/>
      <c r="AY32" s="275">
        <f t="shared" si="47"/>
        <v>0</v>
      </c>
      <c r="AZ32" s="510"/>
      <c r="BA32" s="511"/>
      <c r="BB32" s="275">
        <f t="shared" si="48"/>
        <v>0</v>
      </c>
      <c r="BC32" s="510"/>
      <c r="BD32" s="511"/>
      <c r="BE32" s="275">
        <f t="shared" si="49"/>
        <v>0</v>
      </c>
      <c r="BF32" s="510"/>
      <c r="BG32" s="511"/>
      <c r="BH32" s="275">
        <f t="shared" si="50"/>
        <v>0</v>
      </c>
      <c r="BI32" s="510"/>
      <c r="BJ32" s="511"/>
      <c r="BK32" s="275">
        <f t="shared" si="51"/>
        <v>0</v>
      </c>
      <c r="BL32" s="510"/>
      <c r="BM32" s="511"/>
      <c r="BN32" s="275">
        <f t="shared" si="52"/>
        <v>0</v>
      </c>
      <c r="BO32" s="510"/>
      <c r="BP32" s="511"/>
      <c r="BQ32" s="275">
        <f t="shared" si="53"/>
        <v>0</v>
      </c>
    </row>
    <row r="33" spans="1:70" ht="16" x14ac:dyDescent="0.2">
      <c r="A33" s="818"/>
      <c r="B33" s="821"/>
      <c r="C33" s="24" t="s">
        <v>171</v>
      </c>
      <c r="D33" s="272"/>
      <c r="E33" s="273"/>
      <c r="F33" s="274"/>
      <c r="G33" s="510"/>
      <c r="H33" s="511"/>
      <c r="I33" s="275">
        <f t="shared" si="33"/>
        <v>0</v>
      </c>
      <c r="J33" s="510"/>
      <c r="K33" s="511"/>
      <c r="L33" s="275">
        <f t="shared" si="34"/>
        <v>0</v>
      </c>
      <c r="M33" s="510"/>
      <c r="N33" s="511"/>
      <c r="O33" s="275">
        <f t="shared" si="35"/>
        <v>0</v>
      </c>
      <c r="P33" s="510"/>
      <c r="Q33" s="511"/>
      <c r="R33" s="275">
        <f t="shared" si="36"/>
        <v>0</v>
      </c>
      <c r="S33" s="510"/>
      <c r="T33" s="511"/>
      <c r="U33" s="275">
        <f t="shared" si="37"/>
        <v>0</v>
      </c>
      <c r="V33" s="510"/>
      <c r="W33" s="511"/>
      <c r="X33" s="275">
        <f t="shared" si="38"/>
        <v>0</v>
      </c>
      <c r="Y33" s="510"/>
      <c r="Z33" s="511"/>
      <c r="AA33" s="275">
        <f t="shared" si="39"/>
        <v>0</v>
      </c>
      <c r="AB33" s="510"/>
      <c r="AC33" s="511"/>
      <c r="AD33" s="275">
        <f t="shared" si="40"/>
        <v>0</v>
      </c>
      <c r="AE33" s="510"/>
      <c r="AF33" s="511"/>
      <c r="AG33" s="275">
        <f t="shared" si="41"/>
        <v>0</v>
      </c>
      <c r="AH33" s="510"/>
      <c r="AI33" s="511"/>
      <c r="AJ33" s="275">
        <f t="shared" si="42"/>
        <v>0</v>
      </c>
      <c r="AK33" s="510"/>
      <c r="AL33" s="511"/>
      <c r="AM33" s="275">
        <f t="shared" si="43"/>
        <v>0</v>
      </c>
      <c r="AN33" s="510"/>
      <c r="AO33" s="511"/>
      <c r="AP33" s="275">
        <f t="shared" si="44"/>
        <v>0</v>
      </c>
      <c r="AQ33" s="510"/>
      <c r="AR33" s="511"/>
      <c r="AS33" s="275">
        <f t="shared" si="45"/>
        <v>0</v>
      </c>
      <c r="AT33" s="510"/>
      <c r="AU33" s="511"/>
      <c r="AV33" s="275">
        <f t="shared" si="46"/>
        <v>0</v>
      </c>
      <c r="AW33" s="510"/>
      <c r="AX33" s="511"/>
      <c r="AY33" s="275">
        <f t="shared" si="47"/>
        <v>0</v>
      </c>
      <c r="AZ33" s="510"/>
      <c r="BA33" s="511"/>
      <c r="BB33" s="275">
        <f t="shared" si="48"/>
        <v>0</v>
      </c>
      <c r="BC33" s="510"/>
      <c r="BD33" s="511"/>
      <c r="BE33" s="275">
        <f t="shared" si="49"/>
        <v>0</v>
      </c>
      <c r="BF33" s="510"/>
      <c r="BG33" s="511"/>
      <c r="BH33" s="275">
        <f t="shared" si="50"/>
        <v>0</v>
      </c>
      <c r="BI33" s="510"/>
      <c r="BJ33" s="511"/>
      <c r="BK33" s="275">
        <f t="shared" si="51"/>
        <v>0</v>
      </c>
      <c r="BL33" s="510"/>
      <c r="BM33" s="511"/>
      <c r="BN33" s="275">
        <f t="shared" si="52"/>
        <v>0</v>
      </c>
      <c r="BO33" s="510"/>
      <c r="BP33" s="511"/>
      <c r="BQ33" s="275">
        <f t="shared" si="53"/>
        <v>0</v>
      </c>
    </row>
    <row r="34" spans="1:70" ht="16" x14ac:dyDescent="0.2">
      <c r="A34" s="819"/>
      <c r="B34" s="822"/>
      <c r="C34" s="263" t="s">
        <v>172</v>
      </c>
      <c r="D34" s="276"/>
      <c r="E34" s="277"/>
      <c r="F34" s="278"/>
      <c r="G34" s="512"/>
      <c r="H34" s="513"/>
      <c r="I34" s="279">
        <f t="shared" si="33"/>
        <v>0</v>
      </c>
      <c r="J34" s="512"/>
      <c r="K34" s="513"/>
      <c r="L34" s="279">
        <f t="shared" si="34"/>
        <v>0</v>
      </c>
      <c r="M34" s="512"/>
      <c r="N34" s="513"/>
      <c r="O34" s="279">
        <f t="shared" si="35"/>
        <v>0</v>
      </c>
      <c r="P34" s="512"/>
      <c r="Q34" s="513"/>
      <c r="R34" s="279">
        <f t="shared" si="36"/>
        <v>0</v>
      </c>
      <c r="S34" s="512"/>
      <c r="T34" s="513"/>
      <c r="U34" s="279">
        <f t="shared" si="37"/>
        <v>0</v>
      </c>
      <c r="V34" s="512"/>
      <c r="W34" s="513"/>
      <c r="X34" s="279">
        <f t="shared" si="38"/>
        <v>0</v>
      </c>
      <c r="Y34" s="512"/>
      <c r="Z34" s="513"/>
      <c r="AA34" s="279">
        <f t="shared" si="39"/>
        <v>0</v>
      </c>
      <c r="AB34" s="512"/>
      <c r="AC34" s="513"/>
      <c r="AD34" s="279">
        <f t="shared" si="40"/>
        <v>0</v>
      </c>
      <c r="AE34" s="512"/>
      <c r="AF34" s="513"/>
      <c r="AG34" s="279">
        <f t="shared" si="41"/>
        <v>0</v>
      </c>
      <c r="AH34" s="512"/>
      <c r="AI34" s="513"/>
      <c r="AJ34" s="279">
        <f t="shared" si="42"/>
        <v>0</v>
      </c>
      <c r="AK34" s="512"/>
      <c r="AL34" s="513"/>
      <c r="AM34" s="279">
        <f t="shared" si="43"/>
        <v>0</v>
      </c>
      <c r="AN34" s="512"/>
      <c r="AO34" s="513"/>
      <c r="AP34" s="279">
        <f t="shared" si="44"/>
        <v>0</v>
      </c>
      <c r="AQ34" s="512"/>
      <c r="AR34" s="513"/>
      <c r="AS34" s="279">
        <f t="shared" si="45"/>
        <v>0</v>
      </c>
      <c r="AT34" s="512"/>
      <c r="AU34" s="513"/>
      <c r="AV34" s="279">
        <f t="shared" si="46"/>
        <v>0</v>
      </c>
      <c r="AW34" s="512"/>
      <c r="AX34" s="513"/>
      <c r="AY34" s="279">
        <f t="shared" si="47"/>
        <v>0</v>
      </c>
      <c r="AZ34" s="512"/>
      <c r="BA34" s="513"/>
      <c r="BB34" s="279">
        <f t="shared" si="48"/>
        <v>0</v>
      </c>
      <c r="BC34" s="512"/>
      <c r="BD34" s="513"/>
      <c r="BE34" s="279">
        <f t="shared" si="49"/>
        <v>0</v>
      </c>
      <c r="BF34" s="512"/>
      <c r="BG34" s="513"/>
      <c r="BH34" s="279">
        <f t="shared" si="50"/>
        <v>0</v>
      </c>
      <c r="BI34" s="512"/>
      <c r="BJ34" s="513"/>
      <c r="BK34" s="279">
        <f t="shared" si="51"/>
        <v>0</v>
      </c>
      <c r="BL34" s="512"/>
      <c r="BM34" s="513"/>
      <c r="BN34" s="279">
        <f t="shared" si="52"/>
        <v>0</v>
      </c>
      <c r="BO34" s="512"/>
      <c r="BP34" s="513"/>
      <c r="BQ34" s="279">
        <f t="shared" si="53"/>
        <v>0</v>
      </c>
    </row>
    <row r="35" spans="1:70" s="281" customFormat="1" ht="14.75" customHeight="1" x14ac:dyDescent="0.2">
      <c r="A35" s="817" t="s">
        <v>213</v>
      </c>
      <c r="B35" s="820" t="s">
        <v>214</v>
      </c>
      <c r="C35" s="251" t="s">
        <v>163</v>
      </c>
      <c r="D35" s="268"/>
      <c r="E35" s="269"/>
      <c r="F35" s="270"/>
      <c r="G35" s="508">
        <f>+'PPA statistiky 2023'!H13</f>
        <v>0.5</v>
      </c>
      <c r="H35" s="508">
        <f>+'PPA statistiky 2023'!H13</f>
        <v>0.5</v>
      </c>
      <c r="I35" s="271">
        <f t="shared" si="33"/>
        <v>0</v>
      </c>
      <c r="J35" s="508"/>
      <c r="K35" s="509"/>
      <c r="L35" s="271">
        <f t="shared" si="34"/>
        <v>0</v>
      </c>
      <c r="M35" s="509"/>
      <c r="N35" s="509"/>
      <c r="O35" s="271">
        <f t="shared" si="35"/>
        <v>0</v>
      </c>
      <c r="P35" s="508"/>
      <c r="Q35" s="508"/>
      <c r="R35" s="271">
        <f t="shared" si="36"/>
        <v>0</v>
      </c>
      <c r="S35" s="508"/>
      <c r="T35" s="508"/>
      <c r="U35" s="271">
        <f t="shared" si="37"/>
        <v>0</v>
      </c>
      <c r="V35" s="508"/>
      <c r="W35" s="508"/>
      <c r="X35" s="271">
        <f t="shared" si="38"/>
        <v>0</v>
      </c>
      <c r="Y35" s="508"/>
      <c r="Z35" s="509"/>
      <c r="AA35" s="271">
        <f t="shared" si="39"/>
        <v>0</v>
      </c>
      <c r="AB35" s="508"/>
      <c r="AC35" s="509"/>
      <c r="AD35" s="271">
        <f t="shared" si="40"/>
        <v>0</v>
      </c>
      <c r="AE35" s="508"/>
      <c r="AF35" s="509"/>
      <c r="AG35" s="271">
        <f t="shared" si="41"/>
        <v>0</v>
      </c>
      <c r="AH35" s="508"/>
      <c r="AI35" s="509"/>
      <c r="AJ35" s="271">
        <f t="shared" si="42"/>
        <v>0</v>
      </c>
      <c r="AK35" s="508"/>
      <c r="AL35" s="509"/>
      <c r="AM35" s="271">
        <f t="shared" si="43"/>
        <v>0</v>
      </c>
      <c r="AN35" s="508"/>
      <c r="AO35" s="509"/>
      <c r="AP35" s="271">
        <f t="shared" si="44"/>
        <v>0</v>
      </c>
      <c r="AQ35" s="508"/>
      <c r="AR35" s="509"/>
      <c r="AS35" s="271">
        <f t="shared" si="45"/>
        <v>0</v>
      </c>
      <c r="AT35" s="508"/>
      <c r="AU35" s="509"/>
      <c r="AV35" s="271">
        <f t="shared" si="46"/>
        <v>0</v>
      </c>
      <c r="AW35" s="508"/>
      <c r="AX35" s="509"/>
      <c r="AY35" s="271">
        <f t="shared" si="47"/>
        <v>0</v>
      </c>
      <c r="AZ35" s="508"/>
      <c r="BA35" s="509"/>
      <c r="BB35" s="271">
        <f t="shared" si="48"/>
        <v>0</v>
      </c>
      <c r="BC35" s="508"/>
      <c r="BD35" s="509"/>
      <c r="BE35" s="271">
        <f t="shared" si="49"/>
        <v>0</v>
      </c>
      <c r="BF35" s="508"/>
      <c r="BG35" s="509"/>
      <c r="BH35" s="271">
        <f t="shared" si="50"/>
        <v>0</v>
      </c>
      <c r="BI35" s="508"/>
      <c r="BJ35" s="509"/>
      <c r="BK35" s="271">
        <f t="shared" si="51"/>
        <v>0</v>
      </c>
      <c r="BL35" s="508"/>
      <c r="BM35" s="509"/>
      <c r="BN35" s="271">
        <f t="shared" si="52"/>
        <v>0</v>
      </c>
      <c r="BO35" s="508"/>
      <c r="BP35" s="509"/>
      <c r="BQ35" s="271">
        <f t="shared" si="53"/>
        <v>0</v>
      </c>
      <c r="BR35" s="280">
        <f>'Analyza citlivosti - AgendovéIS'!N7</f>
        <v>0</v>
      </c>
    </row>
    <row r="36" spans="1:70" ht="16" x14ac:dyDescent="0.2">
      <c r="A36" s="818"/>
      <c r="B36" s="821"/>
      <c r="C36" s="24" t="s">
        <v>164</v>
      </c>
      <c r="D36" s="272"/>
      <c r="E36" s="273"/>
      <c r="F36" s="274"/>
      <c r="G36" s="510">
        <f>+G35</f>
        <v>0.5</v>
      </c>
      <c r="H36" s="511">
        <f>+'PPA statistiky 2023'!H14</f>
        <v>0.434</v>
      </c>
      <c r="I36" s="275">
        <f t="shared" si="33"/>
        <v>-6.6000000000000003E-2</v>
      </c>
      <c r="J36" s="510"/>
      <c r="K36" s="511"/>
      <c r="L36" s="275">
        <f t="shared" si="34"/>
        <v>0</v>
      </c>
      <c r="M36" s="510"/>
      <c r="N36" s="511"/>
      <c r="O36" s="275">
        <f t="shared" si="35"/>
        <v>0</v>
      </c>
      <c r="P36" s="510"/>
      <c r="Q36" s="511"/>
      <c r="R36" s="275">
        <f t="shared" si="36"/>
        <v>0</v>
      </c>
      <c r="S36" s="510"/>
      <c r="T36" s="511"/>
      <c r="U36" s="275">
        <f t="shared" si="37"/>
        <v>0</v>
      </c>
      <c r="V36" s="510"/>
      <c r="W36" s="511"/>
      <c r="X36" s="275">
        <f t="shared" si="38"/>
        <v>0</v>
      </c>
      <c r="Y36" s="510"/>
      <c r="Z36" s="511"/>
      <c r="AA36" s="275">
        <f t="shared" si="39"/>
        <v>0</v>
      </c>
      <c r="AB36" s="510"/>
      <c r="AC36" s="511"/>
      <c r="AD36" s="275">
        <f t="shared" si="40"/>
        <v>0</v>
      </c>
      <c r="AE36" s="510"/>
      <c r="AF36" s="511"/>
      <c r="AG36" s="275">
        <f t="shared" si="41"/>
        <v>0</v>
      </c>
      <c r="AH36" s="510"/>
      <c r="AI36" s="511"/>
      <c r="AJ36" s="275">
        <f t="shared" si="42"/>
        <v>0</v>
      </c>
      <c r="AK36" s="510"/>
      <c r="AL36" s="511"/>
      <c r="AM36" s="275">
        <f t="shared" si="43"/>
        <v>0</v>
      </c>
      <c r="AN36" s="510"/>
      <c r="AO36" s="511"/>
      <c r="AP36" s="275">
        <f t="shared" si="44"/>
        <v>0</v>
      </c>
      <c r="AQ36" s="510"/>
      <c r="AR36" s="511"/>
      <c r="AS36" s="275">
        <f t="shared" si="45"/>
        <v>0</v>
      </c>
      <c r="AT36" s="510"/>
      <c r="AU36" s="511"/>
      <c r="AV36" s="275">
        <f t="shared" si="46"/>
        <v>0</v>
      </c>
      <c r="AW36" s="510"/>
      <c r="AX36" s="511"/>
      <c r="AY36" s="275">
        <f t="shared" si="47"/>
        <v>0</v>
      </c>
      <c r="AZ36" s="510"/>
      <c r="BA36" s="511"/>
      <c r="BB36" s="275">
        <f t="shared" si="48"/>
        <v>0</v>
      </c>
      <c r="BC36" s="510"/>
      <c r="BD36" s="511"/>
      <c r="BE36" s="275">
        <f t="shared" si="49"/>
        <v>0</v>
      </c>
      <c r="BF36" s="510"/>
      <c r="BG36" s="511"/>
      <c r="BH36" s="275">
        <f t="shared" si="50"/>
        <v>0</v>
      </c>
      <c r="BI36" s="510"/>
      <c r="BJ36" s="511"/>
      <c r="BK36" s="275">
        <f t="shared" si="51"/>
        <v>0</v>
      </c>
      <c r="BL36" s="510"/>
      <c r="BM36" s="511"/>
      <c r="BN36" s="275">
        <f t="shared" si="52"/>
        <v>0</v>
      </c>
      <c r="BO36" s="510"/>
      <c r="BP36" s="511"/>
      <c r="BQ36" s="275">
        <f t="shared" si="53"/>
        <v>0</v>
      </c>
    </row>
    <row r="37" spans="1:70" ht="16" x14ac:dyDescent="0.2">
      <c r="A37" s="818"/>
      <c r="B37" s="821"/>
      <c r="C37" s="24" t="s">
        <v>165</v>
      </c>
      <c r="D37" s="272"/>
      <c r="E37" s="273"/>
      <c r="F37" s="274"/>
      <c r="G37" s="510">
        <f t="shared" ref="G37:G44" si="54">+G36</f>
        <v>0.5</v>
      </c>
      <c r="H37" s="511">
        <f>+'PPA statistiky 2023'!H15</f>
        <v>0.36799999999999999</v>
      </c>
      <c r="I37" s="275">
        <f t="shared" si="33"/>
        <v>-0.13200000000000001</v>
      </c>
      <c r="J37" s="510"/>
      <c r="K37" s="511"/>
      <c r="L37" s="275">
        <f t="shared" si="34"/>
        <v>0</v>
      </c>
      <c r="M37" s="510"/>
      <c r="N37" s="511"/>
      <c r="O37" s="275">
        <f t="shared" si="35"/>
        <v>0</v>
      </c>
      <c r="P37" s="510"/>
      <c r="Q37" s="511"/>
      <c r="R37" s="275">
        <f t="shared" si="36"/>
        <v>0</v>
      </c>
      <c r="S37" s="510"/>
      <c r="T37" s="511"/>
      <c r="U37" s="275">
        <f t="shared" si="37"/>
        <v>0</v>
      </c>
      <c r="V37" s="510"/>
      <c r="W37" s="511"/>
      <c r="X37" s="275">
        <f t="shared" si="38"/>
        <v>0</v>
      </c>
      <c r="Y37" s="510"/>
      <c r="Z37" s="511"/>
      <c r="AA37" s="275">
        <f t="shared" si="39"/>
        <v>0</v>
      </c>
      <c r="AB37" s="510"/>
      <c r="AC37" s="511"/>
      <c r="AD37" s="275">
        <f t="shared" si="40"/>
        <v>0</v>
      </c>
      <c r="AE37" s="510"/>
      <c r="AF37" s="511"/>
      <c r="AG37" s="275">
        <f t="shared" si="41"/>
        <v>0</v>
      </c>
      <c r="AH37" s="510"/>
      <c r="AI37" s="511"/>
      <c r="AJ37" s="275">
        <f t="shared" si="42"/>
        <v>0</v>
      </c>
      <c r="AK37" s="510"/>
      <c r="AL37" s="511"/>
      <c r="AM37" s="275">
        <f t="shared" si="43"/>
        <v>0</v>
      </c>
      <c r="AN37" s="510"/>
      <c r="AO37" s="511"/>
      <c r="AP37" s="275">
        <f t="shared" si="44"/>
        <v>0</v>
      </c>
      <c r="AQ37" s="510"/>
      <c r="AR37" s="511"/>
      <c r="AS37" s="275">
        <f t="shared" si="45"/>
        <v>0</v>
      </c>
      <c r="AT37" s="510"/>
      <c r="AU37" s="511"/>
      <c r="AV37" s="275">
        <f t="shared" si="46"/>
        <v>0</v>
      </c>
      <c r="AW37" s="510"/>
      <c r="AX37" s="511"/>
      <c r="AY37" s="275">
        <f t="shared" si="47"/>
        <v>0</v>
      </c>
      <c r="AZ37" s="510"/>
      <c r="BA37" s="511"/>
      <c r="BB37" s="275">
        <f t="shared" si="48"/>
        <v>0</v>
      </c>
      <c r="BC37" s="510"/>
      <c r="BD37" s="511"/>
      <c r="BE37" s="275">
        <f t="shared" si="49"/>
        <v>0</v>
      </c>
      <c r="BF37" s="510"/>
      <c r="BG37" s="511"/>
      <c r="BH37" s="275">
        <f t="shared" si="50"/>
        <v>0</v>
      </c>
      <c r="BI37" s="510"/>
      <c r="BJ37" s="511"/>
      <c r="BK37" s="275">
        <f t="shared" si="51"/>
        <v>0</v>
      </c>
      <c r="BL37" s="510"/>
      <c r="BM37" s="511"/>
      <c r="BN37" s="275">
        <f t="shared" si="52"/>
        <v>0</v>
      </c>
      <c r="BO37" s="510"/>
      <c r="BP37" s="511"/>
      <c r="BQ37" s="275">
        <f t="shared" si="53"/>
        <v>0</v>
      </c>
    </row>
    <row r="38" spans="1:70" ht="16" x14ac:dyDescent="0.2">
      <c r="A38" s="818"/>
      <c r="B38" s="821"/>
      <c r="C38" s="24" t="s">
        <v>166</v>
      </c>
      <c r="D38" s="272"/>
      <c r="E38" s="273"/>
      <c r="F38" s="274"/>
      <c r="G38" s="510">
        <f t="shared" si="54"/>
        <v>0.5</v>
      </c>
      <c r="H38" s="511">
        <f>+'PPA statistiky 2023'!H16</f>
        <v>0.33500000000000002</v>
      </c>
      <c r="I38" s="275">
        <f t="shared" si="33"/>
        <v>-0.16499999999999998</v>
      </c>
      <c r="J38" s="510"/>
      <c r="K38" s="511"/>
      <c r="L38" s="275">
        <f t="shared" si="34"/>
        <v>0</v>
      </c>
      <c r="M38" s="510"/>
      <c r="N38" s="511"/>
      <c r="O38" s="275">
        <f t="shared" si="35"/>
        <v>0</v>
      </c>
      <c r="P38" s="510"/>
      <c r="Q38" s="511"/>
      <c r="R38" s="275">
        <f t="shared" si="36"/>
        <v>0</v>
      </c>
      <c r="S38" s="510"/>
      <c r="T38" s="511"/>
      <c r="U38" s="275">
        <f t="shared" si="37"/>
        <v>0</v>
      </c>
      <c r="V38" s="510"/>
      <c r="W38" s="511"/>
      <c r="X38" s="275">
        <f t="shared" si="38"/>
        <v>0</v>
      </c>
      <c r="Y38" s="510"/>
      <c r="Z38" s="511"/>
      <c r="AA38" s="275">
        <f t="shared" si="39"/>
        <v>0</v>
      </c>
      <c r="AB38" s="510"/>
      <c r="AC38" s="511"/>
      <c r="AD38" s="275">
        <f t="shared" si="40"/>
        <v>0</v>
      </c>
      <c r="AE38" s="510"/>
      <c r="AF38" s="511"/>
      <c r="AG38" s="275">
        <f t="shared" si="41"/>
        <v>0</v>
      </c>
      <c r="AH38" s="510"/>
      <c r="AI38" s="511"/>
      <c r="AJ38" s="275">
        <f t="shared" si="42"/>
        <v>0</v>
      </c>
      <c r="AK38" s="510"/>
      <c r="AL38" s="511"/>
      <c r="AM38" s="275">
        <f t="shared" si="43"/>
        <v>0</v>
      </c>
      <c r="AN38" s="510"/>
      <c r="AO38" s="511"/>
      <c r="AP38" s="275">
        <f t="shared" si="44"/>
        <v>0</v>
      </c>
      <c r="AQ38" s="510"/>
      <c r="AR38" s="511"/>
      <c r="AS38" s="275">
        <f t="shared" si="45"/>
        <v>0</v>
      </c>
      <c r="AT38" s="510"/>
      <c r="AU38" s="511"/>
      <c r="AV38" s="275">
        <f t="shared" si="46"/>
        <v>0</v>
      </c>
      <c r="AW38" s="510"/>
      <c r="AX38" s="511"/>
      <c r="AY38" s="275">
        <f t="shared" si="47"/>
        <v>0</v>
      </c>
      <c r="AZ38" s="510"/>
      <c r="BA38" s="511"/>
      <c r="BB38" s="275">
        <f t="shared" si="48"/>
        <v>0</v>
      </c>
      <c r="BC38" s="510"/>
      <c r="BD38" s="511"/>
      <c r="BE38" s="275">
        <f t="shared" si="49"/>
        <v>0</v>
      </c>
      <c r="BF38" s="510"/>
      <c r="BG38" s="511"/>
      <c r="BH38" s="275">
        <f t="shared" si="50"/>
        <v>0</v>
      </c>
      <c r="BI38" s="510"/>
      <c r="BJ38" s="511"/>
      <c r="BK38" s="275">
        <f t="shared" si="51"/>
        <v>0</v>
      </c>
      <c r="BL38" s="510"/>
      <c r="BM38" s="511"/>
      <c r="BN38" s="275">
        <f t="shared" si="52"/>
        <v>0</v>
      </c>
      <c r="BO38" s="510"/>
      <c r="BP38" s="511"/>
      <c r="BQ38" s="275">
        <f t="shared" si="53"/>
        <v>0</v>
      </c>
    </row>
    <row r="39" spans="1:70" ht="16" x14ac:dyDescent="0.2">
      <c r="A39" s="818"/>
      <c r="B39" s="821"/>
      <c r="C39" s="24" t="s">
        <v>167</v>
      </c>
      <c r="D39" s="272"/>
      <c r="E39" s="273"/>
      <c r="F39" s="274"/>
      <c r="G39" s="510">
        <f t="shared" si="54"/>
        <v>0.5</v>
      </c>
      <c r="H39" s="511">
        <f>+'PPA statistiky 2023'!H17</f>
        <v>0.30199999999999999</v>
      </c>
      <c r="I39" s="275">
        <f t="shared" si="33"/>
        <v>-0.19800000000000001</v>
      </c>
      <c r="J39" s="510"/>
      <c r="K39" s="511"/>
      <c r="L39" s="275">
        <f t="shared" si="34"/>
        <v>0</v>
      </c>
      <c r="M39" s="510"/>
      <c r="N39" s="511"/>
      <c r="O39" s="275">
        <f t="shared" si="35"/>
        <v>0</v>
      </c>
      <c r="P39" s="510"/>
      <c r="Q39" s="511"/>
      <c r="R39" s="275">
        <f t="shared" si="36"/>
        <v>0</v>
      </c>
      <c r="S39" s="510"/>
      <c r="T39" s="511"/>
      <c r="U39" s="275">
        <f t="shared" si="37"/>
        <v>0</v>
      </c>
      <c r="V39" s="510"/>
      <c r="W39" s="511"/>
      <c r="X39" s="275">
        <f t="shared" si="38"/>
        <v>0</v>
      </c>
      <c r="Y39" s="510"/>
      <c r="Z39" s="511"/>
      <c r="AA39" s="275">
        <f t="shared" si="39"/>
        <v>0</v>
      </c>
      <c r="AB39" s="510"/>
      <c r="AC39" s="511"/>
      <c r="AD39" s="275">
        <f t="shared" si="40"/>
        <v>0</v>
      </c>
      <c r="AE39" s="510"/>
      <c r="AF39" s="511"/>
      <c r="AG39" s="275">
        <f t="shared" si="41"/>
        <v>0</v>
      </c>
      <c r="AH39" s="510"/>
      <c r="AI39" s="511"/>
      <c r="AJ39" s="275">
        <f t="shared" si="42"/>
        <v>0</v>
      </c>
      <c r="AK39" s="510"/>
      <c r="AL39" s="511"/>
      <c r="AM39" s="275">
        <f t="shared" si="43"/>
        <v>0</v>
      </c>
      <c r="AN39" s="510"/>
      <c r="AO39" s="511"/>
      <c r="AP39" s="275">
        <f t="shared" si="44"/>
        <v>0</v>
      </c>
      <c r="AQ39" s="510"/>
      <c r="AR39" s="511"/>
      <c r="AS39" s="275">
        <f t="shared" si="45"/>
        <v>0</v>
      </c>
      <c r="AT39" s="510"/>
      <c r="AU39" s="511"/>
      <c r="AV39" s="275">
        <f t="shared" si="46"/>
        <v>0</v>
      </c>
      <c r="AW39" s="510"/>
      <c r="AX39" s="511"/>
      <c r="AY39" s="275">
        <f t="shared" si="47"/>
        <v>0</v>
      </c>
      <c r="AZ39" s="510"/>
      <c r="BA39" s="511"/>
      <c r="BB39" s="275">
        <f t="shared" si="48"/>
        <v>0</v>
      </c>
      <c r="BC39" s="510"/>
      <c r="BD39" s="511"/>
      <c r="BE39" s="275">
        <f t="shared" si="49"/>
        <v>0</v>
      </c>
      <c r="BF39" s="510"/>
      <c r="BG39" s="511"/>
      <c r="BH39" s="275">
        <f t="shared" si="50"/>
        <v>0</v>
      </c>
      <c r="BI39" s="510"/>
      <c r="BJ39" s="511"/>
      <c r="BK39" s="275">
        <f t="shared" si="51"/>
        <v>0</v>
      </c>
      <c r="BL39" s="510"/>
      <c r="BM39" s="511"/>
      <c r="BN39" s="275">
        <f t="shared" si="52"/>
        <v>0</v>
      </c>
      <c r="BO39" s="510"/>
      <c r="BP39" s="511"/>
      <c r="BQ39" s="275">
        <f t="shared" si="53"/>
        <v>0</v>
      </c>
    </row>
    <row r="40" spans="1:70" ht="16" x14ac:dyDescent="0.2">
      <c r="A40" s="818"/>
      <c r="B40" s="821"/>
      <c r="C40" s="24" t="s">
        <v>168</v>
      </c>
      <c r="D40" s="272"/>
      <c r="E40" s="273"/>
      <c r="F40" s="274"/>
      <c r="G40" s="510">
        <f t="shared" si="54"/>
        <v>0.5</v>
      </c>
      <c r="H40" s="511">
        <f>+'PPA statistiky 2023'!H18</f>
        <v>0.26900000000000002</v>
      </c>
      <c r="I40" s="275">
        <f t="shared" si="33"/>
        <v>-0.23099999999999998</v>
      </c>
      <c r="J40" s="510"/>
      <c r="K40" s="511"/>
      <c r="L40" s="275">
        <f t="shared" si="34"/>
        <v>0</v>
      </c>
      <c r="M40" s="510"/>
      <c r="N40" s="511"/>
      <c r="O40" s="275">
        <f t="shared" si="35"/>
        <v>0</v>
      </c>
      <c r="P40" s="510"/>
      <c r="Q40" s="511"/>
      <c r="R40" s="275">
        <f t="shared" si="36"/>
        <v>0</v>
      </c>
      <c r="S40" s="510"/>
      <c r="T40" s="511"/>
      <c r="U40" s="275">
        <f t="shared" si="37"/>
        <v>0</v>
      </c>
      <c r="V40" s="510"/>
      <c r="W40" s="511"/>
      <c r="X40" s="275">
        <f t="shared" si="38"/>
        <v>0</v>
      </c>
      <c r="Y40" s="510"/>
      <c r="Z40" s="511"/>
      <c r="AA40" s="275">
        <f t="shared" si="39"/>
        <v>0</v>
      </c>
      <c r="AB40" s="510"/>
      <c r="AC40" s="511"/>
      <c r="AD40" s="275">
        <f t="shared" si="40"/>
        <v>0</v>
      </c>
      <c r="AE40" s="510"/>
      <c r="AF40" s="511"/>
      <c r="AG40" s="275">
        <f t="shared" si="41"/>
        <v>0</v>
      </c>
      <c r="AH40" s="510"/>
      <c r="AI40" s="511"/>
      <c r="AJ40" s="275">
        <f t="shared" si="42"/>
        <v>0</v>
      </c>
      <c r="AK40" s="510"/>
      <c r="AL40" s="511"/>
      <c r="AM40" s="275">
        <f t="shared" si="43"/>
        <v>0</v>
      </c>
      <c r="AN40" s="510"/>
      <c r="AO40" s="511"/>
      <c r="AP40" s="275">
        <f t="shared" si="44"/>
        <v>0</v>
      </c>
      <c r="AQ40" s="510"/>
      <c r="AR40" s="511"/>
      <c r="AS40" s="275">
        <f t="shared" si="45"/>
        <v>0</v>
      </c>
      <c r="AT40" s="510"/>
      <c r="AU40" s="511"/>
      <c r="AV40" s="275">
        <f t="shared" si="46"/>
        <v>0</v>
      </c>
      <c r="AW40" s="510"/>
      <c r="AX40" s="511"/>
      <c r="AY40" s="275">
        <f t="shared" si="47"/>
        <v>0</v>
      </c>
      <c r="AZ40" s="510"/>
      <c r="BA40" s="511"/>
      <c r="BB40" s="275">
        <f t="shared" si="48"/>
        <v>0</v>
      </c>
      <c r="BC40" s="510"/>
      <c r="BD40" s="511"/>
      <c r="BE40" s="275">
        <f t="shared" si="49"/>
        <v>0</v>
      </c>
      <c r="BF40" s="510"/>
      <c r="BG40" s="511"/>
      <c r="BH40" s="275">
        <f t="shared" si="50"/>
        <v>0</v>
      </c>
      <c r="BI40" s="510"/>
      <c r="BJ40" s="511"/>
      <c r="BK40" s="275">
        <f t="shared" si="51"/>
        <v>0</v>
      </c>
      <c r="BL40" s="510"/>
      <c r="BM40" s="511"/>
      <c r="BN40" s="275">
        <f t="shared" si="52"/>
        <v>0</v>
      </c>
      <c r="BO40" s="510"/>
      <c r="BP40" s="511"/>
      <c r="BQ40" s="275">
        <f t="shared" si="53"/>
        <v>0</v>
      </c>
    </row>
    <row r="41" spans="1:70" ht="16" x14ac:dyDescent="0.2">
      <c r="A41" s="818"/>
      <c r="B41" s="821"/>
      <c r="C41" s="24" t="s">
        <v>169</v>
      </c>
      <c r="D41" s="272"/>
      <c r="E41" s="273"/>
      <c r="F41" s="274"/>
      <c r="G41" s="510">
        <f t="shared" si="54"/>
        <v>0.5</v>
      </c>
      <c r="H41" s="511">
        <f>+'PPA statistiky 2023'!H19</f>
        <v>0.23599999999999999</v>
      </c>
      <c r="I41" s="275">
        <f t="shared" si="33"/>
        <v>-0.26400000000000001</v>
      </c>
      <c r="J41" s="510"/>
      <c r="K41" s="511"/>
      <c r="L41" s="275">
        <f t="shared" si="34"/>
        <v>0</v>
      </c>
      <c r="M41" s="510"/>
      <c r="N41" s="511"/>
      <c r="O41" s="275">
        <f t="shared" si="35"/>
        <v>0</v>
      </c>
      <c r="P41" s="510"/>
      <c r="Q41" s="511"/>
      <c r="R41" s="275">
        <f t="shared" si="36"/>
        <v>0</v>
      </c>
      <c r="S41" s="510"/>
      <c r="T41" s="511"/>
      <c r="U41" s="275">
        <f t="shared" si="37"/>
        <v>0</v>
      </c>
      <c r="V41" s="510"/>
      <c r="W41" s="511"/>
      <c r="X41" s="275">
        <f t="shared" si="38"/>
        <v>0</v>
      </c>
      <c r="Y41" s="510"/>
      <c r="Z41" s="511"/>
      <c r="AA41" s="275">
        <f t="shared" si="39"/>
        <v>0</v>
      </c>
      <c r="AB41" s="510"/>
      <c r="AC41" s="511"/>
      <c r="AD41" s="275">
        <f t="shared" si="40"/>
        <v>0</v>
      </c>
      <c r="AE41" s="510"/>
      <c r="AF41" s="511"/>
      <c r="AG41" s="275">
        <f t="shared" si="41"/>
        <v>0</v>
      </c>
      <c r="AH41" s="510"/>
      <c r="AI41" s="511"/>
      <c r="AJ41" s="275">
        <f t="shared" si="42"/>
        <v>0</v>
      </c>
      <c r="AK41" s="510"/>
      <c r="AL41" s="511"/>
      <c r="AM41" s="275">
        <f t="shared" si="43"/>
        <v>0</v>
      </c>
      <c r="AN41" s="510"/>
      <c r="AO41" s="511"/>
      <c r="AP41" s="275">
        <f t="shared" si="44"/>
        <v>0</v>
      </c>
      <c r="AQ41" s="510"/>
      <c r="AR41" s="511"/>
      <c r="AS41" s="275">
        <f t="shared" si="45"/>
        <v>0</v>
      </c>
      <c r="AT41" s="510"/>
      <c r="AU41" s="511"/>
      <c r="AV41" s="275">
        <f t="shared" si="46"/>
        <v>0</v>
      </c>
      <c r="AW41" s="510"/>
      <c r="AX41" s="511"/>
      <c r="AY41" s="275">
        <f t="shared" si="47"/>
        <v>0</v>
      </c>
      <c r="AZ41" s="510"/>
      <c r="BA41" s="511"/>
      <c r="BB41" s="275">
        <f t="shared" si="48"/>
        <v>0</v>
      </c>
      <c r="BC41" s="510"/>
      <c r="BD41" s="511"/>
      <c r="BE41" s="275">
        <f t="shared" si="49"/>
        <v>0</v>
      </c>
      <c r="BF41" s="510"/>
      <c r="BG41" s="511"/>
      <c r="BH41" s="275">
        <f t="shared" si="50"/>
        <v>0</v>
      </c>
      <c r="BI41" s="510"/>
      <c r="BJ41" s="511"/>
      <c r="BK41" s="275">
        <f t="shared" si="51"/>
        <v>0</v>
      </c>
      <c r="BL41" s="510"/>
      <c r="BM41" s="511"/>
      <c r="BN41" s="275">
        <f t="shared" si="52"/>
        <v>0</v>
      </c>
      <c r="BO41" s="510"/>
      <c r="BP41" s="511"/>
      <c r="BQ41" s="275">
        <f t="shared" si="53"/>
        <v>0</v>
      </c>
    </row>
    <row r="42" spans="1:70" ht="16" x14ac:dyDescent="0.2">
      <c r="A42" s="818"/>
      <c r="B42" s="821"/>
      <c r="C42" s="24" t="s">
        <v>170</v>
      </c>
      <c r="D42" s="272"/>
      <c r="E42" s="273"/>
      <c r="F42" s="274"/>
      <c r="G42" s="510">
        <f t="shared" si="54"/>
        <v>0.5</v>
      </c>
      <c r="H42" s="511">
        <f>+'PPA statistiky 2023'!H20</f>
        <v>0.2195</v>
      </c>
      <c r="I42" s="275">
        <f t="shared" si="33"/>
        <v>-0.28049999999999997</v>
      </c>
      <c r="J42" s="510"/>
      <c r="K42" s="511"/>
      <c r="L42" s="275">
        <f t="shared" si="34"/>
        <v>0</v>
      </c>
      <c r="M42" s="510"/>
      <c r="N42" s="511"/>
      <c r="O42" s="275">
        <f t="shared" si="35"/>
        <v>0</v>
      </c>
      <c r="P42" s="510"/>
      <c r="Q42" s="511"/>
      <c r="R42" s="275">
        <f t="shared" si="36"/>
        <v>0</v>
      </c>
      <c r="S42" s="510"/>
      <c r="T42" s="511"/>
      <c r="U42" s="275">
        <f t="shared" si="37"/>
        <v>0</v>
      </c>
      <c r="V42" s="510"/>
      <c r="W42" s="511"/>
      <c r="X42" s="275">
        <f t="shared" si="38"/>
        <v>0</v>
      </c>
      <c r="Y42" s="510"/>
      <c r="Z42" s="511"/>
      <c r="AA42" s="275">
        <f t="shared" si="39"/>
        <v>0</v>
      </c>
      <c r="AB42" s="510"/>
      <c r="AC42" s="511"/>
      <c r="AD42" s="275">
        <f t="shared" si="40"/>
        <v>0</v>
      </c>
      <c r="AE42" s="510"/>
      <c r="AF42" s="511"/>
      <c r="AG42" s="275">
        <f t="shared" si="41"/>
        <v>0</v>
      </c>
      <c r="AH42" s="510"/>
      <c r="AI42" s="511"/>
      <c r="AJ42" s="275">
        <f t="shared" si="42"/>
        <v>0</v>
      </c>
      <c r="AK42" s="510"/>
      <c r="AL42" s="511"/>
      <c r="AM42" s="275">
        <f t="shared" si="43"/>
        <v>0</v>
      </c>
      <c r="AN42" s="510"/>
      <c r="AO42" s="511"/>
      <c r="AP42" s="275">
        <f t="shared" si="44"/>
        <v>0</v>
      </c>
      <c r="AQ42" s="510"/>
      <c r="AR42" s="511"/>
      <c r="AS42" s="275">
        <f t="shared" si="45"/>
        <v>0</v>
      </c>
      <c r="AT42" s="510"/>
      <c r="AU42" s="511"/>
      <c r="AV42" s="275">
        <f t="shared" si="46"/>
        <v>0</v>
      </c>
      <c r="AW42" s="510"/>
      <c r="AX42" s="511"/>
      <c r="AY42" s="275">
        <f t="shared" si="47"/>
        <v>0</v>
      </c>
      <c r="AZ42" s="510"/>
      <c r="BA42" s="511"/>
      <c r="BB42" s="275">
        <f t="shared" si="48"/>
        <v>0</v>
      </c>
      <c r="BC42" s="510"/>
      <c r="BD42" s="511"/>
      <c r="BE42" s="275">
        <f t="shared" si="49"/>
        <v>0</v>
      </c>
      <c r="BF42" s="510"/>
      <c r="BG42" s="511"/>
      <c r="BH42" s="275">
        <f t="shared" si="50"/>
        <v>0</v>
      </c>
      <c r="BI42" s="510"/>
      <c r="BJ42" s="511"/>
      <c r="BK42" s="275">
        <f t="shared" si="51"/>
        <v>0</v>
      </c>
      <c r="BL42" s="510"/>
      <c r="BM42" s="511"/>
      <c r="BN42" s="275">
        <f t="shared" si="52"/>
        <v>0</v>
      </c>
      <c r="BO42" s="510"/>
      <c r="BP42" s="511"/>
      <c r="BQ42" s="275">
        <f t="shared" si="53"/>
        <v>0</v>
      </c>
    </row>
    <row r="43" spans="1:70" ht="16" x14ac:dyDescent="0.2">
      <c r="A43" s="818"/>
      <c r="B43" s="821"/>
      <c r="C43" s="24" t="s">
        <v>171</v>
      </c>
      <c r="D43" s="272"/>
      <c r="E43" s="273"/>
      <c r="F43" s="274"/>
      <c r="G43" s="510">
        <f t="shared" si="54"/>
        <v>0.5</v>
      </c>
      <c r="H43" s="511">
        <f>+'PPA statistiky 2023'!H21</f>
        <v>0.2195</v>
      </c>
      <c r="I43" s="275">
        <f t="shared" si="33"/>
        <v>-0.28049999999999997</v>
      </c>
      <c r="J43" s="510"/>
      <c r="K43" s="511"/>
      <c r="L43" s="275">
        <f t="shared" si="34"/>
        <v>0</v>
      </c>
      <c r="M43" s="510"/>
      <c r="N43" s="511"/>
      <c r="O43" s="275">
        <f t="shared" si="35"/>
        <v>0</v>
      </c>
      <c r="P43" s="510"/>
      <c r="Q43" s="511"/>
      <c r="R43" s="275">
        <f t="shared" si="36"/>
        <v>0</v>
      </c>
      <c r="S43" s="510"/>
      <c r="T43" s="511"/>
      <c r="U43" s="275">
        <f t="shared" si="37"/>
        <v>0</v>
      </c>
      <c r="V43" s="510"/>
      <c r="W43" s="511"/>
      <c r="X43" s="275">
        <f t="shared" si="38"/>
        <v>0</v>
      </c>
      <c r="Y43" s="510"/>
      <c r="Z43" s="511"/>
      <c r="AA43" s="275">
        <f t="shared" si="39"/>
        <v>0</v>
      </c>
      <c r="AB43" s="510"/>
      <c r="AC43" s="511"/>
      <c r="AD43" s="275">
        <f t="shared" si="40"/>
        <v>0</v>
      </c>
      <c r="AE43" s="510"/>
      <c r="AF43" s="511"/>
      <c r="AG43" s="275">
        <f t="shared" si="41"/>
        <v>0</v>
      </c>
      <c r="AH43" s="510"/>
      <c r="AI43" s="511"/>
      <c r="AJ43" s="275">
        <f t="shared" si="42"/>
        <v>0</v>
      </c>
      <c r="AK43" s="510"/>
      <c r="AL43" s="511"/>
      <c r="AM43" s="275">
        <f t="shared" si="43"/>
        <v>0</v>
      </c>
      <c r="AN43" s="510"/>
      <c r="AO43" s="511"/>
      <c r="AP43" s="275">
        <f t="shared" si="44"/>
        <v>0</v>
      </c>
      <c r="AQ43" s="510"/>
      <c r="AR43" s="511"/>
      <c r="AS43" s="275">
        <f t="shared" si="45"/>
        <v>0</v>
      </c>
      <c r="AT43" s="510"/>
      <c r="AU43" s="511"/>
      <c r="AV43" s="275">
        <f t="shared" si="46"/>
        <v>0</v>
      </c>
      <c r="AW43" s="510"/>
      <c r="AX43" s="511"/>
      <c r="AY43" s="275">
        <f t="shared" si="47"/>
        <v>0</v>
      </c>
      <c r="AZ43" s="510"/>
      <c r="BA43" s="511"/>
      <c r="BB43" s="275">
        <f t="shared" si="48"/>
        <v>0</v>
      </c>
      <c r="BC43" s="510"/>
      <c r="BD43" s="511"/>
      <c r="BE43" s="275">
        <f t="shared" si="49"/>
        <v>0</v>
      </c>
      <c r="BF43" s="510"/>
      <c r="BG43" s="511"/>
      <c r="BH43" s="275">
        <f t="shared" si="50"/>
        <v>0</v>
      </c>
      <c r="BI43" s="510"/>
      <c r="BJ43" s="511"/>
      <c r="BK43" s="275">
        <f t="shared" si="51"/>
        <v>0</v>
      </c>
      <c r="BL43" s="510"/>
      <c r="BM43" s="511"/>
      <c r="BN43" s="275">
        <f t="shared" si="52"/>
        <v>0</v>
      </c>
      <c r="BO43" s="510"/>
      <c r="BP43" s="511"/>
      <c r="BQ43" s="275">
        <f t="shared" si="53"/>
        <v>0</v>
      </c>
    </row>
    <row r="44" spans="1:70" ht="16" x14ac:dyDescent="0.2">
      <c r="A44" s="819"/>
      <c r="B44" s="822"/>
      <c r="C44" s="263" t="s">
        <v>172</v>
      </c>
      <c r="D44" s="276"/>
      <c r="E44" s="277"/>
      <c r="F44" s="278"/>
      <c r="G44" s="510">
        <f t="shared" si="54"/>
        <v>0.5</v>
      </c>
      <c r="H44" s="511">
        <f>+'PPA statistiky 2023'!H22</f>
        <v>0.2195</v>
      </c>
      <c r="I44" s="279">
        <f>H44-G44</f>
        <v>-0.28049999999999997</v>
      </c>
      <c r="J44" s="510"/>
      <c r="K44" s="513"/>
      <c r="L44" s="279">
        <f>K44-J44</f>
        <v>0</v>
      </c>
      <c r="M44" s="510"/>
      <c r="N44" s="513"/>
      <c r="O44" s="279">
        <f>N44-M44</f>
        <v>0</v>
      </c>
      <c r="P44" s="510"/>
      <c r="Q44" s="511"/>
      <c r="R44" s="279">
        <f>Q44-P44</f>
        <v>0</v>
      </c>
      <c r="S44" s="510"/>
      <c r="T44" s="511"/>
      <c r="U44" s="279">
        <f>T44-S44</f>
        <v>0</v>
      </c>
      <c r="V44" s="510"/>
      <c r="W44" s="511"/>
      <c r="X44" s="279">
        <f>W44-V44</f>
        <v>0</v>
      </c>
      <c r="Y44" s="510"/>
      <c r="Z44" s="513"/>
      <c r="AA44" s="279">
        <f>Z44-Y44</f>
        <v>0</v>
      </c>
      <c r="AB44" s="512"/>
      <c r="AC44" s="513"/>
      <c r="AD44" s="279">
        <f>AC44-AB44</f>
        <v>0</v>
      </c>
      <c r="AE44" s="512"/>
      <c r="AF44" s="513"/>
      <c r="AG44" s="279">
        <f>AF44-AE44</f>
        <v>0</v>
      </c>
      <c r="AH44" s="512"/>
      <c r="AI44" s="513"/>
      <c r="AJ44" s="279">
        <f>AI44-AH44</f>
        <v>0</v>
      </c>
      <c r="AK44" s="512"/>
      <c r="AL44" s="513"/>
      <c r="AM44" s="279">
        <f>AL44-AK44</f>
        <v>0</v>
      </c>
      <c r="AN44" s="512"/>
      <c r="AO44" s="513"/>
      <c r="AP44" s="279">
        <f>AO44-AN44</f>
        <v>0</v>
      </c>
      <c r="AQ44" s="512"/>
      <c r="AR44" s="513"/>
      <c r="AS44" s="279">
        <f>AR44-AQ44</f>
        <v>0</v>
      </c>
      <c r="AT44" s="512"/>
      <c r="AU44" s="513"/>
      <c r="AV44" s="279">
        <f>AU44-AT44</f>
        <v>0</v>
      </c>
      <c r="AW44" s="512"/>
      <c r="AX44" s="513"/>
      <c r="AY44" s="279">
        <f>AX44-AW44</f>
        <v>0</v>
      </c>
      <c r="AZ44" s="512"/>
      <c r="BA44" s="513"/>
      <c r="BB44" s="279">
        <f>BA44-AZ44</f>
        <v>0</v>
      </c>
      <c r="BC44" s="512"/>
      <c r="BD44" s="513"/>
      <c r="BE44" s="279">
        <f>BD44-BC44</f>
        <v>0</v>
      </c>
      <c r="BF44" s="512"/>
      <c r="BG44" s="513"/>
      <c r="BH44" s="279">
        <f>BG44-BF44</f>
        <v>0</v>
      </c>
      <c r="BI44" s="512"/>
      <c r="BJ44" s="513"/>
      <c r="BK44" s="279">
        <f>BJ44-BI44</f>
        <v>0</v>
      </c>
      <c r="BL44" s="512"/>
      <c r="BM44" s="513"/>
      <c r="BN44" s="279">
        <f>BM44-BL44</f>
        <v>0</v>
      </c>
      <c r="BO44" s="512"/>
      <c r="BP44" s="513"/>
      <c r="BQ44" s="279">
        <f>BP44-BO44</f>
        <v>0</v>
      </c>
    </row>
    <row r="45" spans="1:70" s="281" customFormat="1" ht="14.75" customHeight="1" x14ac:dyDescent="0.2">
      <c r="A45" s="817" t="s">
        <v>215</v>
      </c>
      <c r="B45" s="820" t="s">
        <v>216</v>
      </c>
      <c r="C45" s="251" t="s">
        <v>163</v>
      </c>
      <c r="D45" s="412">
        <f t="shared" ref="D45" si="55">SUM(G45,J45,M45,P45,S45,V45,Y45,AB45,AE45,AH45,AK45,AN45,AQ45,AT45,AW45,AZ45,AZ45,BC45,BF45,BI45,BL45,BO45)</f>
        <v>0</v>
      </c>
      <c r="E45" s="413">
        <f t="shared" ref="E45:E64" si="56">SUM(H45,K45,N45,Q45,T45,W45,Z45,AC45,AF45,AI45,AL45,AO45,AR45,AU45,AX45,BA45,BA45,BD45,BG45,BJ45,BM45,BP45)</f>
        <v>0</v>
      </c>
      <c r="F45" s="270">
        <f>D45-E45</f>
        <v>0</v>
      </c>
      <c r="G45" s="508"/>
      <c r="H45" s="509"/>
      <c r="I45" s="271">
        <f t="shared" ref="I45:I53" si="57">H45-G45</f>
        <v>0</v>
      </c>
      <c r="J45" s="508"/>
      <c r="K45" s="509"/>
      <c r="L45" s="271">
        <f t="shared" ref="L45:L53" si="58">K45-J45</f>
        <v>0</v>
      </c>
      <c r="M45" s="508"/>
      <c r="N45" s="509"/>
      <c r="O45" s="271">
        <f t="shared" ref="O45:O53" si="59">N45-M45</f>
        <v>0</v>
      </c>
      <c r="P45" s="508"/>
      <c r="Q45" s="509"/>
      <c r="R45" s="271">
        <f t="shared" ref="R45:R53" si="60">Q45-P45</f>
        <v>0</v>
      </c>
      <c r="S45" s="508"/>
      <c r="T45" s="509"/>
      <c r="U45" s="271">
        <f t="shared" ref="U45:U53" si="61">T45-S45</f>
        <v>0</v>
      </c>
      <c r="V45" s="508">
        <v>0</v>
      </c>
      <c r="W45" s="509">
        <v>0</v>
      </c>
      <c r="X45" s="271">
        <f t="shared" ref="X45:X53" si="62">W45-V45</f>
        <v>0</v>
      </c>
      <c r="Y45" s="508"/>
      <c r="Z45" s="509"/>
      <c r="AA45" s="271">
        <f t="shared" ref="AA45:AA53" si="63">Z45-Y45</f>
        <v>0</v>
      </c>
      <c r="AB45" s="508"/>
      <c r="AC45" s="509"/>
      <c r="AD45" s="271">
        <f t="shared" ref="AD45:AD53" si="64">AC45-AB45</f>
        <v>0</v>
      </c>
      <c r="AE45" s="508"/>
      <c r="AF45" s="509"/>
      <c r="AG45" s="271">
        <f t="shared" ref="AG45:AG53" si="65">AF45-AE45</f>
        <v>0</v>
      </c>
      <c r="AH45" s="508"/>
      <c r="AI45" s="509"/>
      <c r="AJ45" s="271">
        <f t="shared" ref="AJ45:AJ53" si="66">AI45-AH45</f>
        <v>0</v>
      </c>
      <c r="AK45" s="508">
        <v>0</v>
      </c>
      <c r="AL45" s="509">
        <v>0</v>
      </c>
      <c r="AM45" s="271">
        <f t="shared" ref="AM45:AM53" si="67">AL45-AK45</f>
        <v>0</v>
      </c>
      <c r="AN45" s="508"/>
      <c r="AO45" s="509"/>
      <c r="AP45" s="271">
        <f t="shared" ref="AP45:AP53" si="68">AO45-AN45</f>
        <v>0</v>
      </c>
      <c r="AQ45" s="508"/>
      <c r="AR45" s="509"/>
      <c r="AS45" s="271">
        <f t="shared" ref="AS45:AS53" si="69">AR45-AQ45</f>
        <v>0</v>
      </c>
      <c r="AT45" s="508"/>
      <c r="AU45" s="509"/>
      <c r="AV45" s="271">
        <f t="shared" ref="AV45:AV53" si="70">AU45-AT45</f>
        <v>0</v>
      </c>
      <c r="AW45" s="508"/>
      <c r="AX45" s="509"/>
      <c r="AY45" s="271">
        <f t="shared" ref="AY45:AY53" si="71">AX45-AW45</f>
        <v>0</v>
      </c>
      <c r="AZ45" s="508">
        <v>0</v>
      </c>
      <c r="BA45" s="509">
        <v>0</v>
      </c>
      <c r="BB45" s="271">
        <f t="shared" ref="BB45:BB53" si="72">BA45-AZ45</f>
        <v>0</v>
      </c>
      <c r="BC45" s="508"/>
      <c r="BD45" s="509"/>
      <c r="BE45" s="271">
        <f t="shared" ref="BE45:BE53" si="73">BD45-BC45</f>
        <v>0</v>
      </c>
      <c r="BF45" s="508"/>
      <c r="BG45" s="509"/>
      <c r="BH45" s="271">
        <f t="shared" ref="BH45:BH53" si="74">BG45-BF45</f>
        <v>0</v>
      </c>
      <c r="BI45" s="508"/>
      <c r="BJ45" s="509"/>
      <c r="BK45" s="271">
        <f t="shared" ref="BK45:BK53" si="75">BJ45-BI45</f>
        <v>0</v>
      </c>
      <c r="BL45" s="508"/>
      <c r="BM45" s="509"/>
      <c r="BN45" s="271">
        <f t="shared" ref="BN45:BN53" si="76">BM45-BL45</f>
        <v>0</v>
      </c>
      <c r="BO45" s="508">
        <v>0</v>
      </c>
      <c r="BP45" s="509">
        <v>0</v>
      </c>
      <c r="BQ45" s="271">
        <f t="shared" si="53"/>
        <v>0</v>
      </c>
      <c r="BR45" s="280">
        <f>'Analyza citlivosti - AgendovéIS'!Q7</f>
        <v>0</v>
      </c>
    </row>
    <row r="46" spans="1:70" ht="16" x14ac:dyDescent="0.2">
      <c r="A46" s="818"/>
      <c r="B46" s="821"/>
      <c r="C46" s="24" t="s">
        <v>164</v>
      </c>
      <c r="D46" s="414">
        <f t="shared" ref="D46:D61" si="77">SUM(G46,J46,M46,P46,S46,V46,Y46,AB46,AE46,AH46,AK46,AN46,AQ46,AT46,AW46,AZ46,AZ46,BC46,BF46,BI46,BL46,BO46)</f>
        <v>0</v>
      </c>
      <c r="E46" s="415">
        <f t="shared" si="56"/>
        <v>0</v>
      </c>
      <c r="F46" s="274">
        <f t="shared" ref="F46:F54" si="78">D46-E46</f>
        <v>0</v>
      </c>
      <c r="G46" s="510"/>
      <c r="H46" s="511"/>
      <c r="I46" s="275">
        <f t="shared" si="57"/>
        <v>0</v>
      </c>
      <c r="J46" s="510"/>
      <c r="K46" s="511"/>
      <c r="L46" s="275">
        <f t="shared" si="58"/>
        <v>0</v>
      </c>
      <c r="M46" s="510"/>
      <c r="N46" s="511"/>
      <c r="O46" s="275">
        <f t="shared" si="59"/>
        <v>0</v>
      </c>
      <c r="P46" s="510"/>
      <c r="Q46" s="511"/>
      <c r="R46" s="275">
        <f t="shared" si="60"/>
        <v>0</v>
      </c>
      <c r="S46" s="510"/>
      <c r="T46" s="511"/>
      <c r="U46" s="275">
        <f t="shared" si="61"/>
        <v>0</v>
      </c>
      <c r="V46" s="510">
        <v>0</v>
      </c>
      <c r="W46" s="511">
        <v>0</v>
      </c>
      <c r="X46" s="275">
        <f t="shared" si="62"/>
        <v>0</v>
      </c>
      <c r="Y46" s="510"/>
      <c r="Z46" s="511"/>
      <c r="AA46" s="275">
        <f t="shared" si="63"/>
        <v>0</v>
      </c>
      <c r="AB46" s="510"/>
      <c r="AC46" s="511"/>
      <c r="AD46" s="275">
        <f t="shared" si="64"/>
        <v>0</v>
      </c>
      <c r="AE46" s="510"/>
      <c r="AF46" s="511"/>
      <c r="AG46" s="275">
        <f t="shared" si="65"/>
        <v>0</v>
      </c>
      <c r="AH46" s="510"/>
      <c r="AI46" s="511"/>
      <c r="AJ46" s="275">
        <f t="shared" si="66"/>
        <v>0</v>
      </c>
      <c r="AK46" s="510">
        <v>0</v>
      </c>
      <c r="AL46" s="511">
        <v>0</v>
      </c>
      <c r="AM46" s="275">
        <f t="shared" si="67"/>
        <v>0</v>
      </c>
      <c r="AN46" s="510"/>
      <c r="AO46" s="511"/>
      <c r="AP46" s="275">
        <f t="shared" si="68"/>
        <v>0</v>
      </c>
      <c r="AQ46" s="510"/>
      <c r="AR46" s="511"/>
      <c r="AS46" s="275">
        <f t="shared" si="69"/>
        <v>0</v>
      </c>
      <c r="AT46" s="510"/>
      <c r="AU46" s="511"/>
      <c r="AV46" s="275">
        <f t="shared" si="70"/>
        <v>0</v>
      </c>
      <c r="AW46" s="510"/>
      <c r="AX46" s="511"/>
      <c r="AY46" s="275">
        <f t="shared" si="71"/>
        <v>0</v>
      </c>
      <c r="AZ46" s="510">
        <v>0</v>
      </c>
      <c r="BA46" s="511">
        <v>0</v>
      </c>
      <c r="BB46" s="275">
        <f t="shared" si="72"/>
        <v>0</v>
      </c>
      <c r="BC46" s="510"/>
      <c r="BD46" s="511"/>
      <c r="BE46" s="275">
        <f t="shared" si="73"/>
        <v>0</v>
      </c>
      <c r="BF46" s="510"/>
      <c r="BG46" s="511"/>
      <c r="BH46" s="275">
        <f t="shared" si="74"/>
        <v>0</v>
      </c>
      <c r="BI46" s="510"/>
      <c r="BJ46" s="511"/>
      <c r="BK46" s="275">
        <f t="shared" si="75"/>
        <v>0</v>
      </c>
      <c r="BL46" s="510"/>
      <c r="BM46" s="511"/>
      <c r="BN46" s="275">
        <f t="shared" si="76"/>
        <v>0</v>
      </c>
      <c r="BO46" s="510">
        <v>0</v>
      </c>
      <c r="BP46" s="511">
        <v>0</v>
      </c>
      <c r="BQ46" s="275">
        <f t="shared" si="53"/>
        <v>0</v>
      </c>
    </row>
    <row r="47" spans="1:70" ht="16" x14ac:dyDescent="0.2">
      <c r="A47" s="818"/>
      <c r="B47" s="821"/>
      <c r="C47" s="24" t="s">
        <v>165</v>
      </c>
      <c r="D47" s="414">
        <f t="shared" si="77"/>
        <v>0</v>
      </c>
      <c r="E47" s="415">
        <f t="shared" si="56"/>
        <v>0</v>
      </c>
      <c r="F47" s="274">
        <f t="shared" si="78"/>
        <v>0</v>
      </c>
      <c r="G47" s="510"/>
      <c r="H47" s="511"/>
      <c r="I47" s="275">
        <f t="shared" si="57"/>
        <v>0</v>
      </c>
      <c r="J47" s="510"/>
      <c r="K47" s="511"/>
      <c r="L47" s="275">
        <f t="shared" si="58"/>
        <v>0</v>
      </c>
      <c r="M47" s="510"/>
      <c r="N47" s="511"/>
      <c r="O47" s="275">
        <f t="shared" si="59"/>
        <v>0</v>
      </c>
      <c r="P47" s="510"/>
      <c r="Q47" s="511"/>
      <c r="R47" s="275">
        <f t="shared" si="60"/>
        <v>0</v>
      </c>
      <c r="S47" s="510"/>
      <c r="T47" s="511"/>
      <c r="U47" s="275">
        <f t="shared" si="61"/>
        <v>0</v>
      </c>
      <c r="V47" s="510">
        <v>0</v>
      </c>
      <c r="W47" s="511">
        <v>0</v>
      </c>
      <c r="X47" s="275">
        <f t="shared" si="62"/>
        <v>0</v>
      </c>
      <c r="Y47" s="510"/>
      <c r="Z47" s="511"/>
      <c r="AA47" s="275">
        <f t="shared" si="63"/>
        <v>0</v>
      </c>
      <c r="AB47" s="510"/>
      <c r="AC47" s="511"/>
      <c r="AD47" s="275">
        <f t="shared" si="64"/>
        <v>0</v>
      </c>
      <c r="AE47" s="510"/>
      <c r="AF47" s="511"/>
      <c r="AG47" s="275">
        <f t="shared" si="65"/>
        <v>0</v>
      </c>
      <c r="AH47" s="510"/>
      <c r="AI47" s="511"/>
      <c r="AJ47" s="275">
        <f t="shared" si="66"/>
        <v>0</v>
      </c>
      <c r="AK47" s="510">
        <v>0</v>
      </c>
      <c r="AL47" s="511">
        <v>0</v>
      </c>
      <c r="AM47" s="275">
        <f t="shared" si="67"/>
        <v>0</v>
      </c>
      <c r="AN47" s="510"/>
      <c r="AO47" s="511"/>
      <c r="AP47" s="275">
        <f t="shared" si="68"/>
        <v>0</v>
      </c>
      <c r="AQ47" s="510"/>
      <c r="AR47" s="511"/>
      <c r="AS47" s="275">
        <f t="shared" si="69"/>
        <v>0</v>
      </c>
      <c r="AT47" s="510"/>
      <c r="AU47" s="511"/>
      <c r="AV47" s="275">
        <f t="shared" si="70"/>
        <v>0</v>
      </c>
      <c r="AW47" s="510"/>
      <c r="AX47" s="511"/>
      <c r="AY47" s="275">
        <f t="shared" si="71"/>
        <v>0</v>
      </c>
      <c r="AZ47" s="510">
        <v>0</v>
      </c>
      <c r="BA47" s="511">
        <v>0</v>
      </c>
      <c r="BB47" s="275">
        <f t="shared" si="72"/>
        <v>0</v>
      </c>
      <c r="BC47" s="510"/>
      <c r="BD47" s="511"/>
      <c r="BE47" s="275">
        <f t="shared" si="73"/>
        <v>0</v>
      </c>
      <c r="BF47" s="510"/>
      <c r="BG47" s="511"/>
      <c r="BH47" s="275">
        <f t="shared" si="74"/>
        <v>0</v>
      </c>
      <c r="BI47" s="510"/>
      <c r="BJ47" s="511"/>
      <c r="BK47" s="275">
        <f t="shared" si="75"/>
        <v>0</v>
      </c>
      <c r="BL47" s="510"/>
      <c r="BM47" s="511"/>
      <c r="BN47" s="275">
        <f t="shared" si="76"/>
        <v>0</v>
      </c>
      <c r="BO47" s="510">
        <v>0</v>
      </c>
      <c r="BP47" s="511">
        <v>0</v>
      </c>
      <c r="BQ47" s="275">
        <f t="shared" si="53"/>
        <v>0</v>
      </c>
    </row>
    <row r="48" spans="1:70" ht="16" x14ac:dyDescent="0.2">
      <c r="A48" s="818"/>
      <c r="B48" s="821"/>
      <c r="C48" s="24" t="s">
        <v>166</v>
      </c>
      <c r="D48" s="414">
        <f t="shared" si="77"/>
        <v>0</v>
      </c>
      <c r="E48" s="415">
        <f t="shared" si="56"/>
        <v>0</v>
      </c>
      <c r="F48" s="274">
        <f t="shared" si="78"/>
        <v>0</v>
      </c>
      <c r="G48" s="510"/>
      <c r="H48" s="511"/>
      <c r="I48" s="275">
        <f t="shared" si="57"/>
        <v>0</v>
      </c>
      <c r="J48" s="510"/>
      <c r="K48" s="511"/>
      <c r="L48" s="275">
        <f t="shared" si="58"/>
        <v>0</v>
      </c>
      <c r="M48" s="510"/>
      <c r="N48" s="511"/>
      <c r="O48" s="275">
        <f t="shared" si="59"/>
        <v>0</v>
      </c>
      <c r="P48" s="510"/>
      <c r="Q48" s="511"/>
      <c r="R48" s="275">
        <f t="shared" si="60"/>
        <v>0</v>
      </c>
      <c r="S48" s="510"/>
      <c r="T48" s="511"/>
      <c r="U48" s="275">
        <f t="shared" si="61"/>
        <v>0</v>
      </c>
      <c r="V48" s="510">
        <v>0</v>
      </c>
      <c r="W48" s="511">
        <v>0</v>
      </c>
      <c r="X48" s="275">
        <f t="shared" si="62"/>
        <v>0</v>
      </c>
      <c r="Y48" s="510"/>
      <c r="Z48" s="511"/>
      <c r="AA48" s="275">
        <f t="shared" si="63"/>
        <v>0</v>
      </c>
      <c r="AB48" s="510"/>
      <c r="AC48" s="511"/>
      <c r="AD48" s="275">
        <f t="shared" si="64"/>
        <v>0</v>
      </c>
      <c r="AE48" s="510"/>
      <c r="AF48" s="511"/>
      <c r="AG48" s="275">
        <f t="shared" si="65"/>
        <v>0</v>
      </c>
      <c r="AH48" s="510"/>
      <c r="AI48" s="511"/>
      <c r="AJ48" s="275">
        <f t="shared" si="66"/>
        <v>0</v>
      </c>
      <c r="AK48" s="510">
        <v>0</v>
      </c>
      <c r="AL48" s="511">
        <v>0</v>
      </c>
      <c r="AM48" s="275">
        <f t="shared" si="67"/>
        <v>0</v>
      </c>
      <c r="AN48" s="510"/>
      <c r="AO48" s="511"/>
      <c r="AP48" s="275">
        <f t="shared" si="68"/>
        <v>0</v>
      </c>
      <c r="AQ48" s="510"/>
      <c r="AR48" s="511"/>
      <c r="AS48" s="275">
        <f t="shared" si="69"/>
        <v>0</v>
      </c>
      <c r="AT48" s="510"/>
      <c r="AU48" s="511"/>
      <c r="AV48" s="275">
        <f t="shared" si="70"/>
        <v>0</v>
      </c>
      <c r="AW48" s="510"/>
      <c r="AX48" s="511"/>
      <c r="AY48" s="275">
        <f t="shared" si="71"/>
        <v>0</v>
      </c>
      <c r="AZ48" s="510">
        <v>0</v>
      </c>
      <c r="BA48" s="511">
        <v>0</v>
      </c>
      <c r="BB48" s="275">
        <f t="shared" si="72"/>
        <v>0</v>
      </c>
      <c r="BC48" s="510"/>
      <c r="BD48" s="511"/>
      <c r="BE48" s="275">
        <f t="shared" si="73"/>
        <v>0</v>
      </c>
      <c r="BF48" s="510"/>
      <c r="BG48" s="511"/>
      <c r="BH48" s="275">
        <f t="shared" si="74"/>
        <v>0</v>
      </c>
      <c r="BI48" s="510"/>
      <c r="BJ48" s="511"/>
      <c r="BK48" s="275">
        <f t="shared" si="75"/>
        <v>0</v>
      </c>
      <c r="BL48" s="510"/>
      <c r="BM48" s="511"/>
      <c r="BN48" s="275">
        <f t="shared" si="76"/>
        <v>0</v>
      </c>
      <c r="BO48" s="510">
        <v>0</v>
      </c>
      <c r="BP48" s="511">
        <v>0</v>
      </c>
      <c r="BQ48" s="275">
        <f t="shared" si="53"/>
        <v>0</v>
      </c>
    </row>
    <row r="49" spans="1:70" ht="16" x14ac:dyDescent="0.2">
      <c r="A49" s="818"/>
      <c r="B49" s="821"/>
      <c r="C49" s="24" t="s">
        <v>167</v>
      </c>
      <c r="D49" s="414">
        <f t="shared" si="77"/>
        <v>0</v>
      </c>
      <c r="E49" s="415">
        <f t="shared" si="56"/>
        <v>0</v>
      </c>
      <c r="F49" s="274">
        <f t="shared" si="78"/>
        <v>0</v>
      </c>
      <c r="G49" s="510"/>
      <c r="H49" s="511"/>
      <c r="I49" s="275">
        <f t="shared" si="57"/>
        <v>0</v>
      </c>
      <c r="J49" s="510"/>
      <c r="K49" s="511"/>
      <c r="L49" s="275">
        <f t="shared" si="58"/>
        <v>0</v>
      </c>
      <c r="M49" s="510"/>
      <c r="N49" s="511"/>
      <c r="O49" s="275">
        <f t="shared" si="59"/>
        <v>0</v>
      </c>
      <c r="P49" s="510"/>
      <c r="Q49" s="511"/>
      <c r="R49" s="275">
        <f t="shared" si="60"/>
        <v>0</v>
      </c>
      <c r="S49" s="510"/>
      <c r="T49" s="511"/>
      <c r="U49" s="275">
        <f t="shared" si="61"/>
        <v>0</v>
      </c>
      <c r="V49" s="510">
        <v>0</v>
      </c>
      <c r="W49" s="511">
        <v>0</v>
      </c>
      <c r="X49" s="275">
        <f t="shared" si="62"/>
        <v>0</v>
      </c>
      <c r="Y49" s="510"/>
      <c r="Z49" s="511"/>
      <c r="AA49" s="275">
        <f t="shared" si="63"/>
        <v>0</v>
      </c>
      <c r="AB49" s="510"/>
      <c r="AC49" s="511"/>
      <c r="AD49" s="275">
        <f t="shared" si="64"/>
        <v>0</v>
      </c>
      <c r="AE49" s="510"/>
      <c r="AF49" s="511"/>
      <c r="AG49" s="275">
        <f t="shared" si="65"/>
        <v>0</v>
      </c>
      <c r="AH49" s="510"/>
      <c r="AI49" s="511"/>
      <c r="AJ49" s="275">
        <f t="shared" si="66"/>
        <v>0</v>
      </c>
      <c r="AK49" s="510">
        <v>0</v>
      </c>
      <c r="AL49" s="511">
        <v>0</v>
      </c>
      <c r="AM49" s="275">
        <f t="shared" si="67"/>
        <v>0</v>
      </c>
      <c r="AN49" s="510"/>
      <c r="AO49" s="511"/>
      <c r="AP49" s="275">
        <f t="shared" si="68"/>
        <v>0</v>
      </c>
      <c r="AQ49" s="510"/>
      <c r="AR49" s="511"/>
      <c r="AS49" s="275">
        <f t="shared" si="69"/>
        <v>0</v>
      </c>
      <c r="AT49" s="510"/>
      <c r="AU49" s="511"/>
      <c r="AV49" s="275">
        <f t="shared" si="70"/>
        <v>0</v>
      </c>
      <c r="AW49" s="510"/>
      <c r="AX49" s="511"/>
      <c r="AY49" s="275">
        <f t="shared" si="71"/>
        <v>0</v>
      </c>
      <c r="AZ49" s="510">
        <v>0</v>
      </c>
      <c r="BA49" s="511">
        <v>0</v>
      </c>
      <c r="BB49" s="275">
        <f t="shared" si="72"/>
        <v>0</v>
      </c>
      <c r="BC49" s="510"/>
      <c r="BD49" s="511"/>
      <c r="BE49" s="275">
        <f t="shared" si="73"/>
        <v>0</v>
      </c>
      <c r="BF49" s="510"/>
      <c r="BG49" s="511"/>
      <c r="BH49" s="275">
        <f t="shared" si="74"/>
        <v>0</v>
      </c>
      <c r="BI49" s="510"/>
      <c r="BJ49" s="511"/>
      <c r="BK49" s="275">
        <f t="shared" si="75"/>
        <v>0</v>
      </c>
      <c r="BL49" s="510"/>
      <c r="BM49" s="511"/>
      <c r="BN49" s="275">
        <f t="shared" si="76"/>
        <v>0</v>
      </c>
      <c r="BO49" s="510">
        <v>0</v>
      </c>
      <c r="BP49" s="511">
        <v>0</v>
      </c>
      <c r="BQ49" s="275">
        <f t="shared" si="53"/>
        <v>0</v>
      </c>
    </row>
    <row r="50" spans="1:70" ht="16" x14ac:dyDescent="0.2">
      <c r="A50" s="818"/>
      <c r="B50" s="821"/>
      <c r="C50" s="24" t="s">
        <v>168</v>
      </c>
      <c r="D50" s="414">
        <f t="shared" si="77"/>
        <v>0</v>
      </c>
      <c r="E50" s="415">
        <f t="shared" si="56"/>
        <v>0</v>
      </c>
      <c r="F50" s="274">
        <f t="shared" si="78"/>
        <v>0</v>
      </c>
      <c r="G50" s="510"/>
      <c r="H50" s="511"/>
      <c r="I50" s="275">
        <f t="shared" si="57"/>
        <v>0</v>
      </c>
      <c r="J50" s="510"/>
      <c r="K50" s="511"/>
      <c r="L50" s="275">
        <f t="shared" si="58"/>
        <v>0</v>
      </c>
      <c r="M50" s="510"/>
      <c r="N50" s="511"/>
      <c r="O50" s="275">
        <f t="shared" si="59"/>
        <v>0</v>
      </c>
      <c r="P50" s="510"/>
      <c r="Q50" s="511"/>
      <c r="R50" s="275">
        <f t="shared" si="60"/>
        <v>0</v>
      </c>
      <c r="S50" s="510"/>
      <c r="T50" s="511"/>
      <c r="U50" s="275">
        <f t="shared" si="61"/>
        <v>0</v>
      </c>
      <c r="V50" s="510">
        <v>0</v>
      </c>
      <c r="W50" s="511">
        <v>0</v>
      </c>
      <c r="X50" s="275">
        <f t="shared" si="62"/>
        <v>0</v>
      </c>
      <c r="Y50" s="510"/>
      <c r="Z50" s="511"/>
      <c r="AA50" s="275">
        <f t="shared" si="63"/>
        <v>0</v>
      </c>
      <c r="AB50" s="510"/>
      <c r="AC50" s="511"/>
      <c r="AD50" s="275">
        <f t="shared" si="64"/>
        <v>0</v>
      </c>
      <c r="AE50" s="510"/>
      <c r="AF50" s="511"/>
      <c r="AG50" s="275">
        <f t="shared" si="65"/>
        <v>0</v>
      </c>
      <c r="AH50" s="510"/>
      <c r="AI50" s="511"/>
      <c r="AJ50" s="275">
        <f t="shared" si="66"/>
        <v>0</v>
      </c>
      <c r="AK50" s="510">
        <v>0</v>
      </c>
      <c r="AL50" s="511">
        <v>0</v>
      </c>
      <c r="AM50" s="275">
        <f t="shared" si="67"/>
        <v>0</v>
      </c>
      <c r="AN50" s="510"/>
      <c r="AO50" s="511"/>
      <c r="AP50" s="275">
        <f t="shared" si="68"/>
        <v>0</v>
      </c>
      <c r="AQ50" s="510"/>
      <c r="AR50" s="511"/>
      <c r="AS50" s="275">
        <f t="shared" si="69"/>
        <v>0</v>
      </c>
      <c r="AT50" s="510"/>
      <c r="AU50" s="511"/>
      <c r="AV50" s="275">
        <f t="shared" si="70"/>
        <v>0</v>
      </c>
      <c r="AW50" s="510"/>
      <c r="AX50" s="511"/>
      <c r="AY50" s="275">
        <f t="shared" si="71"/>
        <v>0</v>
      </c>
      <c r="AZ50" s="510">
        <v>0</v>
      </c>
      <c r="BA50" s="511">
        <v>0</v>
      </c>
      <c r="BB50" s="275">
        <f t="shared" si="72"/>
        <v>0</v>
      </c>
      <c r="BC50" s="510"/>
      <c r="BD50" s="511"/>
      <c r="BE50" s="275">
        <f t="shared" si="73"/>
        <v>0</v>
      </c>
      <c r="BF50" s="510"/>
      <c r="BG50" s="511"/>
      <c r="BH50" s="275">
        <f t="shared" si="74"/>
        <v>0</v>
      </c>
      <c r="BI50" s="510"/>
      <c r="BJ50" s="511"/>
      <c r="BK50" s="275">
        <f t="shared" si="75"/>
        <v>0</v>
      </c>
      <c r="BL50" s="510"/>
      <c r="BM50" s="511"/>
      <c r="BN50" s="275">
        <f t="shared" si="76"/>
        <v>0</v>
      </c>
      <c r="BO50" s="510">
        <v>0</v>
      </c>
      <c r="BP50" s="511">
        <v>0</v>
      </c>
      <c r="BQ50" s="275">
        <f t="shared" si="53"/>
        <v>0</v>
      </c>
    </row>
    <row r="51" spans="1:70" ht="16" x14ac:dyDescent="0.2">
      <c r="A51" s="818"/>
      <c r="B51" s="821"/>
      <c r="C51" s="24" t="s">
        <v>169</v>
      </c>
      <c r="D51" s="414">
        <f t="shared" si="77"/>
        <v>0</v>
      </c>
      <c r="E51" s="415">
        <f t="shared" si="56"/>
        <v>0</v>
      </c>
      <c r="F51" s="274">
        <f t="shared" si="78"/>
        <v>0</v>
      </c>
      <c r="G51" s="510"/>
      <c r="H51" s="511"/>
      <c r="I51" s="275">
        <f t="shared" si="57"/>
        <v>0</v>
      </c>
      <c r="J51" s="510"/>
      <c r="K51" s="511"/>
      <c r="L51" s="275">
        <f t="shared" si="58"/>
        <v>0</v>
      </c>
      <c r="M51" s="510"/>
      <c r="N51" s="511"/>
      <c r="O51" s="275">
        <f t="shared" si="59"/>
        <v>0</v>
      </c>
      <c r="P51" s="510"/>
      <c r="Q51" s="511"/>
      <c r="R51" s="275">
        <f t="shared" si="60"/>
        <v>0</v>
      </c>
      <c r="S51" s="510"/>
      <c r="T51" s="511"/>
      <c r="U51" s="275">
        <f t="shared" si="61"/>
        <v>0</v>
      </c>
      <c r="V51" s="510">
        <v>0</v>
      </c>
      <c r="W51" s="511">
        <v>0</v>
      </c>
      <c r="X51" s="275">
        <f t="shared" si="62"/>
        <v>0</v>
      </c>
      <c r="Y51" s="510"/>
      <c r="Z51" s="511"/>
      <c r="AA51" s="275">
        <f t="shared" si="63"/>
        <v>0</v>
      </c>
      <c r="AB51" s="510"/>
      <c r="AC51" s="511"/>
      <c r="AD51" s="275">
        <f t="shared" si="64"/>
        <v>0</v>
      </c>
      <c r="AE51" s="510"/>
      <c r="AF51" s="511"/>
      <c r="AG51" s="275">
        <f t="shared" si="65"/>
        <v>0</v>
      </c>
      <c r="AH51" s="510"/>
      <c r="AI51" s="511"/>
      <c r="AJ51" s="275">
        <f t="shared" si="66"/>
        <v>0</v>
      </c>
      <c r="AK51" s="510">
        <v>0</v>
      </c>
      <c r="AL51" s="511">
        <v>0</v>
      </c>
      <c r="AM51" s="275">
        <f t="shared" si="67"/>
        <v>0</v>
      </c>
      <c r="AN51" s="510"/>
      <c r="AO51" s="511"/>
      <c r="AP51" s="275">
        <f t="shared" si="68"/>
        <v>0</v>
      </c>
      <c r="AQ51" s="510"/>
      <c r="AR51" s="511"/>
      <c r="AS51" s="275">
        <f t="shared" si="69"/>
        <v>0</v>
      </c>
      <c r="AT51" s="510"/>
      <c r="AU51" s="511"/>
      <c r="AV51" s="275">
        <f t="shared" si="70"/>
        <v>0</v>
      </c>
      <c r="AW51" s="510"/>
      <c r="AX51" s="511"/>
      <c r="AY51" s="275">
        <f t="shared" si="71"/>
        <v>0</v>
      </c>
      <c r="AZ51" s="510">
        <v>0</v>
      </c>
      <c r="BA51" s="511">
        <v>0</v>
      </c>
      <c r="BB51" s="275">
        <f t="shared" si="72"/>
        <v>0</v>
      </c>
      <c r="BC51" s="510"/>
      <c r="BD51" s="511"/>
      <c r="BE51" s="275">
        <f t="shared" si="73"/>
        <v>0</v>
      </c>
      <c r="BF51" s="510"/>
      <c r="BG51" s="511"/>
      <c r="BH51" s="275">
        <f t="shared" si="74"/>
        <v>0</v>
      </c>
      <c r="BI51" s="510"/>
      <c r="BJ51" s="511"/>
      <c r="BK51" s="275">
        <f t="shared" si="75"/>
        <v>0</v>
      </c>
      <c r="BL51" s="510"/>
      <c r="BM51" s="511"/>
      <c r="BN51" s="275">
        <f t="shared" si="76"/>
        <v>0</v>
      </c>
      <c r="BO51" s="510">
        <v>0</v>
      </c>
      <c r="BP51" s="511">
        <v>0</v>
      </c>
      <c r="BQ51" s="275">
        <f t="shared" si="53"/>
        <v>0</v>
      </c>
    </row>
    <row r="52" spans="1:70" ht="16" x14ac:dyDescent="0.2">
      <c r="A52" s="818"/>
      <c r="B52" s="821"/>
      <c r="C52" s="24" t="s">
        <v>170</v>
      </c>
      <c r="D52" s="414">
        <f t="shared" si="77"/>
        <v>0</v>
      </c>
      <c r="E52" s="415">
        <f t="shared" si="56"/>
        <v>0</v>
      </c>
      <c r="F52" s="274">
        <f t="shared" si="78"/>
        <v>0</v>
      </c>
      <c r="G52" s="510"/>
      <c r="H52" s="511"/>
      <c r="I52" s="275">
        <f t="shared" si="57"/>
        <v>0</v>
      </c>
      <c r="J52" s="510"/>
      <c r="K52" s="511"/>
      <c r="L52" s="275">
        <f t="shared" si="58"/>
        <v>0</v>
      </c>
      <c r="M52" s="510"/>
      <c r="N52" s="511"/>
      <c r="O52" s="275">
        <f t="shared" si="59"/>
        <v>0</v>
      </c>
      <c r="P52" s="510"/>
      <c r="Q52" s="511"/>
      <c r="R52" s="275">
        <f t="shared" si="60"/>
        <v>0</v>
      </c>
      <c r="S52" s="510"/>
      <c r="T52" s="511"/>
      <c r="U52" s="275">
        <f t="shared" si="61"/>
        <v>0</v>
      </c>
      <c r="V52" s="510">
        <v>0</v>
      </c>
      <c r="W52" s="511">
        <v>0</v>
      </c>
      <c r="X52" s="275">
        <f t="shared" si="62"/>
        <v>0</v>
      </c>
      <c r="Y52" s="510"/>
      <c r="Z52" s="511"/>
      <c r="AA52" s="275">
        <f t="shared" si="63"/>
        <v>0</v>
      </c>
      <c r="AB52" s="510"/>
      <c r="AC52" s="511"/>
      <c r="AD52" s="275">
        <f t="shared" si="64"/>
        <v>0</v>
      </c>
      <c r="AE52" s="510"/>
      <c r="AF52" s="511"/>
      <c r="AG52" s="275">
        <f t="shared" si="65"/>
        <v>0</v>
      </c>
      <c r="AH52" s="510"/>
      <c r="AI52" s="511"/>
      <c r="AJ52" s="275">
        <f t="shared" si="66"/>
        <v>0</v>
      </c>
      <c r="AK52" s="510">
        <v>0</v>
      </c>
      <c r="AL52" s="511">
        <v>0</v>
      </c>
      <c r="AM52" s="275">
        <f t="shared" si="67"/>
        <v>0</v>
      </c>
      <c r="AN52" s="510"/>
      <c r="AO52" s="511"/>
      <c r="AP52" s="275">
        <f t="shared" si="68"/>
        <v>0</v>
      </c>
      <c r="AQ52" s="510"/>
      <c r="AR52" s="511"/>
      <c r="AS52" s="275">
        <f t="shared" si="69"/>
        <v>0</v>
      </c>
      <c r="AT52" s="510"/>
      <c r="AU52" s="511"/>
      <c r="AV52" s="275">
        <f t="shared" si="70"/>
        <v>0</v>
      </c>
      <c r="AW52" s="510"/>
      <c r="AX52" s="511"/>
      <c r="AY52" s="275">
        <f t="shared" si="71"/>
        <v>0</v>
      </c>
      <c r="AZ52" s="510">
        <v>0</v>
      </c>
      <c r="BA52" s="511">
        <v>0</v>
      </c>
      <c r="BB52" s="275">
        <f t="shared" si="72"/>
        <v>0</v>
      </c>
      <c r="BC52" s="510"/>
      <c r="BD52" s="511"/>
      <c r="BE52" s="275">
        <f t="shared" si="73"/>
        <v>0</v>
      </c>
      <c r="BF52" s="510"/>
      <c r="BG52" s="511"/>
      <c r="BH52" s="275">
        <f t="shared" si="74"/>
        <v>0</v>
      </c>
      <c r="BI52" s="510"/>
      <c r="BJ52" s="511"/>
      <c r="BK52" s="275">
        <f t="shared" si="75"/>
        <v>0</v>
      </c>
      <c r="BL52" s="510"/>
      <c r="BM52" s="511"/>
      <c r="BN52" s="275">
        <f t="shared" si="76"/>
        <v>0</v>
      </c>
      <c r="BO52" s="510">
        <v>0</v>
      </c>
      <c r="BP52" s="511">
        <v>0</v>
      </c>
      <c r="BQ52" s="275">
        <f t="shared" si="53"/>
        <v>0</v>
      </c>
    </row>
    <row r="53" spans="1:70" ht="16" x14ac:dyDescent="0.2">
      <c r="A53" s="818"/>
      <c r="B53" s="821"/>
      <c r="C53" s="24" t="s">
        <v>171</v>
      </c>
      <c r="D53" s="414">
        <f t="shared" si="77"/>
        <v>0</v>
      </c>
      <c r="E53" s="415">
        <f t="shared" si="56"/>
        <v>0</v>
      </c>
      <c r="F53" s="274">
        <f t="shared" si="78"/>
        <v>0</v>
      </c>
      <c r="G53" s="510"/>
      <c r="H53" s="511"/>
      <c r="I53" s="275">
        <f t="shared" si="57"/>
        <v>0</v>
      </c>
      <c r="J53" s="510"/>
      <c r="K53" s="511"/>
      <c r="L53" s="275">
        <f t="shared" si="58"/>
        <v>0</v>
      </c>
      <c r="M53" s="510"/>
      <c r="N53" s="511"/>
      <c r="O53" s="275">
        <f t="shared" si="59"/>
        <v>0</v>
      </c>
      <c r="P53" s="510"/>
      <c r="Q53" s="511"/>
      <c r="R53" s="275">
        <f t="shared" si="60"/>
        <v>0</v>
      </c>
      <c r="S53" s="510"/>
      <c r="T53" s="511"/>
      <c r="U53" s="275">
        <f t="shared" si="61"/>
        <v>0</v>
      </c>
      <c r="V53" s="510">
        <v>0</v>
      </c>
      <c r="W53" s="511">
        <v>0</v>
      </c>
      <c r="X53" s="275">
        <f t="shared" si="62"/>
        <v>0</v>
      </c>
      <c r="Y53" s="510"/>
      <c r="Z53" s="511"/>
      <c r="AA53" s="275">
        <f t="shared" si="63"/>
        <v>0</v>
      </c>
      <c r="AB53" s="510"/>
      <c r="AC53" s="511"/>
      <c r="AD53" s="275">
        <f t="shared" si="64"/>
        <v>0</v>
      </c>
      <c r="AE53" s="510"/>
      <c r="AF53" s="511"/>
      <c r="AG53" s="275">
        <f t="shared" si="65"/>
        <v>0</v>
      </c>
      <c r="AH53" s="510"/>
      <c r="AI53" s="511"/>
      <c r="AJ53" s="275">
        <f t="shared" si="66"/>
        <v>0</v>
      </c>
      <c r="AK53" s="510">
        <v>0</v>
      </c>
      <c r="AL53" s="511">
        <v>0</v>
      </c>
      <c r="AM53" s="275">
        <f t="shared" si="67"/>
        <v>0</v>
      </c>
      <c r="AN53" s="510"/>
      <c r="AO53" s="511"/>
      <c r="AP53" s="275">
        <f t="shared" si="68"/>
        <v>0</v>
      </c>
      <c r="AQ53" s="510"/>
      <c r="AR53" s="511"/>
      <c r="AS53" s="275">
        <f t="shared" si="69"/>
        <v>0</v>
      </c>
      <c r="AT53" s="510"/>
      <c r="AU53" s="511"/>
      <c r="AV53" s="275">
        <f t="shared" si="70"/>
        <v>0</v>
      </c>
      <c r="AW53" s="510"/>
      <c r="AX53" s="511"/>
      <c r="AY53" s="275">
        <f t="shared" si="71"/>
        <v>0</v>
      </c>
      <c r="AZ53" s="510">
        <v>0</v>
      </c>
      <c r="BA53" s="511">
        <v>0</v>
      </c>
      <c r="BB53" s="275">
        <f t="shared" si="72"/>
        <v>0</v>
      </c>
      <c r="BC53" s="510"/>
      <c r="BD53" s="511"/>
      <c r="BE53" s="275">
        <f t="shared" si="73"/>
        <v>0</v>
      </c>
      <c r="BF53" s="510"/>
      <c r="BG53" s="511"/>
      <c r="BH53" s="275">
        <f t="shared" si="74"/>
        <v>0</v>
      </c>
      <c r="BI53" s="510"/>
      <c r="BJ53" s="511"/>
      <c r="BK53" s="275">
        <f t="shared" si="75"/>
        <v>0</v>
      </c>
      <c r="BL53" s="510"/>
      <c r="BM53" s="511"/>
      <c r="BN53" s="275">
        <f t="shared" si="76"/>
        <v>0</v>
      </c>
      <c r="BO53" s="510">
        <v>0</v>
      </c>
      <c r="BP53" s="511">
        <v>0</v>
      </c>
      <c r="BQ53" s="275">
        <f t="shared" si="53"/>
        <v>0</v>
      </c>
    </row>
    <row r="54" spans="1:70" ht="17" thickBot="1" x14ac:dyDescent="0.25">
      <c r="A54" s="819"/>
      <c r="B54" s="822"/>
      <c r="C54" s="263" t="s">
        <v>172</v>
      </c>
      <c r="D54" s="416">
        <f t="shared" si="77"/>
        <v>0</v>
      </c>
      <c r="E54" s="417">
        <f t="shared" si="56"/>
        <v>0</v>
      </c>
      <c r="F54" s="278">
        <f t="shared" si="78"/>
        <v>0</v>
      </c>
      <c r="G54" s="512"/>
      <c r="H54" s="513"/>
      <c r="I54" s="279">
        <f>H54-G54</f>
        <v>0</v>
      </c>
      <c r="J54" s="512"/>
      <c r="K54" s="513"/>
      <c r="L54" s="279">
        <f>K54-J54</f>
        <v>0</v>
      </c>
      <c r="M54" s="512"/>
      <c r="N54" s="513"/>
      <c r="O54" s="279">
        <f>N54-M54</f>
        <v>0</v>
      </c>
      <c r="P54" s="512"/>
      <c r="Q54" s="513"/>
      <c r="R54" s="279">
        <f>Q54-P54</f>
        <v>0</v>
      </c>
      <c r="S54" s="512"/>
      <c r="T54" s="513"/>
      <c r="U54" s="279">
        <f>T54-S54</f>
        <v>0</v>
      </c>
      <c r="V54" s="512">
        <v>0</v>
      </c>
      <c r="W54" s="513">
        <v>0</v>
      </c>
      <c r="X54" s="279">
        <f>W54-V54</f>
        <v>0</v>
      </c>
      <c r="Y54" s="512"/>
      <c r="Z54" s="513"/>
      <c r="AA54" s="279">
        <f>Z54-Y54</f>
        <v>0</v>
      </c>
      <c r="AB54" s="512"/>
      <c r="AC54" s="513"/>
      <c r="AD54" s="279">
        <f>AC54-AB54</f>
        <v>0</v>
      </c>
      <c r="AE54" s="512"/>
      <c r="AF54" s="513"/>
      <c r="AG54" s="279">
        <f>AF54-AE54</f>
        <v>0</v>
      </c>
      <c r="AH54" s="512"/>
      <c r="AI54" s="513"/>
      <c r="AJ54" s="279">
        <f>AI54-AH54</f>
        <v>0</v>
      </c>
      <c r="AK54" s="512">
        <v>0</v>
      </c>
      <c r="AL54" s="513">
        <v>0</v>
      </c>
      <c r="AM54" s="279">
        <f>AL54-AK54</f>
        <v>0</v>
      </c>
      <c r="AN54" s="512"/>
      <c r="AO54" s="513"/>
      <c r="AP54" s="279">
        <f>AO54-AN54</f>
        <v>0</v>
      </c>
      <c r="AQ54" s="512"/>
      <c r="AR54" s="513"/>
      <c r="AS54" s="279">
        <f>AR54-AQ54</f>
        <v>0</v>
      </c>
      <c r="AT54" s="512"/>
      <c r="AU54" s="513"/>
      <c r="AV54" s="279">
        <f>AU54-AT54</f>
        <v>0</v>
      </c>
      <c r="AW54" s="512"/>
      <c r="AX54" s="513"/>
      <c r="AY54" s="279">
        <f>AX54-AW54</f>
        <v>0</v>
      </c>
      <c r="AZ54" s="512">
        <v>0</v>
      </c>
      <c r="BA54" s="513">
        <v>0</v>
      </c>
      <c r="BB54" s="279">
        <f>BA54-AZ54</f>
        <v>0</v>
      </c>
      <c r="BC54" s="512"/>
      <c r="BD54" s="513"/>
      <c r="BE54" s="279">
        <f>BD54-BC54</f>
        <v>0</v>
      </c>
      <c r="BF54" s="512"/>
      <c r="BG54" s="513"/>
      <c r="BH54" s="279">
        <f>BG54-BF54</f>
        <v>0</v>
      </c>
      <c r="BI54" s="512"/>
      <c r="BJ54" s="513"/>
      <c r="BK54" s="279">
        <f>BJ54-BI54</f>
        <v>0</v>
      </c>
      <c r="BL54" s="512"/>
      <c r="BM54" s="513"/>
      <c r="BN54" s="279">
        <f>BM54-BL54</f>
        <v>0</v>
      </c>
      <c r="BO54" s="512">
        <v>0</v>
      </c>
      <c r="BP54" s="513">
        <v>0</v>
      </c>
      <c r="BQ54" s="279">
        <f>BP54-BO54</f>
        <v>0</v>
      </c>
    </row>
    <row r="55" spans="1:70" s="281" customFormat="1" ht="14.25" customHeight="1" x14ac:dyDescent="0.2">
      <c r="A55" s="818" t="s">
        <v>115</v>
      </c>
      <c r="B55" s="821" t="s">
        <v>211</v>
      </c>
      <c r="C55" s="24" t="s">
        <v>163</v>
      </c>
      <c r="D55" s="252">
        <f t="shared" si="77"/>
        <v>0</v>
      </c>
      <c r="E55" s="253">
        <f t="shared" si="56"/>
        <v>0</v>
      </c>
      <c r="F55" s="254">
        <f t="shared" ref="F55:F64" si="79">SUM(I55,L55,O55,R55,U55,X55,AA55,AD55,AG55,AJ55,AM55,AP55,AS55,AV55,AY55,BB55,BB55,BE55,BH55,BK55,BN55,BQ55)</f>
        <v>0</v>
      </c>
      <c r="G55" s="502"/>
      <c r="H55" s="503"/>
      <c r="I55" s="257">
        <f t="shared" ref="I55:I64" si="80">H55-G55</f>
        <v>0</v>
      </c>
      <c r="J55" s="502"/>
      <c r="K55" s="503"/>
      <c r="L55" s="257">
        <f t="shared" ref="L55:L64" si="81">K55-J55</f>
        <v>0</v>
      </c>
      <c r="M55" s="502"/>
      <c r="N55" s="503"/>
      <c r="O55" s="257">
        <f t="shared" ref="O55:O64" si="82">N55-M55</f>
        <v>0</v>
      </c>
      <c r="P55" s="502"/>
      <c r="Q55" s="503"/>
      <c r="R55" s="257">
        <f t="shared" ref="R55:R64" si="83">Q55-P55</f>
        <v>0</v>
      </c>
      <c r="S55" s="502"/>
      <c r="T55" s="503"/>
      <c r="U55" s="257">
        <f t="shared" ref="U55:U64" si="84">T55-S55</f>
        <v>0</v>
      </c>
      <c r="V55" s="502"/>
      <c r="W55" s="503"/>
      <c r="X55" s="257">
        <f t="shared" ref="X55:X64" si="85">W55-V55</f>
        <v>0</v>
      </c>
      <c r="Y55" s="502"/>
      <c r="Z55" s="503"/>
      <c r="AA55" s="257">
        <f t="shared" ref="AA55:AA64" si="86">Z55-Y55</f>
        <v>0</v>
      </c>
      <c r="AB55" s="502"/>
      <c r="AC55" s="503"/>
      <c r="AD55" s="257">
        <f t="shared" ref="AD55:AD64" si="87">AC55-AB55</f>
        <v>0</v>
      </c>
      <c r="AE55" s="502"/>
      <c r="AF55" s="503"/>
      <c r="AG55" s="257">
        <f t="shared" ref="AG55:AG64" si="88">AF55-AE55</f>
        <v>0</v>
      </c>
      <c r="AH55" s="502"/>
      <c r="AI55" s="503"/>
      <c r="AJ55" s="257">
        <f t="shared" ref="AJ55:AJ64" si="89">AI55-AH55</f>
        <v>0</v>
      </c>
      <c r="AK55" s="502"/>
      <c r="AL55" s="503"/>
      <c r="AM55" s="257">
        <f t="shared" ref="AM55:AM64" si="90">AL55-AK55</f>
        <v>0</v>
      </c>
      <c r="AN55" s="502"/>
      <c r="AO55" s="503"/>
      <c r="AP55" s="257">
        <f t="shared" ref="AP55:AP64" si="91">AO55-AN55</f>
        <v>0</v>
      </c>
      <c r="AQ55" s="502"/>
      <c r="AR55" s="503"/>
      <c r="AS55" s="257">
        <f t="shared" ref="AS55:AS64" si="92">AR55-AQ55</f>
        <v>0</v>
      </c>
      <c r="AT55" s="502"/>
      <c r="AU55" s="503"/>
      <c r="AV55" s="257">
        <f t="shared" ref="AV55:AV64" si="93">AU55-AT55</f>
        <v>0</v>
      </c>
      <c r="AW55" s="502"/>
      <c r="AX55" s="503"/>
      <c r="AY55" s="257">
        <f t="shared" ref="AY55:AY64" si="94">AX55-AW55</f>
        <v>0</v>
      </c>
      <c r="AZ55" s="502"/>
      <c r="BA55" s="503"/>
      <c r="BB55" s="257">
        <f t="shared" ref="BB55:BB64" si="95">BA55-AZ55</f>
        <v>0</v>
      </c>
      <c r="BC55" s="502"/>
      <c r="BD55" s="503"/>
      <c r="BE55" s="257">
        <f t="shared" ref="BE55:BE64" si="96">BD55-BC55</f>
        <v>0</v>
      </c>
      <c r="BF55" s="502"/>
      <c r="BG55" s="503"/>
      <c r="BH55" s="257">
        <f t="shared" ref="BH55:BH64" si="97">BG55-BF55</f>
        <v>0</v>
      </c>
      <c r="BI55" s="502"/>
      <c r="BJ55" s="503"/>
      <c r="BK55" s="257">
        <f t="shared" ref="BK55:BK64" si="98">BJ55-BI55</f>
        <v>0</v>
      </c>
      <c r="BL55" s="502"/>
      <c r="BM55" s="503"/>
      <c r="BN55" s="257">
        <f t="shared" ref="BN55:BN64" si="99">BM55-BL55</f>
        <v>0</v>
      </c>
      <c r="BO55" s="502"/>
      <c r="BP55" s="503"/>
      <c r="BQ55" s="257">
        <f t="shared" ref="BQ55:BQ64" si="100">BP55-BO55</f>
        <v>0</v>
      </c>
      <c r="BR55" s="280"/>
    </row>
    <row r="56" spans="1:70" ht="16" x14ac:dyDescent="0.2">
      <c r="A56" s="818"/>
      <c r="B56" s="821"/>
      <c r="C56" s="24" t="s">
        <v>164</v>
      </c>
      <c r="D56" s="259">
        <f t="shared" si="77"/>
        <v>0</v>
      </c>
      <c r="E56" s="260">
        <f t="shared" si="56"/>
        <v>0</v>
      </c>
      <c r="F56" s="261">
        <f t="shared" si="79"/>
        <v>0</v>
      </c>
      <c r="G56" s="504"/>
      <c r="H56" s="505"/>
      <c r="I56" s="262">
        <f t="shared" si="80"/>
        <v>0</v>
      </c>
      <c r="J56" s="504"/>
      <c r="K56" s="505"/>
      <c r="L56" s="262">
        <f t="shared" si="81"/>
        <v>0</v>
      </c>
      <c r="M56" s="504"/>
      <c r="N56" s="505"/>
      <c r="O56" s="262">
        <f t="shared" si="82"/>
        <v>0</v>
      </c>
      <c r="P56" s="504"/>
      <c r="Q56" s="505"/>
      <c r="R56" s="262">
        <f t="shared" si="83"/>
        <v>0</v>
      </c>
      <c r="S56" s="504"/>
      <c r="T56" s="505"/>
      <c r="U56" s="262">
        <f t="shared" si="84"/>
        <v>0</v>
      </c>
      <c r="V56" s="504"/>
      <c r="W56" s="505"/>
      <c r="X56" s="262">
        <f t="shared" si="85"/>
        <v>0</v>
      </c>
      <c r="Y56" s="504"/>
      <c r="Z56" s="505"/>
      <c r="AA56" s="262">
        <f t="shared" si="86"/>
        <v>0</v>
      </c>
      <c r="AB56" s="504"/>
      <c r="AC56" s="505"/>
      <c r="AD56" s="262">
        <f t="shared" si="87"/>
        <v>0</v>
      </c>
      <c r="AE56" s="504"/>
      <c r="AF56" s="505"/>
      <c r="AG56" s="262">
        <f t="shared" si="88"/>
        <v>0</v>
      </c>
      <c r="AH56" s="504"/>
      <c r="AI56" s="505"/>
      <c r="AJ56" s="262">
        <f t="shared" si="89"/>
        <v>0</v>
      </c>
      <c r="AK56" s="504"/>
      <c r="AL56" s="505"/>
      <c r="AM56" s="262">
        <f t="shared" si="90"/>
        <v>0</v>
      </c>
      <c r="AN56" s="504"/>
      <c r="AO56" s="505"/>
      <c r="AP56" s="262">
        <f t="shared" si="91"/>
        <v>0</v>
      </c>
      <c r="AQ56" s="504"/>
      <c r="AR56" s="505"/>
      <c r="AS56" s="262">
        <f t="shared" si="92"/>
        <v>0</v>
      </c>
      <c r="AT56" s="504"/>
      <c r="AU56" s="505"/>
      <c r="AV56" s="262">
        <f t="shared" si="93"/>
        <v>0</v>
      </c>
      <c r="AW56" s="504"/>
      <c r="AX56" s="505"/>
      <c r="AY56" s="262">
        <f t="shared" si="94"/>
        <v>0</v>
      </c>
      <c r="AZ56" s="504"/>
      <c r="BA56" s="505"/>
      <c r="BB56" s="262">
        <f t="shared" si="95"/>
        <v>0</v>
      </c>
      <c r="BC56" s="504"/>
      <c r="BD56" s="505"/>
      <c r="BE56" s="262">
        <f t="shared" si="96"/>
        <v>0</v>
      </c>
      <c r="BF56" s="504"/>
      <c r="BG56" s="505"/>
      <c r="BH56" s="262">
        <f t="shared" si="97"/>
        <v>0</v>
      </c>
      <c r="BI56" s="504"/>
      <c r="BJ56" s="505"/>
      <c r="BK56" s="262">
        <f t="shared" si="98"/>
        <v>0</v>
      </c>
      <c r="BL56" s="504"/>
      <c r="BM56" s="505"/>
      <c r="BN56" s="262">
        <f t="shared" si="99"/>
        <v>0</v>
      </c>
      <c r="BO56" s="504"/>
      <c r="BP56" s="505"/>
      <c r="BQ56" s="262">
        <f t="shared" si="100"/>
        <v>0</v>
      </c>
    </row>
    <row r="57" spans="1:70" ht="16" x14ac:dyDescent="0.2">
      <c r="A57" s="818"/>
      <c r="B57" s="821"/>
      <c r="C57" s="24" t="s">
        <v>165</v>
      </c>
      <c r="D57" s="259">
        <f t="shared" si="77"/>
        <v>0</v>
      </c>
      <c r="E57" s="260">
        <f t="shared" si="56"/>
        <v>0</v>
      </c>
      <c r="F57" s="261">
        <f t="shared" si="79"/>
        <v>0</v>
      </c>
      <c r="G57" s="504"/>
      <c r="H57" s="505"/>
      <c r="I57" s="262">
        <f t="shared" si="80"/>
        <v>0</v>
      </c>
      <c r="J57" s="504"/>
      <c r="K57" s="505"/>
      <c r="L57" s="262">
        <f t="shared" si="81"/>
        <v>0</v>
      </c>
      <c r="M57" s="504"/>
      <c r="N57" s="505"/>
      <c r="O57" s="262">
        <f t="shared" si="82"/>
        <v>0</v>
      </c>
      <c r="P57" s="504"/>
      <c r="Q57" s="505"/>
      <c r="R57" s="262">
        <f t="shared" si="83"/>
        <v>0</v>
      </c>
      <c r="S57" s="504"/>
      <c r="T57" s="505"/>
      <c r="U57" s="262">
        <f t="shared" si="84"/>
        <v>0</v>
      </c>
      <c r="V57" s="504"/>
      <c r="W57" s="505"/>
      <c r="X57" s="262">
        <f t="shared" si="85"/>
        <v>0</v>
      </c>
      <c r="Y57" s="504"/>
      <c r="Z57" s="505"/>
      <c r="AA57" s="262">
        <f t="shared" si="86"/>
        <v>0</v>
      </c>
      <c r="AB57" s="504"/>
      <c r="AC57" s="505"/>
      <c r="AD57" s="262">
        <f t="shared" si="87"/>
        <v>0</v>
      </c>
      <c r="AE57" s="504"/>
      <c r="AF57" s="505"/>
      <c r="AG57" s="262">
        <f t="shared" si="88"/>
        <v>0</v>
      </c>
      <c r="AH57" s="504"/>
      <c r="AI57" s="505"/>
      <c r="AJ57" s="262">
        <f t="shared" si="89"/>
        <v>0</v>
      </c>
      <c r="AK57" s="504"/>
      <c r="AL57" s="505"/>
      <c r="AM57" s="262">
        <f t="shared" si="90"/>
        <v>0</v>
      </c>
      <c r="AN57" s="504"/>
      <c r="AO57" s="505"/>
      <c r="AP57" s="262">
        <f t="shared" si="91"/>
        <v>0</v>
      </c>
      <c r="AQ57" s="504"/>
      <c r="AR57" s="505"/>
      <c r="AS57" s="262">
        <f t="shared" si="92"/>
        <v>0</v>
      </c>
      <c r="AT57" s="504"/>
      <c r="AU57" s="505"/>
      <c r="AV57" s="262">
        <f t="shared" si="93"/>
        <v>0</v>
      </c>
      <c r="AW57" s="504"/>
      <c r="AX57" s="505"/>
      <c r="AY57" s="262">
        <f t="shared" si="94"/>
        <v>0</v>
      </c>
      <c r="AZ57" s="504"/>
      <c r="BA57" s="505"/>
      <c r="BB57" s="262">
        <f t="shared" si="95"/>
        <v>0</v>
      </c>
      <c r="BC57" s="504"/>
      <c r="BD57" s="505"/>
      <c r="BE57" s="262">
        <f t="shared" si="96"/>
        <v>0</v>
      </c>
      <c r="BF57" s="504"/>
      <c r="BG57" s="505"/>
      <c r="BH57" s="262">
        <f t="shared" si="97"/>
        <v>0</v>
      </c>
      <c r="BI57" s="504"/>
      <c r="BJ57" s="505"/>
      <c r="BK57" s="262">
        <f t="shared" si="98"/>
        <v>0</v>
      </c>
      <c r="BL57" s="504"/>
      <c r="BM57" s="505"/>
      <c r="BN57" s="262">
        <f t="shared" si="99"/>
        <v>0</v>
      </c>
      <c r="BO57" s="504"/>
      <c r="BP57" s="505"/>
      <c r="BQ57" s="262">
        <f t="shared" si="100"/>
        <v>0</v>
      </c>
    </row>
    <row r="58" spans="1:70" ht="16" x14ac:dyDescent="0.2">
      <c r="A58" s="818"/>
      <c r="B58" s="821"/>
      <c r="C58" s="24" t="s">
        <v>166</v>
      </c>
      <c r="D58" s="259">
        <f t="shared" si="77"/>
        <v>0</v>
      </c>
      <c r="E58" s="260">
        <f t="shared" si="56"/>
        <v>0</v>
      </c>
      <c r="F58" s="261">
        <f t="shared" si="79"/>
        <v>0</v>
      </c>
      <c r="G58" s="504"/>
      <c r="H58" s="505"/>
      <c r="I58" s="262">
        <f t="shared" si="80"/>
        <v>0</v>
      </c>
      <c r="J58" s="504"/>
      <c r="K58" s="505"/>
      <c r="L58" s="262">
        <f t="shared" si="81"/>
        <v>0</v>
      </c>
      <c r="M58" s="504"/>
      <c r="N58" s="505"/>
      <c r="O58" s="262">
        <f t="shared" si="82"/>
        <v>0</v>
      </c>
      <c r="P58" s="504"/>
      <c r="Q58" s="505"/>
      <c r="R58" s="262">
        <f t="shared" si="83"/>
        <v>0</v>
      </c>
      <c r="S58" s="504"/>
      <c r="T58" s="505"/>
      <c r="U58" s="262">
        <f t="shared" si="84"/>
        <v>0</v>
      </c>
      <c r="V58" s="504"/>
      <c r="W58" s="505"/>
      <c r="X58" s="262">
        <f t="shared" si="85"/>
        <v>0</v>
      </c>
      <c r="Y58" s="504"/>
      <c r="Z58" s="505"/>
      <c r="AA58" s="262">
        <f t="shared" si="86"/>
        <v>0</v>
      </c>
      <c r="AB58" s="504"/>
      <c r="AC58" s="505"/>
      <c r="AD58" s="262">
        <f t="shared" si="87"/>
        <v>0</v>
      </c>
      <c r="AE58" s="504"/>
      <c r="AF58" s="505"/>
      <c r="AG58" s="262">
        <f t="shared" si="88"/>
        <v>0</v>
      </c>
      <c r="AH58" s="504"/>
      <c r="AI58" s="505"/>
      <c r="AJ58" s="262">
        <f t="shared" si="89"/>
        <v>0</v>
      </c>
      <c r="AK58" s="504"/>
      <c r="AL58" s="505"/>
      <c r="AM58" s="262">
        <f t="shared" si="90"/>
        <v>0</v>
      </c>
      <c r="AN58" s="504"/>
      <c r="AO58" s="505"/>
      <c r="AP58" s="262">
        <f t="shared" si="91"/>
        <v>0</v>
      </c>
      <c r="AQ58" s="504"/>
      <c r="AR58" s="505"/>
      <c r="AS58" s="262">
        <f t="shared" si="92"/>
        <v>0</v>
      </c>
      <c r="AT58" s="504"/>
      <c r="AU58" s="505"/>
      <c r="AV58" s="262">
        <f t="shared" si="93"/>
        <v>0</v>
      </c>
      <c r="AW58" s="504"/>
      <c r="AX58" s="505"/>
      <c r="AY58" s="262">
        <f t="shared" si="94"/>
        <v>0</v>
      </c>
      <c r="AZ58" s="504"/>
      <c r="BA58" s="505"/>
      <c r="BB58" s="262">
        <f t="shared" si="95"/>
        <v>0</v>
      </c>
      <c r="BC58" s="504"/>
      <c r="BD58" s="505"/>
      <c r="BE58" s="262">
        <f t="shared" si="96"/>
        <v>0</v>
      </c>
      <c r="BF58" s="504"/>
      <c r="BG58" s="505"/>
      <c r="BH58" s="262">
        <f t="shared" si="97"/>
        <v>0</v>
      </c>
      <c r="BI58" s="504"/>
      <c r="BJ58" s="505"/>
      <c r="BK58" s="262">
        <f t="shared" si="98"/>
        <v>0</v>
      </c>
      <c r="BL58" s="504"/>
      <c r="BM58" s="505"/>
      <c r="BN58" s="262">
        <f t="shared" si="99"/>
        <v>0</v>
      </c>
      <c r="BO58" s="504"/>
      <c r="BP58" s="505"/>
      <c r="BQ58" s="262">
        <f t="shared" si="100"/>
        <v>0</v>
      </c>
    </row>
    <row r="59" spans="1:70" ht="16" x14ac:dyDescent="0.2">
      <c r="A59" s="818"/>
      <c r="B59" s="821"/>
      <c r="C59" s="24" t="s">
        <v>167</v>
      </c>
      <c r="D59" s="259">
        <f t="shared" si="77"/>
        <v>0</v>
      </c>
      <c r="E59" s="260">
        <f t="shared" si="56"/>
        <v>0</v>
      </c>
      <c r="F59" s="261">
        <f t="shared" si="79"/>
        <v>0</v>
      </c>
      <c r="G59" s="504"/>
      <c r="H59" s="505"/>
      <c r="I59" s="262">
        <f t="shared" si="80"/>
        <v>0</v>
      </c>
      <c r="J59" s="504"/>
      <c r="K59" s="505"/>
      <c r="L59" s="262">
        <f t="shared" si="81"/>
        <v>0</v>
      </c>
      <c r="M59" s="504"/>
      <c r="N59" s="505"/>
      <c r="O59" s="262">
        <f t="shared" si="82"/>
        <v>0</v>
      </c>
      <c r="P59" s="504"/>
      <c r="Q59" s="505"/>
      <c r="R59" s="262">
        <f t="shared" si="83"/>
        <v>0</v>
      </c>
      <c r="S59" s="504"/>
      <c r="T59" s="505"/>
      <c r="U59" s="262">
        <f t="shared" si="84"/>
        <v>0</v>
      </c>
      <c r="V59" s="504"/>
      <c r="W59" s="505"/>
      <c r="X59" s="262">
        <f t="shared" si="85"/>
        <v>0</v>
      </c>
      <c r="Y59" s="504"/>
      <c r="Z59" s="505"/>
      <c r="AA59" s="262">
        <f t="shared" si="86"/>
        <v>0</v>
      </c>
      <c r="AB59" s="504"/>
      <c r="AC59" s="505"/>
      <c r="AD59" s="262">
        <f t="shared" si="87"/>
        <v>0</v>
      </c>
      <c r="AE59" s="504"/>
      <c r="AF59" s="505"/>
      <c r="AG59" s="262">
        <f t="shared" si="88"/>
        <v>0</v>
      </c>
      <c r="AH59" s="504"/>
      <c r="AI59" s="505"/>
      <c r="AJ59" s="262">
        <f t="shared" si="89"/>
        <v>0</v>
      </c>
      <c r="AK59" s="504"/>
      <c r="AL59" s="505"/>
      <c r="AM59" s="262">
        <f t="shared" si="90"/>
        <v>0</v>
      </c>
      <c r="AN59" s="504"/>
      <c r="AO59" s="505"/>
      <c r="AP59" s="262">
        <f t="shared" si="91"/>
        <v>0</v>
      </c>
      <c r="AQ59" s="504"/>
      <c r="AR59" s="505"/>
      <c r="AS59" s="262">
        <f t="shared" si="92"/>
        <v>0</v>
      </c>
      <c r="AT59" s="504"/>
      <c r="AU59" s="505"/>
      <c r="AV59" s="262">
        <f t="shared" si="93"/>
        <v>0</v>
      </c>
      <c r="AW59" s="504"/>
      <c r="AX59" s="505"/>
      <c r="AY59" s="262">
        <f t="shared" si="94"/>
        <v>0</v>
      </c>
      <c r="AZ59" s="504"/>
      <c r="BA59" s="505"/>
      <c r="BB59" s="262">
        <f t="shared" si="95"/>
        <v>0</v>
      </c>
      <c r="BC59" s="504"/>
      <c r="BD59" s="505"/>
      <c r="BE59" s="262">
        <f t="shared" si="96"/>
        <v>0</v>
      </c>
      <c r="BF59" s="504"/>
      <c r="BG59" s="505"/>
      <c r="BH59" s="262">
        <f t="shared" si="97"/>
        <v>0</v>
      </c>
      <c r="BI59" s="504"/>
      <c r="BJ59" s="505"/>
      <c r="BK59" s="262">
        <f t="shared" si="98"/>
        <v>0</v>
      </c>
      <c r="BL59" s="504"/>
      <c r="BM59" s="505"/>
      <c r="BN59" s="262">
        <f t="shared" si="99"/>
        <v>0</v>
      </c>
      <c r="BO59" s="504"/>
      <c r="BP59" s="505"/>
      <c r="BQ59" s="262">
        <f t="shared" si="100"/>
        <v>0</v>
      </c>
    </row>
    <row r="60" spans="1:70" ht="16" x14ac:dyDescent="0.2">
      <c r="A60" s="818"/>
      <c r="B60" s="821"/>
      <c r="C60" s="24" t="s">
        <v>168</v>
      </c>
      <c r="D60" s="259">
        <f t="shared" si="77"/>
        <v>0</v>
      </c>
      <c r="E60" s="260">
        <f t="shared" si="56"/>
        <v>0</v>
      </c>
      <c r="F60" s="261">
        <f t="shared" si="79"/>
        <v>0</v>
      </c>
      <c r="G60" s="504"/>
      <c r="H60" s="505"/>
      <c r="I60" s="262">
        <f t="shared" si="80"/>
        <v>0</v>
      </c>
      <c r="J60" s="504"/>
      <c r="K60" s="505"/>
      <c r="L60" s="262">
        <f t="shared" si="81"/>
        <v>0</v>
      </c>
      <c r="M60" s="504"/>
      <c r="N60" s="505"/>
      <c r="O60" s="262">
        <f t="shared" si="82"/>
        <v>0</v>
      </c>
      <c r="P60" s="504"/>
      <c r="Q60" s="505"/>
      <c r="R60" s="262">
        <f t="shared" si="83"/>
        <v>0</v>
      </c>
      <c r="S60" s="504"/>
      <c r="T60" s="505"/>
      <c r="U60" s="262">
        <f t="shared" si="84"/>
        <v>0</v>
      </c>
      <c r="V60" s="504"/>
      <c r="W60" s="505"/>
      <c r="X60" s="262">
        <f t="shared" si="85"/>
        <v>0</v>
      </c>
      <c r="Y60" s="504"/>
      <c r="Z60" s="505"/>
      <c r="AA60" s="262">
        <f t="shared" si="86"/>
        <v>0</v>
      </c>
      <c r="AB60" s="504"/>
      <c r="AC60" s="505"/>
      <c r="AD60" s="262">
        <f t="shared" si="87"/>
        <v>0</v>
      </c>
      <c r="AE60" s="504"/>
      <c r="AF60" s="505"/>
      <c r="AG60" s="262">
        <f t="shared" si="88"/>
        <v>0</v>
      </c>
      <c r="AH60" s="504"/>
      <c r="AI60" s="505"/>
      <c r="AJ60" s="262">
        <f t="shared" si="89"/>
        <v>0</v>
      </c>
      <c r="AK60" s="504"/>
      <c r="AL60" s="505"/>
      <c r="AM60" s="262">
        <f t="shared" si="90"/>
        <v>0</v>
      </c>
      <c r="AN60" s="504"/>
      <c r="AO60" s="505"/>
      <c r="AP60" s="262">
        <f t="shared" si="91"/>
        <v>0</v>
      </c>
      <c r="AQ60" s="504"/>
      <c r="AR60" s="505"/>
      <c r="AS60" s="262">
        <f t="shared" si="92"/>
        <v>0</v>
      </c>
      <c r="AT60" s="504"/>
      <c r="AU60" s="505"/>
      <c r="AV60" s="262">
        <f t="shared" si="93"/>
        <v>0</v>
      </c>
      <c r="AW60" s="504"/>
      <c r="AX60" s="505"/>
      <c r="AY60" s="262">
        <f t="shared" si="94"/>
        <v>0</v>
      </c>
      <c r="AZ60" s="504"/>
      <c r="BA60" s="505"/>
      <c r="BB60" s="262">
        <f t="shared" si="95"/>
        <v>0</v>
      </c>
      <c r="BC60" s="504"/>
      <c r="BD60" s="505"/>
      <c r="BE60" s="262">
        <f t="shared" si="96"/>
        <v>0</v>
      </c>
      <c r="BF60" s="504"/>
      <c r="BG60" s="505"/>
      <c r="BH60" s="262">
        <f t="shared" si="97"/>
        <v>0</v>
      </c>
      <c r="BI60" s="504"/>
      <c r="BJ60" s="505"/>
      <c r="BK60" s="262">
        <f t="shared" si="98"/>
        <v>0</v>
      </c>
      <c r="BL60" s="504"/>
      <c r="BM60" s="505"/>
      <c r="BN60" s="262">
        <f t="shared" si="99"/>
        <v>0</v>
      </c>
      <c r="BO60" s="504"/>
      <c r="BP60" s="505"/>
      <c r="BQ60" s="262">
        <f t="shared" si="100"/>
        <v>0</v>
      </c>
    </row>
    <row r="61" spans="1:70" ht="16" x14ac:dyDescent="0.2">
      <c r="A61" s="818"/>
      <c r="B61" s="821"/>
      <c r="C61" s="24" t="s">
        <v>169</v>
      </c>
      <c r="D61" s="259">
        <f t="shared" si="77"/>
        <v>0</v>
      </c>
      <c r="E61" s="260">
        <f t="shared" si="56"/>
        <v>0</v>
      </c>
      <c r="F61" s="261">
        <f t="shared" si="79"/>
        <v>0</v>
      </c>
      <c r="G61" s="504"/>
      <c r="H61" s="505"/>
      <c r="I61" s="262">
        <f t="shared" si="80"/>
        <v>0</v>
      </c>
      <c r="J61" s="504"/>
      <c r="K61" s="505"/>
      <c r="L61" s="262">
        <f t="shared" si="81"/>
        <v>0</v>
      </c>
      <c r="M61" s="504"/>
      <c r="N61" s="505"/>
      <c r="O61" s="262">
        <f t="shared" si="82"/>
        <v>0</v>
      </c>
      <c r="P61" s="504"/>
      <c r="Q61" s="505"/>
      <c r="R61" s="262">
        <f t="shared" si="83"/>
        <v>0</v>
      </c>
      <c r="S61" s="504"/>
      <c r="T61" s="505"/>
      <c r="U61" s="262">
        <f t="shared" si="84"/>
        <v>0</v>
      </c>
      <c r="V61" s="504"/>
      <c r="W61" s="505"/>
      <c r="X61" s="262">
        <f t="shared" si="85"/>
        <v>0</v>
      </c>
      <c r="Y61" s="504"/>
      <c r="Z61" s="505"/>
      <c r="AA61" s="262">
        <f t="shared" si="86"/>
        <v>0</v>
      </c>
      <c r="AB61" s="504"/>
      <c r="AC61" s="505"/>
      <c r="AD61" s="262">
        <f t="shared" si="87"/>
        <v>0</v>
      </c>
      <c r="AE61" s="504"/>
      <c r="AF61" s="505"/>
      <c r="AG61" s="262">
        <f t="shared" si="88"/>
        <v>0</v>
      </c>
      <c r="AH61" s="504"/>
      <c r="AI61" s="505"/>
      <c r="AJ61" s="262">
        <f t="shared" si="89"/>
        <v>0</v>
      </c>
      <c r="AK61" s="504"/>
      <c r="AL61" s="505"/>
      <c r="AM61" s="262">
        <f t="shared" si="90"/>
        <v>0</v>
      </c>
      <c r="AN61" s="504"/>
      <c r="AO61" s="505"/>
      <c r="AP61" s="262">
        <f t="shared" si="91"/>
        <v>0</v>
      </c>
      <c r="AQ61" s="504"/>
      <c r="AR61" s="505"/>
      <c r="AS61" s="262">
        <f t="shared" si="92"/>
        <v>0</v>
      </c>
      <c r="AT61" s="504"/>
      <c r="AU61" s="505"/>
      <c r="AV61" s="262">
        <f t="shared" si="93"/>
        <v>0</v>
      </c>
      <c r="AW61" s="504"/>
      <c r="AX61" s="505"/>
      <c r="AY61" s="262">
        <f t="shared" si="94"/>
        <v>0</v>
      </c>
      <c r="AZ61" s="504"/>
      <c r="BA61" s="505"/>
      <c r="BB61" s="262">
        <f t="shared" si="95"/>
        <v>0</v>
      </c>
      <c r="BC61" s="504"/>
      <c r="BD61" s="505"/>
      <c r="BE61" s="262">
        <f t="shared" si="96"/>
        <v>0</v>
      </c>
      <c r="BF61" s="504"/>
      <c r="BG61" s="505"/>
      <c r="BH61" s="262">
        <f t="shared" si="97"/>
        <v>0</v>
      </c>
      <c r="BI61" s="504"/>
      <c r="BJ61" s="505"/>
      <c r="BK61" s="262">
        <f t="shared" si="98"/>
        <v>0</v>
      </c>
      <c r="BL61" s="504"/>
      <c r="BM61" s="505"/>
      <c r="BN61" s="262">
        <f t="shared" si="99"/>
        <v>0</v>
      </c>
      <c r="BO61" s="504"/>
      <c r="BP61" s="505"/>
      <c r="BQ61" s="262">
        <f t="shared" si="100"/>
        <v>0</v>
      </c>
    </row>
    <row r="62" spans="1:70" ht="16" x14ac:dyDescent="0.2">
      <c r="A62" s="818"/>
      <c r="B62" s="821"/>
      <c r="C62" s="24" t="s">
        <v>170</v>
      </c>
      <c r="D62" s="259">
        <f t="shared" ref="D62:D64" si="101">SUM(G62,J62,M62,P62,S62,V62,Y62,AB62,AE62,AH62,AK62,AN62,AQ62,AT62,AW62,AZ62,AZ62,BC62,BF62,BI62,BL62,BO62)</f>
        <v>0</v>
      </c>
      <c r="E62" s="260">
        <f t="shared" si="56"/>
        <v>0</v>
      </c>
      <c r="F62" s="261">
        <f t="shared" si="79"/>
        <v>0</v>
      </c>
      <c r="G62" s="504"/>
      <c r="H62" s="505"/>
      <c r="I62" s="262">
        <f t="shared" si="80"/>
        <v>0</v>
      </c>
      <c r="J62" s="504"/>
      <c r="K62" s="505"/>
      <c r="L62" s="262">
        <f t="shared" si="81"/>
        <v>0</v>
      </c>
      <c r="M62" s="504"/>
      <c r="N62" s="505"/>
      <c r="O62" s="262">
        <f t="shared" si="82"/>
        <v>0</v>
      </c>
      <c r="P62" s="504"/>
      <c r="Q62" s="505"/>
      <c r="R62" s="262">
        <f t="shared" si="83"/>
        <v>0</v>
      </c>
      <c r="S62" s="504"/>
      <c r="T62" s="505"/>
      <c r="U62" s="262">
        <f t="shared" si="84"/>
        <v>0</v>
      </c>
      <c r="V62" s="504"/>
      <c r="W62" s="505"/>
      <c r="X62" s="262">
        <f t="shared" si="85"/>
        <v>0</v>
      </c>
      <c r="Y62" s="504"/>
      <c r="Z62" s="505"/>
      <c r="AA62" s="262">
        <f t="shared" si="86"/>
        <v>0</v>
      </c>
      <c r="AB62" s="504"/>
      <c r="AC62" s="505"/>
      <c r="AD62" s="262">
        <f t="shared" si="87"/>
        <v>0</v>
      </c>
      <c r="AE62" s="504"/>
      <c r="AF62" s="505"/>
      <c r="AG62" s="262">
        <f t="shared" si="88"/>
        <v>0</v>
      </c>
      <c r="AH62" s="504"/>
      <c r="AI62" s="505"/>
      <c r="AJ62" s="262">
        <f t="shared" si="89"/>
        <v>0</v>
      </c>
      <c r="AK62" s="504"/>
      <c r="AL62" s="505"/>
      <c r="AM62" s="262">
        <f t="shared" si="90"/>
        <v>0</v>
      </c>
      <c r="AN62" s="504"/>
      <c r="AO62" s="505"/>
      <c r="AP62" s="262">
        <f t="shared" si="91"/>
        <v>0</v>
      </c>
      <c r="AQ62" s="504"/>
      <c r="AR62" s="505"/>
      <c r="AS62" s="262">
        <f t="shared" si="92"/>
        <v>0</v>
      </c>
      <c r="AT62" s="504"/>
      <c r="AU62" s="505"/>
      <c r="AV62" s="262">
        <f t="shared" si="93"/>
        <v>0</v>
      </c>
      <c r="AW62" s="504"/>
      <c r="AX62" s="505"/>
      <c r="AY62" s="262">
        <f t="shared" si="94"/>
        <v>0</v>
      </c>
      <c r="AZ62" s="504"/>
      <c r="BA62" s="505"/>
      <c r="BB62" s="262">
        <f t="shared" si="95"/>
        <v>0</v>
      </c>
      <c r="BC62" s="504"/>
      <c r="BD62" s="505"/>
      <c r="BE62" s="262">
        <f t="shared" si="96"/>
        <v>0</v>
      </c>
      <c r="BF62" s="504"/>
      <c r="BG62" s="505"/>
      <c r="BH62" s="262">
        <f t="shared" si="97"/>
        <v>0</v>
      </c>
      <c r="BI62" s="504"/>
      <c r="BJ62" s="505"/>
      <c r="BK62" s="262">
        <f t="shared" si="98"/>
        <v>0</v>
      </c>
      <c r="BL62" s="504"/>
      <c r="BM62" s="505"/>
      <c r="BN62" s="262">
        <f t="shared" si="99"/>
        <v>0</v>
      </c>
      <c r="BO62" s="504"/>
      <c r="BP62" s="505"/>
      <c r="BQ62" s="262">
        <f t="shared" si="100"/>
        <v>0</v>
      </c>
    </row>
    <row r="63" spans="1:70" ht="16" x14ac:dyDescent="0.2">
      <c r="A63" s="818"/>
      <c r="B63" s="821"/>
      <c r="C63" s="24" t="s">
        <v>171</v>
      </c>
      <c r="D63" s="259">
        <f t="shared" si="101"/>
        <v>0</v>
      </c>
      <c r="E63" s="260">
        <f t="shared" si="56"/>
        <v>0</v>
      </c>
      <c r="F63" s="261">
        <f t="shared" si="79"/>
        <v>0</v>
      </c>
      <c r="G63" s="504"/>
      <c r="H63" s="505"/>
      <c r="I63" s="262">
        <f t="shared" si="80"/>
        <v>0</v>
      </c>
      <c r="J63" s="504"/>
      <c r="K63" s="505"/>
      <c r="L63" s="262">
        <f t="shared" si="81"/>
        <v>0</v>
      </c>
      <c r="M63" s="504"/>
      <c r="N63" s="505"/>
      <c r="O63" s="262">
        <f t="shared" si="82"/>
        <v>0</v>
      </c>
      <c r="P63" s="504"/>
      <c r="Q63" s="505"/>
      <c r="R63" s="262">
        <f t="shared" si="83"/>
        <v>0</v>
      </c>
      <c r="S63" s="504"/>
      <c r="T63" s="505"/>
      <c r="U63" s="262">
        <f t="shared" si="84"/>
        <v>0</v>
      </c>
      <c r="V63" s="504"/>
      <c r="W63" s="505"/>
      <c r="X63" s="262">
        <f t="shared" si="85"/>
        <v>0</v>
      </c>
      <c r="Y63" s="504"/>
      <c r="Z63" s="505"/>
      <c r="AA63" s="262">
        <f t="shared" si="86"/>
        <v>0</v>
      </c>
      <c r="AB63" s="504"/>
      <c r="AC63" s="505"/>
      <c r="AD63" s="262">
        <f t="shared" si="87"/>
        <v>0</v>
      </c>
      <c r="AE63" s="504"/>
      <c r="AF63" s="505"/>
      <c r="AG63" s="262">
        <f t="shared" si="88"/>
        <v>0</v>
      </c>
      <c r="AH63" s="504"/>
      <c r="AI63" s="505"/>
      <c r="AJ63" s="262">
        <f t="shared" si="89"/>
        <v>0</v>
      </c>
      <c r="AK63" s="504"/>
      <c r="AL63" s="505"/>
      <c r="AM63" s="262">
        <f t="shared" si="90"/>
        <v>0</v>
      </c>
      <c r="AN63" s="504"/>
      <c r="AO63" s="505"/>
      <c r="AP63" s="262">
        <f t="shared" si="91"/>
        <v>0</v>
      </c>
      <c r="AQ63" s="504"/>
      <c r="AR63" s="505"/>
      <c r="AS63" s="262">
        <f t="shared" si="92"/>
        <v>0</v>
      </c>
      <c r="AT63" s="504"/>
      <c r="AU63" s="505"/>
      <c r="AV63" s="262">
        <f t="shared" si="93"/>
        <v>0</v>
      </c>
      <c r="AW63" s="504"/>
      <c r="AX63" s="505"/>
      <c r="AY63" s="262">
        <f t="shared" si="94"/>
        <v>0</v>
      </c>
      <c r="AZ63" s="504"/>
      <c r="BA63" s="505"/>
      <c r="BB63" s="262">
        <f t="shared" si="95"/>
        <v>0</v>
      </c>
      <c r="BC63" s="504"/>
      <c r="BD63" s="505"/>
      <c r="BE63" s="262">
        <f t="shared" si="96"/>
        <v>0</v>
      </c>
      <c r="BF63" s="504"/>
      <c r="BG63" s="505"/>
      <c r="BH63" s="262">
        <f t="shared" si="97"/>
        <v>0</v>
      </c>
      <c r="BI63" s="504"/>
      <c r="BJ63" s="505"/>
      <c r="BK63" s="262">
        <f t="shared" si="98"/>
        <v>0</v>
      </c>
      <c r="BL63" s="504"/>
      <c r="BM63" s="505"/>
      <c r="BN63" s="262">
        <f t="shared" si="99"/>
        <v>0</v>
      </c>
      <c r="BO63" s="504"/>
      <c r="BP63" s="505"/>
      <c r="BQ63" s="262">
        <f t="shared" si="100"/>
        <v>0</v>
      </c>
    </row>
    <row r="64" spans="1:70" s="283" customFormat="1" ht="17" thickBot="1" x14ac:dyDescent="0.25">
      <c r="A64" s="819"/>
      <c r="B64" s="822"/>
      <c r="C64" s="263" t="s">
        <v>172</v>
      </c>
      <c r="D64" s="264">
        <f t="shared" si="101"/>
        <v>0</v>
      </c>
      <c r="E64" s="265">
        <f t="shared" si="56"/>
        <v>0</v>
      </c>
      <c r="F64" s="266">
        <f t="shared" si="79"/>
        <v>0</v>
      </c>
      <c r="G64" s="506"/>
      <c r="H64" s="507"/>
      <c r="I64" s="267">
        <f t="shared" si="80"/>
        <v>0</v>
      </c>
      <c r="J64" s="506"/>
      <c r="K64" s="507"/>
      <c r="L64" s="267">
        <f t="shared" si="81"/>
        <v>0</v>
      </c>
      <c r="M64" s="506"/>
      <c r="N64" s="507"/>
      <c r="O64" s="267">
        <f t="shared" si="82"/>
        <v>0</v>
      </c>
      <c r="P64" s="506"/>
      <c r="Q64" s="507"/>
      <c r="R64" s="267">
        <f t="shared" si="83"/>
        <v>0</v>
      </c>
      <c r="S64" s="506"/>
      <c r="T64" s="507"/>
      <c r="U64" s="267">
        <f t="shared" si="84"/>
        <v>0</v>
      </c>
      <c r="V64" s="506"/>
      <c r="W64" s="507"/>
      <c r="X64" s="267">
        <f t="shared" si="85"/>
        <v>0</v>
      </c>
      <c r="Y64" s="506"/>
      <c r="Z64" s="507"/>
      <c r="AA64" s="267">
        <f t="shared" si="86"/>
        <v>0</v>
      </c>
      <c r="AB64" s="506"/>
      <c r="AC64" s="507"/>
      <c r="AD64" s="267">
        <f t="shared" si="87"/>
        <v>0</v>
      </c>
      <c r="AE64" s="506"/>
      <c r="AF64" s="507"/>
      <c r="AG64" s="267">
        <f t="shared" si="88"/>
        <v>0</v>
      </c>
      <c r="AH64" s="506"/>
      <c r="AI64" s="507"/>
      <c r="AJ64" s="267">
        <f t="shared" si="89"/>
        <v>0</v>
      </c>
      <c r="AK64" s="506"/>
      <c r="AL64" s="507"/>
      <c r="AM64" s="267">
        <f t="shared" si="90"/>
        <v>0</v>
      </c>
      <c r="AN64" s="506"/>
      <c r="AO64" s="507"/>
      <c r="AP64" s="267">
        <f t="shared" si="91"/>
        <v>0</v>
      </c>
      <c r="AQ64" s="506"/>
      <c r="AR64" s="507"/>
      <c r="AS64" s="267">
        <f t="shared" si="92"/>
        <v>0</v>
      </c>
      <c r="AT64" s="506"/>
      <c r="AU64" s="507"/>
      <c r="AV64" s="267">
        <f t="shared" si="93"/>
        <v>0</v>
      </c>
      <c r="AW64" s="506"/>
      <c r="AX64" s="507"/>
      <c r="AY64" s="267">
        <f t="shared" si="94"/>
        <v>0</v>
      </c>
      <c r="AZ64" s="506"/>
      <c r="BA64" s="507"/>
      <c r="BB64" s="267">
        <f t="shared" si="95"/>
        <v>0</v>
      </c>
      <c r="BC64" s="506"/>
      <c r="BD64" s="507"/>
      <c r="BE64" s="267">
        <f t="shared" si="96"/>
        <v>0</v>
      </c>
      <c r="BF64" s="506"/>
      <c r="BG64" s="507"/>
      <c r="BH64" s="267">
        <f t="shared" si="97"/>
        <v>0</v>
      </c>
      <c r="BI64" s="506"/>
      <c r="BJ64" s="507"/>
      <c r="BK64" s="267">
        <f t="shared" si="98"/>
        <v>0</v>
      </c>
      <c r="BL64" s="506"/>
      <c r="BM64" s="507"/>
      <c r="BN64" s="267">
        <f t="shared" si="99"/>
        <v>0</v>
      </c>
      <c r="BO64" s="506"/>
      <c r="BP64" s="507"/>
      <c r="BQ64" s="267">
        <f t="shared" si="100"/>
        <v>0</v>
      </c>
      <c r="BR64" s="282"/>
    </row>
    <row r="65" spans="1:70" ht="17" thickBot="1" x14ac:dyDescent="0.25">
      <c r="A65" s="284"/>
      <c r="B65" s="285"/>
      <c r="C65" s="286"/>
      <c r="D65" s="285"/>
      <c r="E65" s="285"/>
      <c r="F65" s="287" t="s">
        <v>96</v>
      </c>
      <c r="G65" s="288"/>
      <c r="H65" s="288"/>
      <c r="I65" s="289"/>
      <c r="J65" s="288"/>
      <c r="K65" s="288"/>
      <c r="L65" s="289"/>
      <c r="M65" s="288"/>
      <c r="N65" s="288"/>
      <c r="O65" s="289"/>
      <c r="P65" s="288"/>
      <c r="Q65" s="288"/>
      <c r="R65" s="289"/>
      <c r="S65" s="288"/>
      <c r="T65" s="288"/>
      <c r="U65" s="289"/>
      <c r="V65" s="288"/>
      <c r="W65" s="288"/>
      <c r="X65" s="289"/>
      <c r="Y65" s="288"/>
      <c r="Z65" s="288"/>
      <c r="AA65" s="289"/>
      <c r="AB65" s="288"/>
      <c r="AC65" s="288"/>
      <c r="AD65" s="289"/>
      <c r="AE65" s="288"/>
      <c r="AF65" s="288"/>
      <c r="AG65" s="289"/>
      <c r="AH65" s="288"/>
      <c r="AI65" s="288"/>
      <c r="AJ65" s="289"/>
      <c r="AK65" s="288"/>
      <c r="AL65" s="288"/>
      <c r="AM65" s="289"/>
      <c r="AN65" s="288"/>
      <c r="AO65" s="288"/>
      <c r="AP65" s="289"/>
      <c r="AQ65" s="288"/>
      <c r="AR65" s="288"/>
      <c r="AS65" s="289"/>
      <c r="AT65" s="288"/>
      <c r="AU65" s="288"/>
      <c r="AV65" s="289"/>
      <c r="AW65" s="288"/>
      <c r="AX65" s="288"/>
      <c r="AY65" s="289"/>
      <c r="AZ65" s="288"/>
      <c r="BA65" s="288"/>
      <c r="BB65" s="289"/>
      <c r="BC65" s="288"/>
      <c r="BD65" s="288"/>
      <c r="BE65" s="289"/>
      <c r="BF65" s="288"/>
      <c r="BG65" s="288"/>
      <c r="BH65" s="289"/>
      <c r="BI65" s="288"/>
      <c r="BJ65" s="288"/>
      <c r="BK65" s="289"/>
      <c r="BL65" s="288"/>
      <c r="BM65" s="288"/>
      <c r="BN65" s="289"/>
      <c r="BO65" s="288"/>
      <c r="BP65" s="288"/>
      <c r="BQ65" s="289"/>
    </row>
    <row r="66" spans="1:70" ht="16" x14ac:dyDescent="0.2">
      <c r="A66" s="832" t="s">
        <v>208</v>
      </c>
      <c r="B66" s="834" t="s">
        <v>209</v>
      </c>
      <c r="C66" s="290" t="s">
        <v>163</v>
      </c>
      <c r="D66" s="291">
        <f t="shared" ref="D66:D75" si="102">SUM(G66,J66,M66,P66,S66,V66,Y66,AB66,AE66,AH66,AK66,AN66,AQ66,AT66,AW66,AZ66,AZ66,BC66,BF66,BI66,BL66,BO66)</f>
        <v>430000</v>
      </c>
      <c r="E66" s="292">
        <f t="shared" ref="E66:E75" si="103">SUM(H66,K66,N66,Q66,T66,W66,Z66,AC66,AF66,AI66,AL66,AO66,AR66,AU66,AX66,BA66,BA66,BD66,BG66,BJ66,BM66,BP66)</f>
        <v>430000</v>
      </c>
      <c r="F66" s="293">
        <f t="shared" ref="F66:F75" si="104">SUM(I66,L66,O66,R66,U66,X66,AA66,AD66,AG66,AJ66,AM66,AP66,AS66,AV66,AY66,BB66,BB66,BE66,BH66,BK66,BN66,BQ66)</f>
        <v>0</v>
      </c>
      <c r="G66" s="294">
        <f t="shared" ref="G66:G75" si="105">G5</f>
        <v>430000</v>
      </c>
      <c r="H66" s="295">
        <f t="shared" ref="H66:H75" si="106">H5*(1+$BR$66)</f>
        <v>430000</v>
      </c>
      <c r="I66" s="296">
        <f>H66-G66</f>
        <v>0</v>
      </c>
      <c r="J66" s="294">
        <f t="shared" ref="J66:J75" si="107">J5</f>
        <v>0</v>
      </c>
      <c r="K66" s="295">
        <f t="shared" ref="K66:K75" si="108">K5*(1+$BR$66)</f>
        <v>0</v>
      </c>
      <c r="L66" s="296">
        <f>K66-J66</f>
        <v>0</v>
      </c>
      <c r="M66" s="294">
        <f t="shared" ref="M66:M75" si="109">M5</f>
        <v>0</v>
      </c>
      <c r="N66" s="295">
        <f t="shared" ref="N66:N75" si="110">N5*(1+$BR$66)</f>
        <v>0</v>
      </c>
      <c r="O66" s="296">
        <f>N66-M66</f>
        <v>0</v>
      </c>
      <c r="P66" s="294">
        <f t="shared" ref="P66:P75" si="111">P5</f>
        <v>0</v>
      </c>
      <c r="Q66" s="295">
        <f t="shared" ref="Q66:Q75" si="112">Q5*(1+$BR$66)</f>
        <v>0</v>
      </c>
      <c r="R66" s="296">
        <f t="shared" ref="R66:R75" si="113">Q66-P66</f>
        <v>0</v>
      </c>
      <c r="S66" s="294">
        <f t="shared" ref="S66:S75" si="114">S5</f>
        <v>0</v>
      </c>
      <c r="T66" s="295">
        <f t="shared" ref="T66:T75" si="115">T5*(1+$BR$66)</f>
        <v>0</v>
      </c>
      <c r="U66" s="296">
        <f t="shared" ref="U66:U75" si="116">T66-S66</f>
        <v>0</v>
      </c>
      <c r="V66" s="294">
        <f t="shared" ref="V66:V75" si="117">V5</f>
        <v>0</v>
      </c>
      <c r="W66" s="295">
        <f t="shared" ref="W66:W75" si="118">W5*(1+$BR$66)</f>
        <v>0</v>
      </c>
      <c r="X66" s="296">
        <f t="shared" ref="X66:X75" si="119">W66-V66</f>
        <v>0</v>
      </c>
      <c r="Y66" s="294">
        <f t="shared" ref="Y66:Y75" si="120">Y5</f>
        <v>0</v>
      </c>
      <c r="Z66" s="295">
        <f t="shared" ref="Z66:Z75" si="121">Z5*(1+$BR$66)</f>
        <v>0</v>
      </c>
      <c r="AA66" s="296">
        <f>Z66-Y66</f>
        <v>0</v>
      </c>
      <c r="AB66" s="294">
        <f t="shared" ref="AB66:AB75" si="122">AB5</f>
        <v>0</v>
      </c>
      <c r="AC66" s="295">
        <f t="shared" ref="AC66:AC75" si="123">AC5*(1+$BR$66)</f>
        <v>0</v>
      </c>
      <c r="AD66" s="296">
        <f>AC66-AB66</f>
        <v>0</v>
      </c>
      <c r="AE66" s="294">
        <f t="shared" ref="AE66:AE75" si="124">AE5</f>
        <v>0</v>
      </c>
      <c r="AF66" s="295">
        <f t="shared" ref="AF66:AF75" si="125">AF5*(1+$BR$66)</f>
        <v>0</v>
      </c>
      <c r="AG66" s="296">
        <f t="shared" ref="AG66:AG75" si="126">AF66-AE66</f>
        <v>0</v>
      </c>
      <c r="AH66" s="294">
        <f t="shared" ref="AH66:AH75" si="127">AH5</f>
        <v>0</v>
      </c>
      <c r="AI66" s="295">
        <f t="shared" ref="AI66:AI75" si="128">AI5*(1+$BR$66)</f>
        <v>0</v>
      </c>
      <c r="AJ66" s="296">
        <f t="shared" ref="AJ66:AJ75" si="129">AI66-AH66</f>
        <v>0</v>
      </c>
      <c r="AK66" s="294">
        <f t="shared" ref="AK66:AK75" si="130">AK5</f>
        <v>0</v>
      </c>
      <c r="AL66" s="295">
        <f t="shared" ref="AL66:AL75" si="131">AL5*(1+$BR$66)</f>
        <v>0</v>
      </c>
      <c r="AM66" s="296">
        <f t="shared" ref="AM66:AM75" si="132">AL66-AK66</f>
        <v>0</v>
      </c>
      <c r="AN66" s="294">
        <f t="shared" ref="AN66:AN75" si="133">AN5</f>
        <v>0</v>
      </c>
      <c r="AO66" s="295">
        <f t="shared" ref="AO66:AO75" si="134">AO5*(1+$BR$66)</f>
        <v>0</v>
      </c>
      <c r="AP66" s="296">
        <f>AO66-AN66</f>
        <v>0</v>
      </c>
      <c r="AQ66" s="294">
        <f t="shared" ref="AQ66:AQ75" si="135">AQ5</f>
        <v>0</v>
      </c>
      <c r="AR66" s="295">
        <f t="shared" ref="AR66:AR75" si="136">AR5*(1+$BR$66)</f>
        <v>0</v>
      </c>
      <c r="AS66" s="296">
        <f>AR66-AQ66</f>
        <v>0</v>
      </c>
      <c r="AT66" s="294">
        <f t="shared" ref="AT66:AT75" si="137">AT5</f>
        <v>0</v>
      </c>
      <c r="AU66" s="295">
        <f t="shared" ref="AU66:AU75" si="138">AU5*(1+$BR$66)</f>
        <v>0</v>
      </c>
      <c r="AV66" s="296">
        <f t="shared" ref="AV66:AV75" si="139">AU66-AT66</f>
        <v>0</v>
      </c>
      <c r="AW66" s="294">
        <f t="shared" ref="AW66:AW75" si="140">AW5</f>
        <v>0</v>
      </c>
      <c r="AX66" s="295">
        <f t="shared" ref="AX66:AX75" si="141">AX5*(1+$BR$66)</f>
        <v>0</v>
      </c>
      <c r="AY66" s="296">
        <f t="shared" ref="AY66:AY75" si="142">AX66-AW66</f>
        <v>0</v>
      </c>
      <c r="AZ66" s="294">
        <f t="shared" ref="AZ66:AZ75" si="143">AZ5</f>
        <v>0</v>
      </c>
      <c r="BA66" s="295">
        <f t="shared" ref="BA66:BA75" si="144">BA5*(1+$BR$66)</f>
        <v>0</v>
      </c>
      <c r="BB66" s="296">
        <f t="shared" ref="BB66:BB75" si="145">BA66-AZ66</f>
        <v>0</v>
      </c>
      <c r="BC66" s="294">
        <f t="shared" ref="BC66:BC75" si="146">BC5</f>
        <v>0</v>
      </c>
      <c r="BD66" s="295">
        <f t="shared" ref="BD66:BD75" si="147">BD5*(1+$BR$66)</f>
        <v>0</v>
      </c>
      <c r="BE66" s="296">
        <f>BD66-BC66</f>
        <v>0</v>
      </c>
      <c r="BF66" s="294">
        <f t="shared" ref="BF66:BF75" si="148">BF5</f>
        <v>0</v>
      </c>
      <c r="BG66" s="295">
        <f t="shared" ref="BG66:BG75" si="149">BG5*(1+$BR$66)</f>
        <v>0</v>
      </c>
      <c r="BH66" s="296">
        <f>BG66-BF66</f>
        <v>0</v>
      </c>
      <c r="BI66" s="294">
        <f t="shared" ref="BI66:BI75" si="150">BI5</f>
        <v>0</v>
      </c>
      <c r="BJ66" s="295">
        <f t="shared" ref="BJ66:BJ75" si="151">BJ5*(1+$BR$66)</f>
        <v>0</v>
      </c>
      <c r="BK66" s="296">
        <f t="shared" ref="BK66:BK75" si="152">BJ66-BI66</f>
        <v>0</v>
      </c>
      <c r="BL66" s="294">
        <f t="shared" ref="BL66:BL75" si="153">BL5</f>
        <v>0</v>
      </c>
      <c r="BM66" s="295">
        <f t="shared" ref="BM66:BM75" si="154">BM5*(1+$BR$66)</f>
        <v>0</v>
      </c>
      <c r="BN66" s="296">
        <f t="shared" ref="BN66:BN75" si="155">BM66-BL66</f>
        <v>0</v>
      </c>
      <c r="BO66" s="294">
        <f t="shared" ref="BO66:BO75" si="156">BO5</f>
        <v>0</v>
      </c>
      <c r="BP66" s="295">
        <f t="shared" ref="BP66:BP75" si="157">BP5*(1+$BR$66)</f>
        <v>0</v>
      </c>
      <c r="BQ66" s="296">
        <f t="shared" ref="BQ66:BQ75" si="158">BP66-BO66</f>
        <v>0</v>
      </c>
      <c r="BR66" s="297">
        <f>'Analyza citlivosti - AgendovéIS'!K7</f>
        <v>0</v>
      </c>
    </row>
    <row r="67" spans="1:70" ht="16" x14ac:dyDescent="0.2">
      <c r="A67" s="832"/>
      <c r="B67" s="834"/>
      <c r="C67" s="290" t="s">
        <v>164</v>
      </c>
      <c r="D67" s="291">
        <f t="shared" si="102"/>
        <v>430000</v>
      </c>
      <c r="E67" s="292">
        <f t="shared" si="103"/>
        <v>430000</v>
      </c>
      <c r="F67" s="293">
        <f t="shared" si="104"/>
        <v>0</v>
      </c>
      <c r="G67" s="298">
        <f t="shared" si="105"/>
        <v>430000</v>
      </c>
      <c r="H67" s="299">
        <f t="shared" si="106"/>
        <v>430000</v>
      </c>
      <c r="I67" s="262">
        <f t="shared" ref="I67:I75" si="159">H67-G67</f>
        <v>0</v>
      </c>
      <c r="J67" s="298">
        <f t="shared" si="107"/>
        <v>0</v>
      </c>
      <c r="K67" s="299">
        <f t="shared" si="108"/>
        <v>0</v>
      </c>
      <c r="L67" s="262">
        <f t="shared" ref="L67:L75" si="160">K67-J67</f>
        <v>0</v>
      </c>
      <c r="M67" s="298">
        <f t="shared" si="109"/>
        <v>0</v>
      </c>
      <c r="N67" s="299">
        <f t="shared" si="110"/>
        <v>0</v>
      </c>
      <c r="O67" s="262">
        <f t="shared" ref="O67:O75" si="161">N67-M67</f>
        <v>0</v>
      </c>
      <c r="P67" s="298">
        <f t="shared" si="111"/>
        <v>0</v>
      </c>
      <c r="Q67" s="299">
        <f t="shared" si="112"/>
        <v>0</v>
      </c>
      <c r="R67" s="262">
        <f t="shared" si="113"/>
        <v>0</v>
      </c>
      <c r="S67" s="298">
        <f t="shared" si="114"/>
        <v>0</v>
      </c>
      <c r="T67" s="299">
        <f t="shared" si="115"/>
        <v>0</v>
      </c>
      <c r="U67" s="262">
        <f t="shared" si="116"/>
        <v>0</v>
      </c>
      <c r="V67" s="298">
        <f t="shared" si="117"/>
        <v>0</v>
      </c>
      <c r="W67" s="299">
        <f t="shared" si="118"/>
        <v>0</v>
      </c>
      <c r="X67" s="262">
        <f t="shared" si="119"/>
        <v>0</v>
      </c>
      <c r="Y67" s="298">
        <f t="shared" si="120"/>
        <v>0</v>
      </c>
      <c r="Z67" s="299">
        <f t="shared" si="121"/>
        <v>0</v>
      </c>
      <c r="AA67" s="262">
        <f t="shared" ref="AA67:AA75" si="162">Z67-Y67</f>
        <v>0</v>
      </c>
      <c r="AB67" s="298">
        <f t="shared" si="122"/>
        <v>0</v>
      </c>
      <c r="AC67" s="299">
        <f t="shared" si="123"/>
        <v>0</v>
      </c>
      <c r="AD67" s="262">
        <f t="shared" ref="AD67:AD75" si="163">AC67-AB67</f>
        <v>0</v>
      </c>
      <c r="AE67" s="298">
        <f t="shared" si="124"/>
        <v>0</v>
      </c>
      <c r="AF67" s="299">
        <f t="shared" si="125"/>
        <v>0</v>
      </c>
      <c r="AG67" s="262">
        <f t="shared" si="126"/>
        <v>0</v>
      </c>
      <c r="AH67" s="298">
        <f t="shared" si="127"/>
        <v>0</v>
      </c>
      <c r="AI67" s="299">
        <f t="shared" si="128"/>
        <v>0</v>
      </c>
      <c r="AJ67" s="262">
        <f t="shared" si="129"/>
        <v>0</v>
      </c>
      <c r="AK67" s="298">
        <f t="shared" si="130"/>
        <v>0</v>
      </c>
      <c r="AL67" s="299">
        <f t="shared" si="131"/>
        <v>0</v>
      </c>
      <c r="AM67" s="262">
        <f t="shared" si="132"/>
        <v>0</v>
      </c>
      <c r="AN67" s="298">
        <f t="shared" si="133"/>
        <v>0</v>
      </c>
      <c r="AO67" s="299">
        <f t="shared" si="134"/>
        <v>0</v>
      </c>
      <c r="AP67" s="262">
        <f t="shared" ref="AP67:AP75" si="164">AO67-AN67</f>
        <v>0</v>
      </c>
      <c r="AQ67" s="298">
        <f t="shared" si="135"/>
        <v>0</v>
      </c>
      <c r="AR67" s="299">
        <f t="shared" si="136"/>
        <v>0</v>
      </c>
      <c r="AS67" s="262">
        <f t="shared" ref="AS67:AS75" si="165">AR67-AQ67</f>
        <v>0</v>
      </c>
      <c r="AT67" s="298">
        <f t="shared" si="137"/>
        <v>0</v>
      </c>
      <c r="AU67" s="299">
        <f t="shared" si="138"/>
        <v>0</v>
      </c>
      <c r="AV67" s="262">
        <f t="shared" si="139"/>
        <v>0</v>
      </c>
      <c r="AW67" s="298">
        <f t="shared" si="140"/>
        <v>0</v>
      </c>
      <c r="AX67" s="299">
        <f t="shared" si="141"/>
        <v>0</v>
      </c>
      <c r="AY67" s="262">
        <f t="shared" si="142"/>
        <v>0</v>
      </c>
      <c r="AZ67" s="298">
        <f t="shared" si="143"/>
        <v>0</v>
      </c>
      <c r="BA67" s="299">
        <f t="shared" si="144"/>
        <v>0</v>
      </c>
      <c r="BB67" s="262">
        <f t="shared" si="145"/>
        <v>0</v>
      </c>
      <c r="BC67" s="298">
        <f t="shared" si="146"/>
        <v>0</v>
      </c>
      <c r="BD67" s="299">
        <f t="shared" si="147"/>
        <v>0</v>
      </c>
      <c r="BE67" s="262">
        <f t="shared" ref="BE67:BE75" si="166">BD67-BC67</f>
        <v>0</v>
      </c>
      <c r="BF67" s="298">
        <f t="shared" si="148"/>
        <v>0</v>
      </c>
      <c r="BG67" s="299">
        <f t="shared" si="149"/>
        <v>0</v>
      </c>
      <c r="BH67" s="262">
        <f t="shared" ref="BH67:BH75" si="167">BG67-BF67</f>
        <v>0</v>
      </c>
      <c r="BI67" s="298">
        <f t="shared" si="150"/>
        <v>0</v>
      </c>
      <c r="BJ67" s="299">
        <f t="shared" si="151"/>
        <v>0</v>
      </c>
      <c r="BK67" s="262">
        <f t="shared" si="152"/>
        <v>0</v>
      </c>
      <c r="BL67" s="298">
        <f t="shared" si="153"/>
        <v>0</v>
      </c>
      <c r="BM67" s="299">
        <f t="shared" si="154"/>
        <v>0</v>
      </c>
      <c r="BN67" s="262">
        <f t="shared" si="155"/>
        <v>0</v>
      </c>
      <c r="BO67" s="298">
        <f t="shared" si="156"/>
        <v>0</v>
      </c>
      <c r="BP67" s="299">
        <f t="shared" si="157"/>
        <v>0</v>
      </c>
      <c r="BQ67" s="262">
        <f t="shared" si="158"/>
        <v>0</v>
      </c>
    </row>
    <row r="68" spans="1:70" ht="16" x14ac:dyDescent="0.2">
      <c r="A68" s="832"/>
      <c r="B68" s="834"/>
      <c r="C68" s="290" t="s">
        <v>165</v>
      </c>
      <c r="D68" s="291">
        <f t="shared" si="102"/>
        <v>430000</v>
      </c>
      <c r="E68" s="292">
        <f t="shared" si="103"/>
        <v>430000</v>
      </c>
      <c r="F68" s="293">
        <f t="shared" si="104"/>
        <v>0</v>
      </c>
      <c r="G68" s="298">
        <f t="shared" si="105"/>
        <v>430000</v>
      </c>
      <c r="H68" s="299">
        <f t="shared" si="106"/>
        <v>430000</v>
      </c>
      <c r="I68" s="262">
        <f t="shared" si="159"/>
        <v>0</v>
      </c>
      <c r="J68" s="298">
        <f t="shared" si="107"/>
        <v>0</v>
      </c>
      <c r="K68" s="299">
        <f t="shared" si="108"/>
        <v>0</v>
      </c>
      <c r="L68" s="262">
        <f t="shared" si="160"/>
        <v>0</v>
      </c>
      <c r="M68" s="298">
        <f t="shared" si="109"/>
        <v>0</v>
      </c>
      <c r="N68" s="299">
        <f t="shared" si="110"/>
        <v>0</v>
      </c>
      <c r="O68" s="262">
        <f t="shared" si="161"/>
        <v>0</v>
      </c>
      <c r="P68" s="298">
        <f t="shared" si="111"/>
        <v>0</v>
      </c>
      <c r="Q68" s="299">
        <f t="shared" si="112"/>
        <v>0</v>
      </c>
      <c r="R68" s="262">
        <f t="shared" si="113"/>
        <v>0</v>
      </c>
      <c r="S68" s="298">
        <f t="shared" si="114"/>
        <v>0</v>
      </c>
      <c r="T68" s="299">
        <f t="shared" si="115"/>
        <v>0</v>
      </c>
      <c r="U68" s="262">
        <f t="shared" si="116"/>
        <v>0</v>
      </c>
      <c r="V68" s="298">
        <f t="shared" si="117"/>
        <v>0</v>
      </c>
      <c r="W68" s="299">
        <f t="shared" si="118"/>
        <v>0</v>
      </c>
      <c r="X68" s="262">
        <f t="shared" si="119"/>
        <v>0</v>
      </c>
      <c r="Y68" s="298">
        <f t="shared" si="120"/>
        <v>0</v>
      </c>
      <c r="Z68" s="299">
        <f t="shared" si="121"/>
        <v>0</v>
      </c>
      <c r="AA68" s="262">
        <f t="shared" si="162"/>
        <v>0</v>
      </c>
      <c r="AB68" s="298">
        <f t="shared" si="122"/>
        <v>0</v>
      </c>
      <c r="AC68" s="299">
        <f t="shared" si="123"/>
        <v>0</v>
      </c>
      <c r="AD68" s="262">
        <f t="shared" si="163"/>
        <v>0</v>
      </c>
      <c r="AE68" s="298">
        <f t="shared" si="124"/>
        <v>0</v>
      </c>
      <c r="AF68" s="299">
        <f t="shared" si="125"/>
        <v>0</v>
      </c>
      <c r="AG68" s="262">
        <f t="shared" si="126"/>
        <v>0</v>
      </c>
      <c r="AH68" s="298">
        <f t="shared" si="127"/>
        <v>0</v>
      </c>
      <c r="AI68" s="299">
        <f t="shared" si="128"/>
        <v>0</v>
      </c>
      <c r="AJ68" s="262">
        <f t="shared" si="129"/>
        <v>0</v>
      </c>
      <c r="AK68" s="298">
        <f t="shared" si="130"/>
        <v>0</v>
      </c>
      <c r="AL68" s="299">
        <f t="shared" si="131"/>
        <v>0</v>
      </c>
      <c r="AM68" s="262">
        <f t="shared" si="132"/>
        <v>0</v>
      </c>
      <c r="AN68" s="298">
        <f t="shared" si="133"/>
        <v>0</v>
      </c>
      <c r="AO68" s="299">
        <f t="shared" si="134"/>
        <v>0</v>
      </c>
      <c r="AP68" s="262">
        <f t="shared" si="164"/>
        <v>0</v>
      </c>
      <c r="AQ68" s="298">
        <f t="shared" si="135"/>
        <v>0</v>
      </c>
      <c r="AR68" s="299">
        <f t="shared" si="136"/>
        <v>0</v>
      </c>
      <c r="AS68" s="262">
        <f t="shared" si="165"/>
        <v>0</v>
      </c>
      <c r="AT68" s="298">
        <f t="shared" si="137"/>
        <v>0</v>
      </c>
      <c r="AU68" s="299">
        <f t="shared" si="138"/>
        <v>0</v>
      </c>
      <c r="AV68" s="262">
        <f t="shared" si="139"/>
        <v>0</v>
      </c>
      <c r="AW68" s="298">
        <f t="shared" si="140"/>
        <v>0</v>
      </c>
      <c r="AX68" s="299">
        <f t="shared" si="141"/>
        <v>0</v>
      </c>
      <c r="AY68" s="262">
        <f t="shared" si="142"/>
        <v>0</v>
      </c>
      <c r="AZ68" s="298">
        <f t="shared" si="143"/>
        <v>0</v>
      </c>
      <c r="BA68" s="299">
        <f t="shared" si="144"/>
        <v>0</v>
      </c>
      <c r="BB68" s="262">
        <f t="shared" si="145"/>
        <v>0</v>
      </c>
      <c r="BC68" s="298">
        <f t="shared" si="146"/>
        <v>0</v>
      </c>
      <c r="BD68" s="299">
        <f t="shared" si="147"/>
        <v>0</v>
      </c>
      <c r="BE68" s="262">
        <f t="shared" si="166"/>
        <v>0</v>
      </c>
      <c r="BF68" s="298">
        <f t="shared" si="148"/>
        <v>0</v>
      </c>
      <c r="BG68" s="299">
        <f t="shared" si="149"/>
        <v>0</v>
      </c>
      <c r="BH68" s="262">
        <f t="shared" si="167"/>
        <v>0</v>
      </c>
      <c r="BI68" s="298">
        <f t="shared" si="150"/>
        <v>0</v>
      </c>
      <c r="BJ68" s="299">
        <f t="shared" si="151"/>
        <v>0</v>
      </c>
      <c r="BK68" s="262">
        <f t="shared" si="152"/>
        <v>0</v>
      </c>
      <c r="BL68" s="298">
        <f t="shared" si="153"/>
        <v>0</v>
      </c>
      <c r="BM68" s="299">
        <f t="shared" si="154"/>
        <v>0</v>
      </c>
      <c r="BN68" s="262">
        <f t="shared" si="155"/>
        <v>0</v>
      </c>
      <c r="BO68" s="298">
        <f t="shared" si="156"/>
        <v>0</v>
      </c>
      <c r="BP68" s="299">
        <f t="shared" si="157"/>
        <v>0</v>
      </c>
      <c r="BQ68" s="262">
        <f t="shared" si="158"/>
        <v>0</v>
      </c>
    </row>
    <row r="69" spans="1:70" ht="16" x14ac:dyDescent="0.2">
      <c r="A69" s="832"/>
      <c r="B69" s="834"/>
      <c r="C69" s="290" t="s">
        <v>166</v>
      </c>
      <c r="D69" s="291">
        <f t="shared" si="102"/>
        <v>430000</v>
      </c>
      <c r="E69" s="292">
        <f t="shared" si="103"/>
        <v>430000</v>
      </c>
      <c r="F69" s="293">
        <f t="shared" si="104"/>
        <v>0</v>
      </c>
      <c r="G69" s="298">
        <f t="shared" si="105"/>
        <v>430000</v>
      </c>
      <c r="H69" s="299">
        <f t="shared" si="106"/>
        <v>430000</v>
      </c>
      <c r="I69" s="262">
        <f t="shared" si="159"/>
        <v>0</v>
      </c>
      <c r="J69" s="298">
        <f t="shared" si="107"/>
        <v>0</v>
      </c>
      <c r="K69" s="299">
        <f t="shared" si="108"/>
        <v>0</v>
      </c>
      <c r="L69" s="262">
        <f t="shared" si="160"/>
        <v>0</v>
      </c>
      <c r="M69" s="298">
        <f t="shared" si="109"/>
        <v>0</v>
      </c>
      <c r="N69" s="299">
        <f t="shared" si="110"/>
        <v>0</v>
      </c>
      <c r="O69" s="262">
        <f t="shared" si="161"/>
        <v>0</v>
      </c>
      <c r="P69" s="298">
        <f t="shared" si="111"/>
        <v>0</v>
      </c>
      <c r="Q69" s="299">
        <f t="shared" si="112"/>
        <v>0</v>
      </c>
      <c r="R69" s="262">
        <f t="shared" si="113"/>
        <v>0</v>
      </c>
      <c r="S69" s="298">
        <f t="shared" si="114"/>
        <v>0</v>
      </c>
      <c r="T69" s="299">
        <f t="shared" si="115"/>
        <v>0</v>
      </c>
      <c r="U69" s="262">
        <f t="shared" si="116"/>
        <v>0</v>
      </c>
      <c r="V69" s="298">
        <f t="shared" si="117"/>
        <v>0</v>
      </c>
      <c r="W69" s="299">
        <f t="shared" si="118"/>
        <v>0</v>
      </c>
      <c r="X69" s="262">
        <f t="shared" si="119"/>
        <v>0</v>
      </c>
      <c r="Y69" s="298">
        <f t="shared" si="120"/>
        <v>0</v>
      </c>
      <c r="Z69" s="299">
        <f t="shared" si="121"/>
        <v>0</v>
      </c>
      <c r="AA69" s="262">
        <f t="shared" si="162"/>
        <v>0</v>
      </c>
      <c r="AB69" s="298">
        <f t="shared" si="122"/>
        <v>0</v>
      </c>
      <c r="AC69" s="299">
        <f t="shared" si="123"/>
        <v>0</v>
      </c>
      <c r="AD69" s="262">
        <f t="shared" si="163"/>
        <v>0</v>
      </c>
      <c r="AE69" s="298">
        <f t="shared" si="124"/>
        <v>0</v>
      </c>
      <c r="AF69" s="299">
        <f t="shared" si="125"/>
        <v>0</v>
      </c>
      <c r="AG69" s="262">
        <f t="shared" si="126"/>
        <v>0</v>
      </c>
      <c r="AH69" s="298">
        <f t="shared" si="127"/>
        <v>0</v>
      </c>
      <c r="AI69" s="299">
        <f t="shared" si="128"/>
        <v>0</v>
      </c>
      <c r="AJ69" s="262">
        <f t="shared" si="129"/>
        <v>0</v>
      </c>
      <c r="AK69" s="298">
        <f t="shared" si="130"/>
        <v>0</v>
      </c>
      <c r="AL69" s="299">
        <f t="shared" si="131"/>
        <v>0</v>
      </c>
      <c r="AM69" s="262">
        <f t="shared" si="132"/>
        <v>0</v>
      </c>
      <c r="AN69" s="298">
        <f t="shared" si="133"/>
        <v>0</v>
      </c>
      <c r="AO69" s="299">
        <f t="shared" si="134"/>
        <v>0</v>
      </c>
      <c r="AP69" s="262">
        <f t="shared" si="164"/>
        <v>0</v>
      </c>
      <c r="AQ69" s="298">
        <f t="shared" si="135"/>
        <v>0</v>
      </c>
      <c r="AR69" s="299">
        <f t="shared" si="136"/>
        <v>0</v>
      </c>
      <c r="AS69" s="262">
        <f t="shared" si="165"/>
        <v>0</v>
      </c>
      <c r="AT69" s="298">
        <f t="shared" si="137"/>
        <v>0</v>
      </c>
      <c r="AU69" s="299">
        <f t="shared" si="138"/>
        <v>0</v>
      </c>
      <c r="AV69" s="262">
        <f t="shared" si="139"/>
        <v>0</v>
      </c>
      <c r="AW69" s="298">
        <f t="shared" si="140"/>
        <v>0</v>
      </c>
      <c r="AX69" s="299">
        <f t="shared" si="141"/>
        <v>0</v>
      </c>
      <c r="AY69" s="262">
        <f t="shared" si="142"/>
        <v>0</v>
      </c>
      <c r="AZ69" s="298">
        <f t="shared" si="143"/>
        <v>0</v>
      </c>
      <c r="BA69" s="299">
        <f t="shared" si="144"/>
        <v>0</v>
      </c>
      <c r="BB69" s="262">
        <f t="shared" si="145"/>
        <v>0</v>
      </c>
      <c r="BC69" s="298">
        <f t="shared" si="146"/>
        <v>0</v>
      </c>
      <c r="BD69" s="299">
        <f t="shared" si="147"/>
        <v>0</v>
      </c>
      <c r="BE69" s="262">
        <f t="shared" si="166"/>
        <v>0</v>
      </c>
      <c r="BF69" s="298">
        <f t="shared" si="148"/>
        <v>0</v>
      </c>
      <c r="BG69" s="299">
        <f t="shared" si="149"/>
        <v>0</v>
      </c>
      <c r="BH69" s="262">
        <f t="shared" si="167"/>
        <v>0</v>
      </c>
      <c r="BI69" s="298">
        <f t="shared" si="150"/>
        <v>0</v>
      </c>
      <c r="BJ69" s="299">
        <f t="shared" si="151"/>
        <v>0</v>
      </c>
      <c r="BK69" s="262">
        <f t="shared" si="152"/>
        <v>0</v>
      </c>
      <c r="BL69" s="298">
        <f t="shared" si="153"/>
        <v>0</v>
      </c>
      <c r="BM69" s="299">
        <f t="shared" si="154"/>
        <v>0</v>
      </c>
      <c r="BN69" s="262">
        <f t="shared" si="155"/>
        <v>0</v>
      </c>
      <c r="BO69" s="298">
        <f t="shared" si="156"/>
        <v>0</v>
      </c>
      <c r="BP69" s="299">
        <f t="shared" si="157"/>
        <v>0</v>
      </c>
      <c r="BQ69" s="262">
        <f t="shared" si="158"/>
        <v>0</v>
      </c>
    </row>
    <row r="70" spans="1:70" ht="16" x14ac:dyDescent="0.2">
      <c r="A70" s="832"/>
      <c r="B70" s="834"/>
      <c r="C70" s="290" t="s">
        <v>167</v>
      </c>
      <c r="D70" s="291">
        <f t="shared" si="102"/>
        <v>430000</v>
      </c>
      <c r="E70" s="292">
        <f t="shared" si="103"/>
        <v>430000</v>
      </c>
      <c r="F70" s="293">
        <f t="shared" si="104"/>
        <v>0</v>
      </c>
      <c r="G70" s="298">
        <f t="shared" si="105"/>
        <v>430000</v>
      </c>
      <c r="H70" s="299">
        <f t="shared" si="106"/>
        <v>430000</v>
      </c>
      <c r="I70" s="262">
        <f t="shared" si="159"/>
        <v>0</v>
      </c>
      <c r="J70" s="298">
        <f t="shared" si="107"/>
        <v>0</v>
      </c>
      <c r="K70" s="299">
        <f t="shared" si="108"/>
        <v>0</v>
      </c>
      <c r="L70" s="262">
        <f t="shared" si="160"/>
        <v>0</v>
      </c>
      <c r="M70" s="298">
        <f t="shared" si="109"/>
        <v>0</v>
      </c>
      <c r="N70" s="299">
        <f t="shared" si="110"/>
        <v>0</v>
      </c>
      <c r="O70" s="262">
        <f t="shared" si="161"/>
        <v>0</v>
      </c>
      <c r="P70" s="298">
        <f t="shared" si="111"/>
        <v>0</v>
      </c>
      <c r="Q70" s="299">
        <f t="shared" si="112"/>
        <v>0</v>
      </c>
      <c r="R70" s="262">
        <f t="shared" si="113"/>
        <v>0</v>
      </c>
      <c r="S70" s="298">
        <f t="shared" si="114"/>
        <v>0</v>
      </c>
      <c r="T70" s="299">
        <f t="shared" si="115"/>
        <v>0</v>
      </c>
      <c r="U70" s="262">
        <f t="shared" si="116"/>
        <v>0</v>
      </c>
      <c r="V70" s="298">
        <f t="shared" si="117"/>
        <v>0</v>
      </c>
      <c r="W70" s="299">
        <f t="shared" si="118"/>
        <v>0</v>
      </c>
      <c r="X70" s="262">
        <f t="shared" si="119"/>
        <v>0</v>
      </c>
      <c r="Y70" s="298">
        <f t="shared" si="120"/>
        <v>0</v>
      </c>
      <c r="Z70" s="299">
        <f t="shared" si="121"/>
        <v>0</v>
      </c>
      <c r="AA70" s="262">
        <f t="shared" si="162"/>
        <v>0</v>
      </c>
      <c r="AB70" s="298">
        <f t="shared" si="122"/>
        <v>0</v>
      </c>
      <c r="AC70" s="299">
        <f t="shared" si="123"/>
        <v>0</v>
      </c>
      <c r="AD70" s="262">
        <f t="shared" si="163"/>
        <v>0</v>
      </c>
      <c r="AE70" s="298">
        <f t="shared" si="124"/>
        <v>0</v>
      </c>
      <c r="AF70" s="299">
        <f t="shared" si="125"/>
        <v>0</v>
      </c>
      <c r="AG70" s="262">
        <f t="shared" si="126"/>
        <v>0</v>
      </c>
      <c r="AH70" s="298">
        <f t="shared" si="127"/>
        <v>0</v>
      </c>
      <c r="AI70" s="299">
        <f t="shared" si="128"/>
        <v>0</v>
      </c>
      <c r="AJ70" s="262">
        <f t="shared" si="129"/>
        <v>0</v>
      </c>
      <c r="AK70" s="298">
        <f t="shared" si="130"/>
        <v>0</v>
      </c>
      <c r="AL70" s="299">
        <f t="shared" si="131"/>
        <v>0</v>
      </c>
      <c r="AM70" s="262">
        <f t="shared" si="132"/>
        <v>0</v>
      </c>
      <c r="AN70" s="298">
        <f t="shared" si="133"/>
        <v>0</v>
      </c>
      <c r="AO70" s="299">
        <f t="shared" si="134"/>
        <v>0</v>
      </c>
      <c r="AP70" s="262">
        <f t="shared" si="164"/>
        <v>0</v>
      </c>
      <c r="AQ70" s="298">
        <f t="shared" si="135"/>
        <v>0</v>
      </c>
      <c r="AR70" s="299">
        <f t="shared" si="136"/>
        <v>0</v>
      </c>
      <c r="AS70" s="262">
        <f t="shared" si="165"/>
        <v>0</v>
      </c>
      <c r="AT70" s="298">
        <f t="shared" si="137"/>
        <v>0</v>
      </c>
      <c r="AU70" s="299">
        <f t="shared" si="138"/>
        <v>0</v>
      </c>
      <c r="AV70" s="262">
        <f t="shared" si="139"/>
        <v>0</v>
      </c>
      <c r="AW70" s="298">
        <f t="shared" si="140"/>
        <v>0</v>
      </c>
      <c r="AX70" s="299">
        <f t="shared" si="141"/>
        <v>0</v>
      </c>
      <c r="AY70" s="262">
        <f t="shared" si="142"/>
        <v>0</v>
      </c>
      <c r="AZ70" s="298">
        <f t="shared" si="143"/>
        <v>0</v>
      </c>
      <c r="BA70" s="299">
        <f t="shared" si="144"/>
        <v>0</v>
      </c>
      <c r="BB70" s="262">
        <f t="shared" si="145"/>
        <v>0</v>
      </c>
      <c r="BC70" s="298">
        <f t="shared" si="146"/>
        <v>0</v>
      </c>
      <c r="BD70" s="299">
        <f t="shared" si="147"/>
        <v>0</v>
      </c>
      <c r="BE70" s="262">
        <f t="shared" si="166"/>
        <v>0</v>
      </c>
      <c r="BF70" s="298">
        <f t="shared" si="148"/>
        <v>0</v>
      </c>
      <c r="BG70" s="299">
        <f t="shared" si="149"/>
        <v>0</v>
      </c>
      <c r="BH70" s="262">
        <f t="shared" si="167"/>
        <v>0</v>
      </c>
      <c r="BI70" s="298">
        <f t="shared" si="150"/>
        <v>0</v>
      </c>
      <c r="BJ70" s="299">
        <f t="shared" si="151"/>
        <v>0</v>
      </c>
      <c r="BK70" s="262">
        <f t="shared" si="152"/>
        <v>0</v>
      </c>
      <c r="BL70" s="298">
        <f t="shared" si="153"/>
        <v>0</v>
      </c>
      <c r="BM70" s="299">
        <f t="shared" si="154"/>
        <v>0</v>
      </c>
      <c r="BN70" s="262">
        <f t="shared" si="155"/>
        <v>0</v>
      </c>
      <c r="BO70" s="298">
        <f t="shared" si="156"/>
        <v>0</v>
      </c>
      <c r="BP70" s="299">
        <f t="shared" si="157"/>
        <v>0</v>
      </c>
      <c r="BQ70" s="262">
        <f t="shared" si="158"/>
        <v>0</v>
      </c>
    </row>
    <row r="71" spans="1:70" ht="16" x14ac:dyDescent="0.2">
      <c r="A71" s="832"/>
      <c r="B71" s="834"/>
      <c r="C71" s="290" t="s">
        <v>168</v>
      </c>
      <c r="D71" s="291">
        <f t="shared" si="102"/>
        <v>430000</v>
      </c>
      <c r="E71" s="292">
        <f t="shared" si="103"/>
        <v>430000</v>
      </c>
      <c r="F71" s="293">
        <f t="shared" si="104"/>
        <v>0</v>
      </c>
      <c r="G71" s="298">
        <f t="shared" si="105"/>
        <v>430000</v>
      </c>
      <c r="H71" s="299">
        <f t="shared" si="106"/>
        <v>430000</v>
      </c>
      <c r="I71" s="262">
        <f t="shared" si="159"/>
        <v>0</v>
      </c>
      <c r="J71" s="298">
        <f t="shared" si="107"/>
        <v>0</v>
      </c>
      <c r="K71" s="299">
        <f t="shared" si="108"/>
        <v>0</v>
      </c>
      <c r="L71" s="262">
        <f t="shared" si="160"/>
        <v>0</v>
      </c>
      <c r="M71" s="298">
        <f t="shared" si="109"/>
        <v>0</v>
      </c>
      <c r="N71" s="299">
        <f t="shared" si="110"/>
        <v>0</v>
      </c>
      <c r="O71" s="262">
        <f t="shared" si="161"/>
        <v>0</v>
      </c>
      <c r="P71" s="298">
        <f t="shared" si="111"/>
        <v>0</v>
      </c>
      <c r="Q71" s="299">
        <f t="shared" si="112"/>
        <v>0</v>
      </c>
      <c r="R71" s="262">
        <f t="shared" si="113"/>
        <v>0</v>
      </c>
      <c r="S71" s="298">
        <f t="shared" si="114"/>
        <v>0</v>
      </c>
      <c r="T71" s="299">
        <f t="shared" si="115"/>
        <v>0</v>
      </c>
      <c r="U71" s="262">
        <f t="shared" si="116"/>
        <v>0</v>
      </c>
      <c r="V71" s="298">
        <f t="shared" si="117"/>
        <v>0</v>
      </c>
      <c r="W71" s="299">
        <f t="shared" si="118"/>
        <v>0</v>
      </c>
      <c r="X71" s="262">
        <f t="shared" si="119"/>
        <v>0</v>
      </c>
      <c r="Y71" s="298">
        <f t="shared" si="120"/>
        <v>0</v>
      </c>
      <c r="Z71" s="299">
        <f t="shared" si="121"/>
        <v>0</v>
      </c>
      <c r="AA71" s="262">
        <f t="shared" si="162"/>
        <v>0</v>
      </c>
      <c r="AB71" s="298">
        <f t="shared" si="122"/>
        <v>0</v>
      </c>
      <c r="AC71" s="299">
        <f t="shared" si="123"/>
        <v>0</v>
      </c>
      <c r="AD71" s="262">
        <f t="shared" si="163"/>
        <v>0</v>
      </c>
      <c r="AE71" s="298">
        <f t="shared" si="124"/>
        <v>0</v>
      </c>
      <c r="AF71" s="299">
        <f t="shared" si="125"/>
        <v>0</v>
      </c>
      <c r="AG71" s="262">
        <f t="shared" si="126"/>
        <v>0</v>
      </c>
      <c r="AH71" s="298">
        <f t="shared" si="127"/>
        <v>0</v>
      </c>
      <c r="AI71" s="299">
        <f t="shared" si="128"/>
        <v>0</v>
      </c>
      <c r="AJ71" s="262">
        <f t="shared" si="129"/>
        <v>0</v>
      </c>
      <c r="AK71" s="298">
        <f t="shared" si="130"/>
        <v>0</v>
      </c>
      <c r="AL71" s="299">
        <f t="shared" si="131"/>
        <v>0</v>
      </c>
      <c r="AM71" s="262">
        <f t="shared" si="132"/>
        <v>0</v>
      </c>
      <c r="AN71" s="298">
        <f t="shared" si="133"/>
        <v>0</v>
      </c>
      <c r="AO71" s="299">
        <f t="shared" si="134"/>
        <v>0</v>
      </c>
      <c r="AP71" s="262">
        <f t="shared" si="164"/>
        <v>0</v>
      </c>
      <c r="AQ71" s="298">
        <f t="shared" si="135"/>
        <v>0</v>
      </c>
      <c r="AR71" s="299">
        <f t="shared" si="136"/>
        <v>0</v>
      </c>
      <c r="AS71" s="262">
        <f t="shared" si="165"/>
        <v>0</v>
      </c>
      <c r="AT71" s="298">
        <f t="shared" si="137"/>
        <v>0</v>
      </c>
      <c r="AU71" s="299">
        <f t="shared" si="138"/>
        <v>0</v>
      </c>
      <c r="AV71" s="262">
        <f t="shared" si="139"/>
        <v>0</v>
      </c>
      <c r="AW71" s="298">
        <f t="shared" si="140"/>
        <v>0</v>
      </c>
      <c r="AX71" s="299">
        <f t="shared" si="141"/>
        <v>0</v>
      </c>
      <c r="AY71" s="262">
        <f t="shared" si="142"/>
        <v>0</v>
      </c>
      <c r="AZ71" s="298">
        <f t="shared" si="143"/>
        <v>0</v>
      </c>
      <c r="BA71" s="299">
        <f t="shared" si="144"/>
        <v>0</v>
      </c>
      <c r="BB71" s="262">
        <f t="shared" si="145"/>
        <v>0</v>
      </c>
      <c r="BC71" s="298">
        <f t="shared" si="146"/>
        <v>0</v>
      </c>
      <c r="BD71" s="299">
        <f t="shared" si="147"/>
        <v>0</v>
      </c>
      <c r="BE71" s="262">
        <f t="shared" si="166"/>
        <v>0</v>
      </c>
      <c r="BF71" s="298">
        <f t="shared" si="148"/>
        <v>0</v>
      </c>
      <c r="BG71" s="299">
        <f t="shared" si="149"/>
        <v>0</v>
      </c>
      <c r="BH71" s="262">
        <f t="shared" si="167"/>
        <v>0</v>
      </c>
      <c r="BI71" s="298">
        <f t="shared" si="150"/>
        <v>0</v>
      </c>
      <c r="BJ71" s="299">
        <f t="shared" si="151"/>
        <v>0</v>
      </c>
      <c r="BK71" s="262">
        <f t="shared" si="152"/>
        <v>0</v>
      </c>
      <c r="BL71" s="298">
        <f t="shared" si="153"/>
        <v>0</v>
      </c>
      <c r="BM71" s="299">
        <f t="shared" si="154"/>
        <v>0</v>
      </c>
      <c r="BN71" s="262">
        <f t="shared" si="155"/>
        <v>0</v>
      </c>
      <c r="BO71" s="298">
        <f t="shared" si="156"/>
        <v>0</v>
      </c>
      <c r="BP71" s="299">
        <f t="shared" si="157"/>
        <v>0</v>
      </c>
      <c r="BQ71" s="262">
        <f t="shared" si="158"/>
        <v>0</v>
      </c>
    </row>
    <row r="72" spans="1:70" ht="16" x14ac:dyDescent="0.2">
      <c r="A72" s="832"/>
      <c r="B72" s="834"/>
      <c r="C72" s="290" t="s">
        <v>169</v>
      </c>
      <c r="D72" s="291">
        <f t="shared" si="102"/>
        <v>430000</v>
      </c>
      <c r="E72" s="292">
        <f t="shared" si="103"/>
        <v>430000</v>
      </c>
      <c r="F72" s="293">
        <f t="shared" si="104"/>
        <v>0</v>
      </c>
      <c r="G72" s="298">
        <f t="shared" si="105"/>
        <v>430000</v>
      </c>
      <c r="H72" s="299">
        <f t="shared" si="106"/>
        <v>430000</v>
      </c>
      <c r="I72" s="262">
        <f t="shared" si="159"/>
        <v>0</v>
      </c>
      <c r="J72" s="298">
        <f t="shared" si="107"/>
        <v>0</v>
      </c>
      <c r="K72" s="299">
        <f t="shared" si="108"/>
        <v>0</v>
      </c>
      <c r="L72" s="262">
        <f t="shared" si="160"/>
        <v>0</v>
      </c>
      <c r="M72" s="298">
        <f t="shared" si="109"/>
        <v>0</v>
      </c>
      <c r="N72" s="299">
        <f t="shared" si="110"/>
        <v>0</v>
      </c>
      <c r="O72" s="262">
        <f t="shared" si="161"/>
        <v>0</v>
      </c>
      <c r="P72" s="298">
        <f t="shared" si="111"/>
        <v>0</v>
      </c>
      <c r="Q72" s="299">
        <f t="shared" si="112"/>
        <v>0</v>
      </c>
      <c r="R72" s="262">
        <f t="shared" si="113"/>
        <v>0</v>
      </c>
      <c r="S72" s="298">
        <f t="shared" si="114"/>
        <v>0</v>
      </c>
      <c r="T72" s="299">
        <f t="shared" si="115"/>
        <v>0</v>
      </c>
      <c r="U72" s="262">
        <f t="shared" si="116"/>
        <v>0</v>
      </c>
      <c r="V72" s="298">
        <f t="shared" si="117"/>
        <v>0</v>
      </c>
      <c r="W72" s="299">
        <f t="shared" si="118"/>
        <v>0</v>
      </c>
      <c r="X72" s="262">
        <f t="shared" si="119"/>
        <v>0</v>
      </c>
      <c r="Y72" s="298">
        <f t="shared" si="120"/>
        <v>0</v>
      </c>
      <c r="Z72" s="299">
        <f t="shared" si="121"/>
        <v>0</v>
      </c>
      <c r="AA72" s="262">
        <f t="shared" si="162"/>
        <v>0</v>
      </c>
      <c r="AB72" s="298">
        <f t="shared" si="122"/>
        <v>0</v>
      </c>
      <c r="AC72" s="299">
        <f t="shared" si="123"/>
        <v>0</v>
      </c>
      <c r="AD72" s="262">
        <f t="shared" si="163"/>
        <v>0</v>
      </c>
      <c r="AE72" s="298">
        <f t="shared" si="124"/>
        <v>0</v>
      </c>
      <c r="AF72" s="299">
        <f t="shared" si="125"/>
        <v>0</v>
      </c>
      <c r="AG72" s="262">
        <f t="shared" si="126"/>
        <v>0</v>
      </c>
      <c r="AH72" s="298">
        <f t="shared" si="127"/>
        <v>0</v>
      </c>
      <c r="AI72" s="299">
        <f t="shared" si="128"/>
        <v>0</v>
      </c>
      <c r="AJ72" s="262">
        <f t="shared" si="129"/>
        <v>0</v>
      </c>
      <c r="AK72" s="298">
        <f t="shared" si="130"/>
        <v>0</v>
      </c>
      <c r="AL72" s="299">
        <f t="shared" si="131"/>
        <v>0</v>
      </c>
      <c r="AM72" s="262">
        <f t="shared" si="132"/>
        <v>0</v>
      </c>
      <c r="AN72" s="298">
        <f t="shared" si="133"/>
        <v>0</v>
      </c>
      <c r="AO72" s="299">
        <f t="shared" si="134"/>
        <v>0</v>
      </c>
      <c r="AP72" s="262">
        <f t="shared" si="164"/>
        <v>0</v>
      </c>
      <c r="AQ72" s="298">
        <f t="shared" si="135"/>
        <v>0</v>
      </c>
      <c r="AR72" s="299">
        <f t="shared" si="136"/>
        <v>0</v>
      </c>
      <c r="AS72" s="262">
        <f t="shared" si="165"/>
        <v>0</v>
      </c>
      <c r="AT72" s="298">
        <f t="shared" si="137"/>
        <v>0</v>
      </c>
      <c r="AU72" s="299">
        <f t="shared" si="138"/>
        <v>0</v>
      </c>
      <c r="AV72" s="262">
        <f t="shared" si="139"/>
        <v>0</v>
      </c>
      <c r="AW72" s="298">
        <f t="shared" si="140"/>
        <v>0</v>
      </c>
      <c r="AX72" s="299">
        <f t="shared" si="141"/>
        <v>0</v>
      </c>
      <c r="AY72" s="262">
        <f t="shared" si="142"/>
        <v>0</v>
      </c>
      <c r="AZ72" s="298">
        <f t="shared" si="143"/>
        <v>0</v>
      </c>
      <c r="BA72" s="299">
        <f t="shared" si="144"/>
        <v>0</v>
      </c>
      <c r="BB72" s="262">
        <f t="shared" si="145"/>
        <v>0</v>
      </c>
      <c r="BC72" s="298">
        <f t="shared" si="146"/>
        <v>0</v>
      </c>
      <c r="BD72" s="299">
        <f t="shared" si="147"/>
        <v>0</v>
      </c>
      <c r="BE72" s="262">
        <f t="shared" si="166"/>
        <v>0</v>
      </c>
      <c r="BF72" s="298">
        <f t="shared" si="148"/>
        <v>0</v>
      </c>
      <c r="BG72" s="299">
        <f t="shared" si="149"/>
        <v>0</v>
      </c>
      <c r="BH72" s="262">
        <f t="shared" si="167"/>
        <v>0</v>
      </c>
      <c r="BI72" s="298">
        <f t="shared" si="150"/>
        <v>0</v>
      </c>
      <c r="BJ72" s="299">
        <f t="shared" si="151"/>
        <v>0</v>
      </c>
      <c r="BK72" s="262">
        <f t="shared" si="152"/>
        <v>0</v>
      </c>
      <c r="BL72" s="298">
        <f t="shared" si="153"/>
        <v>0</v>
      </c>
      <c r="BM72" s="299">
        <f t="shared" si="154"/>
        <v>0</v>
      </c>
      <c r="BN72" s="262">
        <f t="shared" si="155"/>
        <v>0</v>
      </c>
      <c r="BO72" s="298">
        <f t="shared" si="156"/>
        <v>0</v>
      </c>
      <c r="BP72" s="299">
        <f t="shared" si="157"/>
        <v>0</v>
      </c>
      <c r="BQ72" s="262">
        <f t="shared" si="158"/>
        <v>0</v>
      </c>
    </row>
    <row r="73" spans="1:70" ht="16" x14ac:dyDescent="0.2">
      <c r="A73" s="832"/>
      <c r="B73" s="834"/>
      <c r="C73" s="290" t="s">
        <v>170</v>
      </c>
      <c r="D73" s="291">
        <f t="shared" si="102"/>
        <v>430000</v>
      </c>
      <c r="E73" s="292">
        <f t="shared" si="103"/>
        <v>430000</v>
      </c>
      <c r="F73" s="293">
        <f t="shared" si="104"/>
        <v>0</v>
      </c>
      <c r="G73" s="298">
        <f t="shared" si="105"/>
        <v>430000</v>
      </c>
      <c r="H73" s="299">
        <f t="shared" si="106"/>
        <v>430000</v>
      </c>
      <c r="I73" s="262">
        <f t="shared" si="159"/>
        <v>0</v>
      </c>
      <c r="J73" s="298">
        <f t="shared" si="107"/>
        <v>0</v>
      </c>
      <c r="K73" s="299">
        <f t="shared" si="108"/>
        <v>0</v>
      </c>
      <c r="L73" s="262">
        <f t="shared" si="160"/>
        <v>0</v>
      </c>
      <c r="M73" s="298">
        <f t="shared" si="109"/>
        <v>0</v>
      </c>
      <c r="N73" s="299">
        <f t="shared" si="110"/>
        <v>0</v>
      </c>
      <c r="O73" s="262">
        <f t="shared" si="161"/>
        <v>0</v>
      </c>
      <c r="P73" s="298">
        <f t="shared" si="111"/>
        <v>0</v>
      </c>
      <c r="Q73" s="299">
        <f t="shared" si="112"/>
        <v>0</v>
      </c>
      <c r="R73" s="262">
        <f t="shared" si="113"/>
        <v>0</v>
      </c>
      <c r="S73" s="298">
        <f t="shared" si="114"/>
        <v>0</v>
      </c>
      <c r="T73" s="299">
        <f t="shared" si="115"/>
        <v>0</v>
      </c>
      <c r="U73" s="262">
        <f t="shared" si="116"/>
        <v>0</v>
      </c>
      <c r="V73" s="298">
        <f t="shared" si="117"/>
        <v>0</v>
      </c>
      <c r="W73" s="299">
        <f t="shared" si="118"/>
        <v>0</v>
      </c>
      <c r="X73" s="262">
        <f t="shared" si="119"/>
        <v>0</v>
      </c>
      <c r="Y73" s="298">
        <f t="shared" si="120"/>
        <v>0</v>
      </c>
      <c r="Z73" s="299">
        <f t="shared" si="121"/>
        <v>0</v>
      </c>
      <c r="AA73" s="262">
        <f t="shared" si="162"/>
        <v>0</v>
      </c>
      <c r="AB73" s="298">
        <f t="shared" si="122"/>
        <v>0</v>
      </c>
      <c r="AC73" s="299">
        <f t="shared" si="123"/>
        <v>0</v>
      </c>
      <c r="AD73" s="262">
        <f t="shared" si="163"/>
        <v>0</v>
      </c>
      <c r="AE73" s="298">
        <f t="shared" si="124"/>
        <v>0</v>
      </c>
      <c r="AF73" s="299">
        <f t="shared" si="125"/>
        <v>0</v>
      </c>
      <c r="AG73" s="262">
        <f t="shared" si="126"/>
        <v>0</v>
      </c>
      <c r="AH73" s="298">
        <f t="shared" si="127"/>
        <v>0</v>
      </c>
      <c r="AI73" s="299">
        <f t="shared" si="128"/>
        <v>0</v>
      </c>
      <c r="AJ73" s="262">
        <f t="shared" si="129"/>
        <v>0</v>
      </c>
      <c r="AK73" s="298">
        <f t="shared" si="130"/>
        <v>0</v>
      </c>
      <c r="AL73" s="299">
        <f t="shared" si="131"/>
        <v>0</v>
      </c>
      <c r="AM73" s="262">
        <f t="shared" si="132"/>
        <v>0</v>
      </c>
      <c r="AN73" s="298">
        <f t="shared" si="133"/>
        <v>0</v>
      </c>
      <c r="AO73" s="299">
        <f t="shared" si="134"/>
        <v>0</v>
      </c>
      <c r="AP73" s="262">
        <f t="shared" si="164"/>
        <v>0</v>
      </c>
      <c r="AQ73" s="298">
        <f t="shared" si="135"/>
        <v>0</v>
      </c>
      <c r="AR73" s="299">
        <f t="shared" si="136"/>
        <v>0</v>
      </c>
      <c r="AS73" s="262">
        <f t="shared" si="165"/>
        <v>0</v>
      </c>
      <c r="AT73" s="298">
        <f t="shared" si="137"/>
        <v>0</v>
      </c>
      <c r="AU73" s="299">
        <f t="shared" si="138"/>
        <v>0</v>
      </c>
      <c r="AV73" s="262">
        <f t="shared" si="139"/>
        <v>0</v>
      </c>
      <c r="AW73" s="298">
        <f t="shared" si="140"/>
        <v>0</v>
      </c>
      <c r="AX73" s="299">
        <f t="shared" si="141"/>
        <v>0</v>
      </c>
      <c r="AY73" s="262">
        <f t="shared" si="142"/>
        <v>0</v>
      </c>
      <c r="AZ73" s="298">
        <f t="shared" si="143"/>
        <v>0</v>
      </c>
      <c r="BA73" s="299">
        <f t="shared" si="144"/>
        <v>0</v>
      </c>
      <c r="BB73" s="262">
        <f t="shared" si="145"/>
        <v>0</v>
      </c>
      <c r="BC73" s="298">
        <f t="shared" si="146"/>
        <v>0</v>
      </c>
      <c r="BD73" s="299">
        <f t="shared" si="147"/>
        <v>0</v>
      </c>
      <c r="BE73" s="262">
        <f t="shared" si="166"/>
        <v>0</v>
      </c>
      <c r="BF73" s="298">
        <f t="shared" si="148"/>
        <v>0</v>
      </c>
      <c r="BG73" s="299">
        <f t="shared" si="149"/>
        <v>0</v>
      </c>
      <c r="BH73" s="262">
        <f t="shared" si="167"/>
        <v>0</v>
      </c>
      <c r="BI73" s="298">
        <f t="shared" si="150"/>
        <v>0</v>
      </c>
      <c r="BJ73" s="299">
        <f t="shared" si="151"/>
        <v>0</v>
      </c>
      <c r="BK73" s="262">
        <f t="shared" si="152"/>
        <v>0</v>
      </c>
      <c r="BL73" s="298">
        <f t="shared" si="153"/>
        <v>0</v>
      </c>
      <c r="BM73" s="299">
        <f t="shared" si="154"/>
        <v>0</v>
      </c>
      <c r="BN73" s="262">
        <f t="shared" si="155"/>
        <v>0</v>
      </c>
      <c r="BO73" s="298">
        <f t="shared" si="156"/>
        <v>0</v>
      </c>
      <c r="BP73" s="299">
        <f t="shared" si="157"/>
        <v>0</v>
      </c>
      <c r="BQ73" s="262">
        <f t="shared" si="158"/>
        <v>0</v>
      </c>
    </row>
    <row r="74" spans="1:70" ht="16" x14ac:dyDescent="0.2">
      <c r="A74" s="832"/>
      <c r="B74" s="834"/>
      <c r="C74" s="290" t="s">
        <v>171</v>
      </c>
      <c r="D74" s="291">
        <f t="shared" si="102"/>
        <v>430000</v>
      </c>
      <c r="E74" s="292">
        <f t="shared" si="103"/>
        <v>430000</v>
      </c>
      <c r="F74" s="293">
        <f t="shared" si="104"/>
        <v>0</v>
      </c>
      <c r="G74" s="298">
        <f t="shared" si="105"/>
        <v>430000</v>
      </c>
      <c r="H74" s="299">
        <f t="shared" si="106"/>
        <v>430000</v>
      </c>
      <c r="I74" s="262">
        <f t="shared" si="159"/>
        <v>0</v>
      </c>
      <c r="J74" s="298">
        <f t="shared" si="107"/>
        <v>0</v>
      </c>
      <c r="K74" s="299">
        <f t="shared" si="108"/>
        <v>0</v>
      </c>
      <c r="L74" s="262">
        <f t="shared" si="160"/>
        <v>0</v>
      </c>
      <c r="M74" s="298">
        <f t="shared" si="109"/>
        <v>0</v>
      </c>
      <c r="N74" s="299">
        <f t="shared" si="110"/>
        <v>0</v>
      </c>
      <c r="O74" s="262">
        <f t="shared" si="161"/>
        <v>0</v>
      </c>
      <c r="P74" s="298">
        <f t="shared" si="111"/>
        <v>0</v>
      </c>
      <c r="Q74" s="299">
        <f t="shared" si="112"/>
        <v>0</v>
      </c>
      <c r="R74" s="262">
        <f t="shared" si="113"/>
        <v>0</v>
      </c>
      <c r="S74" s="298">
        <f t="shared" si="114"/>
        <v>0</v>
      </c>
      <c r="T74" s="299">
        <f t="shared" si="115"/>
        <v>0</v>
      </c>
      <c r="U74" s="262">
        <f t="shared" si="116"/>
        <v>0</v>
      </c>
      <c r="V74" s="298">
        <f t="shared" si="117"/>
        <v>0</v>
      </c>
      <c r="W74" s="299">
        <f t="shared" si="118"/>
        <v>0</v>
      </c>
      <c r="X74" s="262">
        <f t="shared" si="119"/>
        <v>0</v>
      </c>
      <c r="Y74" s="298">
        <f t="shared" si="120"/>
        <v>0</v>
      </c>
      <c r="Z74" s="299">
        <f t="shared" si="121"/>
        <v>0</v>
      </c>
      <c r="AA74" s="262">
        <f t="shared" si="162"/>
        <v>0</v>
      </c>
      <c r="AB74" s="298">
        <f t="shared" si="122"/>
        <v>0</v>
      </c>
      <c r="AC74" s="299">
        <f t="shared" si="123"/>
        <v>0</v>
      </c>
      <c r="AD74" s="262">
        <f t="shared" si="163"/>
        <v>0</v>
      </c>
      <c r="AE74" s="298">
        <f t="shared" si="124"/>
        <v>0</v>
      </c>
      <c r="AF74" s="299">
        <f t="shared" si="125"/>
        <v>0</v>
      </c>
      <c r="AG74" s="262">
        <f t="shared" si="126"/>
        <v>0</v>
      </c>
      <c r="AH74" s="298">
        <f t="shared" si="127"/>
        <v>0</v>
      </c>
      <c r="AI74" s="299">
        <f t="shared" si="128"/>
        <v>0</v>
      </c>
      <c r="AJ74" s="262">
        <f t="shared" si="129"/>
        <v>0</v>
      </c>
      <c r="AK74" s="298">
        <f t="shared" si="130"/>
        <v>0</v>
      </c>
      <c r="AL74" s="299">
        <f t="shared" si="131"/>
        <v>0</v>
      </c>
      <c r="AM74" s="262">
        <f t="shared" si="132"/>
        <v>0</v>
      </c>
      <c r="AN74" s="298">
        <f t="shared" si="133"/>
        <v>0</v>
      </c>
      <c r="AO74" s="299">
        <f t="shared" si="134"/>
        <v>0</v>
      </c>
      <c r="AP74" s="262">
        <f t="shared" si="164"/>
        <v>0</v>
      </c>
      <c r="AQ74" s="298">
        <f t="shared" si="135"/>
        <v>0</v>
      </c>
      <c r="AR74" s="299">
        <f t="shared" si="136"/>
        <v>0</v>
      </c>
      <c r="AS74" s="262">
        <f t="shared" si="165"/>
        <v>0</v>
      </c>
      <c r="AT74" s="298">
        <f t="shared" si="137"/>
        <v>0</v>
      </c>
      <c r="AU74" s="299">
        <f t="shared" si="138"/>
        <v>0</v>
      </c>
      <c r="AV74" s="262">
        <f t="shared" si="139"/>
        <v>0</v>
      </c>
      <c r="AW74" s="298">
        <f t="shared" si="140"/>
        <v>0</v>
      </c>
      <c r="AX74" s="299">
        <f t="shared" si="141"/>
        <v>0</v>
      </c>
      <c r="AY74" s="262">
        <f t="shared" si="142"/>
        <v>0</v>
      </c>
      <c r="AZ74" s="298">
        <f t="shared" si="143"/>
        <v>0</v>
      </c>
      <c r="BA74" s="299">
        <f t="shared" si="144"/>
        <v>0</v>
      </c>
      <c r="BB74" s="262">
        <f t="shared" si="145"/>
        <v>0</v>
      </c>
      <c r="BC74" s="298">
        <f t="shared" si="146"/>
        <v>0</v>
      </c>
      <c r="BD74" s="299">
        <f t="shared" si="147"/>
        <v>0</v>
      </c>
      <c r="BE74" s="262">
        <f t="shared" si="166"/>
        <v>0</v>
      </c>
      <c r="BF74" s="298">
        <f t="shared" si="148"/>
        <v>0</v>
      </c>
      <c r="BG74" s="299">
        <f t="shared" si="149"/>
        <v>0</v>
      </c>
      <c r="BH74" s="262">
        <f t="shared" si="167"/>
        <v>0</v>
      </c>
      <c r="BI74" s="298">
        <f t="shared" si="150"/>
        <v>0</v>
      </c>
      <c r="BJ74" s="299">
        <f t="shared" si="151"/>
        <v>0</v>
      </c>
      <c r="BK74" s="262">
        <f t="shared" si="152"/>
        <v>0</v>
      </c>
      <c r="BL74" s="298">
        <f t="shared" si="153"/>
        <v>0</v>
      </c>
      <c r="BM74" s="299">
        <f t="shared" si="154"/>
        <v>0</v>
      </c>
      <c r="BN74" s="262">
        <f t="shared" si="155"/>
        <v>0</v>
      </c>
      <c r="BO74" s="298">
        <f t="shared" si="156"/>
        <v>0</v>
      </c>
      <c r="BP74" s="299">
        <f t="shared" si="157"/>
        <v>0</v>
      </c>
      <c r="BQ74" s="262">
        <f t="shared" si="158"/>
        <v>0</v>
      </c>
    </row>
    <row r="75" spans="1:70" ht="17" thickBot="1" x14ac:dyDescent="0.25">
      <c r="A75" s="833"/>
      <c r="B75" s="835"/>
      <c r="C75" s="300" t="s">
        <v>172</v>
      </c>
      <c r="D75" s="301">
        <f t="shared" si="102"/>
        <v>430000</v>
      </c>
      <c r="E75" s="302">
        <f t="shared" si="103"/>
        <v>430000</v>
      </c>
      <c r="F75" s="303">
        <f t="shared" si="104"/>
        <v>0</v>
      </c>
      <c r="G75" s="304">
        <f t="shared" si="105"/>
        <v>430000</v>
      </c>
      <c r="H75" s="305">
        <f t="shared" si="106"/>
        <v>430000</v>
      </c>
      <c r="I75" s="267">
        <f t="shared" si="159"/>
        <v>0</v>
      </c>
      <c r="J75" s="304">
        <f t="shared" si="107"/>
        <v>0</v>
      </c>
      <c r="K75" s="305">
        <f t="shared" si="108"/>
        <v>0</v>
      </c>
      <c r="L75" s="267">
        <f t="shared" si="160"/>
        <v>0</v>
      </c>
      <c r="M75" s="304">
        <f t="shared" si="109"/>
        <v>0</v>
      </c>
      <c r="N75" s="305">
        <f t="shared" si="110"/>
        <v>0</v>
      </c>
      <c r="O75" s="267">
        <f t="shared" si="161"/>
        <v>0</v>
      </c>
      <c r="P75" s="304">
        <f t="shared" si="111"/>
        <v>0</v>
      </c>
      <c r="Q75" s="305">
        <f t="shared" si="112"/>
        <v>0</v>
      </c>
      <c r="R75" s="267">
        <f t="shared" si="113"/>
        <v>0</v>
      </c>
      <c r="S75" s="304">
        <f t="shared" si="114"/>
        <v>0</v>
      </c>
      <c r="T75" s="305">
        <f t="shared" si="115"/>
        <v>0</v>
      </c>
      <c r="U75" s="267">
        <f t="shared" si="116"/>
        <v>0</v>
      </c>
      <c r="V75" s="304">
        <f t="shared" si="117"/>
        <v>0</v>
      </c>
      <c r="W75" s="305">
        <f t="shared" si="118"/>
        <v>0</v>
      </c>
      <c r="X75" s="267">
        <f t="shared" si="119"/>
        <v>0</v>
      </c>
      <c r="Y75" s="304">
        <f t="shared" si="120"/>
        <v>0</v>
      </c>
      <c r="Z75" s="305">
        <f t="shared" si="121"/>
        <v>0</v>
      </c>
      <c r="AA75" s="267">
        <f t="shared" si="162"/>
        <v>0</v>
      </c>
      <c r="AB75" s="304">
        <f t="shared" si="122"/>
        <v>0</v>
      </c>
      <c r="AC75" s="305">
        <f t="shared" si="123"/>
        <v>0</v>
      </c>
      <c r="AD75" s="267">
        <f t="shared" si="163"/>
        <v>0</v>
      </c>
      <c r="AE75" s="304">
        <f t="shared" si="124"/>
        <v>0</v>
      </c>
      <c r="AF75" s="305">
        <f t="shared" si="125"/>
        <v>0</v>
      </c>
      <c r="AG75" s="267">
        <f t="shared" si="126"/>
        <v>0</v>
      </c>
      <c r="AH75" s="304">
        <f t="shared" si="127"/>
        <v>0</v>
      </c>
      <c r="AI75" s="305">
        <f t="shared" si="128"/>
        <v>0</v>
      </c>
      <c r="AJ75" s="267">
        <f t="shared" si="129"/>
        <v>0</v>
      </c>
      <c r="AK75" s="304">
        <f t="shared" si="130"/>
        <v>0</v>
      </c>
      <c r="AL75" s="305">
        <f t="shared" si="131"/>
        <v>0</v>
      </c>
      <c r="AM75" s="267">
        <f t="shared" si="132"/>
        <v>0</v>
      </c>
      <c r="AN75" s="304">
        <f t="shared" si="133"/>
        <v>0</v>
      </c>
      <c r="AO75" s="305">
        <f t="shared" si="134"/>
        <v>0</v>
      </c>
      <c r="AP75" s="267">
        <f t="shared" si="164"/>
        <v>0</v>
      </c>
      <c r="AQ75" s="304">
        <f t="shared" si="135"/>
        <v>0</v>
      </c>
      <c r="AR75" s="305">
        <f t="shared" si="136"/>
        <v>0</v>
      </c>
      <c r="AS75" s="267">
        <f t="shared" si="165"/>
        <v>0</v>
      </c>
      <c r="AT75" s="304">
        <f t="shared" si="137"/>
        <v>0</v>
      </c>
      <c r="AU75" s="305">
        <f t="shared" si="138"/>
        <v>0</v>
      </c>
      <c r="AV75" s="267">
        <f t="shared" si="139"/>
        <v>0</v>
      </c>
      <c r="AW75" s="304">
        <f t="shared" si="140"/>
        <v>0</v>
      </c>
      <c r="AX75" s="305">
        <f t="shared" si="141"/>
        <v>0</v>
      </c>
      <c r="AY75" s="267">
        <f t="shared" si="142"/>
        <v>0</v>
      </c>
      <c r="AZ75" s="304">
        <f t="shared" si="143"/>
        <v>0</v>
      </c>
      <c r="BA75" s="305">
        <f t="shared" si="144"/>
        <v>0</v>
      </c>
      <c r="BB75" s="267">
        <f t="shared" si="145"/>
        <v>0</v>
      </c>
      <c r="BC75" s="304">
        <f t="shared" si="146"/>
        <v>0</v>
      </c>
      <c r="BD75" s="305">
        <f t="shared" si="147"/>
        <v>0</v>
      </c>
      <c r="BE75" s="267">
        <f t="shared" si="166"/>
        <v>0</v>
      </c>
      <c r="BF75" s="304">
        <f t="shared" si="148"/>
        <v>0</v>
      </c>
      <c r="BG75" s="305">
        <f t="shared" si="149"/>
        <v>0</v>
      </c>
      <c r="BH75" s="267">
        <f t="shared" si="167"/>
        <v>0</v>
      </c>
      <c r="BI75" s="304">
        <f t="shared" si="150"/>
        <v>0</v>
      </c>
      <c r="BJ75" s="305">
        <f t="shared" si="151"/>
        <v>0</v>
      </c>
      <c r="BK75" s="267">
        <f t="shared" si="152"/>
        <v>0</v>
      </c>
      <c r="BL75" s="304">
        <f t="shared" si="153"/>
        <v>0</v>
      </c>
      <c r="BM75" s="305">
        <f t="shared" si="154"/>
        <v>0</v>
      </c>
      <c r="BN75" s="267">
        <f t="shared" si="155"/>
        <v>0</v>
      </c>
      <c r="BO75" s="304">
        <f t="shared" si="156"/>
        <v>0</v>
      </c>
      <c r="BP75" s="305">
        <f t="shared" si="157"/>
        <v>0</v>
      </c>
      <c r="BQ75" s="267">
        <f t="shared" si="158"/>
        <v>0</v>
      </c>
    </row>
    <row r="76" spans="1:70" ht="16" x14ac:dyDescent="0.2">
      <c r="A76" s="832" t="s">
        <v>200</v>
      </c>
      <c r="B76" s="834" t="s">
        <v>211</v>
      </c>
      <c r="C76" s="290" t="s">
        <v>163</v>
      </c>
      <c r="D76" s="291">
        <f t="shared" ref="D76:D95" si="168">SUM(G76,J76,M76,P76,S76,V76,Y76,AB76,AE76,AH76,AK76,AN76,AQ76,AT76,AW76,AZ76,AZ76,BC76,BF76,BI76,BL76,BO76)</f>
        <v>3651208.0919540231</v>
      </c>
      <c r="E76" s="292">
        <f t="shared" ref="E76:E135" si="169">SUM(H76,K76,N76,Q76,T76,W76,Z76,AC76,AF76,AI76,AL76,AO76,AR76,AU76,AX76,BA76,BA76,BD76,BG76,BJ76,BM76,BP76)</f>
        <v>3651208.0919540231</v>
      </c>
      <c r="F76" s="293">
        <f t="shared" ref="F76:F105" si="170">SUM(I76,L76,O76,R76,U76,X76,AA76,AD76,AG76,AJ76,AM76,AP76,AS76,AV76,AY76,BB76,BB76,BE76,BH76,BK76,BN76,BQ76)</f>
        <v>0</v>
      </c>
      <c r="G76" s="306">
        <f>G5*G35*Faktory!$D$8</f>
        <v>3651208.0919540231</v>
      </c>
      <c r="H76" s="307">
        <f>((H66*G35)-(H66*((G35-H35)*(1+$BR$35))))*Faktory!$D$8</f>
        <v>3651208.0919540231</v>
      </c>
      <c r="I76" s="257">
        <f>H76-G76</f>
        <v>0</v>
      </c>
      <c r="J76" s="306">
        <f>J5*J35*Faktory!$D$8</f>
        <v>0</v>
      </c>
      <c r="K76" s="307">
        <f>((K66*J35)-(K66*((J35-K35)*(1+$BR$35))))*Faktory!$D$8</f>
        <v>0</v>
      </c>
      <c r="L76" s="257">
        <f>K76-J76</f>
        <v>0</v>
      </c>
      <c r="M76" s="306">
        <f>M5*M35*Faktory!$D$8</f>
        <v>0</v>
      </c>
      <c r="N76" s="307">
        <f>((N66*M35)-(N66*((M35-N35)*(1+$BR$35))))*Faktory!$D$8</f>
        <v>0</v>
      </c>
      <c r="O76" s="257">
        <f>N76-M76</f>
        <v>0</v>
      </c>
      <c r="P76" s="306">
        <f>P5*P35*Faktory!$D$8</f>
        <v>0</v>
      </c>
      <c r="Q76" s="307">
        <f>((Q66*P35)-(Q66*((P35-Q35)*(1+$BR$35))))*Faktory!$D$8</f>
        <v>0</v>
      </c>
      <c r="R76" s="257">
        <f>Q76-P76</f>
        <v>0</v>
      </c>
      <c r="S76" s="306">
        <f>S5*S35*Faktory!$D$8</f>
        <v>0</v>
      </c>
      <c r="T76" s="307">
        <f>((T66*S35)-(T66*((S35-T35)*(1+$BR$35))))*Faktory!$D$8</f>
        <v>0</v>
      </c>
      <c r="U76" s="257">
        <f>T76-S76</f>
        <v>0</v>
      </c>
      <c r="V76" s="306">
        <f>V5*V35*Faktory!$D$8</f>
        <v>0</v>
      </c>
      <c r="W76" s="307">
        <f>((W66*V35)-(W66*((V35-W35)*(1+$BR$35))))*Faktory!$D$8</f>
        <v>0</v>
      </c>
      <c r="X76" s="257">
        <f>W76-V76</f>
        <v>0</v>
      </c>
      <c r="Y76" s="306">
        <f>Y5*Y35*Faktory!$D$8</f>
        <v>0</v>
      </c>
      <c r="Z76" s="307">
        <f>((Z66*Y35)-(Z66*((Y35-Z35)*(1+$BR$35))))*Faktory!$D$8</f>
        <v>0</v>
      </c>
      <c r="AA76" s="257">
        <f>Z76-Y76</f>
        <v>0</v>
      </c>
      <c r="AB76" s="306">
        <f>AB5*AB35*Faktory!$D$8</f>
        <v>0</v>
      </c>
      <c r="AC76" s="307">
        <f>((AC66*AB35)-(AC66*((AB35-AC35)*(1+$BR$35))))*Faktory!$D$8</f>
        <v>0</v>
      </c>
      <c r="AD76" s="257">
        <f>AC76-AB76</f>
        <v>0</v>
      </c>
      <c r="AE76" s="306">
        <f>AE5*AE35*Faktory!$D$8</f>
        <v>0</v>
      </c>
      <c r="AF76" s="307">
        <f>((AF66*AE35)-(AF66*((AE35-AF35)*(1+$BR$35))))*Faktory!$D$8</f>
        <v>0</v>
      </c>
      <c r="AG76" s="257">
        <f>AF76-AE76</f>
        <v>0</v>
      </c>
      <c r="AH76" s="306">
        <f>AH5*AH35*Faktory!$D$8</f>
        <v>0</v>
      </c>
      <c r="AI76" s="307">
        <f>((AI66*AH35)-(AI66*((AH35-AI35)*(1+$BR$35))))*Faktory!$D$8</f>
        <v>0</v>
      </c>
      <c r="AJ76" s="257">
        <f>AI76-AH76</f>
        <v>0</v>
      </c>
      <c r="AK76" s="306">
        <f>AK5*AK35*Faktory!$D$8</f>
        <v>0</v>
      </c>
      <c r="AL76" s="307">
        <f>((AL66*AK35)-(AL66*((AK35-AL35)*(1+$BR$35))))*Faktory!$D$8</f>
        <v>0</v>
      </c>
      <c r="AM76" s="257">
        <f>AL76-AK76</f>
        <v>0</v>
      </c>
      <c r="AN76" s="306">
        <f>AN5*AN35*Faktory!$D$8</f>
        <v>0</v>
      </c>
      <c r="AO76" s="307">
        <f>((AO66*AN35)-(AO66*((AN35-AO35)*(1+$BR$35))))*Faktory!$D$8</f>
        <v>0</v>
      </c>
      <c r="AP76" s="257">
        <f>AO76-AN76</f>
        <v>0</v>
      </c>
      <c r="AQ76" s="306">
        <f>AQ5*AQ35*Faktory!$D$8</f>
        <v>0</v>
      </c>
      <c r="AR76" s="307">
        <f>((AR66*AQ35)-(AR66*((AQ35-AR35)*(1+$BR$35))))*Faktory!$D$8</f>
        <v>0</v>
      </c>
      <c r="AS76" s="257">
        <f>AR76-AQ76</f>
        <v>0</v>
      </c>
      <c r="AT76" s="306">
        <f>AT5*AT35*Faktory!$D$8</f>
        <v>0</v>
      </c>
      <c r="AU76" s="307">
        <f>((AU66*AT35)-(AU66*((AT35-AU35)*(1+$BR$35))))*Faktory!$D$8</f>
        <v>0</v>
      </c>
      <c r="AV76" s="257">
        <f>AU76-AT76</f>
        <v>0</v>
      </c>
      <c r="AW76" s="306">
        <f>AW5*AW35*Faktory!$D$8</f>
        <v>0</v>
      </c>
      <c r="AX76" s="307">
        <f>((AX66*AW35)-(AX66*((AW35-AX35)*(1+$BR$35))))*Faktory!$D$8</f>
        <v>0</v>
      </c>
      <c r="AY76" s="257">
        <f>AX76-AW76</f>
        <v>0</v>
      </c>
      <c r="AZ76" s="306">
        <f>AZ5*AZ35*Faktory!$D$8</f>
        <v>0</v>
      </c>
      <c r="BA76" s="307">
        <f>((BA66*AZ35)-(BA66*((AZ35-BA35)*(1+$BR$35))))*Faktory!$D$8</f>
        <v>0</v>
      </c>
      <c r="BB76" s="257">
        <f>BA76-AZ76</f>
        <v>0</v>
      </c>
      <c r="BC76" s="306">
        <f>BC5*BC35*Faktory!$D$8</f>
        <v>0</v>
      </c>
      <c r="BD76" s="307">
        <f>((BD66*BC35)-(BD66*((BC35-BD35)*(1+$BR$35))))*Faktory!$D$8</f>
        <v>0</v>
      </c>
      <c r="BE76" s="257">
        <f>BD76-BC76</f>
        <v>0</v>
      </c>
      <c r="BF76" s="306">
        <f>BF5*BF35*Faktory!$D$8</f>
        <v>0</v>
      </c>
      <c r="BG76" s="307">
        <f>((BG66*BF35)-(BG66*((BF35-BG35)*(1+$BR$35))))*Faktory!$D$8</f>
        <v>0</v>
      </c>
      <c r="BH76" s="257">
        <f>BG76-BF76</f>
        <v>0</v>
      </c>
      <c r="BI76" s="306">
        <f>BI5*BI35*Faktory!$D$8</f>
        <v>0</v>
      </c>
      <c r="BJ76" s="307">
        <f>((BJ66*BI35)-(BJ66*((BI35-BJ35)*(1+$BR$35))))*Faktory!$D$8</f>
        <v>0</v>
      </c>
      <c r="BK76" s="257">
        <f>BJ76-BI76</f>
        <v>0</v>
      </c>
      <c r="BL76" s="306">
        <f>BL5*BL35*Faktory!$D$8</f>
        <v>0</v>
      </c>
      <c r="BM76" s="307">
        <f>((BM66*BL35)-(BM66*((BL35-BM35)*(1+$BR$35))))*Faktory!$D$8</f>
        <v>0</v>
      </c>
      <c r="BN76" s="257">
        <f>BM76-BL76</f>
        <v>0</v>
      </c>
      <c r="BO76" s="306">
        <f>BO5*BO35*Faktory!$D$8</f>
        <v>0</v>
      </c>
      <c r="BP76" s="307">
        <f>((BP66*BO35)-(BP66*((BO35-BP35)*(1+$BR$35))))*Faktory!$D$8</f>
        <v>0</v>
      </c>
      <c r="BQ76" s="257">
        <f>BP76-BO76</f>
        <v>0</v>
      </c>
    </row>
    <row r="77" spans="1:70" ht="16" x14ac:dyDescent="0.2">
      <c r="A77" s="832"/>
      <c r="B77" s="834"/>
      <c r="C77" s="290" t="s">
        <v>164</v>
      </c>
      <c r="D77" s="291">
        <f t="shared" si="168"/>
        <v>3651208.0919540231</v>
      </c>
      <c r="E77" s="292">
        <f t="shared" si="169"/>
        <v>3169248.623816092</v>
      </c>
      <c r="F77" s="293">
        <f t="shared" si="170"/>
        <v>-481959.46813793108</v>
      </c>
      <c r="G77" s="298">
        <f>G6*G36*Faktory!$D$8</f>
        <v>3651208.0919540231</v>
      </c>
      <c r="H77" s="299">
        <f>((H67*G36)-(H67*((G36-H36)*(1+$BR$35))))*Faktory!$D$8</f>
        <v>3169248.623816092</v>
      </c>
      <c r="I77" s="262">
        <f t="shared" ref="I77:I95" si="171">H77-G77</f>
        <v>-481959.46813793108</v>
      </c>
      <c r="J77" s="298">
        <f>J6*J36*Faktory!$D$8</f>
        <v>0</v>
      </c>
      <c r="K77" s="299">
        <f>((K67*J36)-(K67*((J36-K36)*(1+$BR$35))))*Faktory!$D$8</f>
        <v>0</v>
      </c>
      <c r="L77" s="262">
        <f t="shared" ref="L77:L95" si="172">K77-J77</f>
        <v>0</v>
      </c>
      <c r="M77" s="298">
        <f>M6*M36*Faktory!$D$8</f>
        <v>0</v>
      </c>
      <c r="N77" s="299">
        <f>((N67*M36)-(N67*((M36-N36)*(1+$BR$35))))*Faktory!$D$8</f>
        <v>0</v>
      </c>
      <c r="O77" s="262">
        <f t="shared" ref="O77:O95" si="173">N77-M77</f>
        <v>0</v>
      </c>
      <c r="P77" s="298">
        <f>P6*P36*Faktory!$D$8</f>
        <v>0</v>
      </c>
      <c r="Q77" s="299">
        <f>((Q67*P36)-(Q67*((P36-Q36)*(1+$BR$35))))*Faktory!$D$8</f>
        <v>0</v>
      </c>
      <c r="R77" s="262">
        <f t="shared" ref="R77:R95" si="174">Q77-P77</f>
        <v>0</v>
      </c>
      <c r="S77" s="298">
        <f>S6*S36*Faktory!$D$8</f>
        <v>0</v>
      </c>
      <c r="T77" s="299">
        <f>((T67*S36)-(T67*((S36-T36)*(1+$BR$35))))*Faktory!$D$8</f>
        <v>0</v>
      </c>
      <c r="U77" s="262">
        <f t="shared" ref="U77:U95" si="175">T77-S77</f>
        <v>0</v>
      </c>
      <c r="V77" s="298">
        <f>V6*V36*Faktory!$D$8</f>
        <v>0</v>
      </c>
      <c r="W77" s="299">
        <f>((W67*V36)-(W67*((V36-W36)*(1+$BR$35))))*Faktory!$D$8</f>
        <v>0</v>
      </c>
      <c r="X77" s="262">
        <f t="shared" ref="X77:X95" si="176">W77-V77</f>
        <v>0</v>
      </c>
      <c r="Y77" s="298">
        <f>Y6*Y36*Faktory!$D$8</f>
        <v>0</v>
      </c>
      <c r="Z77" s="299">
        <f>((Z67*Y36)-(Z67*((Y36-Z36)*(1+$BR$35))))*Faktory!$D$8</f>
        <v>0</v>
      </c>
      <c r="AA77" s="262">
        <f t="shared" ref="AA77:AA95" si="177">Z77-Y77</f>
        <v>0</v>
      </c>
      <c r="AB77" s="298">
        <f>AB6*AB36*Faktory!$D$8</f>
        <v>0</v>
      </c>
      <c r="AC77" s="299">
        <f>((AC67*AB36)-(AC67*((AB36-AC36)*(1+$BR$35))))*Faktory!$D$8</f>
        <v>0</v>
      </c>
      <c r="AD77" s="262">
        <f t="shared" ref="AD77:AD95" si="178">AC77-AB77</f>
        <v>0</v>
      </c>
      <c r="AE77" s="298">
        <f>AE6*AE36*Faktory!$D$8</f>
        <v>0</v>
      </c>
      <c r="AF77" s="299">
        <f>((AF67*AE36)-(AF67*((AE36-AF36)*(1+$BR$35))))*Faktory!$D$8</f>
        <v>0</v>
      </c>
      <c r="AG77" s="262">
        <f t="shared" ref="AG77:AG95" si="179">AF77-AE77</f>
        <v>0</v>
      </c>
      <c r="AH77" s="298">
        <f>AH6*AH36*Faktory!$D$8</f>
        <v>0</v>
      </c>
      <c r="AI77" s="299">
        <f>((AI67*AH36)-(AI67*((AH36-AI36)*(1+$BR$35))))*Faktory!$D$8</f>
        <v>0</v>
      </c>
      <c r="AJ77" s="262">
        <f t="shared" ref="AJ77:AJ95" si="180">AI77-AH77</f>
        <v>0</v>
      </c>
      <c r="AK77" s="298">
        <f>AK6*AK36*Faktory!$D$8</f>
        <v>0</v>
      </c>
      <c r="AL77" s="299">
        <f>((AL67*AK36)-(AL67*((AK36-AL36)*(1+$BR$35))))*Faktory!$D$8</f>
        <v>0</v>
      </c>
      <c r="AM77" s="262">
        <f t="shared" ref="AM77:AM95" si="181">AL77-AK77</f>
        <v>0</v>
      </c>
      <c r="AN77" s="298">
        <f>AN6*AN36*Faktory!$D$8</f>
        <v>0</v>
      </c>
      <c r="AO77" s="299">
        <f>((AO67*AN36)-(AO67*((AN36-AO36)*(1+$BR$35))))*Faktory!$D$8</f>
        <v>0</v>
      </c>
      <c r="AP77" s="262">
        <f t="shared" ref="AP77:AP95" si="182">AO77-AN77</f>
        <v>0</v>
      </c>
      <c r="AQ77" s="298">
        <f>AQ6*AQ36*Faktory!$D$8</f>
        <v>0</v>
      </c>
      <c r="AR77" s="299">
        <f>((AR67*AQ36)-(AR67*((AQ36-AR36)*(1+$BR$35))))*Faktory!$D$8</f>
        <v>0</v>
      </c>
      <c r="AS77" s="262">
        <f t="shared" ref="AS77:AS95" si="183">AR77-AQ77</f>
        <v>0</v>
      </c>
      <c r="AT77" s="298">
        <f>AT6*AT36*Faktory!$D$8</f>
        <v>0</v>
      </c>
      <c r="AU77" s="299">
        <f>((AU67*AT36)-(AU67*((AT36-AU36)*(1+$BR$35))))*Faktory!$D$8</f>
        <v>0</v>
      </c>
      <c r="AV77" s="262">
        <f t="shared" ref="AV77:AV95" si="184">AU77-AT77</f>
        <v>0</v>
      </c>
      <c r="AW77" s="298">
        <f>AW6*AW36*Faktory!$D$8</f>
        <v>0</v>
      </c>
      <c r="AX77" s="299">
        <f>((AX67*AW36)-(AX67*((AW36-AX36)*(1+$BR$35))))*Faktory!$D$8</f>
        <v>0</v>
      </c>
      <c r="AY77" s="262">
        <f t="shared" ref="AY77:AY95" si="185">AX77-AW77</f>
        <v>0</v>
      </c>
      <c r="AZ77" s="298">
        <f>AZ6*AZ36*Faktory!$D$8</f>
        <v>0</v>
      </c>
      <c r="BA77" s="299">
        <f>((BA67*AZ36)-(BA67*((AZ36-BA36)*(1+$BR$35))))*Faktory!$D$8</f>
        <v>0</v>
      </c>
      <c r="BB77" s="262">
        <f t="shared" ref="BB77:BB95" si="186">BA77-AZ77</f>
        <v>0</v>
      </c>
      <c r="BC77" s="298">
        <f>BC6*BC36*Faktory!$D$8</f>
        <v>0</v>
      </c>
      <c r="BD77" s="299">
        <f>((BD67*BC36)-(BD67*((BC36-BD36)*(1+$BR$35))))*Faktory!$D$8</f>
        <v>0</v>
      </c>
      <c r="BE77" s="262">
        <f t="shared" ref="BE77:BE95" si="187">BD77-BC77</f>
        <v>0</v>
      </c>
      <c r="BF77" s="298">
        <f>BF6*BF36*Faktory!$D$8</f>
        <v>0</v>
      </c>
      <c r="BG77" s="299">
        <f>((BG67*BF36)-(BG67*((BF36-BG36)*(1+$BR$35))))*Faktory!$D$8</f>
        <v>0</v>
      </c>
      <c r="BH77" s="262">
        <f t="shared" ref="BH77:BH95" si="188">BG77-BF77</f>
        <v>0</v>
      </c>
      <c r="BI77" s="298">
        <f>BI6*BI36*Faktory!$D$8</f>
        <v>0</v>
      </c>
      <c r="BJ77" s="299">
        <f>((BJ67*BI36)-(BJ67*((BI36-BJ36)*(1+$BR$35))))*Faktory!$D$8</f>
        <v>0</v>
      </c>
      <c r="BK77" s="262">
        <f t="shared" ref="BK77:BK95" si="189">BJ77-BI77</f>
        <v>0</v>
      </c>
      <c r="BL77" s="298">
        <f>BL6*BL36*Faktory!$D$8</f>
        <v>0</v>
      </c>
      <c r="BM77" s="299">
        <f>((BM67*BL36)-(BM67*((BL36-BM36)*(1+$BR$35))))*Faktory!$D$8</f>
        <v>0</v>
      </c>
      <c r="BN77" s="262">
        <f t="shared" ref="BN77:BN95" si="190">BM77-BL77</f>
        <v>0</v>
      </c>
      <c r="BO77" s="298">
        <f>BO6*BO36*Faktory!$D$8</f>
        <v>0</v>
      </c>
      <c r="BP77" s="299">
        <f>((BP67*BO36)-(BP67*((BO36-BP36)*(1+$BR$35))))*Faktory!$D$8</f>
        <v>0</v>
      </c>
      <c r="BQ77" s="262">
        <f t="shared" ref="BQ77:BQ95" si="191">BP77-BO77</f>
        <v>0</v>
      </c>
    </row>
    <row r="78" spans="1:70" ht="16" x14ac:dyDescent="0.2">
      <c r="A78" s="832"/>
      <c r="B78" s="834"/>
      <c r="C78" s="290" t="s">
        <v>165</v>
      </c>
      <c r="D78" s="291">
        <f t="shared" si="168"/>
        <v>3651208.0919540231</v>
      </c>
      <c r="E78" s="292">
        <f t="shared" si="169"/>
        <v>2687289.155678161</v>
      </c>
      <c r="F78" s="293">
        <f t="shared" si="170"/>
        <v>-963918.93627586216</v>
      </c>
      <c r="G78" s="298">
        <f>G7*G37*Faktory!$D$8</f>
        <v>3651208.0919540231</v>
      </c>
      <c r="H78" s="299">
        <f>((H68*G37)-(H68*((G37-H37)*(1+$BR$35))))*Faktory!$D$8</f>
        <v>2687289.155678161</v>
      </c>
      <c r="I78" s="262">
        <f t="shared" si="171"/>
        <v>-963918.93627586216</v>
      </c>
      <c r="J78" s="298">
        <f>J7*J37*Faktory!$D$8</f>
        <v>0</v>
      </c>
      <c r="K78" s="299">
        <f>((K68*J37)-(K68*((J37-K37)*(1+$BR$35))))*Faktory!$D$8</f>
        <v>0</v>
      </c>
      <c r="L78" s="262">
        <f t="shared" si="172"/>
        <v>0</v>
      </c>
      <c r="M78" s="298">
        <f>M7*M37*Faktory!$D$8</f>
        <v>0</v>
      </c>
      <c r="N78" s="299">
        <f>((N68*M37)-(N68*((M37-N37)*(1+$BR$35))))*Faktory!$D$8</f>
        <v>0</v>
      </c>
      <c r="O78" s="262">
        <f t="shared" si="173"/>
        <v>0</v>
      </c>
      <c r="P78" s="298">
        <f>P7*P37*Faktory!$D$8</f>
        <v>0</v>
      </c>
      <c r="Q78" s="299">
        <f>((Q68*P37)-(Q68*((P37-Q37)*(1+$BR$35))))*Faktory!$D$8</f>
        <v>0</v>
      </c>
      <c r="R78" s="262">
        <f t="shared" si="174"/>
        <v>0</v>
      </c>
      <c r="S78" s="298">
        <f>S7*S37*Faktory!$D$8</f>
        <v>0</v>
      </c>
      <c r="T78" s="299">
        <f>((T68*S37)-(T68*((S37-T37)*(1+$BR$35))))*Faktory!$D$8</f>
        <v>0</v>
      </c>
      <c r="U78" s="262">
        <f t="shared" si="175"/>
        <v>0</v>
      </c>
      <c r="V78" s="298">
        <f>V7*V37*Faktory!$D$8</f>
        <v>0</v>
      </c>
      <c r="W78" s="299">
        <f>((W68*V37)-(W68*((V37-W37)*(1+$BR$35))))*Faktory!$D$8</f>
        <v>0</v>
      </c>
      <c r="X78" s="262">
        <f t="shared" si="176"/>
        <v>0</v>
      </c>
      <c r="Y78" s="298">
        <f>Y7*Y37*Faktory!$D$8</f>
        <v>0</v>
      </c>
      <c r="Z78" s="299">
        <f>((Z68*Y37)-(Z68*((Y37-Z37)*(1+$BR$35))))*Faktory!$D$8</f>
        <v>0</v>
      </c>
      <c r="AA78" s="262">
        <f t="shared" si="177"/>
        <v>0</v>
      </c>
      <c r="AB78" s="298">
        <f>AB7*AB37*Faktory!$D$8</f>
        <v>0</v>
      </c>
      <c r="AC78" s="299">
        <f>((AC68*AB37)-(AC68*((AB37-AC37)*(1+$BR$35))))*Faktory!$D$8</f>
        <v>0</v>
      </c>
      <c r="AD78" s="262">
        <f t="shared" si="178"/>
        <v>0</v>
      </c>
      <c r="AE78" s="298">
        <f>AE7*AE37*Faktory!$D$8</f>
        <v>0</v>
      </c>
      <c r="AF78" s="299">
        <f>((AF68*AE37)-(AF68*((AE37-AF37)*(1+$BR$35))))*Faktory!$D$8</f>
        <v>0</v>
      </c>
      <c r="AG78" s="262">
        <f t="shared" si="179"/>
        <v>0</v>
      </c>
      <c r="AH78" s="298">
        <f>AH7*AH37*Faktory!$D$8</f>
        <v>0</v>
      </c>
      <c r="AI78" s="299">
        <f>((AI68*AH37)-(AI68*((AH37-AI37)*(1+$BR$35))))*Faktory!$D$8</f>
        <v>0</v>
      </c>
      <c r="AJ78" s="262">
        <f t="shared" si="180"/>
        <v>0</v>
      </c>
      <c r="AK78" s="298">
        <f>AK7*AK37*Faktory!$D$8</f>
        <v>0</v>
      </c>
      <c r="AL78" s="299">
        <f>((AL68*AK37)-(AL68*((AK37-AL37)*(1+$BR$35))))*Faktory!$D$8</f>
        <v>0</v>
      </c>
      <c r="AM78" s="262">
        <f t="shared" si="181"/>
        <v>0</v>
      </c>
      <c r="AN78" s="298">
        <f>AN7*AN37*Faktory!$D$8</f>
        <v>0</v>
      </c>
      <c r="AO78" s="299">
        <f>((AO68*AN37)-(AO68*((AN37-AO37)*(1+$BR$35))))*Faktory!$D$8</f>
        <v>0</v>
      </c>
      <c r="AP78" s="262">
        <f t="shared" si="182"/>
        <v>0</v>
      </c>
      <c r="AQ78" s="298">
        <f>AQ7*AQ37*Faktory!$D$8</f>
        <v>0</v>
      </c>
      <c r="AR78" s="299">
        <f>((AR68*AQ37)-(AR68*((AQ37-AR37)*(1+$BR$35))))*Faktory!$D$8</f>
        <v>0</v>
      </c>
      <c r="AS78" s="262">
        <f t="shared" si="183"/>
        <v>0</v>
      </c>
      <c r="AT78" s="298">
        <f>AT7*AT37*Faktory!$D$8</f>
        <v>0</v>
      </c>
      <c r="AU78" s="299">
        <f>((AU68*AT37)-(AU68*((AT37-AU37)*(1+$BR$35))))*Faktory!$D$8</f>
        <v>0</v>
      </c>
      <c r="AV78" s="262">
        <f t="shared" si="184"/>
        <v>0</v>
      </c>
      <c r="AW78" s="298">
        <f>AW7*AW37*Faktory!$D$8</f>
        <v>0</v>
      </c>
      <c r="AX78" s="299">
        <f>((AX68*AW37)-(AX68*((AW37-AX37)*(1+$BR$35))))*Faktory!$D$8</f>
        <v>0</v>
      </c>
      <c r="AY78" s="262">
        <f t="shared" si="185"/>
        <v>0</v>
      </c>
      <c r="AZ78" s="298">
        <f>AZ7*AZ37*Faktory!$D$8</f>
        <v>0</v>
      </c>
      <c r="BA78" s="299">
        <f>((BA68*AZ37)-(BA68*((AZ37-BA37)*(1+$BR$35))))*Faktory!$D$8</f>
        <v>0</v>
      </c>
      <c r="BB78" s="262">
        <f t="shared" si="186"/>
        <v>0</v>
      </c>
      <c r="BC78" s="298">
        <f>BC7*BC37*Faktory!$D$8</f>
        <v>0</v>
      </c>
      <c r="BD78" s="299">
        <f>((BD68*BC37)-(BD68*((BC37-BD37)*(1+$BR$35))))*Faktory!$D$8</f>
        <v>0</v>
      </c>
      <c r="BE78" s="262">
        <f t="shared" si="187"/>
        <v>0</v>
      </c>
      <c r="BF78" s="298">
        <f>BF7*BF37*Faktory!$D$8</f>
        <v>0</v>
      </c>
      <c r="BG78" s="299">
        <f>((BG68*BF37)-(BG68*((BF37-BG37)*(1+$BR$35))))*Faktory!$D$8</f>
        <v>0</v>
      </c>
      <c r="BH78" s="262">
        <f t="shared" si="188"/>
        <v>0</v>
      </c>
      <c r="BI78" s="298">
        <f>BI7*BI37*Faktory!$D$8</f>
        <v>0</v>
      </c>
      <c r="BJ78" s="299">
        <f>((BJ68*BI37)-(BJ68*((BI37-BJ37)*(1+$BR$35))))*Faktory!$D$8</f>
        <v>0</v>
      </c>
      <c r="BK78" s="262">
        <f t="shared" si="189"/>
        <v>0</v>
      </c>
      <c r="BL78" s="298">
        <f>BL7*BL37*Faktory!$D$8</f>
        <v>0</v>
      </c>
      <c r="BM78" s="299">
        <f>((BM68*BL37)-(BM68*((BL37-BM37)*(1+$BR$35))))*Faktory!$D$8</f>
        <v>0</v>
      </c>
      <c r="BN78" s="262">
        <f t="shared" si="190"/>
        <v>0</v>
      </c>
      <c r="BO78" s="298">
        <f>BO7*BO37*Faktory!$D$8</f>
        <v>0</v>
      </c>
      <c r="BP78" s="299">
        <f>((BP68*BO37)-(BP68*((BO37-BP37)*(1+$BR$35))))*Faktory!$D$8</f>
        <v>0</v>
      </c>
      <c r="BQ78" s="262">
        <f t="shared" si="191"/>
        <v>0</v>
      </c>
    </row>
    <row r="79" spans="1:70" ht="16" x14ac:dyDescent="0.2">
      <c r="A79" s="832"/>
      <c r="B79" s="834"/>
      <c r="C79" s="290" t="s">
        <v>166</v>
      </c>
      <c r="D79" s="291">
        <f t="shared" si="168"/>
        <v>3651208.0919540231</v>
      </c>
      <c r="E79" s="292">
        <f t="shared" si="169"/>
        <v>2446309.4216091954</v>
      </c>
      <c r="F79" s="293">
        <f t="shared" si="170"/>
        <v>-1204898.6703448277</v>
      </c>
      <c r="G79" s="298">
        <f>G8*G38*Faktory!$D$8</f>
        <v>3651208.0919540231</v>
      </c>
      <c r="H79" s="299">
        <f>((H69*G38)-(H69*((G38-H38)*(1+$BR$35))))*Faktory!$D$8</f>
        <v>2446309.4216091954</v>
      </c>
      <c r="I79" s="262">
        <f t="shared" si="171"/>
        <v>-1204898.6703448277</v>
      </c>
      <c r="J79" s="298">
        <f>J8*J38*Faktory!$D$8</f>
        <v>0</v>
      </c>
      <c r="K79" s="299">
        <f>((K69*J38)-(K69*((J38-K38)*(1+$BR$35))))*Faktory!$D$8</f>
        <v>0</v>
      </c>
      <c r="L79" s="262">
        <f t="shared" si="172"/>
        <v>0</v>
      </c>
      <c r="M79" s="298">
        <f>M8*M38*Faktory!$D$8</f>
        <v>0</v>
      </c>
      <c r="N79" s="299">
        <f>((N69*M38)-(N69*((M38-N38)*(1+$BR$35))))*Faktory!$D$8</f>
        <v>0</v>
      </c>
      <c r="O79" s="262">
        <f t="shared" si="173"/>
        <v>0</v>
      </c>
      <c r="P79" s="298">
        <f>P8*P38*Faktory!$D$8</f>
        <v>0</v>
      </c>
      <c r="Q79" s="299">
        <f>((Q69*P38)-(Q69*((P38-Q38)*(1+$BR$35))))*Faktory!$D$8</f>
        <v>0</v>
      </c>
      <c r="R79" s="262">
        <f t="shared" si="174"/>
        <v>0</v>
      </c>
      <c r="S79" s="298">
        <f>S8*S38*Faktory!$D$8</f>
        <v>0</v>
      </c>
      <c r="T79" s="299">
        <f>((T69*S38)-(T69*((S38-T38)*(1+$BR$35))))*Faktory!$D$8</f>
        <v>0</v>
      </c>
      <c r="U79" s="262">
        <f t="shared" si="175"/>
        <v>0</v>
      </c>
      <c r="V79" s="298">
        <f>V8*V38*Faktory!$D$8</f>
        <v>0</v>
      </c>
      <c r="W79" s="299">
        <f>((W69*V38)-(W69*((V38-W38)*(1+$BR$35))))*Faktory!$D$8</f>
        <v>0</v>
      </c>
      <c r="X79" s="262">
        <f t="shared" si="176"/>
        <v>0</v>
      </c>
      <c r="Y79" s="298">
        <f>Y8*Y38*Faktory!$D$8</f>
        <v>0</v>
      </c>
      <c r="Z79" s="299">
        <f>((Z69*Y38)-(Z69*((Y38-Z38)*(1+$BR$35))))*Faktory!$D$8</f>
        <v>0</v>
      </c>
      <c r="AA79" s="262">
        <f t="shared" si="177"/>
        <v>0</v>
      </c>
      <c r="AB79" s="298">
        <f>AB8*AB38*Faktory!$D$8</f>
        <v>0</v>
      </c>
      <c r="AC79" s="299">
        <f>((AC69*AB38)-(AC69*((AB38-AC38)*(1+$BR$35))))*Faktory!$D$8</f>
        <v>0</v>
      </c>
      <c r="AD79" s="262">
        <f t="shared" si="178"/>
        <v>0</v>
      </c>
      <c r="AE79" s="298">
        <f>AE8*AE38*Faktory!$D$8</f>
        <v>0</v>
      </c>
      <c r="AF79" s="299">
        <f>((AF69*AE38)-(AF69*((AE38-AF38)*(1+$BR$35))))*Faktory!$D$8</f>
        <v>0</v>
      </c>
      <c r="AG79" s="262">
        <f t="shared" si="179"/>
        <v>0</v>
      </c>
      <c r="AH79" s="298">
        <f>AH8*AH38*Faktory!$D$8</f>
        <v>0</v>
      </c>
      <c r="AI79" s="299">
        <f>((AI69*AH38)-(AI69*((AH38-AI38)*(1+$BR$35))))*Faktory!$D$8</f>
        <v>0</v>
      </c>
      <c r="AJ79" s="262">
        <f t="shared" si="180"/>
        <v>0</v>
      </c>
      <c r="AK79" s="298">
        <f>AK8*AK38*Faktory!$D$8</f>
        <v>0</v>
      </c>
      <c r="AL79" s="299">
        <f>((AL69*AK38)-(AL69*((AK38-AL38)*(1+$BR$35))))*Faktory!$D$8</f>
        <v>0</v>
      </c>
      <c r="AM79" s="262">
        <f t="shared" si="181"/>
        <v>0</v>
      </c>
      <c r="AN79" s="298">
        <f>AN8*AN38*Faktory!$D$8</f>
        <v>0</v>
      </c>
      <c r="AO79" s="299">
        <f>((AO69*AN38)-(AO69*((AN38-AO38)*(1+$BR$35))))*Faktory!$D$8</f>
        <v>0</v>
      </c>
      <c r="AP79" s="262">
        <f t="shared" si="182"/>
        <v>0</v>
      </c>
      <c r="AQ79" s="298">
        <f>AQ8*AQ38*Faktory!$D$8</f>
        <v>0</v>
      </c>
      <c r="AR79" s="299">
        <f>((AR69*AQ38)-(AR69*((AQ38-AR38)*(1+$BR$35))))*Faktory!$D$8</f>
        <v>0</v>
      </c>
      <c r="AS79" s="262">
        <f t="shared" si="183"/>
        <v>0</v>
      </c>
      <c r="AT79" s="298">
        <f>AT8*AT38*Faktory!$D$8</f>
        <v>0</v>
      </c>
      <c r="AU79" s="299">
        <f>((AU69*AT38)-(AU69*((AT38-AU38)*(1+$BR$35))))*Faktory!$D$8</f>
        <v>0</v>
      </c>
      <c r="AV79" s="262">
        <f t="shared" si="184"/>
        <v>0</v>
      </c>
      <c r="AW79" s="298">
        <f>AW8*AW38*Faktory!$D$8</f>
        <v>0</v>
      </c>
      <c r="AX79" s="299">
        <f>((AX69*AW38)-(AX69*((AW38-AX38)*(1+$BR$35))))*Faktory!$D$8</f>
        <v>0</v>
      </c>
      <c r="AY79" s="262">
        <f t="shared" si="185"/>
        <v>0</v>
      </c>
      <c r="AZ79" s="298">
        <f>AZ8*AZ38*Faktory!$D$8</f>
        <v>0</v>
      </c>
      <c r="BA79" s="299">
        <f>((BA69*AZ38)-(BA69*((AZ38-BA38)*(1+$BR$35))))*Faktory!$D$8</f>
        <v>0</v>
      </c>
      <c r="BB79" s="262">
        <f t="shared" si="186"/>
        <v>0</v>
      </c>
      <c r="BC79" s="298">
        <f>BC8*BC38*Faktory!$D$8</f>
        <v>0</v>
      </c>
      <c r="BD79" s="299">
        <f>((BD69*BC38)-(BD69*((BC38-BD38)*(1+$BR$35))))*Faktory!$D$8</f>
        <v>0</v>
      </c>
      <c r="BE79" s="262">
        <f t="shared" si="187"/>
        <v>0</v>
      </c>
      <c r="BF79" s="298">
        <f>BF8*BF38*Faktory!$D$8</f>
        <v>0</v>
      </c>
      <c r="BG79" s="299">
        <f>((BG69*BF38)-(BG69*((BF38-BG38)*(1+$BR$35))))*Faktory!$D$8</f>
        <v>0</v>
      </c>
      <c r="BH79" s="262">
        <f t="shared" si="188"/>
        <v>0</v>
      </c>
      <c r="BI79" s="298">
        <f>BI8*BI38*Faktory!$D$8</f>
        <v>0</v>
      </c>
      <c r="BJ79" s="299">
        <f>((BJ69*BI38)-(BJ69*((BI38-BJ38)*(1+$BR$35))))*Faktory!$D$8</f>
        <v>0</v>
      </c>
      <c r="BK79" s="262">
        <f t="shared" si="189"/>
        <v>0</v>
      </c>
      <c r="BL79" s="298">
        <f>BL8*BL38*Faktory!$D$8</f>
        <v>0</v>
      </c>
      <c r="BM79" s="299">
        <f>((BM69*BL38)-(BM69*((BL38-BM38)*(1+$BR$35))))*Faktory!$D$8</f>
        <v>0</v>
      </c>
      <c r="BN79" s="262">
        <f t="shared" si="190"/>
        <v>0</v>
      </c>
      <c r="BO79" s="298">
        <f>BO8*BO38*Faktory!$D$8</f>
        <v>0</v>
      </c>
      <c r="BP79" s="299">
        <f>((BP69*BO38)-(BP69*((BO38-BP38)*(1+$BR$35))))*Faktory!$D$8</f>
        <v>0</v>
      </c>
      <c r="BQ79" s="262">
        <f t="shared" si="191"/>
        <v>0</v>
      </c>
    </row>
    <row r="80" spans="1:70" ht="16" x14ac:dyDescent="0.2">
      <c r="A80" s="832"/>
      <c r="B80" s="834"/>
      <c r="C80" s="290" t="s">
        <v>167</v>
      </c>
      <c r="D80" s="291">
        <f t="shared" si="168"/>
        <v>3651208.0919540231</v>
      </c>
      <c r="E80" s="292">
        <f t="shared" si="169"/>
        <v>2205329.6875402299</v>
      </c>
      <c r="F80" s="293">
        <f t="shared" si="170"/>
        <v>-1445878.4044137932</v>
      </c>
      <c r="G80" s="298">
        <f>G9*G39*Faktory!$D$8</f>
        <v>3651208.0919540231</v>
      </c>
      <c r="H80" s="299">
        <f>((H70*G39)-(H70*((G39-H39)*(1+$BR$35))))*Faktory!$D$8</f>
        <v>2205329.6875402299</v>
      </c>
      <c r="I80" s="262">
        <f t="shared" si="171"/>
        <v>-1445878.4044137932</v>
      </c>
      <c r="J80" s="298">
        <f>J9*J39*Faktory!$D$8</f>
        <v>0</v>
      </c>
      <c r="K80" s="299">
        <f>((K70*J39)-(K70*((J39-K39)*(1+$BR$35))))*Faktory!$D$8</f>
        <v>0</v>
      </c>
      <c r="L80" s="262">
        <f t="shared" si="172"/>
        <v>0</v>
      </c>
      <c r="M80" s="298">
        <f>M9*M39*Faktory!$D$8</f>
        <v>0</v>
      </c>
      <c r="N80" s="299">
        <f>((N70*M39)-(N70*((M39-N39)*(1+$BR$35))))*Faktory!$D$8</f>
        <v>0</v>
      </c>
      <c r="O80" s="262">
        <f t="shared" si="173"/>
        <v>0</v>
      </c>
      <c r="P80" s="298">
        <f>P9*P39*Faktory!$D$8</f>
        <v>0</v>
      </c>
      <c r="Q80" s="299">
        <f>((Q70*P39)-(Q70*((P39-Q39)*(1+$BR$35))))*Faktory!$D$8</f>
        <v>0</v>
      </c>
      <c r="R80" s="262">
        <f t="shared" si="174"/>
        <v>0</v>
      </c>
      <c r="S80" s="298">
        <f>S9*S39*Faktory!$D$8</f>
        <v>0</v>
      </c>
      <c r="T80" s="299">
        <f>((T70*S39)-(T70*((S39-T39)*(1+$BR$35))))*Faktory!$D$8</f>
        <v>0</v>
      </c>
      <c r="U80" s="262">
        <f t="shared" si="175"/>
        <v>0</v>
      </c>
      <c r="V80" s="298">
        <f>V9*V39*Faktory!$D$8</f>
        <v>0</v>
      </c>
      <c r="W80" s="299">
        <f>((W70*V39)-(W70*((V39-W39)*(1+$BR$35))))*Faktory!$D$8</f>
        <v>0</v>
      </c>
      <c r="X80" s="262">
        <f t="shared" si="176"/>
        <v>0</v>
      </c>
      <c r="Y80" s="298">
        <f>Y9*Y39*Faktory!$D$8</f>
        <v>0</v>
      </c>
      <c r="Z80" s="299">
        <f>((Z70*Y39)-(Z70*((Y39-Z39)*(1+$BR$35))))*Faktory!$D$8</f>
        <v>0</v>
      </c>
      <c r="AA80" s="262">
        <f t="shared" si="177"/>
        <v>0</v>
      </c>
      <c r="AB80" s="298">
        <f>AB9*AB39*Faktory!$D$8</f>
        <v>0</v>
      </c>
      <c r="AC80" s="299">
        <f>((AC70*AB39)-(AC70*((AB39-AC39)*(1+$BR$35))))*Faktory!$D$8</f>
        <v>0</v>
      </c>
      <c r="AD80" s="262">
        <f t="shared" si="178"/>
        <v>0</v>
      </c>
      <c r="AE80" s="298">
        <f>AE9*AE39*Faktory!$D$8</f>
        <v>0</v>
      </c>
      <c r="AF80" s="299">
        <f>((AF70*AE39)-(AF70*((AE39-AF39)*(1+$BR$35))))*Faktory!$D$8</f>
        <v>0</v>
      </c>
      <c r="AG80" s="262">
        <f t="shared" si="179"/>
        <v>0</v>
      </c>
      <c r="AH80" s="298">
        <f>AH9*AH39*Faktory!$D$8</f>
        <v>0</v>
      </c>
      <c r="AI80" s="299">
        <f>((AI70*AH39)-(AI70*((AH39-AI39)*(1+$BR$35))))*Faktory!$D$8</f>
        <v>0</v>
      </c>
      <c r="AJ80" s="262">
        <f t="shared" si="180"/>
        <v>0</v>
      </c>
      <c r="AK80" s="298">
        <f>AK9*AK39*Faktory!$D$8</f>
        <v>0</v>
      </c>
      <c r="AL80" s="299">
        <f>((AL70*AK39)-(AL70*((AK39-AL39)*(1+$BR$35))))*Faktory!$D$8</f>
        <v>0</v>
      </c>
      <c r="AM80" s="262">
        <f t="shared" si="181"/>
        <v>0</v>
      </c>
      <c r="AN80" s="298">
        <f>AN9*AN39*Faktory!$D$8</f>
        <v>0</v>
      </c>
      <c r="AO80" s="299">
        <f>((AO70*AN39)-(AO70*((AN39-AO39)*(1+$BR$35))))*Faktory!$D$8</f>
        <v>0</v>
      </c>
      <c r="AP80" s="262">
        <f t="shared" si="182"/>
        <v>0</v>
      </c>
      <c r="AQ80" s="298">
        <f>AQ9*AQ39*Faktory!$D$8</f>
        <v>0</v>
      </c>
      <c r="AR80" s="299">
        <f>((AR70*AQ39)-(AR70*((AQ39-AR39)*(1+$BR$35))))*Faktory!$D$8</f>
        <v>0</v>
      </c>
      <c r="AS80" s="262">
        <f t="shared" si="183"/>
        <v>0</v>
      </c>
      <c r="AT80" s="298">
        <f>AT9*AT39*Faktory!$D$8</f>
        <v>0</v>
      </c>
      <c r="AU80" s="299">
        <f>((AU70*AT39)-(AU70*((AT39-AU39)*(1+$BR$35))))*Faktory!$D$8</f>
        <v>0</v>
      </c>
      <c r="AV80" s="262">
        <f t="shared" si="184"/>
        <v>0</v>
      </c>
      <c r="AW80" s="298">
        <f>AW9*AW39*Faktory!$D$8</f>
        <v>0</v>
      </c>
      <c r="AX80" s="299">
        <f>((AX70*AW39)-(AX70*((AW39-AX39)*(1+$BR$35))))*Faktory!$D$8</f>
        <v>0</v>
      </c>
      <c r="AY80" s="262">
        <f t="shared" si="185"/>
        <v>0</v>
      </c>
      <c r="AZ80" s="298">
        <f>AZ9*AZ39*Faktory!$D$8</f>
        <v>0</v>
      </c>
      <c r="BA80" s="299">
        <f>((BA70*AZ39)-(BA70*((AZ39-BA39)*(1+$BR$35))))*Faktory!$D$8</f>
        <v>0</v>
      </c>
      <c r="BB80" s="262">
        <f t="shared" si="186"/>
        <v>0</v>
      </c>
      <c r="BC80" s="298">
        <f>BC9*BC39*Faktory!$D$8</f>
        <v>0</v>
      </c>
      <c r="BD80" s="299">
        <f>((BD70*BC39)-(BD70*((BC39-BD39)*(1+$BR$35))))*Faktory!$D$8</f>
        <v>0</v>
      </c>
      <c r="BE80" s="262">
        <f t="shared" si="187"/>
        <v>0</v>
      </c>
      <c r="BF80" s="298">
        <f>BF9*BF39*Faktory!$D$8</f>
        <v>0</v>
      </c>
      <c r="BG80" s="299">
        <f>((BG70*BF39)-(BG70*((BF39-BG39)*(1+$BR$35))))*Faktory!$D$8</f>
        <v>0</v>
      </c>
      <c r="BH80" s="262">
        <f t="shared" si="188"/>
        <v>0</v>
      </c>
      <c r="BI80" s="298">
        <f>BI9*BI39*Faktory!$D$8</f>
        <v>0</v>
      </c>
      <c r="BJ80" s="299">
        <f>((BJ70*BI39)-(BJ70*((BI39-BJ39)*(1+$BR$35))))*Faktory!$D$8</f>
        <v>0</v>
      </c>
      <c r="BK80" s="262">
        <f t="shared" si="189"/>
        <v>0</v>
      </c>
      <c r="BL80" s="298">
        <f>BL9*BL39*Faktory!$D$8</f>
        <v>0</v>
      </c>
      <c r="BM80" s="299">
        <f>((BM70*BL39)-(BM70*((BL39-BM39)*(1+$BR$35))))*Faktory!$D$8</f>
        <v>0</v>
      </c>
      <c r="BN80" s="262">
        <f t="shared" si="190"/>
        <v>0</v>
      </c>
      <c r="BO80" s="298">
        <f>BO9*BO39*Faktory!$D$8</f>
        <v>0</v>
      </c>
      <c r="BP80" s="299">
        <f>((BP70*BO39)-(BP70*((BO39-BP39)*(1+$BR$35))))*Faktory!$D$8</f>
        <v>0</v>
      </c>
      <c r="BQ80" s="262">
        <f t="shared" si="191"/>
        <v>0</v>
      </c>
    </row>
    <row r="81" spans="1:69" ht="16" x14ac:dyDescent="0.2">
      <c r="A81" s="832"/>
      <c r="B81" s="834"/>
      <c r="C81" s="290" t="s">
        <v>168</v>
      </c>
      <c r="D81" s="291">
        <f t="shared" si="168"/>
        <v>3651208.0919540231</v>
      </c>
      <c r="E81" s="292">
        <f t="shared" si="169"/>
        <v>1964349.9534712643</v>
      </c>
      <c r="F81" s="293">
        <f t="shared" si="170"/>
        <v>-1686858.1384827588</v>
      </c>
      <c r="G81" s="298">
        <f>G10*G40*Faktory!$D$8</f>
        <v>3651208.0919540231</v>
      </c>
      <c r="H81" s="299">
        <f>((H71*G40)-(H71*((G40-H40)*(1+$BR$35))))*Faktory!$D$8</f>
        <v>1964349.9534712643</v>
      </c>
      <c r="I81" s="262">
        <f t="shared" si="171"/>
        <v>-1686858.1384827588</v>
      </c>
      <c r="J81" s="298">
        <f>J10*J40*Faktory!$D$8</f>
        <v>0</v>
      </c>
      <c r="K81" s="299">
        <f>((K71*J40)-(K71*((J40-K40)*(1+$BR$35))))*Faktory!$D$8</f>
        <v>0</v>
      </c>
      <c r="L81" s="262">
        <f t="shared" si="172"/>
        <v>0</v>
      </c>
      <c r="M81" s="298">
        <f>M10*M40*Faktory!$D$8</f>
        <v>0</v>
      </c>
      <c r="N81" s="299">
        <f>((N71*M40)-(N71*((M40-N40)*(1+$BR$35))))*Faktory!$D$8</f>
        <v>0</v>
      </c>
      <c r="O81" s="262">
        <f t="shared" si="173"/>
        <v>0</v>
      </c>
      <c r="P81" s="298">
        <f>P10*P40*Faktory!$D$8</f>
        <v>0</v>
      </c>
      <c r="Q81" s="299">
        <f>((Q71*P40)-(Q71*((P40-Q40)*(1+$BR$35))))*Faktory!$D$8</f>
        <v>0</v>
      </c>
      <c r="R81" s="262">
        <f t="shared" si="174"/>
        <v>0</v>
      </c>
      <c r="S81" s="298">
        <f>S10*S40*Faktory!$D$8</f>
        <v>0</v>
      </c>
      <c r="T81" s="299">
        <f>((T71*S40)-(T71*((S40-T40)*(1+$BR$35))))*Faktory!$D$8</f>
        <v>0</v>
      </c>
      <c r="U81" s="262">
        <f t="shared" si="175"/>
        <v>0</v>
      </c>
      <c r="V81" s="298">
        <f>V10*V40*Faktory!$D$8</f>
        <v>0</v>
      </c>
      <c r="W81" s="299">
        <f>((W71*V40)-(W71*((V40-W40)*(1+$BR$35))))*Faktory!$D$8</f>
        <v>0</v>
      </c>
      <c r="X81" s="262">
        <f t="shared" si="176"/>
        <v>0</v>
      </c>
      <c r="Y81" s="298">
        <f>Y10*Y40*Faktory!$D$8</f>
        <v>0</v>
      </c>
      <c r="Z81" s="299">
        <f>((Z71*Y40)-(Z71*((Y40-Z40)*(1+$BR$35))))*Faktory!$D$8</f>
        <v>0</v>
      </c>
      <c r="AA81" s="262">
        <f t="shared" si="177"/>
        <v>0</v>
      </c>
      <c r="AB81" s="298">
        <f>AB10*AB40*Faktory!$D$8</f>
        <v>0</v>
      </c>
      <c r="AC81" s="299">
        <f>((AC71*AB40)-(AC71*((AB40-AC40)*(1+$BR$35))))*Faktory!$D$8</f>
        <v>0</v>
      </c>
      <c r="AD81" s="262">
        <f t="shared" si="178"/>
        <v>0</v>
      </c>
      <c r="AE81" s="298">
        <f>AE10*AE40*Faktory!$D$8</f>
        <v>0</v>
      </c>
      <c r="AF81" s="299">
        <f>((AF71*AE40)-(AF71*((AE40-AF40)*(1+$BR$35))))*Faktory!$D$8</f>
        <v>0</v>
      </c>
      <c r="AG81" s="262">
        <f t="shared" si="179"/>
        <v>0</v>
      </c>
      <c r="AH81" s="298">
        <f>AH10*AH40*Faktory!$D$8</f>
        <v>0</v>
      </c>
      <c r="AI81" s="299">
        <f>((AI71*AH40)-(AI71*((AH40-AI40)*(1+$BR$35))))*Faktory!$D$8</f>
        <v>0</v>
      </c>
      <c r="AJ81" s="262">
        <f t="shared" si="180"/>
        <v>0</v>
      </c>
      <c r="AK81" s="298">
        <f>AK10*AK40*Faktory!$D$8</f>
        <v>0</v>
      </c>
      <c r="AL81" s="299">
        <f>((AL71*AK40)-(AL71*((AK40-AL40)*(1+$BR$35))))*Faktory!$D$8</f>
        <v>0</v>
      </c>
      <c r="AM81" s="262">
        <f t="shared" si="181"/>
        <v>0</v>
      </c>
      <c r="AN81" s="298">
        <f>AN10*AN40*Faktory!$D$8</f>
        <v>0</v>
      </c>
      <c r="AO81" s="299">
        <f>((AO71*AN40)-(AO71*((AN40-AO40)*(1+$BR$35))))*Faktory!$D$8</f>
        <v>0</v>
      </c>
      <c r="AP81" s="262">
        <f t="shared" si="182"/>
        <v>0</v>
      </c>
      <c r="AQ81" s="298">
        <f>AQ10*AQ40*Faktory!$D$8</f>
        <v>0</v>
      </c>
      <c r="AR81" s="299">
        <f>((AR71*AQ40)-(AR71*((AQ40-AR40)*(1+$BR$35))))*Faktory!$D$8</f>
        <v>0</v>
      </c>
      <c r="AS81" s="262">
        <f t="shared" si="183"/>
        <v>0</v>
      </c>
      <c r="AT81" s="298">
        <f>AT10*AT40*Faktory!$D$8</f>
        <v>0</v>
      </c>
      <c r="AU81" s="299">
        <f>((AU71*AT40)-(AU71*((AT40-AU40)*(1+$BR$35))))*Faktory!$D$8</f>
        <v>0</v>
      </c>
      <c r="AV81" s="262">
        <f t="shared" si="184"/>
        <v>0</v>
      </c>
      <c r="AW81" s="298">
        <f>AW10*AW40*Faktory!$D$8</f>
        <v>0</v>
      </c>
      <c r="AX81" s="299">
        <f>((AX71*AW40)-(AX71*((AW40-AX40)*(1+$BR$35))))*Faktory!$D$8</f>
        <v>0</v>
      </c>
      <c r="AY81" s="262">
        <f t="shared" si="185"/>
        <v>0</v>
      </c>
      <c r="AZ81" s="298">
        <f>AZ10*AZ40*Faktory!$D$8</f>
        <v>0</v>
      </c>
      <c r="BA81" s="299">
        <f>((BA71*AZ40)-(BA71*((AZ40-BA40)*(1+$BR$35))))*Faktory!$D$8</f>
        <v>0</v>
      </c>
      <c r="BB81" s="262">
        <f t="shared" si="186"/>
        <v>0</v>
      </c>
      <c r="BC81" s="298">
        <f>BC10*BC40*Faktory!$D$8</f>
        <v>0</v>
      </c>
      <c r="BD81" s="299">
        <f>((BD71*BC40)-(BD71*((BC40-BD40)*(1+$BR$35))))*Faktory!$D$8</f>
        <v>0</v>
      </c>
      <c r="BE81" s="262">
        <f t="shared" si="187"/>
        <v>0</v>
      </c>
      <c r="BF81" s="298">
        <f>BF10*BF40*Faktory!$D$8</f>
        <v>0</v>
      </c>
      <c r="BG81" s="299">
        <f>((BG71*BF40)-(BG71*((BF40-BG40)*(1+$BR$35))))*Faktory!$D$8</f>
        <v>0</v>
      </c>
      <c r="BH81" s="262">
        <f t="shared" si="188"/>
        <v>0</v>
      </c>
      <c r="BI81" s="298">
        <f>BI10*BI40*Faktory!$D$8</f>
        <v>0</v>
      </c>
      <c r="BJ81" s="299">
        <f>((BJ71*BI40)-(BJ71*((BI40-BJ40)*(1+$BR$35))))*Faktory!$D$8</f>
        <v>0</v>
      </c>
      <c r="BK81" s="262">
        <f t="shared" si="189"/>
        <v>0</v>
      </c>
      <c r="BL81" s="298">
        <f>BL10*BL40*Faktory!$D$8</f>
        <v>0</v>
      </c>
      <c r="BM81" s="299">
        <f>((BM71*BL40)-(BM71*((BL40-BM40)*(1+$BR$35))))*Faktory!$D$8</f>
        <v>0</v>
      </c>
      <c r="BN81" s="262">
        <f t="shared" si="190"/>
        <v>0</v>
      </c>
      <c r="BO81" s="298">
        <f>BO10*BO40*Faktory!$D$8</f>
        <v>0</v>
      </c>
      <c r="BP81" s="299">
        <f>((BP71*BO40)-(BP71*((BO40-BP40)*(1+$BR$35))))*Faktory!$D$8</f>
        <v>0</v>
      </c>
      <c r="BQ81" s="262">
        <f t="shared" si="191"/>
        <v>0</v>
      </c>
    </row>
    <row r="82" spans="1:69" ht="16" x14ac:dyDescent="0.2">
      <c r="A82" s="832"/>
      <c r="B82" s="834"/>
      <c r="C82" s="290" t="s">
        <v>169</v>
      </c>
      <c r="D82" s="291">
        <f t="shared" si="168"/>
        <v>3651208.0919540231</v>
      </c>
      <c r="E82" s="292">
        <f t="shared" si="169"/>
        <v>1723370.219402299</v>
      </c>
      <c r="F82" s="293">
        <f t="shared" si="170"/>
        <v>-1927837.8725517241</v>
      </c>
      <c r="G82" s="298">
        <f>G11*G41*Faktory!$D$8</f>
        <v>3651208.0919540231</v>
      </c>
      <c r="H82" s="299">
        <f>((H72*G41)-(H72*((G41-H41)*(1+$BR$35))))*Faktory!$D$8</f>
        <v>1723370.219402299</v>
      </c>
      <c r="I82" s="262">
        <f t="shared" si="171"/>
        <v>-1927837.8725517241</v>
      </c>
      <c r="J82" s="298">
        <f>J11*J41*Faktory!$D$8</f>
        <v>0</v>
      </c>
      <c r="K82" s="299">
        <f>((K72*J41)-(K72*((J41-K41)*(1+$BR$35))))*Faktory!$D$8</f>
        <v>0</v>
      </c>
      <c r="L82" s="262">
        <f t="shared" si="172"/>
        <v>0</v>
      </c>
      <c r="M82" s="298">
        <f>M11*M41*Faktory!$D$8</f>
        <v>0</v>
      </c>
      <c r="N82" s="299">
        <f>((N72*M41)-(N72*((M41-N41)*(1+$BR$35))))*Faktory!$D$8</f>
        <v>0</v>
      </c>
      <c r="O82" s="262">
        <f t="shared" si="173"/>
        <v>0</v>
      </c>
      <c r="P82" s="298">
        <f>P11*P41*Faktory!$D$8</f>
        <v>0</v>
      </c>
      <c r="Q82" s="299">
        <f>((Q72*P41)-(Q72*((P41-Q41)*(1+$BR$35))))*Faktory!$D$8</f>
        <v>0</v>
      </c>
      <c r="R82" s="262">
        <f t="shared" si="174"/>
        <v>0</v>
      </c>
      <c r="S82" s="298">
        <f>S11*S41*Faktory!$D$8</f>
        <v>0</v>
      </c>
      <c r="T82" s="299">
        <f>((T72*S41)-(T72*((S41-T41)*(1+$BR$35))))*Faktory!$D$8</f>
        <v>0</v>
      </c>
      <c r="U82" s="262">
        <f t="shared" si="175"/>
        <v>0</v>
      </c>
      <c r="V82" s="298">
        <f>V11*V41*Faktory!$D$8</f>
        <v>0</v>
      </c>
      <c r="W82" s="299">
        <f>((W72*V41)-(W72*((V41-W41)*(1+$BR$35))))*Faktory!$D$8</f>
        <v>0</v>
      </c>
      <c r="X82" s="262">
        <f t="shared" si="176"/>
        <v>0</v>
      </c>
      <c r="Y82" s="298">
        <f>Y11*Y41*Faktory!$D$8</f>
        <v>0</v>
      </c>
      <c r="Z82" s="299">
        <f>((Z72*Y41)-(Z72*((Y41-Z41)*(1+$BR$35))))*Faktory!$D$8</f>
        <v>0</v>
      </c>
      <c r="AA82" s="262">
        <f t="shared" si="177"/>
        <v>0</v>
      </c>
      <c r="AB82" s="298">
        <f>AB11*AB41*Faktory!$D$8</f>
        <v>0</v>
      </c>
      <c r="AC82" s="299">
        <f>((AC72*AB41)-(AC72*((AB41-AC41)*(1+$BR$35))))*Faktory!$D$8</f>
        <v>0</v>
      </c>
      <c r="AD82" s="262">
        <f t="shared" si="178"/>
        <v>0</v>
      </c>
      <c r="AE82" s="298">
        <f>AE11*AE41*Faktory!$D$8</f>
        <v>0</v>
      </c>
      <c r="AF82" s="299">
        <f>((AF72*AE41)-(AF72*((AE41-AF41)*(1+$BR$35))))*Faktory!$D$8</f>
        <v>0</v>
      </c>
      <c r="AG82" s="262">
        <f t="shared" si="179"/>
        <v>0</v>
      </c>
      <c r="AH82" s="298">
        <f>AH11*AH41*Faktory!$D$8</f>
        <v>0</v>
      </c>
      <c r="AI82" s="299">
        <f>((AI72*AH41)-(AI72*((AH41-AI41)*(1+$BR$35))))*Faktory!$D$8</f>
        <v>0</v>
      </c>
      <c r="AJ82" s="262">
        <f t="shared" si="180"/>
        <v>0</v>
      </c>
      <c r="AK82" s="298">
        <f>AK11*AK41*Faktory!$D$8</f>
        <v>0</v>
      </c>
      <c r="AL82" s="299">
        <f>((AL72*AK41)-(AL72*((AK41-AL41)*(1+$BR$35))))*Faktory!$D$8</f>
        <v>0</v>
      </c>
      <c r="AM82" s="262">
        <f t="shared" si="181"/>
        <v>0</v>
      </c>
      <c r="AN82" s="298">
        <f>AN11*AN41*Faktory!$D$8</f>
        <v>0</v>
      </c>
      <c r="AO82" s="299">
        <f>((AO72*AN41)-(AO72*((AN41-AO41)*(1+$BR$35))))*Faktory!$D$8</f>
        <v>0</v>
      </c>
      <c r="AP82" s="262">
        <f t="shared" si="182"/>
        <v>0</v>
      </c>
      <c r="AQ82" s="298">
        <f>AQ11*AQ41*Faktory!$D$8</f>
        <v>0</v>
      </c>
      <c r="AR82" s="299">
        <f>((AR72*AQ41)-(AR72*((AQ41-AR41)*(1+$BR$35))))*Faktory!$D$8</f>
        <v>0</v>
      </c>
      <c r="AS82" s="262">
        <f t="shared" si="183"/>
        <v>0</v>
      </c>
      <c r="AT82" s="298">
        <f>AT11*AT41*Faktory!$D$8</f>
        <v>0</v>
      </c>
      <c r="AU82" s="299">
        <f>((AU72*AT41)-(AU72*((AT41-AU41)*(1+$BR$35))))*Faktory!$D$8</f>
        <v>0</v>
      </c>
      <c r="AV82" s="262">
        <f t="shared" si="184"/>
        <v>0</v>
      </c>
      <c r="AW82" s="298">
        <f>AW11*AW41*Faktory!$D$8</f>
        <v>0</v>
      </c>
      <c r="AX82" s="299">
        <f>((AX72*AW41)-(AX72*((AW41-AX41)*(1+$BR$35))))*Faktory!$D$8</f>
        <v>0</v>
      </c>
      <c r="AY82" s="262">
        <f t="shared" si="185"/>
        <v>0</v>
      </c>
      <c r="AZ82" s="298">
        <f>AZ11*AZ41*Faktory!$D$8</f>
        <v>0</v>
      </c>
      <c r="BA82" s="299">
        <f>((BA72*AZ41)-(BA72*((AZ41-BA41)*(1+$BR$35))))*Faktory!$D$8</f>
        <v>0</v>
      </c>
      <c r="BB82" s="262">
        <f t="shared" si="186"/>
        <v>0</v>
      </c>
      <c r="BC82" s="298">
        <f>BC11*BC41*Faktory!$D$8</f>
        <v>0</v>
      </c>
      <c r="BD82" s="299">
        <f>((BD72*BC41)-(BD72*((BC41-BD41)*(1+$BR$35))))*Faktory!$D$8</f>
        <v>0</v>
      </c>
      <c r="BE82" s="262">
        <f t="shared" si="187"/>
        <v>0</v>
      </c>
      <c r="BF82" s="298">
        <f>BF11*BF41*Faktory!$D$8</f>
        <v>0</v>
      </c>
      <c r="BG82" s="299">
        <f>((BG72*BF41)-(BG72*((BF41-BG41)*(1+$BR$35))))*Faktory!$D$8</f>
        <v>0</v>
      </c>
      <c r="BH82" s="262">
        <f t="shared" si="188"/>
        <v>0</v>
      </c>
      <c r="BI82" s="298">
        <f>BI11*BI41*Faktory!$D$8</f>
        <v>0</v>
      </c>
      <c r="BJ82" s="299">
        <f>((BJ72*BI41)-(BJ72*((BI41-BJ41)*(1+$BR$35))))*Faktory!$D$8</f>
        <v>0</v>
      </c>
      <c r="BK82" s="262">
        <f t="shared" si="189"/>
        <v>0</v>
      </c>
      <c r="BL82" s="298">
        <f>BL11*BL41*Faktory!$D$8</f>
        <v>0</v>
      </c>
      <c r="BM82" s="299">
        <f>((BM72*BL41)-(BM72*((BL41-BM41)*(1+$BR$35))))*Faktory!$D$8</f>
        <v>0</v>
      </c>
      <c r="BN82" s="262">
        <f t="shared" si="190"/>
        <v>0</v>
      </c>
      <c r="BO82" s="298">
        <f>BO11*BO41*Faktory!$D$8</f>
        <v>0</v>
      </c>
      <c r="BP82" s="299">
        <f>((BP72*BO41)-(BP72*((BO41-BP41)*(1+$BR$35))))*Faktory!$D$8</f>
        <v>0</v>
      </c>
      <c r="BQ82" s="262">
        <f t="shared" si="191"/>
        <v>0</v>
      </c>
    </row>
    <row r="83" spans="1:69" ht="16" x14ac:dyDescent="0.2">
      <c r="A83" s="832"/>
      <c r="B83" s="834"/>
      <c r="C83" s="290" t="s">
        <v>170</v>
      </c>
      <c r="D83" s="291">
        <f t="shared" si="168"/>
        <v>3651208.0919540231</v>
      </c>
      <c r="E83" s="292">
        <f t="shared" si="169"/>
        <v>1602880.3523678165</v>
      </c>
      <c r="F83" s="293">
        <f t="shared" si="170"/>
        <v>-2048327.7395862066</v>
      </c>
      <c r="G83" s="298">
        <f>G12*G42*Faktory!$D$8</f>
        <v>3651208.0919540231</v>
      </c>
      <c r="H83" s="299">
        <f>((H73*G42)-(H73*((G42-H42)*(1+$BR$35))))*Faktory!$D$8</f>
        <v>1602880.3523678165</v>
      </c>
      <c r="I83" s="262">
        <f t="shared" si="171"/>
        <v>-2048327.7395862066</v>
      </c>
      <c r="J83" s="298">
        <f>J12*J42*Faktory!$D$8</f>
        <v>0</v>
      </c>
      <c r="K83" s="299">
        <f>((K73*J42)-(K73*((J42-K42)*(1+$BR$35))))*Faktory!$D$8</f>
        <v>0</v>
      </c>
      <c r="L83" s="262">
        <f t="shared" si="172"/>
        <v>0</v>
      </c>
      <c r="M83" s="298">
        <f>M12*M42*Faktory!$D$8</f>
        <v>0</v>
      </c>
      <c r="N83" s="299">
        <f>((N73*M42)-(N73*((M42-N42)*(1+$BR$35))))*Faktory!$D$8</f>
        <v>0</v>
      </c>
      <c r="O83" s="262">
        <f t="shared" si="173"/>
        <v>0</v>
      </c>
      <c r="P83" s="298">
        <f>P12*P42*Faktory!$D$8</f>
        <v>0</v>
      </c>
      <c r="Q83" s="299">
        <f>((Q73*P42)-(Q73*((P42-Q42)*(1+$BR$35))))*Faktory!$D$8</f>
        <v>0</v>
      </c>
      <c r="R83" s="262">
        <f t="shared" si="174"/>
        <v>0</v>
      </c>
      <c r="S83" s="298">
        <f>S12*S42*Faktory!$D$8</f>
        <v>0</v>
      </c>
      <c r="T83" s="299">
        <f>((T73*S42)-(T73*((S42-T42)*(1+$BR$35))))*Faktory!$D$8</f>
        <v>0</v>
      </c>
      <c r="U83" s="262">
        <f t="shared" si="175"/>
        <v>0</v>
      </c>
      <c r="V83" s="298">
        <f>V12*V42*Faktory!$D$8</f>
        <v>0</v>
      </c>
      <c r="W83" s="299">
        <f>((W73*V42)-(W73*((V42-W42)*(1+$BR$35))))*Faktory!$D$8</f>
        <v>0</v>
      </c>
      <c r="X83" s="262">
        <f t="shared" si="176"/>
        <v>0</v>
      </c>
      <c r="Y83" s="298">
        <f>Y12*Y42*Faktory!$D$8</f>
        <v>0</v>
      </c>
      <c r="Z83" s="299">
        <f>((Z73*Y42)-(Z73*((Y42-Z42)*(1+$BR$35))))*Faktory!$D$8</f>
        <v>0</v>
      </c>
      <c r="AA83" s="262">
        <f t="shared" si="177"/>
        <v>0</v>
      </c>
      <c r="AB83" s="298">
        <f>AB12*AB42*Faktory!$D$8</f>
        <v>0</v>
      </c>
      <c r="AC83" s="299">
        <f>((AC73*AB42)-(AC73*((AB42-AC42)*(1+$BR$35))))*Faktory!$D$8</f>
        <v>0</v>
      </c>
      <c r="AD83" s="262">
        <f t="shared" si="178"/>
        <v>0</v>
      </c>
      <c r="AE83" s="298">
        <f>AE12*AE42*Faktory!$D$8</f>
        <v>0</v>
      </c>
      <c r="AF83" s="299">
        <f>((AF73*AE42)-(AF73*((AE42-AF42)*(1+$BR$35))))*Faktory!$D$8</f>
        <v>0</v>
      </c>
      <c r="AG83" s="262">
        <f t="shared" si="179"/>
        <v>0</v>
      </c>
      <c r="AH83" s="298">
        <f>AH12*AH42*Faktory!$D$8</f>
        <v>0</v>
      </c>
      <c r="AI83" s="299">
        <f>((AI73*AH42)-(AI73*((AH42-AI42)*(1+$BR$35))))*Faktory!$D$8</f>
        <v>0</v>
      </c>
      <c r="AJ83" s="262">
        <f t="shared" si="180"/>
        <v>0</v>
      </c>
      <c r="AK83" s="298">
        <f>AK12*AK42*Faktory!$D$8</f>
        <v>0</v>
      </c>
      <c r="AL83" s="299">
        <f>((AL73*AK42)-(AL73*((AK42-AL42)*(1+$BR$35))))*Faktory!$D$8</f>
        <v>0</v>
      </c>
      <c r="AM83" s="262">
        <f t="shared" si="181"/>
        <v>0</v>
      </c>
      <c r="AN83" s="298">
        <f>AN12*AN42*Faktory!$D$8</f>
        <v>0</v>
      </c>
      <c r="AO83" s="299">
        <f>((AO73*AN42)-(AO73*((AN42-AO42)*(1+$BR$35))))*Faktory!$D$8</f>
        <v>0</v>
      </c>
      <c r="AP83" s="262">
        <f t="shared" si="182"/>
        <v>0</v>
      </c>
      <c r="AQ83" s="298">
        <f>AQ12*AQ42*Faktory!$D$8</f>
        <v>0</v>
      </c>
      <c r="AR83" s="299">
        <f>((AR73*AQ42)-(AR73*((AQ42-AR42)*(1+$BR$35))))*Faktory!$D$8</f>
        <v>0</v>
      </c>
      <c r="AS83" s="262">
        <f t="shared" si="183"/>
        <v>0</v>
      </c>
      <c r="AT83" s="298">
        <f>AT12*AT42*Faktory!$D$8</f>
        <v>0</v>
      </c>
      <c r="AU83" s="299">
        <f>((AU73*AT42)-(AU73*((AT42-AU42)*(1+$BR$35))))*Faktory!$D$8</f>
        <v>0</v>
      </c>
      <c r="AV83" s="262">
        <f t="shared" si="184"/>
        <v>0</v>
      </c>
      <c r="AW83" s="298">
        <f>AW12*AW42*Faktory!$D$8</f>
        <v>0</v>
      </c>
      <c r="AX83" s="299">
        <f>((AX73*AW42)-(AX73*((AW42-AX42)*(1+$BR$35))))*Faktory!$D$8</f>
        <v>0</v>
      </c>
      <c r="AY83" s="262">
        <f t="shared" si="185"/>
        <v>0</v>
      </c>
      <c r="AZ83" s="298">
        <f>AZ12*AZ42*Faktory!$D$8</f>
        <v>0</v>
      </c>
      <c r="BA83" s="299">
        <f>((BA73*AZ42)-(BA73*((AZ42-BA42)*(1+$BR$35))))*Faktory!$D$8</f>
        <v>0</v>
      </c>
      <c r="BB83" s="262">
        <f t="shared" si="186"/>
        <v>0</v>
      </c>
      <c r="BC83" s="298">
        <f>BC12*BC42*Faktory!$D$8</f>
        <v>0</v>
      </c>
      <c r="BD83" s="299">
        <f>((BD73*BC42)-(BD73*((BC42-BD42)*(1+$BR$35))))*Faktory!$D$8</f>
        <v>0</v>
      </c>
      <c r="BE83" s="262">
        <f t="shared" si="187"/>
        <v>0</v>
      </c>
      <c r="BF83" s="298">
        <f>BF12*BF42*Faktory!$D$8</f>
        <v>0</v>
      </c>
      <c r="BG83" s="299">
        <f>((BG73*BF42)-(BG73*((BF42-BG42)*(1+$BR$35))))*Faktory!$D$8</f>
        <v>0</v>
      </c>
      <c r="BH83" s="262">
        <f t="shared" si="188"/>
        <v>0</v>
      </c>
      <c r="BI83" s="298">
        <f>BI12*BI42*Faktory!$D$8</f>
        <v>0</v>
      </c>
      <c r="BJ83" s="299">
        <f>((BJ73*BI42)-(BJ73*((BI42-BJ42)*(1+$BR$35))))*Faktory!$D$8</f>
        <v>0</v>
      </c>
      <c r="BK83" s="262">
        <f t="shared" si="189"/>
        <v>0</v>
      </c>
      <c r="BL83" s="298">
        <f>BL12*BL42*Faktory!$D$8</f>
        <v>0</v>
      </c>
      <c r="BM83" s="299">
        <f>((BM73*BL42)-(BM73*((BL42-BM42)*(1+$BR$35))))*Faktory!$D$8</f>
        <v>0</v>
      </c>
      <c r="BN83" s="262">
        <f t="shared" si="190"/>
        <v>0</v>
      </c>
      <c r="BO83" s="298">
        <f>BO12*BO42*Faktory!$D$8</f>
        <v>0</v>
      </c>
      <c r="BP83" s="299">
        <f>((BP73*BO42)-(BP73*((BO42-BP42)*(1+$BR$35))))*Faktory!$D$8</f>
        <v>0</v>
      </c>
      <c r="BQ83" s="262">
        <f t="shared" si="191"/>
        <v>0</v>
      </c>
    </row>
    <row r="84" spans="1:69" ht="16" x14ac:dyDescent="0.2">
      <c r="A84" s="832"/>
      <c r="B84" s="834"/>
      <c r="C84" s="290" t="s">
        <v>171</v>
      </c>
      <c r="D84" s="291">
        <f t="shared" si="168"/>
        <v>3651208.0919540231</v>
      </c>
      <c r="E84" s="292">
        <f t="shared" si="169"/>
        <v>1602880.3523678165</v>
      </c>
      <c r="F84" s="293">
        <f t="shared" si="170"/>
        <v>-2048327.7395862066</v>
      </c>
      <c r="G84" s="298">
        <f>G13*G43*Faktory!$D$8</f>
        <v>3651208.0919540231</v>
      </c>
      <c r="H84" s="299">
        <f>((H74*G43)-(H74*((G43-H43)*(1+$BR$35))))*Faktory!$D$8</f>
        <v>1602880.3523678165</v>
      </c>
      <c r="I84" s="262">
        <f t="shared" si="171"/>
        <v>-2048327.7395862066</v>
      </c>
      <c r="J84" s="298">
        <f>J13*J43*Faktory!$D$8</f>
        <v>0</v>
      </c>
      <c r="K84" s="299">
        <f>((K74*J43)-(K74*((J43-K43)*(1+$BR$35))))*Faktory!$D$8</f>
        <v>0</v>
      </c>
      <c r="L84" s="262">
        <f t="shared" si="172"/>
        <v>0</v>
      </c>
      <c r="M84" s="298">
        <f>M13*M43*Faktory!$D$8</f>
        <v>0</v>
      </c>
      <c r="N84" s="299">
        <f>((N74*M43)-(N74*((M43-N43)*(1+$BR$35))))*Faktory!$D$8</f>
        <v>0</v>
      </c>
      <c r="O84" s="262">
        <f t="shared" si="173"/>
        <v>0</v>
      </c>
      <c r="P84" s="298">
        <f>P13*P43*Faktory!$D$8</f>
        <v>0</v>
      </c>
      <c r="Q84" s="299">
        <f>((Q74*P43)-(Q74*((P43-Q43)*(1+$BR$35))))*Faktory!$D$8</f>
        <v>0</v>
      </c>
      <c r="R84" s="262">
        <f t="shared" si="174"/>
        <v>0</v>
      </c>
      <c r="S84" s="298">
        <f>S13*S43*Faktory!$D$8</f>
        <v>0</v>
      </c>
      <c r="T84" s="299">
        <f>((T74*S43)-(T74*((S43-T43)*(1+$BR$35))))*Faktory!$D$8</f>
        <v>0</v>
      </c>
      <c r="U84" s="262">
        <f t="shared" si="175"/>
        <v>0</v>
      </c>
      <c r="V84" s="298">
        <f>V13*V43*Faktory!$D$8</f>
        <v>0</v>
      </c>
      <c r="W84" s="299">
        <f>((W74*V43)-(W74*((V43-W43)*(1+$BR$35))))*Faktory!$D$8</f>
        <v>0</v>
      </c>
      <c r="X84" s="262">
        <f t="shared" si="176"/>
        <v>0</v>
      </c>
      <c r="Y84" s="298">
        <f>Y13*Y43*Faktory!$D$8</f>
        <v>0</v>
      </c>
      <c r="Z84" s="299">
        <f>((Z74*Y43)-(Z74*((Y43-Z43)*(1+$BR$35))))*Faktory!$D$8</f>
        <v>0</v>
      </c>
      <c r="AA84" s="262">
        <f t="shared" si="177"/>
        <v>0</v>
      </c>
      <c r="AB84" s="298">
        <f>AB13*AB43*Faktory!$D$8</f>
        <v>0</v>
      </c>
      <c r="AC84" s="299">
        <f>((AC74*AB43)-(AC74*((AB43-AC43)*(1+$BR$35))))*Faktory!$D$8</f>
        <v>0</v>
      </c>
      <c r="AD84" s="262">
        <f t="shared" si="178"/>
        <v>0</v>
      </c>
      <c r="AE84" s="298">
        <f>AE13*AE43*Faktory!$D$8</f>
        <v>0</v>
      </c>
      <c r="AF84" s="299">
        <f>((AF74*AE43)-(AF74*((AE43-AF43)*(1+$BR$35))))*Faktory!$D$8</f>
        <v>0</v>
      </c>
      <c r="AG84" s="262">
        <f t="shared" si="179"/>
        <v>0</v>
      </c>
      <c r="AH84" s="298">
        <f>AH13*AH43*Faktory!$D$8</f>
        <v>0</v>
      </c>
      <c r="AI84" s="299">
        <f>((AI74*AH43)-(AI74*((AH43-AI43)*(1+$BR$35))))*Faktory!$D$8</f>
        <v>0</v>
      </c>
      <c r="AJ84" s="262">
        <f t="shared" si="180"/>
        <v>0</v>
      </c>
      <c r="AK84" s="298">
        <f>AK13*AK43*Faktory!$D$8</f>
        <v>0</v>
      </c>
      <c r="AL84" s="299">
        <f>((AL74*AK43)-(AL74*((AK43-AL43)*(1+$BR$35))))*Faktory!$D$8</f>
        <v>0</v>
      </c>
      <c r="AM84" s="262">
        <f t="shared" si="181"/>
        <v>0</v>
      </c>
      <c r="AN84" s="298">
        <f>AN13*AN43*Faktory!$D$8</f>
        <v>0</v>
      </c>
      <c r="AO84" s="299">
        <f>((AO74*AN43)-(AO74*((AN43-AO43)*(1+$BR$35))))*Faktory!$D$8</f>
        <v>0</v>
      </c>
      <c r="AP84" s="262">
        <f t="shared" si="182"/>
        <v>0</v>
      </c>
      <c r="AQ84" s="298">
        <f>AQ13*AQ43*Faktory!$D$8</f>
        <v>0</v>
      </c>
      <c r="AR84" s="299">
        <f>((AR74*AQ43)-(AR74*((AQ43-AR43)*(1+$BR$35))))*Faktory!$D$8</f>
        <v>0</v>
      </c>
      <c r="AS84" s="262">
        <f t="shared" si="183"/>
        <v>0</v>
      </c>
      <c r="AT84" s="298">
        <f>AT13*AT43*Faktory!$D$8</f>
        <v>0</v>
      </c>
      <c r="AU84" s="299">
        <f>((AU74*AT43)-(AU74*((AT43-AU43)*(1+$BR$35))))*Faktory!$D$8</f>
        <v>0</v>
      </c>
      <c r="AV84" s="262">
        <f t="shared" si="184"/>
        <v>0</v>
      </c>
      <c r="AW84" s="298">
        <f>AW13*AW43*Faktory!$D$8</f>
        <v>0</v>
      </c>
      <c r="AX84" s="299">
        <f>((AX74*AW43)-(AX74*((AW43-AX43)*(1+$BR$35))))*Faktory!$D$8</f>
        <v>0</v>
      </c>
      <c r="AY84" s="262">
        <f t="shared" si="185"/>
        <v>0</v>
      </c>
      <c r="AZ84" s="298">
        <f>AZ13*AZ43*Faktory!$D$8</f>
        <v>0</v>
      </c>
      <c r="BA84" s="299">
        <f>((BA74*AZ43)-(BA74*((AZ43-BA43)*(1+$BR$35))))*Faktory!$D$8</f>
        <v>0</v>
      </c>
      <c r="BB84" s="262">
        <f t="shared" si="186"/>
        <v>0</v>
      </c>
      <c r="BC84" s="298">
        <f>BC13*BC43*Faktory!$D$8</f>
        <v>0</v>
      </c>
      <c r="BD84" s="299">
        <f>((BD74*BC43)-(BD74*((BC43-BD43)*(1+$BR$35))))*Faktory!$D$8</f>
        <v>0</v>
      </c>
      <c r="BE84" s="262">
        <f t="shared" si="187"/>
        <v>0</v>
      </c>
      <c r="BF84" s="298">
        <f>BF13*BF43*Faktory!$D$8</f>
        <v>0</v>
      </c>
      <c r="BG84" s="299">
        <f>((BG74*BF43)-(BG74*((BF43-BG43)*(1+$BR$35))))*Faktory!$D$8</f>
        <v>0</v>
      </c>
      <c r="BH84" s="262">
        <f t="shared" si="188"/>
        <v>0</v>
      </c>
      <c r="BI84" s="298">
        <f>BI13*BI43*Faktory!$D$8</f>
        <v>0</v>
      </c>
      <c r="BJ84" s="299">
        <f>((BJ74*BI43)-(BJ74*((BI43-BJ43)*(1+$BR$35))))*Faktory!$D$8</f>
        <v>0</v>
      </c>
      <c r="BK84" s="262">
        <f t="shared" si="189"/>
        <v>0</v>
      </c>
      <c r="BL84" s="298">
        <f>BL13*BL43*Faktory!$D$8</f>
        <v>0</v>
      </c>
      <c r="BM84" s="299">
        <f>((BM74*BL43)-(BM74*((BL43-BM43)*(1+$BR$35))))*Faktory!$D$8</f>
        <v>0</v>
      </c>
      <c r="BN84" s="262">
        <f t="shared" si="190"/>
        <v>0</v>
      </c>
      <c r="BO84" s="298">
        <f>BO13*BO43*Faktory!$D$8</f>
        <v>0</v>
      </c>
      <c r="BP84" s="299">
        <f>((BP74*BO43)-(BP74*((BO43-BP43)*(1+$BR$35))))*Faktory!$D$8</f>
        <v>0</v>
      </c>
      <c r="BQ84" s="262">
        <f t="shared" si="191"/>
        <v>0</v>
      </c>
    </row>
    <row r="85" spans="1:69" ht="17" thickBot="1" x14ac:dyDescent="0.25">
      <c r="A85" s="833"/>
      <c r="B85" s="835"/>
      <c r="C85" s="300" t="s">
        <v>172</v>
      </c>
      <c r="D85" s="301">
        <f t="shared" si="168"/>
        <v>3651208.0919540231</v>
      </c>
      <c r="E85" s="302">
        <f t="shared" si="169"/>
        <v>1602880.3523678165</v>
      </c>
      <c r="F85" s="303">
        <f t="shared" si="170"/>
        <v>-2048327.7395862066</v>
      </c>
      <c r="G85" s="304">
        <f>G14*G44*Faktory!$D$8</f>
        <v>3651208.0919540231</v>
      </c>
      <c r="H85" s="305">
        <f>((H75*G44)-(H75*((G44-H44)*(1+$BR$35))))*Faktory!$D$8</f>
        <v>1602880.3523678165</v>
      </c>
      <c r="I85" s="267">
        <f t="shared" si="171"/>
        <v>-2048327.7395862066</v>
      </c>
      <c r="J85" s="304">
        <f>J14*J44*Faktory!$D$8</f>
        <v>0</v>
      </c>
      <c r="K85" s="305">
        <f>((K75*J44)-(K75*((J44-K44)*(1+$BR$35))))*Faktory!$D$8</f>
        <v>0</v>
      </c>
      <c r="L85" s="267">
        <f t="shared" si="172"/>
        <v>0</v>
      </c>
      <c r="M85" s="304">
        <f>M14*M44*Faktory!$D$8</f>
        <v>0</v>
      </c>
      <c r="N85" s="305">
        <f>((N75*M44)-(N75*((M44-N44)*(1+$BR$35))))*Faktory!$D$8</f>
        <v>0</v>
      </c>
      <c r="O85" s="267">
        <f t="shared" si="173"/>
        <v>0</v>
      </c>
      <c r="P85" s="304">
        <f>P14*P44*Faktory!$D$8</f>
        <v>0</v>
      </c>
      <c r="Q85" s="305">
        <f>((Q75*P44)-(Q75*((P44-Q44)*(1+$BR$35))))*Faktory!$D$8</f>
        <v>0</v>
      </c>
      <c r="R85" s="267">
        <f t="shared" si="174"/>
        <v>0</v>
      </c>
      <c r="S85" s="304">
        <f>S14*S44*Faktory!$D$8</f>
        <v>0</v>
      </c>
      <c r="T85" s="305">
        <f>((T75*S44)-(T75*((S44-T44)*(1+$BR$35))))*Faktory!$D$8</f>
        <v>0</v>
      </c>
      <c r="U85" s="267">
        <f t="shared" si="175"/>
        <v>0</v>
      </c>
      <c r="V85" s="304">
        <f>V14*V44*Faktory!$D$8</f>
        <v>0</v>
      </c>
      <c r="W85" s="305">
        <f>((W75*V44)-(W75*((V44-W44)*(1+$BR$35))))*Faktory!$D$8</f>
        <v>0</v>
      </c>
      <c r="X85" s="267">
        <f t="shared" si="176"/>
        <v>0</v>
      </c>
      <c r="Y85" s="304">
        <f>Y14*Y44*Faktory!$D$8</f>
        <v>0</v>
      </c>
      <c r="Z85" s="305">
        <f>((Z75*Y44)-(Z75*((Y44-Z44)*(1+$BR$35))))*Faktory!$D$8</f>
        <v>0</v>
      </c>
      <c r="AA85" s="267">
        <f t="shared" si="177"/>
        <v>0</v>
      </c>
      <c r="AB85" s="304">
        <f>AB14*AB44*Faktory!$D$8</f>
        <v>0</v>
      </c>
      <c r="AC85" s="305">
        <f>((AC75*AB44)-(AC75*((AB44-AC44)*(1+$BR$35))))*Faktory!$D$8</f>
        <v>0</v>
      </c>
      <c r="AD85" s="267">
        <f t="shared" si="178"/>
        <v>0</v>
      </c>
      <c r="AE85" s="304">
        <f>AE14*AE44*Faktory!$D$8</f>
        <v>0</v>
      </c>
      <c r="AF85" s="305">
        <f>((AF75*AE44)-(AF75*((AE44-AF44)*(1+$BR$35))))*Faktory!$D$8</f>
        <v>0</v>
      </c>
      <c r="AG85" s="267">
        <f t="shared" si="179"/>
        <v>0</v>
      </c>
      <c r="AH85" s="304">
        <f>AH14*AH44*Faktory!$D$8</f>
        <v>0</v>
      </c>
      <c r="AI85" s="305">
        <f>((AI75*AH44)-(AI75*((AH44-AI44)*(1+$BR$35))))*Faktory!$D$8</f>
        <v>0</v>
      </c>
      <c r="AJ85" s="267">
        <f t="shared" si="180"/>
        <v>0</v>
      </c>
      <c r="AK85" s="304">
        <f>AK14*AK44*Faktory!$D$8</f>
        <v>0</v>
      </c>
      <c r="AL85" s="305">
        <f>((AL75*AK44)-(AL75*((AK44-AL44)*(1+$BR$35))))*Faktory!$D$8</f>
        <v>0</v>
      </c>
      <c r="AM85" s="267">
        <f t="shared" si="181"/>
        <v>0</v>
      </c>
      <c r="AN85" s="304">
        <f>AN14*AN44*Faktory!$D$8</f>
        <v>0</v>
      </c>
      <c r="AO85" s="305">
        <f>((AO75*AN44)-(AO75*((AN44-AO44)*(1+$BR$35))))*Faktory!$D$8</f>
        <v>0</v>
      </c>
      <c r="AP85" s="267">
        <f t="shared" si="182"/>
        <v>0</v>
      </c>
      <c r="AQ85" s="304">
        <f>AQ14*AQ44*Faktory!$D$8</f>
        <v>0</v>
      </c>
      <c r="AR85" s="305">
        <f>((AR75*AQ44)-(AR75*((AQ44-AR44)*(1+$BR$35))))*Faktory!$D$8</f>
        <v>0</v>
      </c>
      <c r="AS85" s="267">
        <f t="shared" si="183"/>
        <v>0</v>
      </c>
      <c r="AT85" s="304">
        <f>AT14*AT44*Faktory!$D$8</f>
        <v>0</v>
      </c>
      <c r="AU85" s="305">
        <f>((AU75*AT44)-(AU75*((AT44-AU44)*(1+$BR$35))))*Faktory!$D$8</f>
        <v>0</v>
      </c>
      <c r="AV85" s="267">
        <f t="shared" si="184"/>
        <v>0</v>
      </c>
      <c r="AW85" s="304">
        <f>AW14*AW44*Faktory!$D$8</f>
        <v>0</v>
      </c>
      <c r="AX85" s="305">
        <f>((AX75*AW44)-(AX75*((AW44-AX44)*(1+$BR$35))))*Faktory!$D$8</f>
        <v>0</v>
      </c>
      <c r="AY85" s="267">
        <f t="shared" si="185"/>
        <v>0</v>
      </c>
      <c r="AZ85" s="304">
        <f>AZ14*AZ44*Faktory!$D$8</f>
        <v>0</v>
      </c>
      <c r="BA85" s="305">
        <f>((BA75*AZ44)-(BA75*((AZ44-BA44)*(1+$BR$35))))*Faktory!$D$8</f>
        <v>0</v>
      </c>
      <c r="BB85" s="267">
        <f t="shared" si="186"/>
        <v>0</v>
      </c>
      <c r="BC85" s="304">
        <f>BC14*BC44*Faktory!$D$8</f>
        <v>0</v>
      </c>
      <c r="BD85" s="305">
        <f>((BD75*BC44)-(BD75*((BC44-BD44)*(1+$BR$35))))*Faktory!$D$8</f>
        <v>0</v>
      </c>
      <c r="BE85" s="267">
        <f t="shared" si="187"/>
        <v>0</v>
      </c>
      <c r="BF85" s="304">
        <f>BF14*BF44*Faktory!$D$8</f>
        <v>0</v>
      </c>
      <c r="BG85" s="305">
        <f>((BG75*BF44)-(BG75*((BF44-BG44)*(1+$BR$35))))*Faktory!$D$8</f>
        <v>0</v>
      </c>
      <c r="BH85" s="267">
        <f t="shared" si="188"/>
        <v>0</v>
      </c>
      <c r="BI85" s="304">
        <f>BI14*BI44*Faktory!$D$8</f>
        <v>0</v>
      </c>
      <c r="BJ85" s="305">
        <f>((BJ75*BI44)-(BJ75*((BI44-BJ44)*(1+$BR$35))))*Faktory!$D$8</f>
        <v>0</v>
      </c>
      <c r="BK85" s="267">
        <f t="shared" si="189"/>
        <v>0</v>
      </c>
      <c r="BL85" s="304">
        <f>BL14*BL44*Faktory!$D$8</f>
        <v>0</v>
      </c>
      <c r="BM85" s="305">
        <f>((BM75*BL44)-(BM75*((BL44-BM44)*(1+$BR$35))))*Faktory!$D$8</f>
        <v>0</v>
      </c>
      <c r="BN85" s="267">
        <f t="shared" si="190"/>
        <v>0</v>
      </c>
      <c r="BO85" s="304">
        <f>BO14*BO44*Faktory!$D$8</f>
        <v>0</v>
      </c>
      <c r="BP85" s="305">
        <f>((BP75*BO44)-(BP75*((BO44-BP44)*(1+$BR$35))))*Faktory!$D$8</f>
        <v>0</v>
      </c>
      <c r="BQ85" s="267">
        <f t="shared" si="191"/>
        <v>0</v>
      </c>
    </row>
    <row r="86" spans="1:69" ht="16" x14ac:dyDescent="0.2">
      <c r="A86" s="832" t="s">
        <v>217</v>
      </c>
      <c r="B86" s="834" t="s">
        <v>218</v>
      </c>
      <c r="C86" s="290" t="s">
        <v>163</v>
      </c>
      <c r="D86" s="291">
        <f t="shared" si="168"/>
        <v>113.75661375661376</v>
      </c>
      <c r="E86" s="292">
        <f t="shared" si="169"/>
        <v>113.75661375661376</v>
      </c>
      <c r="F86" s="293">
        <f t="shared" si="170"/>
        <v>0</v>
      </c>
      <c r="G86" s="308">
        <f t="shared" ref="G86:H95" si="192">(G5*G35)/12/21/7.5</f>
        <v>113.75661375661376</v>
      </c>
      <c r="H86" s="309">
        <f t="shared" si="192"/>
        <v>113.75661375661376</v>
      </c>
      <c r="I86" s="310">
        <f t="shared" si="171"/>
        <v>0</v>
      </c>
      <c r="J86" s="308">
        <f t="shared" ref="J86:K86" si="193">(J5*J35)/12/21/7.5</f>
        <v>0</v>
      </c>
      <c r="K86" s="309">
        <f t="shared" si="193"/>
        <v>0</v>
      </c>
      <c r="L86" s="310">
        <f t="shared" si="172"/>
        <v>0</v>
      </c>
      <c r="M86" s="308">
        <f t="shared" ref="M86:N86" si="194">(M5*M35)/12/21/7.5</f>
        <v>0</v>
      </c>
      <c r="N86" s="309">
        <f t="shared" si="194"/>
        <v>0</v>
      </c>
      <c r="O86" s="310">
        <f t="shared" si="173"/>
        <v>0</v>
      </c>
      <c r="P86" s="308">
        <f t="shared" ref="P86:Q86" si="195">(P5*P35)/12/21/7.5</f>
        <v>0</v>
      </c>
      <c r="Q86" s="309">
        <f t="shared" si="195"/>
        <v>0</v>
      </c>
      <c r="R86" s="310">
        <f t="shared" si="174"/>
        <v>0</v>
      </c>
      <c r="S86" s="308">
        <f t="shared" ref="S86:T86" si="196">(S5*S35)/12/21/7.5</f>
        <v>0</v>
      </c>
      <c r="T86" s="309">
        <f t="shared" si="196"/>
        <v>0</v>
      </c>
      <c r="U86" s="310">
        <f t="shared" si="175"/>
        <v>0</v>
      </c>
      <c r="V86" s="308">
        <f t="shared" ref="V86:W86" si="197">(V5*V35)/12/21/7.5</f>
        <v>0</v>
      </c>
      <c r="W86" s="309">
        <f t="shared" si="197"/>
        <v>0</v>
      </c>
      <c r="X86" s="310">
        <f t="shared" si="176"/>
        <v>0</v>
      </c>
      <c r="Y86" s="308">
        <f t="shared" ref="Y86:Z86" si="198">(Y5*Y35)/12/21/7.5</f>
        <v>0</v>
      </c>
      <c r="Z86" s="309">
        <f t="shared" si="198"/>
        <v>0</v>
      </c>
      <c r="AA86" s="310">
        <f t="shared" si="177"/>
        <v>0</v>
      </c>
      <c r="AB86" s="308">
        <f t="shared" ref="AB86:AC86" si="199">(AB5*AB35)/12/21/7.5</f>
        <v>0</v>
      </c>
      <c r="AC86" s="309">
        <f t="shared" si="199"/>
        <v>0</v>
      </c>
      <c r="AD86" s="310">
        <f t="shared" si="178"/>
        <v>0</v>
      </c>
      <c r="AE86" s="308">
        <f t="shared" ref="AE86:AF86" si="200">(AE5*AE35)/12/21/7.5</f>
        <v>0</v>
      </c>
      <c r="AF86" s="309">
        <f t="shared" si="200"/>
        <v>0</v>
      </c>
      <c r="AG86" s="310">
        <f t="shared" si="179"/>
        <v>0</v>
      </c>
      <c r="AH86" s="308">
        <f t="shared" ref="AH86:AI86" si="201">(AH5*AH35)/12/21/7.5</f>
        <v>0</v>
      </c>
      <c r="AI86" s="309">
        <f t="shared" si="201"/>
        <v>0</v>
      </c>
      <c r="AJ86" s="310">
        <f t="shared" si="180"/>
        <v>0</v>
      </c>
      <c r="AK86" s="308">
        <f t="shared" ref="AK86:AL86" si="202">(AK5*AK35)/12/21/7.5</f>
        <v>0</v>
      </c>
      <c r="AL86" s="309">
        <f t="shared" si="202"/>
        <v>0</v>
      </c>
      <c r="AM86" s="310">
        <f t="shared" si="181"/>
        <v>0</v>
      </c>
      <c r="AN86" s="308">
        <f t="shared" ref="AN86:AO86" si="203">(AN5*AN35)/12/21/7.5</f>
        <v>0</v>
      </c>
      <c r="AO86" s="309">
        <f t="shared" si="203"/>
        <v>0</v>
      </c>
      <c r="AP86" s="310">
        <f t="shared" si="182"/>
        <v>0</v>
      </c>
      <c r="AQ86" s="308">
        <f t="shared" ref="AQ86:AR86" si="204">(AQ5*AQ35)/12/21/7.5</f>
        <v>0</v>
      </c>
      <c r="AR86" s="309">
        <f t="shared" si="204"/>
        <v>0</v>
      </c>
      <c r="AS86" s="310">
        <f t="shared" si="183"/>
        <v>0</v>
      </c>
      <c r="AT86" s="308">
        <f t="shared" ref="AT86:AU86" si="205">(AT5*AT35)/12/21/7.5</f>
        <v>0</v>
      </c>
      <c r="AU86" s="309">
        <f t="shared" si="205"/>
        <v>0</v>
      </c>
      <c r="AV86" s="310">
        <f t="shared" si="184"/>
        <v>0</v>
      </c>
      <c r="AW86" s="308">
        <f t="shared" ref="AW86:AX86" si="206">(AW5*AW35)/12/21/7.5</f>
        <v>0</v>
      </c>
      <c r="AX86" s="309">
        <f t="shared" si="206"/>
        <v>0</v>
      </c>
      <c r="AY86" s="310">
        <f t="shared" si="185"/>
        <v>0</v>
      </c>
      <c r="AZ86" s="308">
        <f t="shared" ref="AZ86:BA86" si="207">(AZ5*AZ35)/12/21/7.5</f>
        <v>0</v>
      </c>
      <c r="BA86" s="309">
        <f t="shared" si="207"/>
        <v>0</v>
      </c>
      <c r="BB86" s="310">
        <f t="shared" si="186"/>
        <v>0</v>
      </c>
      <c r="BC86" s="308">
        <f t="shared" ref="BC86:BD86" si="208">(BC5*BC35)/12/21/7.5</f>
        <v>0</v>
      </c>
      <c r="BD86" s="309">
        <f t="shared" si="208"/>
        <v>0</v>
      </c>
      <c r="BE86" s="310">
        <f t="shared" si="187"/>
        <v>0</v>
      </c>
      <c r="BF86" s="308">
        <f t="shared" ref="BF86:BG86" si="209">(BF5*BF35)/12/21/7.5</f>
        <v>0</v>
      </c>
      <c r="BG86" s="309">
        <f t="shared" si="209"/>
        <v>0</v>
      </c>
      <c r="BH86" s="310">
        <f t="shared" si="188"/>
        <v>0</v>
      </c>
      <c r="BI86" s="308">
        <f t="shared" ref="BI86:BJ95" si="210">(BI5*BI35)/12/21/7.5</f>
        <v>0</v>
      </c>
      <c r="BJ86" s="309">
        <f t="shared" si="210"/>
        <v>0</v>
      </c>
      <c r="BK86" s="310">
        <f t="shared" si="189"/>
        <v>0</v>
      </c>
      <c r="BL86" s="308">
        <f t="shared" ref="BL86:BM95" si="211">(BL5*BL35)/12/21/7.5</f>
        <v>0</v>
      </c>
      <c r="BM86" s="309">
        <f t="shared" si="211"/>
        <v>0</v>
      </c>
      <c r="BN86" s="310">
        <f t="shared" si="190"/>
        <v>0</v>
      </c>
      <c r="BO86" s="308">
        <f t="shared" ref="BO86:BP95" si="212">(BO5*BO35)/12/21/7.5</f>
        <v>0</v>
      </c>
      <c r="BP86" s="309">
        <f t="shared" si="212"/>
        <v>0</v>
      </c>
      <c r="BQ86" s="310">
        <f t="shared" si="191"/>
        <v>0</v>
      </c>
    </row>
    <row r="87" spans="1:69" ht="16" x14ac:dyDescent="0.2">
      <c r="A87" s="832"/>
      <c r="B87" s="834"/>
      <c r="C87" s="290" t="s">
        <v>164</v>
      </c>
      <c r="D87" s="291">
        <f t="shared" si="168"/>
        <v>113.75661375661376</v>
      </c>
      <c r="E87" s="292">
        <f t="shared" si="169"/>
        <v>98.740740740740733</v>
      </c>
      <c r="F87" s="293">
        <f t="shared" si="170"/>
        <v>-15.015873015873026</v>
      </c>
      <c r="G87" s="311">
        <f t="shared" si="192"/>
        <v>113.75661375661376</v>
      </c>
      <c r="H87" s="312">
        <f t="shared" si="192"/>
        <v>98.740740740740733</v>
      </c>
      <c r="I87" s="313">
        <f t="shared" si="171"/>
        <v>-15.015873015873026</v>
      </c>
      <c r="J87" s="311">
        <f t="shared" ref="J87:K87" si="213">(J6*J36)/12/21/7.5</f>
        <v>0</v>
      </c>
      <c r="K87" s="312">
        <f t="shared" si="213"/>
        <v>0</v>
      </c>
      <c r="L87" s="313">
        <f t="shared" si="172"/>
        <v>0</v>
      </c>
      <c r="M87" s="311">
        <f t="shared" ref="M87:N87" si="214">(M6*M36)/12/21/7.5</f>
        <v>0</v>
      </c>
      <c r="N87" s="312">
        <f t="shared" si="214"/>
        <v>0</v>
      </c>
      <c r="O87" s="313">
        <f t="shared" si="173"/>
        <v>0</v>
      </c>
      <c r="P87" s="311">
        <f t="shared" ref="P87:Q87" si="215">(P6*P36)/12/21/7.5</f>
        <v>0</v>
      </c>
      <c r="Q87" s="312">
        <f t="shared" si="215"/>
        <v>0</v>
      </c>
      <c r="R87" s="313">
        <f t="shared" si="174"/>
        <v>0</v>
      </c>
      <c r="S87" s="311">
        <f t="shared" ref="S87:T87" si="216">(S6*S36)/12/21/7.5</f>
        <v>0</v>
      </c>
      <c r="T87" s="312">
        <f t="shared" si="216"/>
        <v>0</v>
      </c>
      <c r="U87" s="313">
        <f t="shared" si="175"/>
        <v>0</v>
      </c>
      <c r="V87" s="311">
        <f t="shared" ref="V87:W87" si="217">(V6*V36)/12/21/7.5</f>
        <v>0</v>
      </c>
      <c r="W87" s="312">
        <f t="shared" si="217"/>
        <v>0</v>
      </c>
      <c r="X87" s="313">
        <f t="shared" si="176"/>
        <v>0</v>
      </c>
      <c r="Y87" s="311">
        <f t="shared" ref="Y87:Z87" si="218">(Y6*Y36)/12/21/7.5</f>
        <v>0</v>
      </c>
      <c r="Z87" s="312">
        <f t="shared" si="218"/>
        <v>0</v>
      </c>
      <c r="AA87" s="313">
        <f t="shared" si="177"/>
        <v>0</v>
      </c>
      <c r="AB87" s="311">
        <f t="shared" ref="AB87:AC87" si="219">(AB6*AB36)/12/21/7.5</f>
        <v>0</v>
      </c>
      <c r="AC87" s="312">
        <f t="shared" si="219"/>
        <v>0</v>
      </c>
      <c r="AD87" s="313">
        <f t="shared" si="178"/>
        <v>0</v>
      </c>
      <c r="AE87" s="311">
        <f t="shared" ref="AE87:AF87" si="220">(AE6*AE36)/12/21/7.5</f>
        <v>0</v>
      </c>
      <c r="AF87" s="312">
        <f t="shared" si="220"/>
        <v>0</v>
      </c>
      <c r="AG87" s="313">
        <f t="shared" si="179"/>
        <v>0</v>
      </c>
      <c r="AH87" s="311">
        <f t="shared" ref="AH87:AI87" si="221">(AH6*AH36)/12/21/7.5</f>
        <v>0</v>
      </c>
      <c r="AI87" s="312">
        <f t="shared" si="221"/>
        <v>0</v>
      </c>
      <c r="AJ87" s="313">
        <f t="shared" si="180"/>
        <v>0</v>
      </c>
      <c r="AK87" s="311">
        <f t="shared" ref="AK87:AL87" si="222">(AK6*AK36)/12/21/7.5</f>
        <v>0</v>
      </c>
      <c r="AL87" s="312">
        <f t="shared" si="222"/>
        <v>0</v>
      </c>
      <c r="AM87" s="313">
        <f t="shared" si="181"/>
        <v>0</v>
      </c>
      <c r="AN87" s="311">
        <f t="shared" ref="AN87:AO87" si="223">(AN6*AN36)/12/21/7.5</f>
        <v>0</v>
      </c>
      <c r="AO87" s="312">
        <f t="shared" si="223"/>
        <v>0</v>
      </c>
      <c r="AP87" s="313">
        <f t="shared" si="182"/>
        <v>0</v>
      </c>
      <c r="AQ87" s="311">
        <f t="shared" ref="AQ87:AR87" si="224">(AQ6*AQ36)/12/21/7.5</f>
        <v>0</v>
      </c>
      <c r="AR87" s="312">
        <f t="shared" si="224"/>
        <v>0</v>
      </c>
      <c r="AS87" s="313">
        <f t="shared" si="183"/>
        <v>0</v>
      </c>
      <c r="AT87" s="311">
        <f t="shared" ref="AT87:AU87" si="225">(AT6*AT36)/12/21/7.5</f>
        <v>0</v>
      </c>
      <c r="AU87" s="312">
        <f t="shared" si="225"/>
        <v>0</v>
      </c>
      <c r="AV87" s="313">
        <f t="shared" si="184"/>
        <v>0</v>
      </c>
      <c r="AW87" s="311">
        <f t="shared" ref="AW87:AX87" si="226">(AW6*AW36)/12/21/7.5</f>
        <v>0</v>
      </c>
      <c r="AX87" s="312">
        <f t="shared" si="226"/>
        <v>0</v>
      </c>
      <c r="AY87" s="313">
        <f t="shared" si="185"/>
        <v>0</v>
      </c>
      <c r="AZ87" s="311">
        <f t="shared" ref="AZ87:BA87" si="227">(AZ6*AZ36)/12/21/7.5</f>
        <v>0</v>
      </c>
      <c r="BA87" s="312">
        <f t="shared" si="227"/>
        <v>0</v>
      </c>
      <c r="BB87" s="313">
        <f t="shared" si="186"/>
        <v>0</v>
      </c>
      <c r="BC87" s="311">
        <f t="shared" ref="BC87:BD87" si="228">(BC6*BC36)/12/21/7.5</f>
        <v>0</v>
      </c>
      <c r="BD87" s="312">
        <f t="shared" si="228"/>
        <v>0</v>
      </c>
      <c r="BE87" s="313">
        <f t="shared" si="187"/>
        <v>0</v>
      </c>
      <c r="BF87" s="311">
        <f t="shared" ref="BF87:BG87" si="229">(BF6*BF36)/12/21/7.5</f>
        <v>0</v>
      </c>
      <c r="BG87" s="312">
        <f t="shared" si="229"/>
        <v>0</v>
      </c>
      <c r="BH87" s="313">
        <f t="shared" si="188"/>
        <v>0</v>
      </c>
      <c r="BI87" s="311">
        <f t="shared" si="210"/>
        <v>0</v>
      </c>
      <c r="BJ87" s="312">
        <f t="shared" si="210"/>
        <v>0</v>
      </c>
      <c r="BK87" s="313">
        <f t="shared" si="189"/>
        <v>0</v>
      </c>
      <c r="BL87" s="311">
        <f t="shared" si="211"/>
        <v>0</v>
      </c>
      <c r="BM87" s="312">
        <f t="shared" si="211"/>
        <v>0</v>
      </c>
      <c r="BN87" s="313">
        <f t="shared" si="190"/>
        <v>0</v>
      </c>
      <c r="BO87" s="311">
        <f t="shared" si="212"/>
        <v>0</v>
      </c>
      <c r="BP87" s="312">
        <f t="shared" si="212"/>
        <v>0</v>
      </c>
      <c r="BQ87" s="313">
        <f t="shared" si="191"/>
        <v>0</v>
      </c>
    </row>
    <row r="88" spans="1:69" ht="16" x14ac:dyDescent="0.2">
      <c r="A88" s="832"/>
      <c r="B88" s="834"/>
      <c r="C88" s="290" t="s">
        <v>165</v>
      </c>
      <c r="D88" s="291">
        <f t="shared" si="168"/>
        <v>113.75661375661376</v>
      </c>
      <c r="E88" s="292">
        <f t="shared" si="169"/>
        <v>83.724867724867721</v>
      </c>
      <c r="F88" s="293">
        <f t="shared" si="170"/>
        <v>-30.031746031746039</v>
      </c>
      <c r="G88" s="311">
        <f t="shared" si="192"/>
        <v>113.75661375661376</v>
      </c>
      <c r="H88" s="312">
        <f t="shared" si="192"/>
        <v>83.724867724867721</v>
      </c>
      <c r="I88" s="313">
        <f t="shared" si="171"/>
        <v>-30.031746031746039</v>
      </c>
      <c r="J88" s="311">
        <f t="shared" ref="J88:K88" si="230">(J7*J37)/12/21/7.5</f>
        <v>0</v>
      </c>
      <c r="K88" s="312">
        <f t="shared" si="230"/>
        <v>0</v>
      </c>
      <c r="L88" s="313">
        <f t="shared" si="172"/>
        <v>0</v>
      </c>
      <c r="M88" s="311">
        <f t="shared" ref="M88:N88" si="231">(M7*M37)/12/21/7.5</f>
        <v>0</v>
      </c>
      <c r="N88" s="312">
        <f t="shared" si="231"/>
        <v>0</v>
      </c>
      <c r="O88" s="313">
        <f t="shared" si="173"/>
        <v>0</v>
      </c>
      <c r="P88" s="311">
        <f t="shared" ref="P88:Q88" si="232">(P7*P37)/12/21/7.5</f>
        <v>0</v>
      </c>
      <c r="Q88" s="312">
        <f t="shared" si="232"/>
        <v>0</v>
      </c>
      <c r="R88" s="313">
        <f t="shared" si="174"/>
        <v>0</v>
      </c>
      <c r="S88" s="311">
        <f t="shared" ref="S88:T88" si="233">(S7*S37)/12/21/7.5</f>
        <v>0</v>
      </c>
      <c r="T88" s="312">
        <f t="shared" si="233"/>
        <v>0</v>
      </c>
      <c r="U88" s="313">
        <f t="shared" si="175"/>
        <v>0</v>
      </c>
      <c r="V88" s="311">
        <f t="shared" ref="V88:W88" si="234">(V7*V37)/12/21/7.5</f>
        <v>0</v>
      </c>
      <c r="W88" s="312">
        <f t="shared" si="234"/>
        <v>0</v>
      </c>
      <c r="X88" s="313">
        <f t="shared" si="176"/>
        <v>0</v>
      </c>
      <c r="Y88" s="311">
        <f t="shared" ref="Y88:Z88" si="235">(Y7*Y37)/12/21/7.5</f>
        <v>0</v>
      </c>
      <c r="Z88" s="312">
        <f t="shared" si="235"/>
        <v>0</v>
      </c>
      <c r="AA88" s="313">
        <f t="shared" si="177"/>
        <v>0</v>
      </c>
      <c r="AB88" s="311">
        <f t="shared" ref="AB88:AC88" si="236">(AB7*AB37)/12/21/7.5</f>
        <v>0</v>
      </c>
      <c r="AC88" s="312">
        <f t="shared" si="236"/>
        <v>0</v>
      </c>
      <c r="AD88" s="313">
        <f t="shared" si="178"/>
        <v>0</v>
      </c>
      <c r="AE88" s="311">
        <f t="shared" ref="AE88:AF88" si="237">(AE7*AE37)/12/21/7.5</f>
        <v>0</v>
      </c>
      <c r="AF88" s="312">
        <f t="shared" si="237"/>
        <v>0</v>
      </c>
      <c r="AG88" s="313">
        <f t="shared" si="179"/>
        <v>0</v>
      </c>
      <c r="AH88" s="311">
        <f t="shared" ref="AH88:AI88" si="238">(AH7*AH37)/12/21/7.5</f>
        <v>0</v>
      </c>
      <c r="AI88" s="312">
        <f t="shared" si="238"/>
        <v>0</v>
      </c>
      <c r="AJ88" s="313">
        <f t="shared" si="180"/>
        <v>0</v>
      </c>
      <c r="AK88" s="311">
        <f t="shared" ref="AK88:AL88" si="239">(AK7*AK37)/12/21/7.5</f>
        <v>0</v>
      </c>
      <c r="AL88" s="312">
        <f t="shared" si="239"/>
        <v>0</v>
      </c>
      <c r="AM88" s="313">
        <f t="shared" si="181"/>
        <v>0</v>
      </c>
      <c r="AN88" s="311">
        <f t="shared" ref="AN88:AO88" si="240">(AN7*AN37)/12/21/7.5</f>
        <v>0</v>
      </c>
      <c r="AO88" s="312">
        <f t="shared" si="240"/>
        <v>0</v>
      </c>
      <c r="AP88" s="313">
        <f t="shared" si="182"/>
        <v>0</v>
      </c>
      <c r="AQ88" s="311">
        <f t="shared" ref="AQ88:AR88" si="241">(AQ7*AQ37)/12/21/7.5</f>
        <v>0</v>
      </c>
      <c r="AR88" s="312">
        <f t="shared" si="241"/>
        <v>0</v>
      </c>
      <c r="AS88" s="313">
        <f t="shared" si="183"/>
        <v>0</v>
      </c>
      <c r="AT88" s="311">
        <f t="shared" ref="AT88:AU88" si="242">(AT7*AT37)/12/21/7.5</f>
        <v>0</v>
      </c>
      <c r="AU88" s="312">
        <f t="shared" si="242"/>
        <v>0</v>
      </c>
      <c r="AV88" s="313">
        <f t="shared" si="184"/>
        <v>0</v>
      </c>
      <c r="AW88" s="311">
        <f t="shared" ref="AW88:AX88" si="243">(AW7*AW37)/12/21/7.5</f>
        <v>0</v>
      </c>
      <c r="AX88" s="312">
        <f t="shared" si="243"/>
        <v>0</v>
      </c>
      <c r="AY88" s="313">
        <f t="shared" si="185"/>
        <v>0</v>
      </c>
      <c r="AZ88" s="311">
        <f t="shared" ref="AZ88:BA88" si="244">(AZ7*AZ37)/12/21/7.5</f>
        <v>0</v>
      </c>
      <c r="BA88" s="312">
        <f t="shared" si="244"/>
        <v>0</v>
      </c>
      <c r="BB88" s="313">
        <f t="shared" si="186"/>
        <v>0</v>
      </c>
      <c r="BC88" s="311">
        <f t="shared" ref="BC88:BD88" si="245">(BC7*BC37)/12/21/7.5</f>
        <v>0</v>
      </c>
      <c r="BD88" s="312">
        <f t="shared" si="245"/>
        <v>0</v>
      </c>
      <c r="BE88" s="313">
        <f t="shared" si="187"/>
        <v>0</v>
      </c>
      <c r="BF88" s="311">
        <f t="shared" ref="BF88:BG88" si="246">(BF7*BF37)/12/21/7.5</f>
        <v>0</v>
      </c>
      <c r="BG88" s="312">
        <f t="shared" si="246"/>
        <v>0</v>
      </c>
      <c r="BH88" s="313">
        <f t="shared" si="188"/>
        <v>0</v>
      </c>
      <c r="BI88" s="311">
        <f t="shared" si="210"/>
        <v>0</v>
      </c>
      <c r="BJ88" s="312">
        <f t="shared" si="210"/>
        <v>0</v>
      </c>
      <c r="BK88" s="313">
        <f t="shared" si="189"/>
        <v>0</v>
      </c>
      <c r="BL88" s="311">
        <f t="shared" si="211"/>
        <v>0</v>
      </c>
      <c r="BM88" s="312">
        <f t="shared" si="211"/>
        <v>0</v>
      </c>
      <c r="BN88" s="313">
        <f t="shared" si="190"/>
        <v>0</v>
      </c>
      <c r="BO88" s="311">
        <f t="shared" si="212"/>
        <v>0</v>
      </c>
      <c r="BP88" s="312">
        <f t="shared" si="212"/>
        <v>0</v>
      </c>
      <c r="BQ88" s="313">
        <f t="shared" si="191"/>
        <v>0</v>
      </c>
    </row>
    <row r="89" spans="1:69" ht="16" x14ac:dyDescent="0.2">
      <c r="A89" s="832"/>
      <c r="B89" s="834"/>
      <c r="C89" s="290" t="s">
        <v>166</v>
      </c>
      <c r="D89" s="291">
        <f t="shared" si="168"/>
        <v>113.75661375661376</v>
      </c>
      <c r="E89" s="292">
        <f t="shared" si="169"/>
        <v>76.216931216931215</v>
      </c>
      <c r="F89" s="293">
        <f t="shared" si="170"/>
        <v>-37.539682539682545</v>
      </c>
      <c r="G89" s="311">
        <f t="shared" si="192"/>
        <v>113.75661375661376</v>
      </c>
      <c r="H89" s="312">
        <f t="shared" si="192"/>
        <v>76.216931216931215</v>
      </c>
      <c r="I89" s="313">
        <f t="shared" si="171"/>
        <v>-37.539682539682545</v>
      </c>
      <c r="J89" s="311">
        <f t="shared" ref="J89:K89" si="247">(J8*J38)/12/21/7.5</f>
        <v>0</v>
      </c>
      <c r="K89" s="312">
        <f t="shared" si="247"/>
        <v>0</v>
      </c>
      <c r="L89" s="313">
        <f t="shared" si="172"/>
        <v>0</v>
      </c>
      <c r="M89" s="311">
        <f t="shared" ref="M89:N89" si="248">(M8*M38)/12/21/7.5</f>
        <v>0</v>
      </c>
      <c r="N89" s="312">
        <f t="shared" si="248"/>
        <v>0</v>
      </c>
      <c r="O89" s="313">
        <f t="shared" si="173"/>
        <v>0</v>
      </c>
      <c r="P89" s="311">
        <f t="shared" ref="P89:Q89" si="249">(P8*P38)/12/21/7.5</f>
        <v>0</v>
      </c>
      <c r="Q89" s="312">
        <f t="shared" si="249"/>
        <v>0</v>
      </c>
      <c r="R89" s="313">
        <f t="shared" si="174"/>
        <v>0</v>
      </c>
      <c r="S89" s="311">
        <f t="shared" ref="S89:T89" si="250">(S8*S38)/12/21/7.5</f>
        <v>0</v>
      </c>
      <c r="T89" s="312">
        <f t="shared" si="250"/>
        <v>0</v>
      </c>
      <c r="U89" s="313">
        <f t="shared" si="175"/>
        <v>0</v>
      </c>
      <c r="V89" s="311">
        <f t="shared" ref="V89:W89" si="251">(V8*V38)/12/21/7.5</f>
        <v>0</v>
      </c>
      <c r="W89" s="312">
        <f t="shared" si="251"/>
        <v>0</v>
      </c>
      <c r="X89" s="313">
        <f t="shared" si="176"/>
        <v>0</v>
      </c>
      <c r="Y89" s="311">
        <f t="shared" ref="Y89:Z89" si="252">(Y8*Y38)/12/21/7.5</f>
        <v>0</v>
      </c>
      <c r="Z89" s="312">
        <f t="shared" si="252"/>
        <v>0</v>
      </c>
      <c r="AA89" s="313">
        <f t="shared" si="177"/>
        <v>0</v>
      </c>
      <c r="AB89" s="311">
        <f t="shared" ref="AB89:AC89" si="253">(AB8*AB38)/12/21/7.5</f>
        <v>0</v>
      </c>
      <c r="AC89" s="312">
        <f t="shared" si="253"/>
        <v>0</v>
      </c>
      <c r="AD89" s="313">
        <f t="shared" si="178"/>
        <v>0</v>
      </c>
      <c r="AE89" s="311">
        <f t="shared" ref="AE89:AF89" si="254">(AE8*AE38)/12/21/7.5</f>
        <v>0</v>
      </c>
      <c r="AF89" s="312">
        <f t="shared" si="254"/>
        <v>0</v>
      </c>
      <c r="AG89" s="313">
        <f t="shared" si="179"/>
        <v>0</v>
      </c>
      <c r="AH89" s="311">
        <f t="shared" ref="AH89:AI89" si="255">(AH8*AH38)/12/21/7.5</f>
        <v>0</v>
      </c>
      <c r="AI89" s="312">
        <f t="shared" si="255"/>
        <v>0</v>
      </c>
      <c r="AJ89" s="313">
        <f t="shared" si="180"/>
        <v>0</v>
      </c>
      <c r="AK89" s="311">
        <f t="shared" ref="AK89:AL89" si="256">(AK8*AK38)/12/21/7.5</f>
        <v>0</v>
      </c>
      <c r="AL89" s="312">
        <f t="shared" si="256"/>
        <v>0</v>
      </c>
      <c r="AM89" s="313">
        <f t="shared" si="181"/>
        <v>0</v>
      </c>
      <c r="AN89" s="311">
        <f t="shared" ref="AN89:AO89" si="257">(AN8*AN38)/12/21/7.5</f>
        <v>0</v>
      </c>
      <c r="AO89" s="312">
        <f t="shared" si="257"/>
        <v>0</v>
      </c>
      <c r="AP89" s="313">
        <f t="shared" si="182"/>
        <v>0</v>
      </c>
      <c r="AQ89" s="311">
        <f t="shared" ref="AQ89:AR89" si="258">(AQ8*AQ38)/12/21/7.5</f>
        <v>0</v>
      </c>
      <c r="AR89" s="312">
        <f t="shared" si="258"/>
        <v>0</v>
      </c>
      <c r="AS89" s="313">
        <f t="shared" si="183"/>
        <v>0</v>
      </c>
      <c r="AT89" s="311">
        <f t="shared" ref="AT89:AU89" si="259">(AT8*AT38)/12/21/7.5</f>
        <v>0</v>
      </c>
      <c r="AU89" s="312">
        <f t="shared" si="259"/>
        <v>0</v>
      </c>
      <c r="AV89" s="313">
        <f t="shared" si="184"/>
        <v>0</v>
      </c>
      <c r="AW89" s="311">
        <f t="shared" ref="AW89:AX89" si="260">(AW8*AW38)/12/21/7.5</f>
        <v>0</v>
      </c>
      <c r="AX89" s="312">
        <f t="shared" si="260"/>
        <v>0</v>
      </c>
      <c r="AY89" s="313">
        <f t="shared" si="185"/>
        <v>0</v>
      </c>
      <c r="AZ89" s="311">
        <f t="shared" ref="AZ89:BA89" si="261">(AZ8*AZ38)/12/21/7.5</f>
        <v>0</v>
      </c>
      <c r="BA89" s="312">
        <f t="shared" si="261"/>
        <v>0</v>
      </c>
      <c r="BB89" s="313">
        <f t="shared" si="186"/>
        <v>0</v>
      </c>
      <c r="BC89" s="311">
        <f t="shared" ref="BC89:BD89" si="262">(BC8*BC38)/12/21/7.5</f>
        <v>0</v>
      </c>
      <c r="BD89" s="312">
        <f t="shared" si="262"/>
        <v>0</v>
      </c>
      <c r="BE89" s="313">
        <f t="shared" si="187"/>
        <v>0</v>
      </c>
      <c r="BF89" s="311">
        <f t="shared" ref="BF89:BG89" si="263">(BF8*BF38)/12/21/7.5</f>
        <v>0</v>
      </c>
      <c r="BG89" s="312">
        <f t="shared" si="263"/>
        <v>0</v>
      </c>
      <c r="BH89" s="313">
        <f t="shared" si="188"/>
        <v>0</v>
      </c>
      <c r="BI89" s="311">
        <f t="shared" si="210"/>
        <v>0</v>
      </c>
      <c r="BJ89" s="312">
        <f t="shared" si="210"/>
        <v>0</v>
      </c>
      <c r="BK89" s="313">
        <f t="shared" si="189"/>
        <v>0</v>
      </c>
      <c r="BL89" s="311">
        <f t="shared" si="211"/>
        <v>0</v>
      </c>
      <c r="BM89" s="312">
        <f t="shared" si="211"/>
        <v>0</v>
      </c>
      <c r="BN89" s="313">
        <f t="shared" si="190"/>
        <v>0</v>
      </c>
      <c r="BO89" s="311">
        <f t="shared" si="212"/>
        <v>0</v>
      </c>
      <c r="BP89" s="312">
        <f t="shared" si="212"/>
        <v>0</v>
      </c>
      <c r="BQ89" s="313">
        <f t="shared" si="191"/>
        <v>0</v>
      </c>
    </row>
    <row r="90" spans="1:69" ht="16" x14ac:dyDescent="0.2">
      <c r="A90" s="832"/>
      <c r="B90" s="834"/>
      <c r="C90" s="290" t="s">
        <v>167</v>
      </c>
      <c r="D90" s="291">
        <f t="shared" si="168"/>
        <v>113.75661375661376</v>
      </c>
      <c r="E90" s="292">
        <f t="shared" si="169"/>
        <v>68.708994708994695</v>
      </c>
      <c r="F90" s="293">
        <f t="shared" si="170"/>
        <v>-45.047619047619065</v>
      </c>
      <c r="G90" s="311">
        <f t="shared" si="192"/>
        <v>113.75661375661376</v>
      </c>
      <c r="H90" s="312">
        <f t="shared" si="192"/>
        <v>68.708994708994695</v>
      </c>
      <c r="I90" s="313">
        <f t="shared" si="171"/>
        <v>-45.047619047619065</v>
      </c>
      <c r="J90" s="311">
        <f t="shared" ref="J90:K90" si="264">(J9*J39)/12/21/7.5</f>
        <v>0</v>
      </c>
      <c r="K90" s="312">
        <f t="shared" si="264"/>
        <v>0</v>
      </c>
      <c r="L90" s="313">
        <f t="shared" si="172"/>
        <v>0</v>
      </c>
      <c r="M90" s="311">
        <f t="shared" ref="M90:N90" si="265">(M9*M39)/12/21/7.5</f>
        <v>0</v>
      </c>
      <c r="N90" s="312">
        <f t="shared" si="265"/>
        <v>0</v>
      </c>
      <c r="O90" s="313">
        <f t="shared" si="173"/>
        <v>0</v>
      </c>
      <c r="P90" s="311">
        <f>(P9*P39)/12/21/7.5</f>
        <v>0</v>
      </c>
      <c r="Q90" s="312">
        <f t="shared" ref="Q90" si="266">(Q9*Q39)/12/21/7.5</f>
        <v>0</v>
      </c>
      <c r="R90" s="313">
        <f t="shared" si="174"/>
        <v>0</v>
      </c>
      <c r="S90" s="311">
        <f t="shared" ref="S90:T90" si="267">(S9*S39)/12/21/7.5</f>
        <v>0</v>
      </c>
      <c r="T90" s="312">
        <f t="shared" si="267"/>
        <v>0</v>
      </c>
      <c r="U90" s="313">
        <f t="shared" si="175"/>
        <v>0</v>
      </c>
      <c r="V90" s="311">
        <f t="shared" ref="V90:W90" si="268">(V9*V39)/12/21/7.5</f>
        <v>0</v>
      </c>
      <c r="W90" s="312">
        <f t="shared" si="268"/>
        <v>0</v>
      </c>
      <c r="X90" s="313">
        <f t="shared" si="176"/>
        <v>0</v>
      </c>
      <c r="Y90" s="311">
        <f t="shared" ref="Y90:Z90" si="269">(Y9*Y39)/12/21/7.5</f>
        <v>0</v>
      </c>
      <c r="Z90" s="312">
        <f t="shared" si="269"/>
        <v>0</v>
      </c>
      <c r="AA90" s="313">
        <f t="shared" si="177"/>
        <v>0</v>
      </c>
      <c r="AB90" s="311">
        <f t="shared" ref="AB90:AC90" si="270">(AB9*AB39)/12/21/7.5</f>
        <v>0</v>
      </c>
      <c r="AC90" s="312">
        <f t="shared" si="270"/>
        <v>0</v>
      </c>
      <c r="AD90" s="313">
        <f t="shared" si="178"/>
        <v>0</v>
      </c>
      <c r="AE90" s="311">
        <f t="shared" ref="AE90:AF90" si="271">(AE9*AE39)/12/21/7.5</f>
        <v>0</v>
      </c>
      <c r="AF90" s="312">
        <f t="shared" si="271"/>
        <v>0</v>
      </c>
      <c r="AG90" s="313">
        <f t="shared" si="179"/>
        <v>0</v>
      </c>
      <c r="AH90" s="311">
        <f t="shared" ref="AH90:AI90" si="272">(AH9*AH39)/12/21/7.5</f>
        <v>0</v>
      </c>
      <c r="AI90" s="312">
        <f t="shared" si="272"/>
        <v>0</v>
      </c>
      <c r="AJ90" s="313">
        <f t="shared" si="180"/>
        <v>0</v>
      </c>
      <c r="AK90" s="311">
        <f t="shared" ref="AK90:AL90" si="273">(AK9*AK39)/12/21/7.5</f>
        <v>0</v>
      </c>
      <c r="AL90" s="312">
        <f t="shared" si="273"/>
        <v>0</v>
      </c>
      <c r="AM90" s="313">
        <f t="shared" si="181"/>
        <v>0</v>
      </c>
      <c r="AN90" s="311">
        <f t="shared" ref="AN90:AO90" si="274">(AN9*AN39)/12/21/7.5</f>
        <v>0</v>
      </c>
      <c r="AO90" s="312">
        <f t="shared" si="274"/>
        <v>0</v>
      </c>
      <c r="AP90" s="313">
        <f t="shared" si="182"/>
        <v>0</v>
      </c>
      <c r="AQ90" s="311">
        <f t="shared" ref="AQ90:AR90" si="275">(AQ9*AQ39)/12/21/7.5</f>
        <v>0</v>
      </c>
      <c r="AR90" s="312">
        <f t="shared" si="275"/>
        <v>0</v>
      </c>
      <c r="AS90" s="313">
        <f t="shared" si="183"/>
        <v>0</v>
      </c>
      <c r="AT90" s="311">
        <f t="shared" ref="AT90:AU90" si="276">(AT9*AT39)/12/21/7.5</f>
        <v>0</v>
      </c>
      <c r="AU90" s="312">
        <f t="shared" si="276"/>
        <v>0</v>
      </c>
      <c r="AV90" s="313">
        <f t="shared" si="184"/>
        <v>0</v>
      </c>
      <c r="AW90" s="311">
        <f t="shared" ref="AW90:AX90" si="277">(AW9*AW39)/12/21/7.5</f>
        <v>0</v>
      </c>
      <c r="AX90" s="312">
        <f t="shared" si="277"/>
        <v>0</v>
      </c>
      <c r="AY90" s="313">
        <f t="shared" si="185"/>
        <v>0</v>
      </c>
      <c r="AZ90" s="311">
        <f t="shared" ref="AZ90:BA90" si="278">(AZ9*AZ39)/12/21/7.5</f>
        <v>0</v>
      </c>
      <c r="BA90" s="312">
        <f t="shared" si="278"/>
        <v>0</v>
      </c>
      <c r="BB90" s="313">
        <f t="shared" si="186"/>
        <v>0</v>
      </c>
      <c r="BC90" s="311">
        <f t="shared" ref="BC90:BD90" si="279">(BC9*BC39)/12/21/7.5</f>
        <v>0</v>
      </c>
      <c r="BD90" s="312">
        <f t="shared" si="279"/>
        <v>0</v>
      </c>
      <c r="BE90" s="313">
        <f t="shared" si="187"/>
        <v>0</v>
      </c>
      <c r="BF90" s="311">
        <f t="shared" ref="BF90:BG90" si="280">(BF9*BF39)/12/21/7.5</f>
        <v>0</v>
      </c>
      <c r="BG90" s="312">
        <f t="shared" si="280"/>
        <v>0</v>
      </c>
      <c r="BH90" s="313">
        <f t="shared" si="188"/>
        <v>0</v>
      </c>
      <c r="BI90" s="311">
        <f t="shared" si="210"/>
        <v>0</v>
      </c>
      <c r="BJ90" s="312">
        <f t="shared" si="210"/>
        <v>0</v>
      </c>
      <c r="BK90" s="313">
        <f t="shared" si="189"/>
        <v>0</v>
      </c>
      <c r="BL90" s="311">
        <f t="shared" si="211"/>
        <v>0</v>
      </c>
      <c r="BM90" s="312">
        <f t="shared" si="211"/>
        <v>0</v>
      </c>
      <c r="BN90" s="313">
        <f t="shared" si="190"/>
        <v>0</v>
      </c>
      <c r="BO90" s="311">
        <f t="shared" si="212"/>
        <v>0</v>
      </c>
      <c r="BP90" s="312">
        <f t="shared" si="212"/>
        <v>0</v>
      </c>
      <c r="BQ90" s="313">
        <f t="shared" si="191"/>
        <v>0</v>
      </c>
    </row>
    <row r="91" spans="1:69" ht="16" x14ac:dyDescent="0.2">
      <c r="A91" s="832"/>
      <c r="B91" s="834"/>
      <c r="C91" s="290" t="s">
        <v>168</v>
      </c>
      <c r="D91" s="291">
        <f t="shared" si="168"/>
        <v>113.75661375661376</v>
      </c>
      <c r="E91" s="292">
        <f t="shared" si="169"/>
        <v>61.201058201058203</v>
      </c>
      <c r="F91" s="293">
        <f t="shared" si="170"/>
        <v>-52.555555555555557</v>
      </c>
      <c r="G91" s="311">
        <f t="shared" si="192"/>
        <v>113.75661375661376</v>
      </c>
      <c r="H91" s="312">
        <f t="shared" si="192"/>
        <v>61.201058201058203</v>
      </c>
      <c r="I91" s="313">
        <f t="shared" si="171"/>
        <v>-52.555555555555557</v>
      </c>
      <c r="J91" s="311">
        <f t="shared" ref="J91:K91" si="281">(J10*J40)/12/21/7.5</f>
        <v>0</v>
      </c>
      <c r="K91" s="312">
        <f t="shared" si="281"/>
        <v>0</v>
      </c>
      <c r="L91" s="313">
        <f t="shared" si="172"/>
        <v>0</v>
      </c>
      <c r="M91" s="311">
        <f t="shared" ref="M91:N91" si="282">(M10*M40)/12/21/7.5</f>
        <v>0</v>
      </c>
      <c r="N91" s="312">
        <f t="shared" si="282"/>
        <v>0</v>
      </c>
      <c r="O91" s="313">
        <f t="shared" si="173"/>
        <v>0</v>
      </c>
      <c r="P91" s="311">
        <f t="shared" ref="P91:Q91" si="283">(P10*P40)/12/21/7.5</f>
        <v>0</v>
      </c>
      <c r="Q91" s="312">
        <f t="shared" si="283"/>
        <v>0</v>
      </c>
      <c r="R91" s="313">
        <f t="shared" si="174"/>
        <v>0</v>
      </c>
      <c r="S91" s="311">
        <f t="shared" ref="S91:T91" si="284">(S10*S40)/12/21/7.5</f>
        <v>0</v>
      </c>
      <c r="T91" s="312">
        <f t="shared" si="284"/>
        <v>0</v>
      </c>
      <c r="U91" s="313">
        <f t="shared" si="175"/>
        <v>0</v>
      </c>
      <c r="V91" s="311">
        <f t="shared" ref="V91:W91" si="285">(V10*V40)/12/21/7.5</f>
        <v>0</v>
      </c>
      <c r="W91" s="312">
        <f t="shared" si="285"/>
        <v>0</v>
      </c>
      <c r="X91" s="313">
        <f t="shared" si="176"/>
        <v>0</v>
      </c>
      <c r="Y91" s="311">
        <f t="shared" ref="Y91:Z91" si="286">(Y10*Y40)/12/21/7.5</f>
        <v>0</v>
      </c>
      <c r="Z91" s="312">
        <f t="shared" si="286"/>
        <v>0</v>
      </c>
      <c r="AA91" s="313">
        <f t="shared" si="177"/>
        <v>0</v>
      </c>
      <c r="AB91" s="311">
        <f t="shared" ref="AB91:AC91" si="287">(AB10*AB40)/12/21/7.5</f>
        <v>0</v>
      </c>
      <c r="AC91" s="312">
        <f t="shared" si="287"/>
        <v>0</v>
      </c>
      <c r="AD91" s="313">
        <f t="shared" si="178"/>
        <v>0</v>
      </c>
      <c r="AE91" s="311">
        <f t="shared" ref="AE91:AF91" si="288">(AE10*AE40)/12/21/7.5</f>
        <v>0</v>
      </c>
      <c r="AF91" s="312">
        <f t="shared" si="288"/>
        <v>0</v>
      </c>
      <c r="AG91" s="313">
        <f t="shared" si="179"/>
        <v>0</v>
      </c>
      <c r="AH91" s="311">
        <f t="shared" ref="AH91:AI91" si="289">(AH10*AH40)/12/21/7.5</f>
        <v>0</v>
      </c>
      <c r="AI91" s="312">
        <f t="shared" si="289"/>
        <v>0</v>
      </c>
      <c r="AJ91" s="313">
        <f t="shared" si="180"/>
        <v>0</v>
      </c>
      <c r="AK91" s="311">
        <f t="shared" ref="AK91:AL91" si="290">(AK10*AK40)/12/21/7.5</f>
        <v>0</v>
      </c>
      <c r="AL91" s="312">
        <f t="shared" si="290"/>
        <v>0</v>
      </c>
      <c r="AM91" s="313">
        <f t="shared" si="181"/>
        <v>0</v>
      </c>
      <c r="AN91" s="311">
        <f t="shared" ref="AN91:AO91" si="291">(AN10*AN40)/12/21/7.5</f>
        <v>0</v>
      </c>
      <c r="AO91" s="312">
        <f t="shared" si="291"/>
        <v>0</v>
      </c>
      <c r="AP91" s="313">
        <f t="shared" si="182"/>
        <v>0</v>
      </c>
      <c r="AQ91" s="311">
        <f t="shared" ref="AQ91:AR91" si="292">(AQ10*AQ40)/12/21/7.5</f>
        <v>0</v>
      </c>
      <c r="AR91" s="312">
        <f t="shared" si="292"/>
        <v>0</v>
      </c>
      <c r="AS91" s="313">
        <f t="shared" si="183"/>
        <v>0</v>
      </c>
      <c r="AT91" s="311">
        <f t="shared" ref="AT91:AU91" si="293">(AT10*AT40)/12/21/7.5</f>
        <v>0</v>
      </c>
      <c r="AU91" s="312">
        <f t="shared" si="293"/>
        <v>0</v>
      </c>
      <c r="AV91" s="313">
        <f t="shared" si="184"/>
        <v>0</v>
      </c>
      <c r="AW91" s="311">
        <f t="shared" ref="AW91:AX91" si="294">(AW10*AW40)/12/21/7.5</f>
        <v>0</v>
      </c>
      <c r="AX91" s="312">
        <f t="shared" si="294"/>
        <v>0</v>
      </c>
      <c r="AY91" s="313">
        <f t="shared" si="185"/>
        <v>0</v>
      </c>
      <c r="AZ91" s="311">
        <f t="shared" ref="AZ91:BA91" si="295">(AZ10*AZ40)/12/21/7.5</f>
        <v>0</v>
      </c>
      <c r="BA91" s="312">
        <f t="shared" si="295"/>
        <v>0</v>
      </c>
      <c r="BB91" s="313">
        <f t="shared" si="186"/>
        <v>0</v>
      </c>
      <c r="BC91" s="311">
        <f t="shared" ref="BC91:BD91" si="296">(BC10*BC40)/12/21/7.5</f>
        <v>0</v>
      </c>
      <c r="BD91" s="312">
        <f t="shared" si="296"/>
        <v>0</v>
      </c>
      <c r="BE91" s="313">
        <f t="shared" si="187"/>
        <v>0</v>
      </c>
      <c r="BF91" s="311">
        <f t="shared" ref="BF91:BG91" si="297">(BF10*BF40)/12/21/7.5</f>
        <v>0</v>
      </c>
      <c r="BG91" s="312">
        <f t="shared" si="297"/>
        <v>0</v>
      </c>
      <c r="BH91" s="313">
        <f t="shared" si="188"/>
        <v>0</v>
      </c>
      <c r="BI91" s="311">
        <f t="shared" si="210"/>
        <v>0</v>
      </c>
      <c r="BJ91" s="312">
        <f t="shared" si="210"/>
        <v>0</v>
      </c>
      <c r="BK91" s="313">
        <f t="shared" si="189"/>
        <v>0</v>
      </c>
      <c r="BL91" s="311">
        <f t="shared" si="211"/>
        <v>0</v>
      </c>
      <c r="BM91" s="312">
        <f t="shared" si="211"/>
        <v>0</v>
      </c>
      <c r="BN91" s="313">
        <f t="shared" si="190"/>
        <v>0</v>
      </c>
      <c r="BO91" s="311">
        <f t="shared" si="212"/>
        <v>0</v>
      </c>
      <c r="BP91" s="312">
        <f t="shared" si="212"/>
        <v>0</v>
      </c>
      <c r="BQ91" s="313">
        <f t="shared" si="191"/>
        <v>0</v>
      </c>
    </row>
    <row r="92" spans="1:69" ht="16" x14ac:dyDescent="0.2">
      <c r="A92" s="832"/>
      <c r="B92" s="834"/>
      <c r="C92" s="290" t="s">
        <v>169</v>
      </c>
      <c r="D92" s="291">
        <f t="shared" si="168"/>
        <v>113.75661375661376</v>
      </c>
      <c r="E92" s="292">
        <f t="shared" si="169"/>
        <v>53.693121693121689</v>
      </c>
      <c r="F92" s="293">
        <f t="shared" si="170"/>
        <v>-60.06349206349207</v>
      </c>
      <c r="G92" s="311">
        <f t="shared" si="192"/>
        <v>113.75661375661376</v>
      </c>
      <c r="H92" s="312">
        <f t="shared" si="192"/>
        <v>53.693121693121689</v>
      </c>
      <c r="I92" s="313">
        <f t="shared" si="171"/>
        <v>-60.06349206349207</v>
      </c>
      <c r="J92" s="311">
        <f t="shared" ref="J92:K92" si="298">(J11*J41)/12/21/7.5</f>
        <v>0</v>
      </c>
      <c r="K92" s="312">
        <f t="shared" si="298"/>
        <v>0</v>
      </c>
      <c r="L92" s="313">
        <f t="shared" si="172"/>
        <v>0</v>
      </c>
      <c r="M92" s="311">
        <f t="shared" ref="M92:N92" si="299">(M11*M41)/12/21/7.5</f>
        <v>0</v>
      </c>
      <c r="N92" s="312">
        <f t="shared" si="299"/>
        <v>0</v>
      </c>
      <c r="O92" s="313">
        <f t="shared" si="173"/>
        <v>0</v>
      </c>
      <c r="P92" s="311">
        <f t="shared" ref="P92:Q92" si="300">(P11*P41)/12/21/7.5</f>
        <v>0</v>
      </c>
      <c r="Q92" s="312">
        <f t="shared" si="300"/>
        <v>0</v>
      </c>
      <c r="R92" s="313">
        <f t="shared" si="174"/>
        <v>0</v>
      </c>
      <c r="S92" s="311">
        <f t="shared" ref="S92:T92" si="301">(S11*S41)/12/21/7.5</f>
        <v>0</v>
      </c>
      <c r="T92" s="312">
        <f t="shared" si="301"/>
        <v>0</v>
      </c>
      <c r="U92" s="313">
        <f t="shared" si="175"/>
        <v>0</v>
      </c>
      <c r="V92" s="311">
        <f t="shared" ref="V92:W92" si="302">(V11*V41)/12/21/7.5</f>
        <v>0</v>
      </c>
      <c r="W92" s="312">
        <f t="shared" si="302"/>
        <v>0</v>
      </c>
      <c r="X92" s="313">
        <f t="shared" si="176"/>
        <v>0</v>
      </c>
      <c r="Y92" s="311">
        <f t="shared" ref="Y92:Z92" si="303">(Y11*Y41)/12/21/7.5</f>
        <v>0</v>
      </c>
      <c r="Z92" s="312">
        <f t="shared" si="303"/>
        <v>0</v>
      </c>
      <c r="AA92" s="313">
        <f t="shared" si="177"/>
        <v>0</v>
      </c>
      <c r="AB92" s="311">
        <f t="shared" ref="AB92:AC92" si="304">(AB11*AB41)/12/21/7.5</f>
        <v>0</v>
      </c>
      <c r="AC92" s="312">
        <f t="shared" si="304"/>
        <v>0</v>
      </c>
      <c r="AD92" s="313">
        <f t="shared" si="178"/>
        <v>0</v>
      </c>
      <c r="AE92" s="311">
        <f t="shared" ref="AE92:AF92" si="305">(AE11*AE41)/12/21/7.5</f>
        <v>0</v>
      </c>
      <c r="AF92" s="312">
        <f t="shared" si="305"/>
        <v>0</v>
      </c>
      <c r="AG92" s="313">
        <f t="shared" si="179"/>
        <v>0</v>
      </c>
      <c r="AH92" s="311">
        <f t="shared" ref="AH92:AI92" si="306">(AH11*AH41)/12/21/7.5</f>
        <v>0</v>
      </c>
      <c r="AI92" s="312">
        <f t="shared" si="306"/>
        <v>0</v>
      </c>
      <c r="AJ92" s="313">
        <f t="shared" si="180"/>
        <v>0</v>
      </c>
      <c r="AK92" s="311">
        <f t="shared" ref="AK92:AL92" si="307">(AK11*AK41)/12/21/7.5</f>
        <v>0</v>
      </c>
      <c r="AL92" s="312">
        <f t="shared" si="307"/>
        <v>0</v>
      </c>
      <c r="AM92" s="313">
        <f t="shared" si="181"/>
        <v>0</v>
      </c>
      <c r="AN92" s="311">
        <f t="shared" ref="AN92:AO92" si="308">(AN11*AN41)/12/21/7.5</f>
        <v>0</v>
      </c>
      <c r="AO92" s="312">
        <f t="shared" si="308"/>
        <v>0</v>
      </c>
      <c r="AP92" s="313">
        <f t="shared" si="182"/>
        <v>0</v>
      </c>
      <c r="AQ92" s="311">
        <f t="shared" ref="AQ92:AR92" si="309">(AQ11*AQ41)/12/21/7.5</f>
        <v>0</v>
      </c>
      <c r="AR92" s="312">
        <f t="shared" si="309"/>
        <v>0</v>
      </c>
      <c r="AS92" s="313">
        <f t="shared" si="183"/>
        <v>0</v>
      </c>
      <c r="AT92" s="311">
        <f t="shared" ref="AT92:AU92" si="310">(AT11*AT41)/12/21/7.5</f>
        <v>0</v>
      </c>
      <c r="AU92" s="312">
        <f t="shared" si="310"/>
        <v>0</v>
      </c>
      <c r="AV92" s="313">
        <f t="shared" si="184"/>
        <v>0</v>
      </c>
      <c r="AW92" s="311">
        <f t="shared" ref="AW92:AX92" si="311">(AW11*AW41)/12/21/7.5</f>
        <v>0</v>
      </c>
      <c r="AX92" s="312">
        <f t="shared" si="311"/>
        <v>0</v>
      </c>
      <c r="AY92" s="313">
        <f t="shared" si="185"/>
        <v>0</v>
      </c>
      <c r="AZ92" s="311">
        <f t="shared" ref="AZ92:BA92" si="312">(AZ11*AZ41)/12/21/7.5</f>
        <v>0</v>
      </c>
      <c r="BA92" s="312">
        <f t="shared" si="312"/>
        <v>0</v>
      </c>
      <c r="BB92" s="313">
        <f t="shared" si="186"/>
        <v>0</v>
      </c>
      <c r="BC92" s="311">
        <f t="shared" ref="BC92:BD92" si="313">(BC11*BC41)/12/21/7.5</f>
        <v>0</v>
      </c>
      <c r="BD92" s="312">
        <f t="shared" si="313"/>
        <v>0</v>
      </c>
      <c r="BE92" s="313">
        <f t="shared" si="187"/>
        <v>0</v>
      </c>
      <c r="BF92" s="311">
        <f t="shared" ref="BF92:BG92" si="314">(BF11*BF41)/12/21/7.5</f>
        <v>0</v>
      </c>
      <c r="BG92" s="312">
        <f t="shared" si="314"/>
        <v>0</v>
      </c>
      <c r="BH92" s="313">
        <f t="shared" si="188"/>
        <v>0</v>
      </c>
      <c r="BI92" s="311">
        <f t="shared" si="210"/>
        <v>0</v>
      </c>
      <c r="BJ92" s="312">
        <f t="shared" si="210"/>
        <v>0</v>
      </c>
      <c r="BK92" s="313">
        <f t="shared" si="189"/>
        <v>0</v>
      </c>
      <c r="BL92" s="311">
        <f t="shared" si="211"/>
        <v>0</v>
      </c>
      <c r="BM92" s="312">
        <f t="shared" si="211"/>
        <v>0</v>
      </c>
      <c r="BN92" s="313">
        <f t="shared" si="190"/>
        <v>0</v>
      </c>
      <c r="BO92" s="311">
        <f t="shared" si="212"/>
        <v>0</v>
      </c>
      <c r="BP92" s="312">
        <f t="shared" si="212"/>
        <v>0</v>
      </c>
      <c r="BQ92" s="313">
        <f t="shared" si="191"/>
        <v>0</v>
      </c>
    </row>
    <row r="93" spans="1:69" ht="16" x14ac:dyDescent="0.2">
      <c r="A93" s="832"/>
      <c r="B93" s="834"/>
      <c r="C93" s="290" t="s">
        <v>170</v>
      </c>
      <c r="D93" s="291">
        <f t="shared" si="168"/>
        <v>113.75661375661376</v>
      </c>
      <c r="E93" s="292">
        <f t="shared" si="169"/>
        <v>49.939153439153436</v>
      </c>
      <c r="F93" s="293">
        <f t="shared" si="170"/>
        <v>-63.817460317460323</v>
      </c>
      <c r="G93" s="311">
        <f t="shared" si="192"/>
        <v>113.75661375661376</v>
      </c>
      <c r="H93" s="312">
        <f t="shared" si="192"/>
        <v>49.939153439153436</v>
      </c>
      <c r="I93" s="313">
        <f t="shared" si="171"/>
        <v>-63.817460317460323</v>
      </c>
      <c r="J93" s="311">
        <f t="shared" ref="J93:K93" si="315">(J12*J42)/12/21/7.5</f>
        <v>0</v>
      </c>
      <c r="K93" s="312">
        <f t="shared" si="315"/>
        <v>0</v>
      </c>
      <c r="L93" s="313">
        <f t="shared" si="172"/>
        <v>0</v>
      </c>
      <c r="M93" s="311">
        <f t="shared" ref="M93:N93" si="316">(M12*M42)/12/21/7.5</f>
        <v>0</v>
      </c>
      <c r="N93" s="312">
        <f t="shared" si="316"/>
        <v>0</v>
      </c>
      <c r="O93" s="313">
        <f t="shared" si="173"/>
        <v>0</v>
      </c>
      <c r="P93" s="311">
        <f t="shared" ref="P93:Q93" si="317">(P12*P42)/12/21/7.5</f>
        <v>0</v>
      </c>
      <c r="Q93" s="312">
        <f t="shared" si="317"/>
        <v>0</v>
      </c>
      <c r="R93" s="313">
        <f t="shared" si="174"/>
        <v>0</v>
      </c>
      <c r="S93" s="311">
        <f t="shared" ref="S93:T93" si="318">(S12*S42)/12/21/7.5</f>
        <v>0</v>
      </c>
      <c r="T93" s="312">
        <f t="shared" si="318"/>
        <v>0</v>
      </c>
      <c r="U93" s="313">
        <f t="shared" si="175"/>
        <v>0</v>
      </c>
      <c r="V93" s="311">
        <f t="shared" ref="V93:W93" si="319">(V12*V42)/12/21/7.5</f>
        <v>0</v>
      </c>
      <c r="W93" s="312">
        <f t="shared" si="319"/>
        <v>0</v>
      </c>
      <c r="X93" s="313">
        <f t="shared" si="176"/>
        <v>0</v>
      </c>
      <c r="Y93" s="311">
        <f t="shared" ref="Y93:Z93" si="320">(Y12*Y42)/12/21/7.5</f>
        <v>0</v>
      </c>
      <c r="Z93" s="312">
        <f t="shared" si="320"/>
        <v>0</v>
      </c>
      <c r="AA93" s="313">
        <f t="shared" si="177"/>
        <v>0</v>
      </c>
      <c r="AB93" s="311">
        <f t="shared" ref="AB93:AC93" si="321">(AB12*AB42)/12/21/7.5</f>
        <v>0</v>
      </c>
      <c r="AC93" s="312">
        <f t="shared" si="321"/>
        <v>0</v>
      </c>
      <c r="AD93" s="313">
        <f t="shared" si="178"/>
        <v>0</v>
      </c>
      <c r="AE93" s="311">
        <f t="shared" ref="AE93:AF93" si="322">(AE12*AE42)/12/21/7.5</f>
        <v>0</v>
      </c>
      <c r="AF93" s="312">
        <f t="shared" si="322"/>
        <v>0</v>
      </c>
      <c r="AG93" s="313">
        <f t="shared" si="179"/>
        <v>0</v>
      </c>
      <c r="AH93" s="311">
        <f t="shared" ref="AH93:AI93" si="323">(AH12*AH42)/12/21/7.5</f>
        <v>0</v>
      </c>
      <c r="AI93" s="312">
        <f t="shared" si="323"/>
        <v>0</v>
      </c>
      <c r="AJ93" s="313">
        <f t="shared" si="180"/>
        <v>0</v>
      </c>
      <c r="AK93" s="311">
        <f t="shared" ref="AK93:AL93" si="324">(AK12*AK42)/12/21/7.5</f>
        <v>0</v>
      </c>
      <c r="AL93" s="312">
        <f t="shared" si="324"/>
        <v>0</v>
      </c>
      <c r="AM93" s="313">
        <f t="shared" si="181"/>
        <v>0</v>
      </c>
      <c r="AN93" s="311">
        <f t="shared" ref="AN93:AO93" si="325">(AN12*AN42)/12/21/7.5</f>
        <v>0</v>
      </c>
      <c r="AO93" s="312">
        <f t="shared" si="325"/>
        <v>0</v>
      </c>
      <c r="AP93" s="313">
        <f t="shared" si="182"/>
        <v>0</v>
      </c>
      <c r="AQ93" s="311">
        <f t="shared" ref="AQ93:AR93" si="326">(AQ12*AQ42)/12/21/7.5</f>
        <v>0</v>
      </c>
      <c r="AR93" s="312">
        <f t="shared" si="326"/>
        <v>0</v>
      </c>
      <c r="AS93" s="313">
        <f t="shared" si="183"/>
        <v>0</v>
      </c>
      <c r="AT93" s="311">
        <f t="shared" ref="AT93:AU93" si="327">(AT12*AT42)/12/21/7.5</f>
        <v>0</v>
      </c>
      <c r="AU93" s="312">
        <f t="shared" si="327"/>
        <v>0</v>
      </c>
      <c r="AV93" s="313">
        <f t="shared" si="184"/>
        <v>0</v>
      </c>
      <c r="AW93" s="311">
        <f t="shared" ref="AW93:AX93" si="328">(AW12*AW42)/12/21/7.5</f>
        <v>0</v>
      </c>
      <c r="AX93" s="312">
        <f t="shared" si="328"/>
        <v>0</v>
      </c>
      <c r="AY93" s="313">
        <f t="shared" si="185"/>
        <v>0</v>
      </c>
      <c r="AZ93" s="311">
        <f t="shared" ref="AZ93:BA93" si="329">(AZ12*AZ42)/12/21/7.5</f>
        <v>0</v>
      </c>
      <c r="BA93" s="312">
        <f t="shared" si="329"/>
        <v>0</v>
      </c>
      <c r="BB93" s="313">
        <f t="shared" si="186"/>
        <v>0</v>
      </c>
      <c r="BC93" s="311">
        <f t="shared" ref="BC93:BD93" si="330">(BC12*BC42)/12/21/7.5</f>
        <v>0</v>
      </c>
      <c r="BD93" s="312">
        <f t="shared" si="330"/>
        <v>0</v>
      </c>
      <c r="BE93" s="313">
        <f t="shared" si="187"/>
        <v>0</v>
      </c>
      <c r="BF93" s="311">
        <f t="shared" ref="BF93:BG93" si="331">(BF12*BF42)/12/21/7.5</f>
        <v>0</v>
      </c>
      <c r="BG93" s="312">
        <f t="shared" si="331"/>
        <v>0</v>
      </c>
      <c r="BH93" s="313">
        <f t="shared" si="188"/>
        <v>0</v>
      </c>
      <c r="BI93" s="311">
        <f t="shared" si="210"/>
        <v>0</v>
      </c>
      <c r="BJ93" s="312">
        <f t="shared" si="210"/>
        <v>0</v>
      </c>
      <c r="BK93" s="313">
        <f t="shared" si="189"/>
        <v>0</v>
      </c>
      <c r="BL93" s="311">
        <f t="shared" si="211"/>
        <v>0</v>
      </c>
      <c r="BM93" s="312">
        <f t="shared" si="211"/>
        <v>0</v>
      </c>
      <c r="BN93" s="313">
        <f t="shared" si="190"/>
        <v>0</v>
      </c>
      <c r="BO93" s="311">
        <f t="shared" si="212"/>
        <v>0</v>
      </c>
      <c r="BP93" s="312">
        <f t="shared" si="212"/>
        <v>0</v>
      </c>
      <c r="BQ93" s="313">
        <f t="shared" si="191"/>
        <v>0</v>
      </c>
    </row>
    <row r="94" spans="1:69" ht="16" x14ac:dyDescent="0.2">
      <c r="A94" s="832"/>
      <c r="B94" s="834"/>
      <c r="C94" s="290" t="s">
        <v>171</v>
      </c>
      <c r="D94" s="291">
        <f t="shared" si="168"/>
        <v>113.75661375661376</v>
      </c>
      <c r="E94" s="292">
        <f t="shared" si="169"/>
        <v>49.939153439153436</v>
      </c>
      <c r="F94" s="293">
        <f t="shared" si="170"/>
        <v>-63.817460317460323</v>
      </c>
      <c r="G94" s="311">
        <f t="shared" si="192"/>
        <v>113.75661375661376</v>
      </c>
      <c r="H94" s="312">
        <f t="shared" si="192"/>
        <v>49.939153439153436</v>
      </c>
      <c r="I94" s="313">
        <f t="shared" si="171"/>
        <v>-63.817460317460323</v>
      </c>
      <c r="J94" s="311">
        <f t="shared" ref="J94:K94" si="332">(J13*J43)/12/21/7.5</f>
        <v>0</v>
      </c>
      <c r="K94" s="312">
        <f t="shared" si="332"/>
        <v>0</v>
      </c>
      <c r="L94" s="313">
        <f t="shared" si="172"/>
        <v>0</v>
      </c>
      <c r="M94" s="311">
        <f t="shared" ref="M94:N94" si="333">(M13*M43)/12/21/7.5</f>
        <v>0</v>
      </c>
      <c r="N94" s="312">
        <f t="shared" si="333"/>
        <v>0</v>
      </c>
      <c r="O94" s="313">
        <f t="shared" si="173"/>
        <v>0</v>
      </c>
      <c r="P94" s="311">
        <f t="shared" ref="P94:Q94" si="334">(P13*P43)/12/21/7.5</f>
        <v>0</v>
      </c>
      <c r="Q94" s="312">
        <f t="shared" si="334"/>
        <v>0</v>
      </c>
      <c r="R94" s="313">
        <f t="shared" si="174"/>
        <v>0</v>
      </c>
      <c r="S94" s="311">
        <f t="shared" ref="S94:T94" si="335">(S13*S43)/12/21/7.5</f>
        <v>0</v>
      </c>
      <c r="T94" s="312">
        <f t="shared" si="335"/>
        <v>0</v>
      </c>
      <c r="U94" s="313">
        <f t="shared" si="175"/>
        <v>0</v>
      </c>
      <c r="V94" s="311">
        <f t="shared" ref="V94:W94" si="336">(V13*V43)/12/21/7.5</f>
        <v>0</v>
      </c>
      <c r="W94" s="312">
        <f t="shared" si="336"/>
        <v>0</v>
      </c>
      <c r="X94" s="313">
        <f t="shared" si="176"/>
        <v>0</v>
      </c>
      <c r="Y94" s="311">
        <f t="shared" ref="Y94:Z94" si="337">(Y13*Y43)/12/21/7.5</f>
        <v>0</v>
      </c>
      <c r="Z94" s="312">
        <f t="shared" si="337"/>
        <v>0</v>
      </c>
      <c r="AA94" s="313">
        <f t="shared" si="177"/>
        <v>0</v>
      </c>
      <c r="AB94" s="311">
        <f t="shared" ref="AB94:AC94" si="338">(AB13*AB43)/12/21/7.5</f>
        <v>0</v>
      </c>
      <c r="AC94" s="312">
        <f t="shared" si="338"/>
        <v>0</v>
      </c>
      <c r="AD94" s="313">
        <f t="shared" si="178"/>
        <v>0</v>
      </c>
      <c r="AE94" s="311">
        <f t="shared" ref="AE94:AF94" si="339">(AE13*AE43)/12/21/7.5</f>
        <v>0</v>
      </c>
      <c r="AF94" s="312">
        <f t="shared" si="339"/>
        <v>0</v>
      </c>
      <c r="AG94" s="313">
        <f t="shared" si="179"/>
        <v>0</v>
      </c>
      <c r="AH94" s="311">
        <f t="shared" ref="AH94:AI94" si="340">(AH13*AH43)/12/21/7.5</f>
        <v>0</v>
      </c>
      <c r="AI94" s="312">
        <f t="shared" si="340"/>
        <v>0</v>
      </c>
      <c r="AJ94" s="313">
        <f t="shared" si="180"/>
        <v>0</v>
      </c>
      <c r="AK94" s="311">
        <f t="shared" ref="AK94:AL94" si="341">(AK13*AK43)/12/21/7.5</f>
        <v>0</v>
      </c>
      <c r="AL94" s="312">
        <f t="shared" si="341"/>
        <v>0</v>
      </c>
      <c r="AM94" s="313">
        <f t="shared" si="181"/>
        <v>0</v>
      </c>
      <c r="AN94" s="311">
        <f t="shared" ref="AN94:AO94" si="342">(AN13*AN43)/12/21/7.5</f>
        <v>0</v>
      </c>
      <c r="AO94" s="312">
        <f t="shared" si="342"/>
        <v>0</v>
      </c>
      <c r="AP94" s="313">
        <f t="shared" si="182"/>
        <v>0</v>
      </c>
      <c r="AQ94" s="311">
        <f t="shared" ref="AQ94:AR94" si="343">(AQ13*AQ43)/12/21/7.5</f>
        <v>0</v>
      </c>
      <c r="AR94" s="312">
        <f t="shared" si="343"/>
        <v>0</v>
      </c>
      <c r="AS94" s="313">
        <f t="shared" si="183"/>
        <v>0</v>
      </c>
      <c r="AT94" s="311">
        <f t="shared" ref="AT94:AU94" si="344">(AT13*AT43)/12/21/7.5</f>
        <v>0</v>
      </c>
      <c r="AU94" s="312">
        <f t="shared" si="344"/>
        <v>0</v>
      </c>
      <c r="AV94" s="313">
        <f t="shared" si="184"/>
        <v>0</v>
      </c>
      <c r="AW94" s="311">
        <f t="shared" ref="AW94:AX94" si="345">(AW13*AW43)/12/21/7.5</f>
        <v>0</v>
      </c>
      <c r="AX94" s="312">
        <f t="shared" si="345"/>
        <v>0</v>
      </c>
      <c r="AY94" s="313">
        <f t="shared" si="185"/>
        <v>0</v>
      </c>
      <c r="AZ94" s="311">
        <f t="shared" ref="AZ94:BA94" si="346">(AZ13*AZ43)/12/21/7.5</f>
        <v>0</v>
      </c>
      <c r="BA94" s="312">
        <f t="shared" si="346"/>
        <v>0</v>
      </c>
      <c r="BB94" s="313">
        <f t="shared" si="186"/>
        <v>0</v>
      </c>
      <c r="BC94" s="311">
        <f t="shared" ref="BC94:BD94" si="347">(BC13*BC43)/12/21/7.5</f>
        <v>0</v>
      </c>
      <c r="BD94" s="312">
        <f t="shared" si="347"/>
        <v>0</v>
      </c>
      <c r="BE94" s="313">
        <f t="shared" si="187"/>
        <v>0</v>
      </c>
      <c r="BF94" s="311">
        <f t="shared" ref="BF94:BG94" si="348">(BF13*BF43)/12/21/7.5</f>
        <v>0</v>
      </c>
      <c r="BG94" s="312">
        <f t="shared" si="348"/>
        <v>0</v>
      </c>
      <c r="BH94" s="313">
        <f t="shared" si="188"/>
        <v>0</v>
      </c>
      <c r="BI94" s="311">
        <f t="shared" si="210"/>
        <v>0</v>
      </c>
      <c r="BJ94" s="312">
        <f t="shared" si="210"/>
        <v>0</v>
      </c>
      <c r="BK94" s="313">
        <f t="shared" si="189"/>
        <v>0</v>
      </c>
      <c r="BL94" s="311">
        <f t="shared" si="211"/>
        <v>0</v>
      </c>
      <c r="BM94" s="312">
        <f t="shared" si="211"/>
        <v>0</v>
      </c>
      <c r="BN94" s="313">
        <f t="shared" si="190"/>
        <v>0</v>
      </c>
      <c r="BO94" s="311">
        <f t="shared" si="212"/>
        <v>0</v>
      </c>
      <c r="BP94" s="312">
        <f t="shared" si="212"/>
        <v>0</v>
      </c>
      <c r="BQ94" s="313">
        <f t="shared" si="191"/>
        <v>0</v>
      </c>
    </row>
    <row r="95" spans="1:69" ht="17" thickBot="1" x14ac:dyDescent="0.25">
      <c r="A95" s="833"/>
      <c r="B95" s="835"/>
      <c r="C95" s="300" t="s">
        <v>172</v>
      </c>
      <c r="D95" s="301">
        <f t="shared" si="168"/>
        <v>113.75661375661376</v>
      </c>
      <c r="E95" s="302">
        <f t="shared" si="169"/>
        <v>49.939153439153436</v>
      </c>
      <c r="F95" s="303">
        <f t="shared" si="170"/>
        <v>-63.817460317460323</v>
      </c>
      <c r="G95" s="314">
        <f t="shared" si="192"/>
        <v>113.75661375661376</v>
      </c>
      <c r="H95" s="315">
        <f t="shared" si="192"/>
        <v>49.939153439153436</v>
      </c>
      <c r="I95" s="316">
        <f t="shared" si="171"/>
        <v>-63.817460317460323</v>
      </c>
      <c r="J95" s="314">
        <f t="shared" ref="J95:K95" si="349">(J14*J44)/12/21/7.5</f>
        <v>0</v>
      </c>
      <c r="K95" s="315">
        <f t="shared" si="349"/>
        <v>0</v>
      </c>
      <c r="L95" s="316">
        <f t="shared" si="172"/>
        <v>0</v>
      </c>
      <c r="M95" s="314">
        <f t="shared" ref="M95:N95" si="350">(M14*M44)/12/21/7.5</f>
        <v>0</v>
      </c>
      <c r="N95" s="315">
        <f t="shared" si="350"/>
        <v>0</v>
      </c>
      <c r="O95" s="316">
        <f t="shared" si="173"/>
        <v>0</v>
      </c>
      <c r="P95" s="314">
        <f t="shared" ref="P95:Q95" si="351">(P14*P44)/12/21/7.5</f>
        <v>0</v>
      </c>
      <c r="Q95" s="315">
        <f t="shared" si="351"/>
        <v>0</v>
      </c>
      <c r="R95" s="316">
        <f t="shared" si="174"/>
        <v>0</v>
      </c>
      <c r="S95" s="314">
        <f t="shared" ref="S95:T95" si="352">(S14*S44)/12/21/7.5</f>
        <v>0</v>
      </c>
      <c r="T95" s="315">
        <f t="shared" si="352"/>
        <v>0</v>
      </c>
      <c r="U95" s="316">
        <f t="shared" si="175"/>
        <v>0</v>
      </c>
      <c r="V95" s="314">
        <f t="shared" ref="V95:W95" si="353">(V14*V44)/12/21/7.5</f>
        <v>0</v>
      </c>
      <c r="W95" s="315">
        <f t="shared" si="353"/>
        <v>0</v>
      </c>
      <c r="X95" s="316">
        <f t="shared" si="176"/>
        <v>0</v>
      </c>
      <c r="Y95" s="314">
        <f t="shared" ref="Y95:Z95" si="354">(Y14*Y44)/12/21/7.5</f>
        <v>0</v>
      </c>
      <c r="Z95" s="315">
        <f t="shared" si="354"/>
        <v>0</v>
      </c>
      <c r="AA95" s="316">
        <f t="shared" si="177"/>
        <v>0</v>
      </c>
      <c r="AB95" s="314">
        <f t="shared" ref="AB95:AC95" si="355">(AB14*AB44)/12/21/7.5</f>
        <v>0</v>
      </c>
      <c r="AC95" s="315">
        <f t="shared" si="355"/>
        <v>0</v>
      </c>
      <c r="AD95" s="316">
        <f t="shared" si="178"/>
        <v>0</v>
      </c>
      <c r="AE95" s="314">
        <f t="shared" ref="AE95:AF95" si="356">(AE14*AE44)/12/21/7.5</f>
        <v>0</v>
      </c>
      <c r="AF95" s="315">
        <f t="shared" si="356"/>
        <v>0</v>
      </c>
      <c r="AG95" s="316">
        <f t="shared" si="179"/>
        <v>0</v>
      </c>
      <c r="AH95" s="314">
        <f t="shared" ref="AH95:AI95" si="357">(AH14*AH44)/12/21/7.5</f>
        <v>0</v>
      </c>
      <c r="AI95" s="315">
        <f t="shared" si="357"/>
        <v>0</v>
      </c>
      <c r="AJ95" s="316">
        <f t="shared" si="180"/>
        <v>0</v>
      </c>
      <c r="AK95" s="314">
        <f t="shared" ref="AK95:AL95" si="358">(AK14*AK44)/12/21/7.5</f>
        <v>0</v>
      </c>
      <c r="AL95" s="315">
        <f t="shared" si="358"/>
        <v>0</v>
      </c>
      <c r="AM95" s="316">
        <f t="shared" si="181"/>
        <v>0</v>
      </c>
      <c r="AN95" s="314">
        <f t="shared" ref="AN95:AO95" si="359">(AN14*AN44)/12/21/7.5</f>
        <v>0</v>
      </c>
      <c r="AO95" s="315">
        <f t="shared" si="359"/>
        <v>0</v>
      </c>
      <c r="AP95" s="316">
        <f t="shared" si="182"/>
        <v>0</v>
      </c>
      <c r="AQ95" s="314">
        <f t="shared" ref="AQ95:AR95" si="360">(AQ14*AQ44)/12/21/7.5</f>
        <v>0</v>
      </c>
      <c r="AR95" s="315">
        <f t="shared" si="360"/>
        <v>0</v>
      </c>
      <c r="AS95" s="316">
        <f t="shared" si="183"/>
        <v>0</v>
      </c>
      <c r="AT95" s="314">
        <f t="shared" ref="AT95:AU95" si="361">(AT14*AT44)/12/21/7.5</f>
        <v>0</v>
      </c>
      <c r="AU95" s="315">
        <f t="shared" si="361"/>
        <v>0</v>
      </c>
      <c r="AV95" s="316">
        <f t="shared" si="184"/>
        <v>0</v>
      </c>
      <c r="AW95" s="314">
        <f t="shared" ref="AW95:AX95" si="362">(AW14*AW44)/12/21/7.5</f>
        <v>0</v>
      </c>
      <c r="AX95" s="315">
        <f t="shared" si="362"/>
        <v>0</v>
      </c>
      <c r="AY95" s="316">
        <f t="shared" si="185"/>
        <v>0</v>
      </c>
      <c r="AZ95" s="314">
        <f t="shared" ref="AZ95:BA95" si="363">(AZ14*AZ44)/12/21/7.5</f>
        <v>0</v>
      </c>
      <c r="BA95" s="315">
        <f t="shared" si="363"/>
        <v>0</v>
      </c>
      <c r="BB95" s="316">
        <f t="shared" si="186"/>
        <v>0</v>
      </c>
      <c r="BC95" s="314">
        <f t="shared" ref="BC95:BD95" si="364">(BC14*BC44)/12/21/7.5</f>
        <v>0</v>
      </c>
      <c r="BD95" s="315">
        <f t="shared" si="364"/>
        <v>0</v>
      </c>
      <c r="BE95" s="316">
        <f t="shared" si="187"/>
        <v>0</v>
      </c>
      <c r="BF95" s="314">
        <f t="shared" ref="BF95:BG95" si="365">(BF14*BF44)/12/21/7.5</f>
        <v>0</v>
      </c>
      <c r="BG95" s="315">
        <f t="shared" si="365"/>
        <v>0</v>
      </c>
      <c r="BH95" s="316">
        <f t="shared" si="188"/>
        <v>0</v>
      </c>
      <c r="BI95" s="314">
        <f t="shared" si="210"/>
        <v>0</v>
      </c>
      <c r="BJ95" s="315">
        <f t="shared" si="210"/>
        <v>0</v>
      </c>
      <c r="BK95" s="316">
        <f t="shared" si="189"/>
        <v>0</v>
      </c>
      <c r="BL95" s="314">
        <f t="shared" si="211"/>
        <v>0</v>
      </c>
      <c r="BM95" s="315">
        <f t="shared" si="211"/>
        <v>0</v>
      </c>
      <c r="BN95" s="316">
        <f t="shared" si="190"/>
        <v>0</v>
      </c>
      <c r="BO95" s="314">
        <f t="shared" si="212"/>
        <v>0</v>
      </c>
      <c r="BP95" s="315">
        <f t="shared" si="212"/>
        <v>0</v>
      </c>
      <c r="BQ95" s="316">
        <f t="shared" si="191"/>
        <v>0</v>
      </c>
    </row>
    <row r="96" spans="1:69" ht="16" x14ac:dyDescent="0.2">
      <c r="A96" s="832" t="s">
        <v>219</v>
      </c>
      <c r="B96" s="834" t="s">
        <v>211</v>
      </c>
      <c r="C96" s="290" t="s">
        <v>163</v>
      </c>
      <c r="D96" s="291">
        <f t="shared" ref="D96:D111" si="366">SUM(G96,J96,M96,P96,S96,V96,Y96,AB96,AE96,AH96,AK96,AN96,AQ96,AT96,AW96,AZ96,AZ96,BC96,BF96,BI96,BL96,BO96)</f>
        <v>0</v>
      </c>
      <c r="E96" s="292">
        <f t="shared" si="169"/>
        <v>0</v>
      </c>
      <c r="F96" s="293">
        <f t="shared" si="170"/>
        <v>0</v>
      </c>
      <c r="G96" s="306">
        <v>0</v>
      </c>
      <c r="H96" s="307">
        <f>(G66+I66/2)*((G45-H45)*(1+$BR$45))*Faktory!$D$10</f>
        <v>0</v>
      </c>
      <c r="I96" s="257">
        <f>H96</f>
        <v>0</v>
      </c>
      <c r="J96" s="306">
        <v>0</v>
      </c>
      <c r="K96" s="307">
        <f>(J66+L66/2)*((J45-K45)*(1+$BR$45))*Faktory!$D$10</f>
        <v>0</v>
      </c>
      <c r="L96" s="257">
        <f>K96</f>
        <v>0</v>
      </c>
      <c r="M96" s="306">
        <v>0</v>
      </c>
      <c r="N96" s="307">
        <f>(M66+O66/2)*((M45-N45)*(1+$BR$45))*Faktory!$D$10</f>
        <v>0</v>
      </c>
      <c r="O96" s="257">
        <f>N96</f>
        <v>0</v>
      </c>
      <c r="P96" s="306">
        <v>0</v>
      </c>
      <c r="Q96" s="307">
        <f>(P66+R66/2)*((P45-Q45)*(1+$BR$45))*Faktory!$D$10</f>
        <v>0</v>
      </c>
      <c r="R96" s="257">
        <f>Q96</f>
        <v>0</v>
      </c>
      <c r="S96" s="306">
        <v>0</v>
      </c>
      <c r="T96" s="307">
        <f>(S66+U66/2)*((S45-T45)*(1+$BR$45))*Faktory!$D$10</f>
        <v>0</v>
      </c>
      <c r="U96" s="257">
        <f>T96</f>
        <v>0</v>
      </c>
      <c r="V96" s="306">
        <v>0</v>
      </c>
      <c r="W96" s="307">
        <f>(V66+X66/2)*((V45-W45)*(1+$BR$45))*Faktory!$D$10</f>
        <v>0</v>
      </c>
      <c r="X96" s="257">
        <f>W96</f>
        <v>0</v>
      </c>
      <c r="Y96" s="306">
        <v>0</v>
      </c>
      <c r="Z96" s="307">
        <f>(Y66+AA66/2)*((Y45-Z45)*(1+$BR$45))*Faktory!$D$10</f>
        <v>0</v>
      </c>
      <c r="AA96" s="257">
        <f>Z96</f>
        <v>0</v>
      </c>
      <c r="AB96" s="306">
        <v>0</v>
      </c>
      <c r="AC96" s="307">
        <f>(AB66+AD66/2)*((AB45-AC45)*(1+$BR$45))*Faktory!$D$10</f>
        <v>0</v>
      </c>
      <c r="AD96" s="257">
        <f>AC96</f>
        <v>0</v>
      </c>
      <c r="AE96" s="306">
        <v>0</v>
      </c>
      <c r="AF96" s="307">
        <f>(AE66+AG66/2)*((AE45-AF45)*(1+$BR$45))*Faktory!$D$10</f>
        <v>0</v>
      </c>
      <c r="AG96" s="257">
        <f>AF96</f>
        <v>0</v>
      </c>
      <c r="AH96" s="306">
        <v>0</v>
      </c>
      <c r="AI96" s="307">
        <f>(AH66+AJ66/2)*((AH45-AI45)*(1+$BR$45))*Faktory!$D$10</f>
        <v>0</v>
      </c>
      <c r="AJ96" s="257">
        <f>AI96</f>
        <v>0</v>
      </c>
      <c r="AK96" s="306">
        <v>0</v>
      </c>
      <c r="AL96" s="307">
        <f>(AK66+AM66/2)*((AK45-AL45)*(1+$BR$45))*Faktory!$D$10</f>
        <v>0</v>
      </c>
      <c r="AM96" s="257">
        <f>AL96</f>
        <v>0</v>
      </c>
      <c r="AN96" s="306">
        <v>0</v>
      </c>
      <c r="AO96" s="307">
        <f>(AN66+AP66/2)*((AN45-AO45)*(1+$BR$45))*Faktory!$D$10</f>
        <v>0</v>
      </c>
      <c r="AP96" s="257">
        <f>AO96</f>
        <v>0</v>
      </c>
      <c r="AQ96" s="306">
        <v>0</v>
      </c>
      <c r="AR96" s="307">
        <f>(AQ66+AS66/2)*((AQ45-AR45)*(1+$BR$45))*Faktory!$D$10</f>
        <v>0</v>
      </c>
      <c r="AS96" s="257">
        <f>AR96</f>
        <v>0</v>
      </c>
      <c r="AT96" s="306">
        <v>0</v>
      </c>
      <c r="AU96" s="307">
        <f>(AT66+AV66/2)*((AT45-AU45)*(1+$BR$45))*Faktory!$D$10</f>
        <v>0</v>
      </c>
      <c r="AV96" s="257">
        <f>AU96</f>
        <v>0</v>
      </c>
      <c r="AW96" s="306">
        <v>0</v>
      </c>
      <c r="AX96" s="307">
        <f>(AW66+AY66/2)*((AW45-AX45)*(1+$BR$45))*Faktory!$D$10</f>
        <v>0</v>
      </c>
      <c r="AY96" s="257">
        <f>AX96</f>
        <v>0</v>
      </c>
      <c r="AZ96" s="306">
        <v>0</v>
      </c>
      <c r="BA96" s="307">
        <f>(AZ66+BB66/2)*((AZ45-BA45)*(1+$BR$45))*Faktory!$D$10</f>
        <v>0</v>
      </c>
      <c r="BB96" s="257">
        <f>BA96</f>
        <v>0</v>
      </c>
      <c r="BC96" s="306">
        <v>0</v>
      </c>
      <c r="BD96" s="307">
        <f>(BC66+BE66/2)*((BC45-BD45)*(1+$BR$45))*Faktory!$D$10</f>
        <v>0</v>
      </c>
      <c r="BE96" s="257">
        <f>BD96</f>
        <v>0</v>
      </c>
      <c r="BF96" s="306">
        <v>0</v>
      </c>
      <c r="BG96" s="307">
        <f>(BF66+BH66/2)*((BF45-BG45)*(1+$BR$45))*Faktory!$D$10</f>
        <v>0</v>
      </c>
      <c r="BH96" s="257">
        <f>BG96</f>
        <v>0</v>
      </c>
      <c r="BI96" s="306">
        <v>0</v>
      </c>
      <c r="BJ96" s="307">
        <f>(BI66+BK66/2)*((BI45-BJ45)*(1+$BR$45))*Faktory!$D$10</f>
        <v>0</v>
      </c>
      <c r="BK96" s="257">
        <f>BJ96</f>
        <v>0</v>
      </c>
      <c r="BL96" s="306">
        <v>0</v>
      </c>
      <c r="BM96" s="307">
        <f>(BL66+BN66/2)*((BL45-BM45)*(1+$BR$45))*Faktory!$D$10</f>
        <v>0</v>
      </c>
      <c r="BN96" s="257">
        <f>BM96</f>
        <v>0</v>
      </c>
      <c r="BO96" s="306">
        <v>0</v>
      </c>
      <c r="BP96" s="307">
        <f>(BO66+BQ66/2)*((BO45-BP45)*(1+$BR$45))*Faktory!$D$10</f>
        <v>0</v>
      </c>
      <c r="BQ96" s="257">
        <f>BP96</f>
        <v>0</v>
      </c>
    </row>
    <row r="97" spans="1:69" ht="16" x14ac:dyDescent="0.2">
      <c r="A97" s="832"/>
      <c r="B97" s="834"/>
      <c r="C97" s="290" t="s">
        <v>164</v>
      </c>
      <c r="D97" s="291">
        <f t="shared" si="366"/>
        <v>0</v>
      </c>
      <c r="E97" s="292">
        <f t="shared" si="169"/>
        <v>0</v>
      </c>
      <c r="F97" s="293">
        <f t="shared" si="170"/>
        <v>0</v>
      </c>
      <c r="G97" s="298">
        <v>0</v>
      </c>
      <c r="H97" s="299">
        <f>(G67+I67/2)*((G46-H46)*(1+$BR$45))*Faktory!$D$10</f>
        <v>0</v>
      </c>
      <c r="I97" s="262">
        <f t="shared" ref="I97:I105" si="367">H97</f>
        <v>0</v>
      </c>
      <c r="J97" s="298">
        <v>0</v>
      </c>
      <c r="K97" s="299">
        <f>(J67+L67/2)*((J46-K46)*(1+$BR$45))*Faktory!$D$10</f>
        <v>0</v>
      </c>
      <c r="L97" s="262">
        <f t="shared" ref="L97:L105" si="368">K97</f>
        <v>0</v>
      </c>
      <c r="M97" s="298">
        <v>0</v>
      </c>
      <c r="N97" s="299">
        <f>(M67+O67/2)*((M46-N46)*(1+$BR$45))*Faktory!$D$10</f>
        <v>0</v>
      </c>
      <c r="O97" s="262">
        <f t="shared" ref="O97:O105" si="369">N97</f>
        <v>0</v>
      </c>
      <c r="P97" s="298">
        <v>0</v>
      </c>
      <c r="Q97" s="299">
        <f>(P67+R67/2)*((P46-Q46)*(1+$BR$45))*Faktory!$D$10</f>
        <v>0</v>
      </c>
      <c r="R97" s="262">
        <f t="shared" ref="R97:R105" si="370">Q97</f>
        <v>0</v>
      </c>
      <c r="S97" s="298">
        <v>0</v>
      </c>
      <c r="T97" s="299">
        <f>(S67+U67/2)*((S46-T46)*(1+$BR$45))*Faktory!$D$10</f>
        <v>0</v>
      </c>
      <c r="U97" s="262">
        <f t="shared" ref="U97:U105" si="371">T97</f>
        <v>0</v>
      </c>
      <c r="V97" s="298">
        <v>0</v>
      </c>
      <c r="W97" s="299">
        <f>(V67+X67/2)*((V46-W46)*(1+$BR$45))*Faktory!$D$10</f>
        <v>0</v>
      </c>
      <c r="X97" s="262">
        <f t="shared" ref="X97:X105" si="372">W97</f>
        <v>0</v>
      </c>
      <c r="Y97" s="298">
        <v>0</v>
      </c>
      <c r="Z97" s="299">
        <f>(Y67+AA67/2)*((Y46-Z46)*(1+$BR$45))*Faktory!$D$10</f>
        <v>0</v>
      </c>
      <c r="AA97" s="262">
        <f t="shared" ref="AA97:AA105" si="373">Z97</f>
        <v>0</v>
      </c>
      <c r="AB97" s="298">
        <v>0</v>
      </c>
      <c r="AC97" s="299">
        <f>(AB67+AD67/2)*((AB46-AC46)*(1+$BR$45))*Faktory!$D$10</f>
        <v>0</v>
      </c>
      <c r="AD97" s="262">
        <f t="shared" ref="AD97:AD105" si="374">AC97</f>
        <v>0</v>
      </c>
      <c r="AE97" s="298">
        <v>0</v>
      </c>
      <c r="AF97" s="299">
        <f>(AE67+AG67/2)*((AE46-AF46)*(1+$BR$45))*Faktory!$D$10</f>
        <v>0</v>
      </c>
      <c r="AG97" s="262">
        <f t="shared" ref="AG97:AG105" si="375">AF97</f>
        <v>0</v>
      </c>
      <c r="AH97" s="298">
        <v>0</v>
      </c>
      <c r="AI97" s="299">
        <f>(AH67+AJ67/2)*((AH46-AI46)*(1+$BR$45))*Faktory!$D$10</f>
        <v>0</v>
      </c>
      <c r="AJ97" s="262">
        <f t="shared" ref="AJ97:AJ105" si="376">AI97</f>
        <v>0</v>
      </c>
      <c r="AK97" s="298">
        <v>0</v>
      </c>
      <c r="AL97" s="299">
        <f>(AK67+AM67/2)*((AK46-AL46)*(1+$BR$45))*Faktory!$D$10</f>
        <v>0</v>
      </c>
      <c r="AM97" s="262">
        <f t="shared" ref="AM97:AM105" si="377">AL97</f>
        <v>0</v>
      </c>
      <c r="AN97" s="298">
        <v>0</v>
      </c>
      <c r="AO97" s="299">
        <f>(AN67+AP67/2)*((AN46-AO46)*(1+$BR$45))*Faktory!$D$10</f>
        <v>0</v>
      </c>
      <c r="AP97" s="262">
        <f t="shared" ref="AP97:AP105" si="378">AO97</f>
        <v>0</v>
      </c>
      <c r="AQ97" s="298">
        <v>0</v>
      </c>
      <c r="AR97" s="299">
        <f>(AQ67+AS67/2)*((AQ46-AR46)*(1+$BR$45))*Faktory!$D$10</f>
        <v>0</v>
      </c>
      <c r="AS97" s="262">
        <f t="shared" ref="AS97:AS105" si="379">AR97</f>
        <v>0</v>
      </c>
      <c r="AT97" s="298">
        <v>0</v>
      </c>
      <c r="AU97" s="299">
        <f>(AT67+AV67/2)*((AT46-AU46)*(1+$BR$45))*Faktory!$D$10</f>
        <v>0</v>
      </c>
      <c r="AV97" s="262">
        <f t="shared" ref="AV97:AV105" si="380">AU97</f>
        <v>0</v>
      </c>
      <c r="AW97" s="298">
        <v>0</v>
      </c>
      <c r="AX97" s="299">
        <f>(AW67+AY67/2)*((AW46-AX46)*(1+$BR$45))*Faktory!$D$10</f>
        <v>0</v>
      </c>
      <c r="AY97" s="262">
        <f t="shared" ref="AY97:AY105" si="381">AX97</f>
        <v>0</v>
      </c>
      <c r="AZ97" s="298">
        <v>0</v>
      </c>
      <c r="BA97" s="299">
        <f>(AZ67+BB67/2)*((AZ46-BA46)*(1+$BR$45))*Faktory!$D$10</f>
        <v>0</v>
      </c>
      <c r="BB97" s="262">
        <f t="shared" ref="BB97:BB105" si="382">BA97</f>
        <v>0</v>
      </c>
      <c r="BC97" s="298">
        <v>0</v>
      </c>
      <c r="BD97" s="299">
        <f>(BC67+BE67/2)*((BC46-BD46)*(1+$BR$45))*Faktory!$D$10</f>
        <v>0</v>
      </c>
      <c r="BE97" s="262">
        <f t="shared" ref="BE97:BE105" si="383">BD97</f>
        <v>0</v>
      </c>
      <c r="BF97" s="298">
        <v>0</v>
      </c>
      <c r="BG97" s="299">
        <f>(BF67+BH67/2)*((BF46-BG46)*(1+$BR$45))*Faktory!$D$10</f>
        <v>0</v>
      </c>
      <c r="BH97" s="262">
        <f t="shared" ref="BH97:BH105" si="384">BG97</f>
        <v>0</v>
      </c>
      <c r="BI97" s="298">
        <v>0</v>
      </c>
      <c r="BJ97" s="299">
        <f>(BI67+BK67/2)*((BI46-BJ46)*(1+$BR$45))*Faktory!$D$10</f>
        <v>0</v>
      </c>
      <c r="BK97" s="262">
        <f t="shared" ref="BK97:BK105" si="385">BJ97</f>
        <v>0</v>
      </c>
      <c r="BL97" s="298">
        <v>0</v>
      </c>
      <c r="BM97" s="299">
        <f>(BL67+BN67/2)*((BL46-BM46)*(1+$BR$45))*Faktory!$D$10</f>
        <v>0</v>
      </c>
      <c r="BN97" s="262">
        <f t="shared" ref="BN97:BN105" si="386">BM97</f>
        <v>0</v>
      </c>
      <c r="BO97" s="298">
        <v>0</v>
      </c>
      <c r="BP97" s="299">
        <f>(BO67+BQ67/2)*((BO46-BP46)*(1+$BR$45))*Faktory!$D$10</f>
        <v>0</v>
      </c>
      <c r="BQ97" s="262">
        <f t="shared" ref="BQ97:BQ105" si="387">BP97</f>
        <v>0</v>
      </c>
    </row>
    <row r="98" spans="1:69" ht="16" x14ac:dyDescent="0.2">
      <c r="A98" s="832"/>
      <c r="B98" s="834"/>
      <c r="C98" s="290" t="s">
        <v>165</v>
      </c>
      <c r="D98" s="291">
        <f t="shared" si="366"/>
        <v>0</v>
      </c>
      <c r="E98" s="292">
        <f t="shared" si="169"/>
        <v>0</v>
      </c>
      <c r="F98" s="293">
        <f t="shared" si="170"/>
        <v>0</v>
      </c>
      <c r="G98" s="298">
        <v>0</v>
      </c>
      <c r="H98" s="299">
        <f>(G68+I68/2)*((G47-H47)*(1+$BR$45))*Faktory!$D$10</f>
        <v>0</v>
      </c>
      <c r="I98" s="262">
        <f t="shared" si="367"/>
        <v>0</v>
      </c>
      <c r="J98" s="298">
        <v>0</v>
      </c>
      <c r="K98" s="299">
        <f>(J68+L68/2)*((J47-K47)*(1+$BR$45))*Faktory!$D$10</f>
        <v>0</v>
      </c>
      <c r="L98" s="262">
        <f t="shared" si="368"/>
        <v>0</v>
      </c>
      <c r="M98" s="298">
        <v>0</v>
      </c>
      <c r="N98" s="299">
        <f>(M68+O68/2)*((M47-N47)*(1+$BR$45))*Faktory!$D$10</f>
        <v>0</v>
      </c>
      <c r="O98" s="262">
        <f t="shared" si="369"/>
        <v>0</v>
      </c>
      <c r="P98" s="298">
        <v>0</v>
      </c>
      <c r="Q98" s="299">
        <f>(P68+R68/2)*((P47-Q47)*(1+$BR$45))*Faktory!$D$10</f>
        <v>0</v>
      </c>
      <c r="R98" s="262">
        <f t="shared" si="370"/>
        <v>0</v>
      </c>
      <c r="S98" s="298">
        <v>0</v>
      </c>
      <c r="T98" s="299">
        <f>(S68+U68/2)*((S47-T47)*(1+$BR$45))*Faktory!$D$10</f>
        <v>0</v>
      </c>
      <c r="U98" s="262">
        <f t="shared" si="371"/>
        <v>0</v>
      </c>
      <c r="V98" s="298">
        <v>0</v>
      </c>
      <c r="W98" s="299">
        <f>(V68+X68/2)*((V47-W47)*(1+$BR$45))*Faktory!$D$10</f>
        <v>0</v>
      </c>
      <c r="X98" s="262">
        <f t="shared" si="372"/>
        <v>0</v>
      </c>
      <c r="Y98" s="298">
        <v>0</v>
      </c>
      <c r="Z98" s="299">
        <f>(Y68+AA68/2)*((Y47-Z47)*(1+$BR$45))*Faktory!$D$10</f>
        <v>0</v>
      </c>
      <c r="AA98" s="262">
        <f t="shared" si="373"/>
        <v>0</v>
      </c>
      <c r="AB98" s="298">
        <v>0</v>
      </c>
      <c r="AC98" s="299">
        <f>(AB68+AD68/2)*((AB47-AC47)*(1+$BR$45))*Faktory!$D$10</f>
        <v>0</v>
      </c>
      <c r="AD98" s="262">
        <f t="shared" si="374"/>
        <v>0</v>
      </c>
      <c r="AE98" s="298">
        <v>0</v>
      </c>
      <c r="AF98" s="299">
        <f>(AE68+AG68/2)*((AE47-AF47)*(1+$BR$45))*Faktory!$D$10</f>
        <v>0</v>
      </c>
      <c r="AG98" s="262">
        <f t="shared" si="375"/>
        <v>0</v>
      </c>
      <c r="AH98" s="298">
        <v>0</v>
      </c>
      <c r="AI98" s="299">
        <f>(AH68+AJ68/2)*((AH47-AI47)*(1+$BR$45))*Faktory!$D$10</f>
        <v>0</v>
      </c>
      <c r="AJ98" s="262">
        <f t="shared" si="376"/>
        <v>0</v>
      </c>
      <c r="AK98" s="298">
        <v>0</v>
      </c>
      <c r="AL98" s="299">
        <f>(AK68+AM68/2)*((AK47-AL47)*(1+$BR$45))*Faktory!$D$10</f>
        <v>0</v>
      </c>
      <c r="AM98" s="262">
        <f t="shared" si="377"/>
        <v>0</v>
      </c>
      <c r="AN98" s="298">
        <v>0</v>
      </c>
      <c r="AO98" s="299">
        <f>(AN68+AP68/2)*((AN47-AO47)*(1+$BR$45))*Faktory!$D$10</f>
        <v>0</v>
      </c>
      <c r="AP98" s="262">
        <f t="shared" si="378"/>
        <v>0</v>
      </c>
      <c r="AQ98" s="298">
        <v>0</v>
      </c>
      <c r="AR98" s="299">
        <f>(AQ68+AS68/2)*((AQ47-AR47)*(1+$BR$45))*Faktory!$D$10</f>
        <v>0</v>
      </c>
      <c r="AS98" s="262">
        <f t="shared" si="379"/>
        <v>0</v>
      </c>
      <c r="AT98" s="298">
        <v>0</v>
      </c>
      <c r="AU98" s="299">
        <f>(AT68+AV68/2)*((AT47-AU47)*(1+$BR$45))*Faktory!$D$10</f>
        <v>0</v>
      </c>
      <c r="AV98" s="262">
        <f t="shared" si="380"/>
        <v>0</v>
      </c>
      <c r="AW98" s="298">
        <v>0</v>
      </c>
      <c r="AX98" s="299">
        <f>(AW68+AY68/2)*((AW47-AX47)*(1+$BR$45))*Faktory!$D$10</f>
        <v>0</v>
      </c>
      <c r="AY98" s="262">
        <f t="shared" si="381"/>
        <v>0</v>
      </c>
      <c r="AZ98" s="298">
        <v>0</v>
      </c>
      <c r="BA98" s="299">
        <f>(AZ68+BB68/2)*((AZ47-BA47)*(1+$BR$45))*Faktory!$D$10</f>
        <v>0</v>
      </c>
      <c r="BB98" s="262">
        <f t="shared" si="382"/>
        <v>0</v>
      </c>
      <c r="BC98" s="298">
        <v>0</v>
      </c>
      <c r="BD98" s="299">
        <f>(BC68+BE68/2)*((BC47-BD47)*(1+$BR$45))*Faktory!$D$10</f>
        <v>0</v>
      </c>
      <c r="BE98" s="262">
        <f t="shared" si="383"/>
        <v>0</v>
      </c>
      <c r="BF98" s="298">
        <v>0</v>
      </c>
      <c r="BG98" s="299">
        <f>(BF68+BH68/2)*((BF47-BG47)*(1+$BR$45))*Faktory!$D$10</f>
        <v>0</v>
      </c>
      <c r="BH98" s="262">
        <f t="shared" si="384"/>
        <v>0</v>
      </c>
      <c r="BI98" s="298">
        <v>0</v>
      </c>
      <c r="BJ98" s="299">
        <f>(BI68+BK68/2)*((BI47-BJ47)*(1+$BR$45))*Faktory!$D$10</f>
        <v>0</v>
      </c>
      <c r="BK98" s="262">
        <f t="shared" si="385"/>
        <v>0</v>
      </c>
      <c r="BL98" s="298">
        <v>0</v>
      </c>
      <c r="BM98" s="299">
        <f>(BL68+BN68/2)*((BL47-BM47)*(1+$BR$45))*Faktory!$D$10</f>
        <v>0</v>
      </c>
      <c r="BN98" s="262">
        <f t="shared" si="386"/>
        <v>0</v>
      </c>
      <c r="BO98" s="298">
        <v>0</v>
      </c>
      <c r="BP98" s="299">
        <f>(BO68+BQ68/2)*((BO47-BP47)*(1+$BR$45))*Faktory!$D$10</f>
        <v>0</v>
      </c>
      <c r="BQ98" s="262">
        <f t="shared" si="387"/>
        <v>0</v>
      </c>
    </row>
    <row r="99" spans="1:69" ht="16" x14ac:dyDescent="0.2">
      <c r="A99" s="832"/>
      <c r="B99" s="834"/>
      <c r="C99" s="290" t="s">
        <v>166</v>
      </c>
      <c r="D99" s="291">
        <f t="shared" si="366"/>
        <v>0</v>
      </c>
      <c r="E99" s="292">
        <f t="shared" si="169"/>
        <v>0</v>
      </c>
      <c r="F99" s="293">
        <f t="shared" si="170"/>
        <v>0</v>
      </c>
      <c r="G99" s="298">
        <v>0</v>
      </c>
      <c r="H99" s="299">
        <f>(G69+I69/2)*((G48-H48)*(1+$BR$45))*Faktory!$D$10</f>
        <v>0</v>
      </c>
      <c r="I99" s="262">
        <f t="shared" si="367"/>
        <v>0</v>
      </c>
      <c r="J99" s="298">
        <v>0</v>
      </c>
      <c r="K99" s="299">
        <f>(J69+L69/2)*((J48-K48)*(1+$BR$45))*Faktory!$D$10</f>
        <v>0</v>
      </c>
      <c r="L99" s="262">
        <f t="shared" si="368"/>
        <v>0</v>
      </c>
      <c r="M99" s="298">
        <v>0</v>
      </c>
      <c r="N99" s="299">
        <f>(M69+O69/2)*((M48-N48)*(1+$BR$45))*Faktory!$D$10</f>
        <v>0</v>
      </c>
      <c r="O99" s="262">
        <f t="shared" si="369"/>
        <v>0</v>
      </c>
      <c r="P99" s="298">
        <v>0</v>
      </c>
      <c r="Q99" s="299">
        <f>(P69+R69/2)*((P48-Q48)*(1+$BR$45))*Faktory!$D$10</f>
        <v>0</v>
      </c>
      <c r="R99" s="262">
        <f t="shared" si="370"/>
        <v>0</v>
      </c>
      <c r="S99" s="298">
        <v>0</v>
      </c>
      <c r="T99" s="299">
        <f>(S69+U69/2)*((S48-T48)*(1+$BR$45))*Faktory!$D$10</f>
        <v>0</v>
      </c>
      <c r="U99" s="262">
        <f t="shared" si="371"/>
        <v>0</v>
      </c>
      <c r="V99" s="298">
        <v>0</v>
      </c>
      <c r="W99" s="299">
        <f>(V69+X69/2)*((V48-W48)*(1+$BR$45))*Faktory!$D$10</f>
        <v>0</v>
      </c>
      <c r="X99" s="262">
        <f t="shared" si="372"/>
        <v>0</v>
      </c>
      <c r="Y99" s="298">
        <v>0</v>
      </c>
      <c r="Z99" s="299">
        <f>(Y69+AA69/2)*((Y48-Z48)*(1+$BR$45))*Faktory!$D$10</f>
        <v>0</v>
      </c>
      <c r="AA99" s="262">
        <f t="shared" si="373"/>
        <v>0</v>
      </c>
      <c r="AB99" s="298">
        <v>0</v>
      </c>
      <c r="AC99" s="299">
        <f>(AB69+AD69/2)*((AB48-AC48)*(1+$BR$45))*Faktory!$D$10</f>
        <v>0</v>
      </c>
      <c r="AD99" s="262">
        <f t="shared" si="374"/>
        <v>0</v>
      </c>
      <c r="AE99" s="298">
        <v>0</v>
      </c>
      <c r="AF99" s="299">
        <f>(AE69+AG69/2)*((AE48-AF48)*(1+$BR$45))*Faktory!$D$10</f>
        <v>0</v>
      </c>
      <c r="AG99" s="262">
        <f t="shared" si="375"/>
        <v>0</v>
      </c>
      <c r="AH99" s="298">
        <v>0</v>
      </c>
      <c r="AI99" s="299">
        <f>(AH69+AJ69/2)*((AH48-AI48)*(1+$BR$45))*Faktory!$D$10</f>
        <v>0</v>
      </c>
      <c r="AJ99" s="262">
        <f t="shared" si="376"/>
        <v>0</v>
      </c>
      <c r="AK99" s="298">
        <v>0</v>
      </c>
      <c r="AL99" s="299">
        <f>(AK69+AM69/2)*((AK48-AL48)*(1+$BR$45))*Faktory!$D$10</f>
        <v>0</v>
      </c>
      <c r="AM99" s="262">
        <f t="shared" si="377"/>
        <v>0</v>
      </c>
      <c r="AN99" s="298">
        <v>0</v>
      </c>
      <c r="AO99" s="299">
        <f>(AN69+AP69/2)*((AN48-AO48)*(1+$BR$45))*Faktory!$D$10</f>
        <v>0</v>
      </c>
      <c r="AP99" s="262">
        <f t="shared" si="378"/>
        <v>0</v>
      </c>
      <c r="AQ99" s="298">
        <v>0</v>
      </c>
      <c r="AR99" s="299">
        <f>(AQ69+AS69/2)*((AQ48-AR48)*(1+$BR$45))*Faktory!$D$10</f>
        <v>0</v>
      </c>
      <c r="AS99" s="262">
        <f t="shared" si="379"/>
        <v>0</v>
      </c>
      <c r="AT99" s="298">
        <v>0</v>
      </c>
      <c r="AU99" s="299">
        <f>(AT69+AV69/2)*((AT48-AU48)*(1+$BR$45))*Faktory!$D$10</f>
        <v>0</v>
      </c>
      <c r="AV99" s="262">
        <f t="shared" si="380"/>
        <v>0</v>
      </c>
      <c r="AW99" s="298">
        <v>0</v>
      </c>
      <c r="AX99" s="299">
        <f>(AW69+AY69/2)*((AW48-AX48)*(1+$BR$45))*Faktory!$D$10</f>
        <v>0</v>
      </c>
      <c r="AY99" s="262">
        <f t="shared" si="381"/>
        <v>0</v>
      </c>
      <c r="AZ99" s="298">
        <v>0</v>
      </c>
      <c r="BA99" s="299">
        <f>(AZ69+BB69/2)*((AZ48-BA48)*(1+$BR$45))*Faktory!$D$10</f>
        <v>0</v>
      </c>
      <c r="BB99" s="262">
        <f t="shared" si="382"/>
        <v>0</v>
      </c>
      <c r="BC99" s="298">
        <v>0</v>
      </c>
      <c r="BD99" s="299">
        <f>(BC69+BE69/2)*((BC48-BD48)*(1+$BR$45))*Faktory!$D$10</f>
        <v>0</v>
      </c>
      <c r="BE99" s="262">
        <f t="shared" si="383"/>
        <v>0</v>
      </c>
      <c r="BF99" s="298">
        <v>0</v>
      </c>
      <c r="BG99" s="299">
        <f>(BF69+BH69/2)*((BF48-BG48)*(1+$BR$45))*Faktory!$D$10</f>
        <v>0</v>
      </c>
      <c r="BH99" s="262">
        <f t="shared" si="384"/>
        <v>0</v>
      </c>
      <c r="BI99" s="298">
        <v>0</v>
      </c>
      <c r="BJ99" s="299">
        <f>(BI69+BK69/2)*((BI48-BJ48)*(1+$BR$45))*Faktory!$D$10</f>
        <v>0</v>
      </c>
      <c r="BK99" s="262">
        <f t="shared" si="385"/>
        <v>0</v>
      </c>
      <c r="BL99" s="298">
        <v>0</v>
      </c>
      <c r="BM99" s="299">
        <f>(BL69+BN69/2)*((BL48-BM48)*(1+$BR$45))*Faktory!$D$10</f>
        <v>0</v>
      </c>
      <c r="BN99" s="262">
        <f t="shared" si="386"/>
        <v>0</v>
      </c>
      <c r="BO99" s="298">
        <v>0</v>
      </c>
      <c r="BP99" s="299">
        <f>(BO69+BQ69/2)*((BO48-BP48)*(1+$BR$45))*Faktory!$D$10</f>
        <v>0</v>
      </c>
      <c r="BQ99" s="262">
        <f t="shared" si="387"/>
        <v>0</v>
      </c>
    </row>
    <row r="100" spans="1:69" ht="16" x14ac:dyDescent="0.2">
      <c r="A100" s="832"/>
      <c r="B100" s="834"/>
      <c r="C100" s="290" t="s">
        <v>167</v>
      </c>
      <c r="D100" s="291">
        <f t="shared" si="366"/>
        <v>0</v>
      </c>
      <c r="E100" s="292">
        <f t="shared" si="169"/>
        <v>0</v>
      </c>
      <c r="F100" s="293">
        <f t="shared" si="170"/>
        <v>0</v>
      </c>
      <c r="G100" s="298">
        <v>0</v>
      </c>
      <c r="H100" s="299">
        <f>(G70+I70/2)*((G49-H49)*(1+$BR$45))*Faktory!$D$10</f>
        <v>0</v>
      </c>
      <c r="I100" s="262">
        <f t="shared" si="367"/>
        <v>0</v>
      </c>
      <c r="J100" s="298">
        <v>0</v>
      </c>
      <c r="K100" s="299">
        <f>(J70+L70/2)*((J49-K49)*(1+$BR$45))*Faktory!$D$10</f>
        <v>0</v>
      </c>
      <c r="L100" s="262">
        <f t="shared" si="368"/>
        <v>0</v>
      </c>
      <c r="M100" s="298">
        <v>0</v>
      </c>
      <c r="N100" s="299">
        <f>(M70+O70/2)*((M49-N49)*(1+$BR$45))*Faktory!$D$10</f>
        <v>0</v>
      </c>
      <c r="O100" s="262">
        <f t="shared" si="369"/>
        <v>0</v>
      </c>
      <c r="P100" s="298">
        <v>0</v>
      </c>
      <c r="Q100" s="299">
        <f>(P70+R70/2)*((P49-Q49)*(1+$BR$45))*Faktory!$D$10</f>
        <v>0</v>
      </c>
      <c r="R100" s="262">
        <f t="shared" si="370"/>
        <v>0</v>
      </c>
      <c r="S100" s="298">
        <v>0</v>
      </c>
      <c r="T100" s="299">
        <f>(S70+U70/2)*((S49-T49)*(1+$BR$45))*Faktory!$D$10</f>
        <v>0</v>
      </c>
      <c r="U100" s="262">
        <f t="shared" si="371"/>
        <v>0</v>
      </c>
      <c r="V100" s="298">
        <v>0</v>
      </c>
      <c r="W100" s="299">
        <f>(V70+X70/2)*((V49-W49)*(1+$BR$45))*Faktory!$D$10</f>
        <v>0</v>
      </c>
      <c r="X100" s="262">
        <f t="shared" si="372"/>
        <v>0</v>
      </c>
      <c r="Y100" s="298">
        <v>0</v>
      </c>
      <c r="Z100" s="299">
        <f>(Y70+AA70/2)*((Y49-Z49)*(1+$BR$45))*Faktory!$D$10</f>
        <v>0</v>
      </c>
      <c r="AA100" s="262">
        <f t="shared" si="373"/>
        <v>0</v>
      </c>
      <c r="AB100" s="298">
        <v>0</v>
      </c>
      <c r="AC100" s="299">
        <f>(AB70+AD70/2)*((AB49-AC49)*(1+$BR$45))*Faktory!$D$10</f>
        <v>0</v>
      </c>
      <c r="AD100" s="262">
        <f t="shared" si="374"/>
        <v>0</v>
      </c>
      <c r="AE100" s="298">
        <v>0</v>
      </c>
      <c r="AF100" s="299">
        <f>(AE70+AG70/2)*((AE49-AF49)*(1+$BR$45))*Faktory!$D$10</f>
        <v>0</v>
      </c>
      <c r="AG100" s="262">
        <f t="shared" si="375"/>
        <v>0</v>
      </c>
      <c r="AH100" s="298">
        <v>0</v>
      </c>
      <c r="AI100" s="299">
        <f>(AH70+AJ70/2)*((AH49-AI49)*(1+$BR$45))*Faktory!$D$10</f>
        <v>0</v>
      </c>
      <c r="AJ100" s="262">
        <f t="shared" si="376"/>
        <v>0</v>
      </c>
      <c r="AK100" s="298">
        <v>0</v>
      </c>
      <c r="AL100" s="299">
        <f>(AK70+AM70/2)*((AK49-AL49)*(1+$BR$45))*Faktory!$D$10</f>
        <v>0</v>
      </c>
      <c r="AM100" s="262">
        <f t="shared" si="377"/>
        <v>0</v>
      </c>
      <c r="AN100" s="298">
        <v>0</v>
      </c>
      <c r="AO100" s="299">
        <f>(AN70+AP70/2)*((AN49-AO49)*(1+$BR$45))*Faktory!$D$10</f>
        <v>0</v>
      </c>
      <c r="AP100" s="262">
        <f t="shared" si="378"/>
        <v>0</v>
      </c>
      <c r="AQ100" s="298">
        <v>0</v>
      </c>
      <c r="AR100" s="299">
        <f>(AQ70+AS70/2)*((AQ49-AR49)*(1+$BR$45))*Faktory!$D$10</f>
        <v>0</v>
      </c>
      <c r="AS100" s="262">
        <f t="shared" si="379"/>
        <v>0</v>
      </c>
      <c r="AT100" s="298">
        <v>0</v>
      </c>
      <c r="AU100" s="299">
        <f>(AT70+AV70/2)*((AT49-AU49)*(1+$BR$45))*Faktory!$D$10</f>
        <v>0</v>
      </c>
      <c r="AV100" s="262">
        <f t="shared" si="380"/>
        <v>0</v>
      </c>
      <c r="AW100" s="298">
        <v>0</v>
      </c>
      <c r="AX100" s="299">
        <f>(AW70+AY70/2)*((AW49-AX49)*(1+$BR$45))*Faktory!$D$10</f>
        <v>0</v>
      </c>
      <c r="AY100" s="262">
        <f t="shared" si="381"/>
        <v>0</v>
      </c>
      <c r="AZ100" s="298">
        <v>0</v>
      </c>
      <c r="BA100" s="299">
        <f>(AZ70+BB70/2)*((AZ49-BA49)*(1+$BR$45))*Faktory!$D$10</f>
        <v>0</v>
      </c>
      <c r="BB100" s="262">
        <f t="shared" si="382"/>
        <v>0</v>
      </c>
      <c r="BC100" s="298">
        <v>0</v>
      </c>
      <c r="BD100" s="299">
        <f>(BC70+BE70/2)*((BC49-BD49)*(1+$BR$45))*Faktory!$D$10</f>
        <v>0</v>
      </c>
      <c r="BE100" s="262">
        <f t="shared" si="383"/>
        <v>0</v>
      </c>
      <c r="BF100" s="298">
        <v>0</v>
      </c>
      <c r="BG100" s="299">
        <f>(BF70+BH70/2)*((BF49-BG49)*(1+$BR$45))*Faktory!$D$10</f>
        <v>0</v>
      </c>
      <c r="BH100" s="262">
        <f t="shared" si="384"/>
        <v>0</v>
      </c>
      <c r="BI100" s="298">
        <v>0</v>
      </c>
      <c r="BJ100" s="299">
        <f>(BI70+BK70/2)*((BI49-BJ49)*(1+$BR$45))*Faktory!$D$10</f>
        <v>0</v>
      </c>
      <c r="BK100" s="262">
        <f t="shared" si="385"/>
        <v>0</v>
      </c>
      <c r="BL100" s="298">
        <v>0</v>
      </c>
      <c r="BM100" s="299">
        <f>(BL70+BN70/2)*((BL49-BM49)*(1+$BR$45))*Faktory!$D$10</f>
        <v>0</v>
      </c>
      <c r="BN100" s="262">
        <f t="shared" si="386"/>
        <v>0</v>
      </c>
      <c r="BO100" s="298">
        <v>0</v>
      </c>
      <c r="BP100" s="299">
        <f>(BO70+BQ70/2)*((BO49-BP49)*(1+$BR$45))*Faktory!$D$10</f>
        <v>0</v>
      </c>
      <c r="BQ100" s="262">
        <f t="shared" si="387"/>
        <v>0</v>
      </c>
    </row>
    <row r="101" spans="1:69" ht="16" x14ac:dyDescent="0.2">
      <c r="A101" s="832"/>
      <c r="B101" s="834"/>
      <c r="C101" s="290" t="s">
        <v>168</v>
      </c>
      <c r="D101" s="291">
        <f t="shared" si="366"/>
        <v>0</v>
      </c>
      <c r="E101" s="292">
        <f t="shared" si="169"/>
        <v>0</v>
      </c>
      <c r="F101" s="293">
        <f t="shared" si="170"/>
        <v>0</v>
      </c>
      <c r="G101" s="298">
        <v>0</v>
      </c>
      <c r="H101" s="299">
        <f>(G71+I71/2)*((G50-H50)*(1+$BR$45))*Faktory!$D$10</f>
        <v>0</v>
      </c>
      <c r="I101" s="262">
        <f t="shared" si="367"/>
        <v>0</v>
      </c>
      <c r="J101" s="298">
        <v>0</v>
      </c>
      <c r="K101" s="299">
        <f>(J71+L71/2)*((J50-K50)*(1+$BR$45))*Faktory!$D$10</f>
        <v>0</v>
      </c>
      <c r="L101" s="262">
        <f t="shared" si="368"/>
        <v>0</v>
      </c>
      <c r="M101" s="298">
        <v>0</v>
      </c>
      <c r="N101" s="299">
        <f>(M71+O71/2)*((M50-N50)*(1+$BR$45))*Faktory!$D$10</f>
        <v>0</v>
      </c>
      <c r="O101" s="262">
        <f t="shared" si="369"/>
        <v>0</v>
      </c>
      <c r="P101" s="298">
        <v>0</v>
      </c>
      <c r="Q101" s="299">
        <f>(P71+R71/2)*((P50-Q50)*(1+$BR$45))*Faktory!$D$10</f>
        <v>0</v>
      </c>
      <c r="R101" s="262">
        <f t="shared" si="370"/>
        <v>0</v>
      </c>
      <c r="S101" s="298">
        <v>0</v>
      </c>
      <c r="T101" s="299">
        <f>(S71+U71/2)*((S50-T50)*(1+$BR$45))*Faktory!$D$10</f>
        <v>0</v>
      </c>
      <c r="U101" s="262">
        <f t="shared" si="371"/>
        <v>0</v>
      </c>
      <c r="V101" s="298">
        <v>0</v>
      </c>
      <c r="W101" s="299">
        <f>(V71+X71/2)*((V50-W50)*(1+$BR$45))*Faktory!$D$10</f>
        <v>0</v>
      </c>
      <c r="X101" s="262">
        <f t="shared" si="372"/>
        <v>0</v>
      </c>
      <c r="Y101" s="298">
        <v>0</v>
      </c>
      <c r="Z101" s="299">
        <f>(Y71+AA71/2)*((Y50-Z50)*(1+$BR$45))*Faktory!$D$10</f>
        <v>0</v>
      </c>
      <c r="AA101" s="262">
        <f t="shared" si="373"/>
        <v>0</v>
      </c>
      <c r="AB101" s="298">
        <v>0</v>
      </c>
      <c r="AC101" s="299">
        <f>(AB71+AD71/2)*((AB50-AC50)*(1+$BR$45))*Faktory!$D$10</f>
        <v>0</v>
      </c>
      <c r="AD101" s="262">
        <f t="shared" si="374"/>
        <v>0</v>
      </c>
      <c r="AE101" s="298">
        <v>0</v>
      </c>
      <c r="AF101" s="299">
        <f>(AE71+AG71/2)*((AE50-AF50)*(1+$BR$45))*Faktory!$D$10</f>
        <v>0</v>
      </c>
      <c r="AG101" s="262">
        <f t="shared" si="375"/>
        <v>0</v>
      </c>
      <c r="AH101" s="298">
        <v>0</v>
      </c>
      <c r="AI101" s="299">
        <f>(AH71+AJ71/2)*((AH50-AI50)*(1+$BR$45))*Faktory!$D$10</f>
        <v>0</v>
      </c>
      <c r="AJ101" s="262">
        <f t="shared" si="376"/>
        <v>0</v>
      </c>
      <c r="AK101" s="298">
        <v>0</v>
      </c>
      <c r="AL101" s="299">
        <f>(AK71+AM71/2)*((AK50-AL50)*(1+$BR$45))*Faktory!$D$10</f>
        <v>0</v>
      </c>
      <c r="AM101" s="262">
        <f t="shared" si="377"/>
        <v>0</v>
      </c>
      <c r="AN101" s="298">
        <v>0</v>
      </c>
      <c r="AO101" s="299">
        <f>(AN71+AP71/2)*((AN50-AO50)*(1+$BR$45))*Faktory!$D$10</f>
        <v>0</v>
      </c>
      <c r="AP101" s="262">
        <f t="shared" si="378"/>
        <v>0</v>
      </c>
      <c r="AQ101" s="298">
        <v>0</v>
      </c>
      <c r="AR101" s="299">
        <f>(AQ71+AS71/2)*((AQ50-AR50)*(1+$BR$45))*Faktory!$D$10</f>
        <v>0</v>
      </c>
      <c r="AS101" s="262">
        <f t="shared" si="379"/>
        <v>0</v>
      </c>
      <c r="AT101" s="298">
        <v>0</v>
      </c>
      <c r="AU101" s="299">
        <f>(AT71+AV71/2)*((AT50-AU50)*(1+$BR$45))*Faktory!$D$10</f>
        <v>0</v>
      </c>
      <c r="AV101" s="262">
        <f t="shared" si="380"/>
        <v>0</v>
      </c>
      <c r="AW101" s="298">
        <v>0</v>
      </c>
      <c r="AX101" s="299">
        <f>(AW71+AY71/2)*((AW50-AX50)*(1+$BR$45))*Faktory!$D$10</f>
        <v>0</v>
      </c>
      <c r="AY101" s="262">
        <f t="shared" si="381"/>
        <v>0</v>
      </c>
      <c r="AZ101" s="298">
        <v>0</v>
      </c>
      <c r="BA101" s="299">
        <f>(AZ71+BB71/2)*((AZ50-BA50)*(1+$BR$45))*Faktory!$D$10</f>
        <v>0</v>
      </c>
      <c r="BB101" s="262">
        <f t="shared" si="382"/>
        <v>0</v>
      </c>
      <c r="BC101" s="298">
        <v>0</v>
      </c>
      <c r="BD101" s="299">
        <f>(BC71+BE71/2)*((BC50-BD50)*(1+$BR$45))*Faktory!$D$10</f>
        <v>0</v>
      </c>
      <c r="BE101" s="262">
        <f t="shared" si="383"/>
        <v>0</v>
      </c>
      <c r="BF101" s="298">
        <v>0</v>
      </c>
      <c r="BG101" s="299">
        <f>(BF71+BH71/2)*((BF50-BG50)*(1+$BR$45))*Faktory!$D$10</f>
        <v>0</v>
      </c>
      <c r="BH101" s="262">
        <f t="shared" si="384"/>
        <v>0</v>
      </c>
      <c r="BI101" s="298">
        <v>0</v>
      </c>
      <c r="BJ101" s="299">
        <f>(BI71+BK71/2)*((BI50-BJ50)*(1+$BR$45))*Faktory!$D$10</f>
        <v>0</v>
      </c>
      <c r="BK101" s="262">
        <f t="shared" si="385"/>
        <v>0</v>
      </c>
      <c r="BL101" s="298">
        <v>0</v>
      </c>
      <c r="BM101" s="299">
        <f>(BL71+BN71/2)*((BL50-BM50)*(1+$BR$45))*Faktory!$D$10</f>
        <v>0</v>
      </c>
      <c r="BN101" s="262">
        <f t="shared" si="386"/>
        <v>0</v>
      </c>
      <c r="BO101" s="298">
        <v>0</v>
      </c>
      <c r="BP101" s="299">
        <f>(BO71+BQ71/2)*((BO50-BP50)*(1+$BR$45))*Faktory!$D$10</f>
        <v>0</v>
      </c>
      <c r="BQ101" s="262">
        <f t="shared" si="387"/>
        <v>0</v>
      </c>
    </row>
    <row r="102" spans="1:69" ht="16" x14ac:dyDescent="0.2">
      <c r="A102" s="832"/>
      <c r="B102" s="834"/>
      <c r="C102" s="290" t="s">
        <v>169</v>
      </c>
      <c r="D102" s="291">
        <f t="shared" si="366"/>
        <v>0</v>
      </c>
      <c r="E102" s="292">
        <f t="shared" si="169"/>
        <v>0</v>
      </c>
      <c r="F102" s="293">
        <f t="shared" si="170"/>
        <v>0</v>
      </c>
      <c r="G102" s="298">
        <v>0</v>
      </c>
      <c r="H102" s="299">
        <f>(G72+I72/2)*((G51-H51)*(1+$BR$45))*Faktory!$D$10</f>
        <v>0</v>
      </c>
      <c r="I102" s="262">
        <f t="shared" si="367"/>
        <v>0</v>
      </c>
      <c r="J102" s="298">
        <v>0</v>
      </c>
      <c r="K102" s="299">
        <f>(J72+L72/2)*((J51-K51)*(1+$BR$45))*Faktory!$D$10</f>
        <v>0</v>
      </c>
      <c r="L102" s="262">
        <f t="shared" si="368"/>
        <v>0</v>
      </c>
      <c r="M102" s="298">
        <v>0</v>
      </c>
      <c r="N102" s="299">
        <f>(M72+O72/2)*((M51-N51)*(1+$BR$45))*Faktory!$D$10</f>
        <v>0</v>
      </c>
      <c r="O102" s="262">
        <f t="shared" si="369"/>
        <v>0</v>
      </c>
      <c r="P102" s="298">
        <v>0</v>
      </c>
      <c r="Q102" s="299">
        <f>(P72+R72/2)*((P51-Q51)*(1+$BR$45))*Faktory!$D$10</f>
        <v>0</v>
      </c>
      <c r="R102" s="262">
        <f t="shared" si="370"/>
        <v>0</v>
      </c>
      <c r="S102" s="298">
        <v>0</v>
      </c>
      <c r="T102" s="299">
        <f>(S72+U72/2)*((S51-T51)*(1+$BR$45))*Faktory!$D$10</f>
        <v>0</v>
      </c>
      <c r="U102" s="262">
        <f t="shared" si="371"/>
        <v>0</v>
      </c>
      <c r="V102" s="298">
        <v>0</v>
      </c>
      <c r="W102" s="299">
        <f>(V72+X72/2)*((V51-W51)*(1+$BR$45))*Faktory!$D$10</f>
        <v>0</v>
      </c>
      <c r="X102" s="262">
        <f t="shared" si="372"/>
        <v>0</v>
      </c>
      <c r="Y102" s="298">
        <v>0</v>
      </c>
      <c r="Z102" s="299">
        <f>(Y72+AA72/2)*((Y51-Z51)*(1+$BR$45))*Faktory!$D$10</f>
        <v>0</v>
      </c>
      <c r="AA102" s="262">
        <f t="shared" si="373"/>
        <v>0</v>
      </c>
      <c r="AB102" s="298">
        <v>0</v>
      </c>
      <c r="AC102" s="299">
        <f>(AB72+AD72/2)*((AB51-AC51)*(1+$BR$45))*Faktory!$D$10</f>
        <v>0</v>
      </c>
      <c r="AD102" s="262">
        <f t="shared" si="374"/>
        <v>0</v>
      </c>
      <c r="AE102" s="298">
        <v>0</v>
      </c>
      <c r="AF102" s="299">
        <f>(AE72+AG72/2)*((AE51-AF51)*(1+$BR$45))*Faktory!$D$10</f>
        <v>0</v>
      </c>
      <c r="AG102" s="262">
        <f t="shared" si="375"/>
        <v>0</v>
      </c>
      <c r="AH102" s="298">
        <v>0</v>
      </c>
      <c r="AI102" s="299">
        <f>(AH72+AJ72/2)*((AH51-AI51)*(1+$BR$45))*Faktory!$D$10</f>
        <v>0</v>
      </c>
      <c r="AJ102" s="262">
        <f t="shared" si="376"/>
        <v>0</v>
      </c>
      <c r="AK102" s="298">
        <v>0</v>
      </c>
      <c r="AL102" s="299">
        <f>(AK72+AM72/2)*((AK51-AL51)*(1+$BR$45))*Faktory!$D$10</f>
        <v>0</v>
      </c>
      <c r="AM102" s="262">
        <f t="shared" si="377"/>
        <v>0</v>
      </c>
      <c r="AN102" s="298">
        <v>0</v>
      </c>
      <c r="AO102" s="299">
        <f>(AN72+AP72/2)*((AN51-AO51)*(1+$BR$45))*Faktory!$D$10</f>
        <v>0</v>
      </c>
      <c r="AP102" s="262">
        <f t="shared" si="378"/>
        <v>0</v>
      </c>
      <c r="AQ102" s="298">
        <v>0</v>
      </c>
      <c r="AR102" s="299">
        <f>(AQ72+AS72/2)*((AQ51-AR51)*(1+$BR$45))*Faktory!$D$10</f>
        <v>0</v>
      </c>
      <c r="AS102" s="262">
        <f t="shared" si="379"/>
        <v>0</v>
      </c>
      <c r="AT102" s="298">
        <v>0</v>
      </c>
      <c r="AU102" s="299">
        <f>(AT72+AV72/2)*((AT51-AU51)*(1+$BR$45))*Faktory!$D$10</f>
        <v>0</v>
      </c>
      <c r="AV102" s="262">
        <f t="shared" si="380"/>
        <v>0</v>
      </c>
      <c r="AW102" s="298">
        <v>0</v>
      </c>
      <c r="AX102" s="299">
        <f>(AW72+AY72/2)*((AW51-AX51)*(1+$BR$45))*Faktory!$D$10</f>
        <v>0</v>
      </c>
      <c r="AY102" s="262">
        <f t="shared" si="381"/>
        <v>0</v>
      </c>
      <c r="AZ102" s="298">
        <v>0</v>
      </c>
      <c r="BA102" s="299">
        <f>(AZ72+BB72/2)*((AZ51-BA51)*(1+$BR$45))*Faktory!$D$10</f>
        <v>0</v>
      </c>
      <c r="BB102" s="262">
        <f t="shared" si="382"/>
        <v>0</v>
      </c>
      <c r="BC102" s="298">
        <v>0</v>
      </c>
      <c r="BD102" s="299">
        <f>(BC72+BE72/2)*((BC51-BD51)*(1+$BR$45))*Faktory!$D$10</f>
        <v>0</v>
      </c>
      <c r="BE102" s="262">
        <f t="shared" si="383"/>
        <v>0</v>
      </c>
      <c r="BF102" s="298">
        <v>0</v>
      </c>
      <c r="BG102" s="299">
        <f>(BF72+BH72/2)*((BF51-BG51)*(1+$BR$45))*Faktory!$D$10</f>
        <v>0</v>
      </c>
      <c r="BH102" s="262">
        <f t="shared" si="384"/>
        <v>0</v>
      </c>
      <c r="BI102" s="298">
        <v>0</v>
      </c>
      <c r="BJ102" s="299">
        <f>(BI72+BK72/2)*((BI51-BJ51)*(1+$BR$45))*Faktory!$D$10</f>
        <v>0</v>
      </c>
      <c r="BK102" s="262">
        <f t="shared" si="385"/>
        <v>0</v>
      </c>
      <c r="BL102" s="298">
        <v>0</v>
      </c>
      <c r="BM102" s="299">
        <f>(BL72+BN72/2)*((BL51-BM51)*(1+$BR$45))*Faktory!$D$10</f>
        <v>0</v>
      </c>
      <c r="BN102" s="262">
        <f t="shared" si="386"/>
        <v>0</v>
      </c>
      <c r="BO102" s="298">
        <v>0</v>
      </c>
      <c r="BP102" s="299">
        <f>(BO72+BQ72/2)*((BO51-BP51)*(1+$BR$45))*Faktory!$D$10</f>
        <v>0</v>
      </c>
      <c r="BQ102" s="262">
        <f t="shared" si="387"/>
        <v>0</v>
      </c>
    </row>
    <row r="103" spans="1:69" ht="16" x14ac:dyDescent="0.2">
      <c r="A103" s="832"/>
      <c r="B103" s="834"/>
      <c r="C103" s="290" t="s">
        <v>170</v>
      </c>
      <c r="D103" s="291">
        <f t="shared" si="366"/>
        <v>0</v>
      </c>
      <c r="E103" s="292">
        <f t="shared" si="169"/>
        <v>0</v>
      </c>
      <c r="F103" s="293">
        <f t="shared" si="170"/>
        <v>0</v>
      </c>
      <c r="G103" s="298">
        <v>0</v>
      </c>
      <c r="H103" s="299">
        <f>(G73+I73/2)*((G52-H52)*(1+$BR$45))*Faktory!$D$10</f>
        <v>0</v>
      </c>
      <c r="I103" s="262">
        <f t="shared" si="367"/>
        <v>0</v>
      </c>
      <c r="J103" s="298">
        <v>0</v>
      </c>
      <c r="K103" s="299">
        <f>(J73+L73/2)*((J52-K52)*(1+$BR$45))*Faktory!$D$10</f>
        <v>0</v>
      </c>
      <c r="L103" s="262">
        <f t="shared" si="368"/>
        <v>0</v>
      </c>
      <c r="M103" s="298">
        <v>0</v>
      </c>
      <c r="N103" s="299">
        <f>(M73+O73/2)*((M52-N52)*(1+$BR$45))*Faktory!$D$10</f>
        <v>0</v>
      </c>
      <c r="O103" s="262">
        <f t="shared" si="369"/>
        <v>0</v>
      </c>
      <c r="P103" s="298">
        <v>0</v>
      </c>
      <c r="Q103" s="299">
        <f>(P73+R73/2)*((P52-Q52)*(1+$BR$45))*Faktory!$D$10</f>
        <v>0</v>
      </c>
      <c r="R103" s="262">
        <f t="shared" si="370"/>
        <v>0</v>
      </c>
      <c r="S103" s="298">
        <v>0</v>
      </c>
      <c r="T103" s="299">
        <f>(S73+U73/2)*((S52-T52)*(1+$BR$45))*Faktory!$D$10</f>
        <v>0</v>
      </c>
      <c r="U103" s="262">
        <f t="shared" si="371"/>
        <v>0</v>
      </c>
      <c r="V103" s="298">
        <v>0</v>
      </c>
      <c r="W103" s="299">
        <f>(V73+X73/2)*((V52-W52)*(1+$BR$45))*Faktory!$D$10</f>
        <v>0</v>
      </c>
      <c r="X103" s="262">
        <f t="shared" si="372"/>
        <v>0</v>
      </c>
      <c r="Y103" s="298">
        <v>0</v>
      </c>
      <c r="Z103" s="299">
        <f>(Y73+AA73/2)*((Y52-Z52)*(1+$BR$45))*Faktory!$D$10</f>
        <v>0</v>
      </c>
      <c r="AA103" s="262">
        <f t="shared" si="373"/>
        <v>0</v>
      </c>
      <c r="AB103" s="298">
        <v>0</v>
      </c>
      <c r="AC103" s="299">
        <f>(AB73+AD73/2)*((AB52-AC52)*(1+$BR$45))*Faktory!$D$10</f>
        <v>0</v>
      </c>
      <c r="AD103" s="262">
        <f t="shared" si="374"/>
        <v>0</v>
      </c>
      <c r="AE103" s="298">
        <v>0</v>
      </c>
      <c r="AF103" s="299">
        <f>(AE73+AG73/2)*((AE52-AF52)*(1+$BR$45))*Faktory!$D$10</f>
        <v>0</v>
      </c>
      <c r="AG103" s="262">
        <f t="shared" si="375"/>
        <v>0</v>
      </c>
      <c r="AH103" s="298">
        <v>0</v>
      </c>
      <c r="AI103" s="299">
        <f>(AH73+AJ73/2)*((AH52-AI52)*(1+$BR$45))*Faktory!$D$10</f>
        <v>0</v>
      </c>
      <c r="AJ103" s="262">
        <f t="shared" si="376"/>
        <v>0</v>
      </c>
      <c r="AK103" s="298">
        <v>0</v>
      </c>
      <c r="AL103" s="299">
        <f>(AK73+AM73/2)*((AK52-AL52)*(1+$BR$45))*Faktory!$D$10</f>
        <v>0</v>
      </c>
      <c r="AM103" s="262">
        <f t="shared" si="377"/>
        <v>0</v>
      </c>
      <c r="AN103" s="298">
        <v>0</v>
      </c>
      <c r="AO103" s="299">
        <f>(AN73+AP73/2)*((AN52-AO52)*(1+$BR$45))*Faktory!$D$10</f>
        <v>0</v>
      </c>
      <c r="AP103" s="262">
        <f t="shared" si="378"/>
        <v>0</v>
      </c>
      <c r="AQ103" s="298">
        <v>0</v>
      </c>
      <c r="AR103" s="299">
        <f>(AQ73+AS73/2)*((AQ52-AR52)*(1+$BR$45))*Faktory!$D$10</f>
        <v>0</v>
      </c>
      <c r="AS103" s="262">
        <f t="shared" si="379"/>
        <v>0</v>
      </c>
      <c r="AT103" s="298">
        <v>0</v>
      </c>
      <c r="AU103" s="299">
        <f>(AT73+AV73/2)*((AT52-AU52)*(1+$BR$45))*Faktory!$D$10</f>
        <v>0</v>
      </c>
      <c r="AV103" s="262">
        <f t="shared" si="380"/>
        <v>0</v>
      </c>
      <c r="AW103" s="298">
        <v>0</v>
      </c>
      <c r="AX103" s="299">
        <f>(AW73+AY73/2)*((AW52-AX52)*(1+$BR$45))*Faktory!$D$10</f>
        <v>0</v>
      </c>
      <c r="AY103" s="262">
        <f t="shared" si="381"/>
        <v>0</v>
      </c>
      <c r="AZ103" s="298">
        <v>0</v>
      </c>
      <c r="BA103" s="299">
        <f>(AZ73+BB73/2)*((AZ52-BA52)*(1+$BR$45))*Faktory!$D$10</f>
        <v>0</v>
      </c>
      <c r="BB103" s="262">
        <f t="shared" si="382"/>
        <v>0</v>
      </c>
      <c r="BC103" s="298">
        <v>0</v>
      </c>
      <c r="BD103" s="299">
        <f>(BC73+BE73/2)*((BC52-BD52)*(1+$BR$45))*Faktory!$D$10</f>
        <v>0</v>
      </c>
      <c r="BE103" s="262">
        <f t="shared" si="383"/>
        <v>0</v>
      </c>
      <c r="BF103" s="298">
        <v>0</v>
      </c>
      <c r="BG103" s="299">
        <f>(BF73+BH73/2)*((BF52-BG52)*(1+$BR$45))*Faktory!$D$10</f>
        <v>0</v>
      </c>
      <c r="BH103" s="262">
        <f t="shared" si="384"/>
        <v>0</v>
      </c>
      <c r="BI103" s="298">
        <v>0</v>
      </c>
      <c r="BJ103" s="299">
        <f>(BI73+BK73/2)*((BI52-BJ52)*(1+$BR$45))*Faktory!$D$10</f>
        <v>0</v>
      </c>
      <c r="BK103" s="262">
        <f t="shared" si="385"/>
        <v>0</v>
      </c>
      <c r="BL103" s="298">
        <v>0</v>
      </c>
      <c r="BM103" s="299">
        <f>(BL73+BN73/2)*((BL52-BM52)*(1+$BR$45))*Faktory!$D$10</f>
        <v>0</v>
      </c>
      <c r="BN103" s="262">
        <f t="shared" si="386"/>
        <v>0</v>
      </c>
      <c r="BO103" s="298">
        <v>0</v>
      </c>
      <c r="BP103" s="299">
        <f>(BO73+BQ73/2)*((BO52-BP52)*(1+$BR$45))*Faktory!$D$10</f>
        <v>0</v>
      </c>
      <c r="BQ103" s="262">
        <f t="shared" si="387"/>
        <v>0</v>
      </c>
    </row>
    <row r="104" spans="1:69" ht="16" x14ac:dyDescent="0.2">
      <c r="A104" s="832"/>
      <c r="B104" s="834"/>
      <c r="C104" s="290" t="s">
        <v>171</v>
      </c>
      <c r="D104" s="291">
        <f t="shared" si="366"/>
        <v>0</v>
      </c>
      <c r="E104" s="292">
        <f t="shared" si="169"/>
        <v>0</v>
      </c>
      <c r="F104" s="293">
        <f t="shared" si="170"/>
        <v>0</v>
      </c>
      <c r="G104" s="298">
        <v>0</v>
      </c>
      <c r="H104" s="299">
        <f>(G74+I74/2)*((G53-H53)*(1+$BR$45))*Faktory!$D$10</f>
        <v>0</v>
      </c>
      <c r="I104" s="262">
        <f t="shared" si="367"/>
        <v>0</v>
      </c>
      <c r="J104" s="298">
        <v>0</v>
      </c>
      <c r="K104" s="299">
        <f>(J74+L74/2)*((J53-K53)*(1+$BR$45))*Faktory!$D$10</f>
        <v>0</v>
      </c>
      <c r="L104" s="262">
        <f t="shared" si="368"/>
        <v>0</v>
      </c>
      <c r="M104" s="298">
        <v>0</v>
      </c>
      <c r="N104" s="299">
        <f>(M74+O74/2)*((M53-N53)*(1+$BR$45))*Faktory!$D$10</f>
        <v>0</v>
      </c>
      <c r="O104" s="262">
        <f t="shared" si="369"/>
        <v>0</v>
      </c>
      <c r="P104" s="298">
        <v>0</v>
      </c>
      <c r="Q104" s="299">
        <f>(P74+R74/2)*((P53-Q53)*(1+$BR$45))*Faktory!$D$10</f>
        <v>0</v>
      </c>
      <c r="R104" s="262">
        <f t="shared" si="370"/>
        <v>0</v>
      </c>
      <c r="S104" s="298">
        <v>0</v>
      </c>
      <c r="T104" s="299">
        <f>(S74+U74/2)*((S53-T53)*(1+$BR$45))*Faktory!$D$10</f>
        <v>0</v>
      </c>
      <c r="U104" s="262">
        <f t="shared" si="371"/>
        <v>0</v>
      </c>
      <c r="V104" s="298">
        <v>0</v>
      </c>
      <c r="W104" s="299">
        <f>(V74+X74/2)*((V53-W53)*(1+$BR$45))*Faktory!$D$10</f>
        <v>0</v>
      </c>
      <c r="X104" s="262">
        <f t="shared" si="372"/>
        <v>0</v>
      </c>
      <c r="Y104" s="298">
        <v>0</v>
      </c>
      <c r="Z104" s="299">
        <f>(Y74+AA74/2)*((Y53-Z53)*(1+$BR$45))*Faktory!$D$10</f>
        <v>0</v>
      </c>
      <c r="AA104" s="262">
        <f t="shared" si="373"/>
        <v>0</v>
      </c>
      <c r="AB104" s="298">
        <v>0</v>
      </c>
      <c r="AC104" s="299">
        <f>(AB74+AD74/2)*((AB53-AC53)*(1+$BR$45))*Faktory!$D$10</f>
        <v>0</v>
      </c>
      <c r="AD104" s="262">
        <f t="shared" si="374"/>
        <v>0</v>
      </c>
      <c r="AE104" s="298">
        <v>0</v>
      </c>
      <c r="AF104" s="299">
        <f>(AE74+AG74/2)*((AE53-AF53)*(1+$BR$45))*Faktory!$D$10</f>
        <v>0</v>
      </c>
      <c r="AG104" s="262">
        <f t="shared" si="375"/>
        <v>0</v>
      </c>
      <c r="AH104" s="298">
        <v>0</v>
      </c>
      <c r="AI104" s="299">
        <f>(AH74+AJ74/2)*((AH53-AI53)*(1+$BR$45))*Faktory!$D$10</f>
        <v>0</v>
      </c>
      <c r="AJ104" s="262">
        <f t="shared" si="376"/>
        <v>0</v>
      </c>
      <c r="AK104" s="298">
        <v>0</v>
      </c>
      <c r="AL104" s="299">
        <f>(AK74+AM74/2)*((AK53-AL53)*(1+$BR$45))*Faktory!$D$10</f>
        <v>0</v>
      </c>
      <c r="AM104" s="262">
        <f t="shared" si="377"/>
        <v>0</v>
      </c>
      <c r="AN104" s="298">
        <v>0</v>
      </c>
      <c r="AO104" s="299">
        <f>(AN74+AP74/2)*((AN53-AO53)*(1+$BR$45))*Faktory!$D$10</f>
        <v>0</v>
      </c>
      <c r="AP104" s="262">
        <f t="shared" si="378"/>
        <v>0</v>
      </c>
      <c r="AQ104" s="298">
        <v>0</v>
      </c>
      <c r="AR104" s="299">
        <f>(AQ74+AS74/2)*((AQ53-AR53)*(1+$BR$45))*Faktory!$D$10</f>
        <v>0</v>
      </c>
      <c r="AS104" s="262">
        <f t="shared" si="379"/>
        <v>0</v>
      </c>
      <c r="AT104" s="298">
        <v>0</v>
      </c>
      <c r="AU104" s="299">
        <f>(AT74+AV74/2)*((AT53-AU53)*(1+$BR$45))*Faktory!$D$10</f>
        <v>0</v>
      </c>
      <c r="AV104" s="262">
        <f t="shared" si="380"/>
        <v>0</v>
      </c>
      <c r="AW104" s="298">
        <v>0</v>
      </c>
      <c r="AX104" s="299">
        <f>(AW74+AY74/2)*((AW53-AX53)*(1+$BR$45))*Faktory!$D$10</f>
        <v>0</v>
      </c>
      <c r="AY104" s="262">
        <f t="shared" si="381"/>
        <v>0</v>
      </c>
      <c r="AZ104" s="298">
        <v>0</v>
      </c>
      <c r="BA104" s="299">
        <f>(AZ74+BB74/2)*((AZ53-BA53)*(1+$BR$45))*Faktory!$D$10</f>
        <v>0</v>
      </c>
      <c r="BB104" s="262">
        <f t="shared" si="382"/>
        <v>0</v>
      </c>
      <c r="BC104" s="298">
        <v>0</v>
      </c>
      <c r="BD104" s="299">
        <f>(BC74+BE74/2)*((BC53-BD53)*(1+$BR$45))*Faktory!$D$10</f>
        <v>0</v>
      </c>
      <c r="BE104" s="262">
        <f t="shared" si="383"/>
        <v>0</v>
      </c>
      <c r="BF104" s="298">
        <v>0</v>
      </c>
      <c r="BG104" s="299">
        <f>(BF74+BH74/2)*((BF53-BG53)*(1+$BR$45))*Faktory!$D$10</f>
        <v>0</v>
      </c>
      <c r="BH104" s="262">
        <f t="shared" si="384"/>
        <v>0</v>
      </c>
      <c r="BI104" s="298">
        <v>0</v>
      </c>
      <c r="BJ104" s="299">
        <f>(BI74+BK74/2)*((BI53-BJ53)*(1+$BR$45))*Faktory!$D$10</f>
        <v>0</v>
      </c>
      <c r="BK104" s="262">
        <f t="shared" si="385"/>
        <v>0</v>
      </c>
      <c r="BL104" s="298">
        <v>0</v>
      </c>
      <c r="BM104" s="299">
        <f>(BL74+BN74/2)*((BL53-BM53)*(1+$BR$45))*Faktory!$D$10</f>
        <v>0</v>
      </c>
      <c r="BN104" s="262">
        <f t="shared" si="386"/>
        <v>0</v>
      </c>
      <c r="BO104" s="298">
        <v>0</v>
      </c>
      <c r="BP104" s="299">
        <f>(BO74+BQ74/2)*((BO53-BP53)*(1+$BR$45))*Faktory!$D$10</f>
        <v>0</v>
      </c>
      <c r="BQ104" s="262">
        <f t="shared" si="387"/>
        <v>0</v>
      </c>
    </row>
    <row r="105" spans="1:69" ht="17" thickBot="1" x14ac:dyDescent="0.25">
      <c r="A105" s="833"/>
      <c r="B105" s="835"/>
      <c r="C105" s="300" t="s">
        <v>172</v>
      </c>
      <c r="D105" s="301">
        <f t="shared" si="366"/>
        <v>0</v>
      </c>
      <c r="E105" s="302">
        <f t="shared" si="169"/>
        <v>0</v>
      </c>
      <c r="F105" s="303">
        <f t="shared" si="170"/>
        <v>0</v>
      </c>
      <c r="G105" s="304">
        <v>0</v>
      </c>
      <c r="H105" s="305">
        <f>(G75+I75/2)*((G54-H54)*(1+$BR$45))*Faktory!$D$10</f>
        <v>0</v>
      </c>
      <c r="I105" s="267">
        <f t="shared" si="367"/>
        <v>0</v>
      </c>
      <c r="J105" s="304">
        <v>0</v>
      </c>
      <c r="K105" s="305">
        <f>(J75+L75/2)*((J54-K54)*(1+$BR$45))*Faktory!$D$10</f>
        <v>0</v>
      </c>
      <c r="L105" s="267">
        <f t="shared" si="368"/>
        <v>0</v>
      </c>
      <c r="M105" s="304">
        <v>0</v>
      </c>
      <c r="N105" s="305">
        <f>(M75+O75/2)*((M54-N54)*(1+$BR$45))*Faktory!$D$10</f>
        <v>0</v>
      </c>
      <c r="O105" s="267">
        <f t="shared" si="369"/>
        <v>0</v>
      </c>
      <c r="P105" s="304">
        <v>0</v>
      </c>
      <c r="Q105" s="305">
        <f>(P75+R75/2)*((P54-Q54)*(1+$BR$45))*Faktory!$D$10</f>
        <v>0</v>
      </c>
      <c r="R105" s="267">
        <f t="shared" si="370"/>
        <v>0</v>
      </c>
      <c r="S105" s="304">
        <v>0</v>
      </c>
      <c r="T105" s="305">
        <f>(S75+U75/2)*((S54-T54)*(1+$BR$45))*Faktory!$D$10</f>
        <v>0</v>
      </c>
      <c r="U105" s="267">
        <f t="shared" si="371"/>
        <v>0</v>
      </c>
      <c r="V105" s="304">
        <v>0</v>
      </c>
      <c r="W105" s="305">
        <f>(V75+X75/2)*((V54-W54)*(1+$BR$45))*Faktory!$D$10</f>
        <v>0</v>
      </c>
      <c r="X105" s="267">
        <f t="shared" si="372"/>
        <v>0</v>
      </c>
      <c r="Y105" s="304">
        <v>0</v>
      </c>
      <c r="Z105" s="305">
        <f>(Y75+AA75/2)*((Y54-Z54)*(1+$BR$45))*Faktory!$D$10</f>
        <v>0</v>
      </c>
      <c r="AA105" s="267">
        <f t="shared" si="373"/>
        <v>0</v>
      </c>
      <c r="AB105" s="304">
        <v>0</v>
      </c>
      <c r="AC105" s="305">
        <f>(AB75+AD75/2)*((AB54-AC54)*(1+$BR$45))*Faktory!$D$10</f>
        <v>0</v>
      </c>
      <c r="AD105" s="267">
        <f t="shared" si="374"/>
        <v>0</v>
      </c>
      <c r="AE105" s="304">
        <v>0</v>
      </c>
      <c r="AF105" s="305">
        <f>(AE75+AG75/2)*((AE54-AF54)*(1+$BR$45))*Faktory!$D$10</f>
        <v>0</v>
      </c>
      <c r="AG105" s="267">
        <f t="shared" si="375"/>
        <v>0</v>
      </c>
      <c r="AH105" s="304">
        <v>0</v>
      </c>
      <c r="AI105" s="305">
        <f>(AH75+AJ75/2)*((AH54-AI54)*(1+$BR$45))*Faktory!$D$10</f>
        <v>0</v>
      </c>
      <c r="AJ105" s="267">
        <f t="shared" si="376"/>
        <v>0</v>
      </c>
      <c r="AK105" s="304">
        <v>0</v>
      </c>
      <c r="AL105" s="305">
        <f>(AK75+AM75/2)*((AK54-AL54)*(1+$BR$45))*Faktory!$D$10</f>
        <v>0</v>
      </c>
      <c r="AM105" s="267">
        <f t="shared" si="377"/>
        <v>0</v>
      </c>
      <c r="AN105" s="304">
        <v>0</v>
      </c>
      <c r="AO105" s="305">
        <f>(AN75+AP75/2)*((AN54-AO54)*(1+$BR$45))*Faktory!$D$10</f>
        <v>0</v>
      </c>
      <c r="AP105" s="267">
        <f t="shared" si="378"/>
        <v>0</v>
      </c>
      <c r="AQ105" s="304">
        <v>0</v>
      </c>
      <c r="AR105" s="305">
        <f>(AQ75+AS75/2)*((AQ54-AR54)*(1+$BR$45))*Faktory!$D$10</f>
        <v>0</v>
      </c>
      <c r="AS105" s="267">
        <f t="shared" si="379"/>
        <v>0</v>
      </c>
      <c r="AT105" s="304">
        <v>0</v>
      </c>
      <c r="AU105" s="305">
        <f>(AT75+AV75/2)*((AT54-AU54)*(1+$BR$45))*Faktory!$D$10</f>
        <v>0</v>
      </c>
      <c r="AV105" s="267">
        <f t="shared" si="380"/>
        <v>0</v>
      </c>
      <c r="AW105" s="304">
        <v>0</v>
      </c>
      <c r="AX105" s="305">
        <f>(AW75+AY75/2)*((AW54-AX54)*(1+$BR$45))*Faktory!$D$10</f>
        <v>0</v>
      </c>
      <c r="AY105" s="267">
        <f t="shared" si="381"/>
        <v>0</v>
      </c>
      <c r="AZ105" s="304">
        <v>0</v>
      </c>
      <c r="BA105" s="305">
        <f>(AZ75+BB75/2)*((AZ54-BA54)*(1+$BR$45))*Faktory!$D$10</f>
        <v>0</v>
      </c>
      <c r="BB105" s="267">
        <f t="shared" si="382"/>
        <v>0</v>
      </c>
      <c r="BC105" s="304">
        <v>0</v>
      </c>
      <c r="BD105" s="305">
        <f>(BC75+BE75/2)*((BC54-BD54)*(1+$BR$45))*Faktory!$D$10</f>
        <v>0</v>
      </c>
      <c r="BE105" s="267">
        <f t="shared" si="383"/>
        <v>0</v>
      </c>
      <c r="BF105" s="304">
        <v>0</v>
      </c>
      <c r="BG105" s="305">
        <f>(BF75+BH75/2)*((BF54-BG54)*(1+$BR$45))*Faktory!$D$10</f>
        <v>0</v>
      </c>
      <c r="BH105" s="267">
        <f t="shared" si="384"/>
        <v>0</v>
      </c>
      <c r="BI105" s="304">
        <v>0</v>
      </c>
      <c r="BJ105" s="305">
        <f>(BI75+BK75/2)*((BI54-BJ54)*(1+$BR$45))*Faktory!$D$10</f>
        <v>0</v>
      </c>
      <c r="BK105" s="267">
        <f t="shared" si="385"/>
        <v>0</v>
      </c>
      <c r="BL105" s="304">
        <v>0</v>
      </c>
      <c r="BM105" s="305">
        <f>(BL75+BN75/2)*((BL54-BM54)*(1+$BR$45))*Faktory!$D$10</f>
        <v>0</v>
      </c>
      <c r="BN105" s="267">
        <f t="shared" si="386"/>
        <v>0</v>
      </c>
      <c r="BO105" s="304">
        <v>0</v>
      </c>
      <c r="BP105" s="305">
        <f>(BO75+BQ75/2)*((BO54-BP54)*(1+$BR$45))*Faktory!$D$10</f>
        <v>0</v>
      </c>
      <c r="BQ105" s="267">
        <f t="shared" si="387"/>
        <v>0</v>
      </c>
    </row>
    <row r="106" spans="1:69" ht="16" x14ac:dyDescent="0.2">
      <c r="A106" s="832" t="s">
        <v>220</v>
      </c>
      <c r="B106" s="834" t="s">
        <v>211</v>
      </c>
      <c r="C106" s="290" t="s">
        <v>163</v>
      </c>
      <c r="D106" s="291">
        <f t="shared" si="366"/>
        <v>0</v>
      </c>
      <c r="E106" s="292">
        <f t="shared" si="169"/>
        <v>0</v>
      </c>
      <c r="F106" s="293">
        <f>E106-D106</f>
        <v>0</v>
      </c>
      <c r="G106" s="306">
        <f t="shared" ref="G106:H115" si="388">G5*G15</f>
        <v>0</v>
      </c>
      <c r="H106" s="307">
        <f t="shared" si="388"/>
        <v>0</v>
      </c>
      <c r="I106" s="257">
        <f>H106-G106</f>
        <v>0</v>
      </c>
      <c r="J106" s="306">
        <f t="shared" ref="J106:K106" si="389">J5*J15</f>
        <v>0</v>
      </c>
      <c r="K106" s="307">
        <f t="shared" si="389"/>
        <v>0</v>
      </c>
      <c r="L106" s="257">
        <f>K106-J106</f>
        <v>0</v>
      </c>
      <c r="M106" s="306">
        <f t="shared" ref="M106:N106" si="390">M5*M15</f>
        <v>0</v>
      </c>
      <c r="N106" s="307">
        <f t="shared" si="390"/>
        <v>0</v>
      </c>
      <c r="O106" s="257">
        <f>N106-M106</f>
        <v>0</v>
      </c>
      <c r="P106" s="306">
        <f t="shared" ref="P106:Q106" si="391">P5*P15</f>
        <v>0</v>
      </c>
      <c r="Q106" s="307">
        <f t="shared" si="391"/>
        <v>0</v>
      </c>
      <c r="R106" s="257">
        <f t="shared" ref="R106:R115" si="392">Q106-P106</f>
        <v>0</v>
      </c>
      <c r="S106" s="306">
        <f t="shared" ref="S106:T106" si="393">S5*S15</f>
        <v>0</v>
      </c>
      <c r="T106" s="307">
        <f t="shared" si="393"/>
        <v>0</v>
      </c>
      <c r="U106" s="257">
        <f t="shared" ref="U106:U115" si="394">T106-S106</f>
        <v>0</v>
      </c>
      <c r="V106" s="306">
        <f t="shared" ref="V106:W106" si="395">V5*V15</f>
        <v>0</v>
      </c>
      <c r="W106" s="307">
        <f t="shared" si="395"/>
        <v>0</v>
      </c>
      <c r="X106" s="257">
        <f t="shared" ref="X106:X115" si="396">W106-V106</f>
        <v>0</v>
      </c>
      <c r="Y106" s="306">
        <f t="shared" ref="Y106:Z106" si="397">Y5*Y15</f>
        <v>0</v>
      </c>
      <c r="Z106" s="307">
        <f t="shared" si="397"/>
        <v>0</v>
      </c>
      <c r="AA106" s="257">
        <f>Z106-Y106</f>
        <v>0</v>
      </c>
      <c r="AB106" s="306">
        <f t="shared" ref="AB106:AC106" si="398">AB5*AB15</f>
        <v>0</v>
      </c>
      <c r="AC106" s="307">
        <f t="shared" si="398"/>
        <v>0</v>
      </c>
      <c r="AD106" s="257">
        <f>AC106-AB106</f>
        <v>0</v>
      </c>
      <c r="AE106" s="306">
        <f t="shared" ref="AE106:AF106" si="399">AE5*AE15</f>
        <v>0</v>
      </c>
      <c r="AF106" s="307">
        <f t="shared" si="399"/>
        <v>0</v>
      </c>
      <c r="AG106" s="257">
        <f t="shared" ref="AG106:AG115" si="400">AF106-AE106</f>
        <v>0</v>
      </c>
      <c r="AH106" s="306">
        <f t="shared" ref="AH106:AI106" si="401">AH5*AH15</f>
        <v>0</v>
      </c>
      <c r="AI106" s="307">
        <f t="shared" si="401"/>
        <v>0</v>
      </c>
      <c r="AJ106" s="257">
        <f t="shared" ref="AJ106:AJ115" si="402">AI106-AH106</f>
        <v>0</v>
      </c>
      <c r="AK106" s="306">
        <f t="shared" ref="AK106:AL106" si="403">AK5*AK15</f>
        <v>0</v>
      </c>
      <c r="AL106" s="307">
        <f t="shared" si="403"/>
        <v>0</v>
      </c>
      <c r="AM106" s="257">
        <f t="shared" ref="AM106:AM115" si="404">AL106-AK106</f>
        <v>0</v>
      </c>
      <c r="AN106" s="306">
        <f t="shared" ref="AN106:AO106" si="405">AN5*AN15</f>
        <v>0</v>
      </c>
      <c r="AO106" s="307">
        <f t="shared" si="405"/>
        <v>0</v>
      </c>
      <c r="AP106" s="257">
        <f>AO106-AN106</f>
        <v>0</v>
      </c>
      <c r="AQ106" s="306">
        <f t="shared" ref="AQ106:AR106" si="406">AQ5*AQ15</f>
        <v>0</v>
      </c>
      <c r="AR106" s="307">
        <f t="shared" si="406"/>
        <v>0</v>
      </c>
      <c r="AS106" s="257">
        <f>AR106-AQ106</f>
        <v>0</v>
      </c>
      <c r="AT106" s="306">
        <f t="shared" ref="AT106:AU106" si="407">AT5*AT15</f>
        <v>0</v>
      </c>
      <c r="AU106" s="307">
        <f t="shared" si="407"/>
        <v>0</v>
      </c>
      <c r="AV106" s="257">
        <f t="shared" ref="AV106:AV115" si="408">AU106-AT106</f>
        <v>0</v>
      </c>
      <c r="AW106" s="306">
        <f t="shared" ref="AW106:AX106" si="409">AW5*AW15</f>
        <v>0</v>
      </c>
      <c r="AX106" s="307">
        <f t="shared" si="409"/>
        <v>0</v>
      </c>
      <c r="AY106" s="257">
        <f t="shared" ref="AY106:AY115" si="410">AX106-AW106</f>
        <v>0</v>
      </c>
      <c r="AZ106" s="306">
        <f t="shared" ref="AZ106:BA106" si="411">AZ5*AZ15</f>
        <v>0</v>
      </c>
      <c r="BA106" s="307">
        <f t="shared" si="411"/>
        <v>0</v>
      </c>
      <c r="BB106" s="257">
        <f t="shared" ref="BB106:BB115" si="412">BA106-AZ106</f>
        <v>0</v>
      </c>
      <c r="BC106" s="306">
        <f t="shared" ref="BC106:BD106" si="413">BC5*BC15</f>
        <v>0</v>
      </c>
      <c r="BD106" s="307">
        <f t="shared" si="413"/>
        <v>0</v>
      </c>
      <c r="BE106" s="257">
        <f>BD106-BC106</f>
        <v>0</v>
      </c>
      <c r="BF106" s="306">
        <f t="shared" ref="BF106:BG106" si="414">BF5*BF15</f>
        <v>0</v>
      </c>
      <c r="BG106" s="307">
        <f t="shared" si="414"/>
        <v>0</v>
      </c>
      <c r="BH106" s="257">
        <f>BG106-BF106</f>
        <v>0</v>
      </c>
      <c r="BI106" s="306">
        <f t="shared" ref="BI106:BJ115" si="415">BI5*BI15</f>
        <v>0</v>
      </c>
      <c r="BJ106" s="307">
        <f t="shared" si="415"/>
        <v>0</v>
      </c>
      <c r="BK106" s="257">
        <f t="shared" ref="BK106:BK115" si="416">BJ106-BI106</f>
        <v>0</v>
      </c>
      <c r="BL106" s="306">
        <f t="shared" ref="BL106:BM115" si="417">BL5*BL15</f>
        <v>0</v>
      </c>
      <c r="BM106" s="307">
        <f t="shared" si="417"/>
        <v>0</v>
      </c>
      <c r="BN106" s="257">
        <f t="shared" ref="BN106:BN115" si="418">BM106-BL106</f>
        <v>0</v>
      </c>
      <c r="BO106" s="306">
        <f t="shared" ref="BO106:BP115" si="419">BO5*BO15</f>
        <v>0</v>
      </c>
      <c r="BP106" s="307">
        <f t="shared" si="419"/>
        <v>0</v>
      </c>
      <c r="BQ106" s="257">
        <f t="shared" ref="BQ106:BQ115" si="420">BP106-BO106</f>
        <v>0</v>
      </c>
    </row>
    <row r="107" spans="1:69" ht="16" x14ac:dyDescent="0.2">
      <c r="A107" s="832"/>
      <c r="B107" s="834"/>
      <c r="C107" s="290" t="s">
        <v>164</v>
      </c>
      <c r="D107" s="291">
        <f t="shared" si="366"/>
        <v>0</v>
      </c>
      <c r="E107" s="292">
        <f t="shared" si="169"/>
        <v>0</v>
      </c>
      <c r="F107" s="293">
        <f t="shared" ref="F107:F115" si="421">E107-D107</f>
        <v>0</v>
      </c>
      <c r="G107" s="298">
        <f t="shared" si="388"/>
        <v>0</v>
      </c>
      <c r="H107" s="299">
        <f t="shared" si="388"/>
        <v>0</v>
      </c>
      <c r="I107" s="262">
        <f t="shared" ref="I107:I115" si="422">H107-G107</f>
        <v>0</v>
      </c>
      <c r="J107" s="298">
        <f t="shared" ref="J107:K107" si="423">J6*J16</f>
        <v>0</v>
      </c>
      <c r="K107" s="299">
        <f t="shared" si="423"/>
        <v>0</v>
      </c>
      <c r="L107" s="262">
        <f t="shared" ref="L107:L115" si="424">K107-J107</f>
        <v>0</v>
      </c>
      <c r="M107" s="298">
        <f t="shared" ref="M107:N107" si="425">M6*M16</f>
        <v>0</v>
      </c>
      <c r="N107" s="299">
        <f t="shared" si="425"/>
        <v>0</v>
      </c>
      <c r="O107" s="262">
        <f t="shared" ref="O107:O115" si="426">N107-M107</f>
        <v>0</v>
      </c>
      <c r="P107" s="298">
        <f t="shared" ref="P107:Q107" si="427">P6*P16</f>
        <v>0</v>
      </c>
      <c r="Q107" s="299">
        <f t="shared" si="427"/>
        <v>0</v>
      </c>
      <c r="R107" s="262">
        <f t="shared" si="392"/>
        <v>0</v>
      </c>
      <c r="S107" s="298">
        <f t="shared" ref="S107:T107" si="428">S6*S16</f>
        <v>0</v>
      </c>
      <c r="T107" s="299">
        <f t="shared" si="428"/>
        <v>0</v>
      </c>
      <c r="U107" s="262">
        <f t="shared" si="394"/>
        <v>0</v>
      </c>
      <c r="V107" s="298">
        <f t="shared" ref="V107:W107" si="429">V6*V16</f>
        <v>0</v>
      </c>
      <c r="W107" s="299">
        <f t="shared" si="429"/>
        <v>0</v>
      </c>
      <c r="X107" s="262">
        <f t="shared" si="396"/>
        <v>0</v>
      </c>
      <c r="Y107" s="298">
        <f t="shared" ref="Y107:Z107" si="430">Y6*Y16</f>
        <v>0</v>
      </c>
      <c r="Z107" s="299">
        <f t="shared" si="430"/>
        <v>0</v>
      </c>
      <c r="AA107" s="262">
        <f t="shared" ref="AA107:AA115" si="431">Z107-Y107</f>
        <v>0</v>
      </c>
      <c r="AB107" s="298">
        <f t="shared" ref="AB107:AC107" si="432">AB6*AB16</f>
        <v>0</v>
      </c>
      <c r="AC107" s="299">
        <f t="shared" si="432"/>
        <v>0</v>
      </c>
      <c r="AD107" s="262">
        <f t="shared" ref="AD107:AD115" si="433">AC107-AB107</f>
        <v>0</v>
      </c>
      <c r="AE107" s="298">
        <f t="shared" ref="AE107:AF107" si="434">AE6*AE16</f>
        <v>0</v>
      </c>
      <c r="AF107" s="299">
        <f t="shared" si="434"/>
        <v>0</v>
      </c>
      <c r="AG107" s="262">
        <f t="shared" si="400"/>
        <v>0</v>
      </c>
      <c r="AH107" s="298">
        <f t="shared" ref="AH107:AI107" si="435">AH6*AH16</f>
        <v>0</v>
      </c>
      <c r="AI107" s="299">
        <f t="shared" si="435"/>
        <v>0</v>
      </c>
      <c r="AJ107" s="262">
        <f t="shared" si="402"/>
        <v>0</v>
      </c>
      <c r="AK107" s="298">
        <f t="shared" ref="AK107:AL107" si="436">AK6*AK16</f>
        <v>0</v>
      </c>
      <c r="AL107" s="299">
        <f t="shared" si="436"/>
        <v>0</v>
      </c>
      <c r="AM107" s="262">
        <f t="shared" si="404"/>
        <v>0</v>
      </c>
      <c r="AN107" s="298">
        <f t="shared" ref="AN107:AO107" si="437">AN6*AN16</f>
        <v>0</v>
      </c>
      <c r="AO107" s="299">
        <f t="shared" si="437"/>
        <v>0</v>
      </c>
      <c r="AP107" s="262">
        <f t="shared" ref="AP107:AP115" si="438">AO107-AN107</f>
        <v>0</v>
      </c>
      <c r="AQ107" s="298">
        <f t="shared" ref="AQ107:AR107" si="439">AQ6*AQ16</f>
        <v>0</v>
      </c>
      <c r="AR107" s="299">
        <f t="shared" si="439"/>
        <v>0</v>
      </c>
      <c r="AS107" s="262">
        <f t="shared" ref="AS107:AS115" si="440">AR107-AQ107</f>
        <v>0</v>
      </c>
      <c r="AT107" s="298">
        <f t="shared" ref="AT107:AU107" si="441">AT6*AT16</f>
        <v>0</v>
      </c>
      <c r="AU107" s="299">
        <f t="shared" si="441"/>
        <v>0</v>
      </c>
      <c r="AV107" s="262">
        <f t="shared" si="408"/>
        <v>0</v>
      </c>
      <c r="AW107" s="298">
        <f t="shared" ref="AW107:AX107" si="442">AW6*AW16</f>
        <v>0</v>
      </c>
      <c r="AX107" s="299">
        <f t="shared" si="442"/>
        <v>0</v>
      </c>
      <c r="AY107" s="262">
        <f t="shared" si="410"/>
        <v>0</v>
      </c>
      <c r="AZ107" s="298">
        <f t="shared" ref="AZ107:BA107" si="443">AZ6*AZ16</f>
        <v>0</v>
      </c>
      <c r="BA107" s="299">
        <f t="shared" si="443"/>
        <v>0</v>
      </c>
      <c r="BB107" s="262">
        <f t="shared" si="412"/>
        <v>0</v>
      </c>
      <c r="BC107" s="298">
        <f t="shared" ref="BC107:BD107" si="444">BC6*BC16</f>
        <v>0</v>
      </c>
      <c r="BD107" s="299">
        <f t="shared" si="444"/>
        <v>0</v>
      </c>
      <c r="BE107" s="262">
        <f t="shared" ref="BE107:BE115" si="445">BD107-BC107</f>
        <v>0</v>
      </c>
      <c r="BF107" s="298">
        <f t="shared" ref="BF107:BG107" si="446">BF6*BF16</f>
        <v>0</v>
      </c>
      <c r="BG107" s="299">
        <f t="shared" si="446"/>
        <v>0</v>
      </c>
      <c r="BH107" s="262">
        <f t="shared" ref="BH107:BH115" si="447">BG107-BF107</f>
        <v>0</v>
      </c>
      <c r="BI107" s="298">
        <f t="shared" si="415"/>
        <v>0</v>
      </c>
      <c r="BJ107" s="299">
        <f t="shared" si="415"/>
        <v>0</v>
      </c>
      <c r="BK107" s="262">
        <f t="shared" si="416"/>
        <v>0</v>
      </c>
      <c r="BL107" s="298">
        <f t="shared" si="417"/>
        <v>0</v>
      </c>
      <c r="BM107" s="299">
        <f t="shared" si="417"/>
        <v>0</v>
      </c>
      <c r="BN107" s="262">
        <f t="shared" si="418"/>
        <v>0</v>
      </c>
      <c r="BO107" s="298">
        <f t="shared" si="419"/>
        <v>0</v>
      </c>
      <c r="BP107" s="299">
        <f t="shared" si="419"/>
        <v>0</v>
      </c>
      <c r="BQ107" s="262">
        <f t="shared" si="420"/>
        <v>0</v>
      </c>
    </row>
    <row r="108" spans="1:69" ht="16" x14ac:dyDescent="0.2">
      <c r="A108" s="832"/>
      <c r="B108" s="834"/>
      <c r="C108" s="290" t="s">
        <v>165</v>
      </c>
      <c r="D108" s="291">
        <f t="shared" si="366"/>
        <v>0</v>
      </c>
      <c r="E108" s="292">
        <f t="shared" si="169"/>
        <v>0</v>
      </c>
      <c r="F108" s="293">
        <f t="shared" si="421"/>
        <v>0</v>
      </c>
      <c r="G108" s="298">
        <f t="shared" si="388"/>
        <v>0</v>
      </c>
      <c r="H108" s="299">
        <f t="shared" si="388"/>
        <v>0</v>
      </c>
      <c r="I108" s="262">
        <f t="shared" si="422"/>
        <v>0</v>
      </c>
      <c r="J108" s="298">
        <f t="shared" ref="J108:K108" si="448">J7*J17</f>
        <v>0</v>
      </c>
      <c r="K108" s="299">
        <f t="shared" si="448"/>
        <v>0</v>
      </c>
      <c r="L108" s="262">
        <f t="shared" si="424"/>
        <v>0</v>
      </c>
      <c r="M108" s="298">
        <f t="shared" ref="M108:N108" si="449">M7*M17</f>
        <v>0</v>
      </c>
      <c r="N108" s="299">
        <f t="shared" si="449"/>
        <v>0</v>
      </c>
      <c r="O108" s="262">
        <f t="shared" si="426"/>
        <v>0</v>
      </c>
      <c r="P108" s="298">
        <f t="shared" ref="P108:Q108" si="450">P7*P17</f>
        <v>0</v>
      </c>
      <c r="Q108" s="299">
        <f t="shared" si="450"/>
        <v>0</v>
      </c>
      <c r="R108" s="262">
        <f t="shared" si="392"/>
        <v>0</v>
      </c>
      <c r="S108" s="298">
        <f t="shared" ref="S108:T108" si="451">S7*S17</f>
        <v>0</v>
      </c>
      <c r="T108" s="299">
        <f t="shared" si="451"/>
        <v>0</v>
      </c>
      <c r="U108" s="262">
        <f t="shared" si="394"/>
        <v>0</v>
      </c>
      <c r="V108" s="298">
        <f t="shared" ref="V108:W108" si="452">V7*V17</f>
        <v>0</v>
      </c>
      <c r="W108" s="299">
        <f t="shared" si="452"/>
        <v>0</v>
      </c>
      <c r="X108" s="262">
        <f t="shared" si="396"/>
        <v>0</v>
      </c>
      <c r="Y108" s="298">
        <f t="shared" ref="Y108:Z108" si="453">Y7*Y17</f>
        <v>0</v>
      </c>
      <c r="Z108" s="299">
        <f t="shared" si="453"/>
        <v>0</v>
      </c>
      <c r="AA108" s="262">
        <f t="shared" si="431"/>
        <v>0</v>
      </c>
      <c r="AB108" s="298">
        <f t="shared" ref="AB108:AC108" si="454">AB7*AB17</f>
        <v>0</v>
      </c>
      <c r="AC108" s="299">
        <f t="shared" si="454"/>
        <v>0</v>
      </c>
      <c r="AD108" s="262">
        <f t="shared" si="433"/>
        <v>0</v>
      </c>
      <c r="AE108" s="298">
        <f t="shared" ref="AE108:AF108" si="455">AE7*AE17</f>
        <v>0</v>
      </c>
      <c r="AF108" s="299">
        <f t="shared" si="455"/>
        <v>0</v>
      </c>
      <c r="AG108" s="262">
        <f t="shared" si="400"/>
        <v>0</v>
      </c>
      <c r="AH108" s="298">
        <f t="shared" ref="AH108:AI108" si="456">AH7*AH17</f>
        <v>0</v>
      </c>
      <c r="AI108" s="299">
        <f t="shared" si="456"/>
        <v>0</v>
      </c>
      <c r="AJ108" s="262">
        <f t="shared" si="402"/>
        <v>0</v>
      </c>
      <c r="AK108" s="298">
        <f t="shared" ref="AK108:AL108" si="457">AK7*AK17</f>
        <v>0</v>
      </c>
      <c r="AL108" s="299">
        <f t="shared" si="457"/>
        <v>0</v>
      </c>
      <c r="AM108" s="262">
        <f t="shared" si="404"/>
        <v>0</v>
      </c>
      <c r="AN108" s="298">
        <f t="shared" ref="AN108:AO108" si="458">AN7*AN17</f>
        <v>0</v>
      </c>
      <c r="AO108" s="299">
        <f t="shared" si="458"/>
        <v>0</v>
      </c>
      <c r="AP108" s="262">
        <f t="shared" si="438"/>
        <v>0</v>
      </c>
      <c r="AQ108" s="298">
        <f t="shared" ref="AQ108:AR108" si="459">AQ7*AQ17</f>
        <v>0</v>
      </c>
      <c r="AR108" s="299">
        <f t="shared" si="459"/>
        <v>0</v>
      </c>
      <c r="AS108" s="262">
        <f t="shared" si="440"/>
        <v>0</v>
      </c>
      <c r="AT108" s="298">
        <f t="shared" ref="AT108:AU108" si="460">AT7*AT17</f>
        <v>0</v>
      </c>
      <c r="AU108" s="299">
        <f t="shared" si="460"/>
        <v>0</v>
      </c>
      <c r="AV108" s="262">
        <f t="shared" si="408"/>
        <v>0</v>
      </c>
      <c r="AW108" s="298">
        <f t="shared" ref="AW108:AX108" si="461">AW7*AW17</f>
        <v>0</v>
      </c>
      <c r="AX108" s="299">
        <f t="shared" si="461"/>
        <v>0</v>
      </c>
      <c r="AY108" s="262">
        <f t="shared" si="410"/>
        <v>0</v>
      </c>
      <c r="AZ108" s="298">
        <f t="shared" ref="AZ108:BA108" si="462">AZ7*AZ17</f>
        <v>0</v>
      </c>
      <c r="BA108" s="299">
        <f t="shared" si="462"/>
        <v>0</v>
      </c>
      <c r="BB108" s="262">
        <f t="shared" si="412"/>
        <v>0</v>
      </c>
      <c r="BC108" s="298">
        <f t="shared" ref="BC108:BD108" si="463">BC7*BC17</f>
        <v>0</v>
      </c>
      <c r="BD108" s="299">
        <f t="shared" si="463"/>
        <v>0</v>
      </c>
      <c r="BE108" s="262">
        <f t="shared" si="445"/>
        <v>0</v>
      </c>
      <c r="BF108" s="298">
        <f t="shared" ref="BF108:BG108" si="464">BF7*BF17</f>
        <v>0</v>
      </c>
      <c r="BG108" s="299">
        <f t="shared" si="464"/>
        <v>0</v>
      </c>
      <c r="BH108" s="262">
        <f t="shared" si="447"/>
        <v>0</v>
      </c>
      <c r="BI108" s="298">
        <f t="shared" si="415"/>
        <v>0</v>
      </c>
      <c r="BJ108" s="299">
        <f t="shared" si="415"/>
        <v>0</v>
      </c>
      <c r="BK108" s="262">
        <f t="shared" si="416"/>
        <v>0</v>
      </c>
      <c r="BL108" s="298">
        <f t="shared" si="417"/>
        <v>0</v>
      </c>
      <c r="BM108" s="299">
        <f t="shared" si="417"/>
        <v>0</v>
      </c>
      <c r="BN108" s="262">
        <f t="shared" si="418"/>
        <v>0</v>
      </c>
      <c r="BO108" s="298">
        <f t="shared" si="419"/>
        <v>0</v>
      </c>
      <c r="BP108" s="299">
        <f t="shared" si="419"/>
        <v>0</v>
      </c>
      <c r="BQ108" s="262">
        <f t="shared" si="420"/>
        <v>0</v>
      </c>
    </row>
    <row r="109" spans="1:69" ht="16" x14ac:dyDescent="0.2">
      <c r="A109" s="832"/>
      <c r="B109" s="834"/>
      <c r="C109" s="290" t="s">
        <v>166</v>
      </c>
      <c r="D109" s="291">
        <f t="shared" si="366"/>
        <v>0</v>
      </c>
      <c r="E109" s="292">
        <f t="shared" si="169"/>
        <v>0</v>
      </c>
      <c r="F109" s="293">
        <f t="shared" si="421"/>
        <v>0</v>
      </c>
      <c r="G109" s="298">
        <f t="shared" si="388"/>
        <v>0</v>
      </c>
      <c r="H109" s="299">
        <f t="shared" si="388"/>
        <v>0</v>
      </c>
      <c r="I109" s="262">
        <f t="shared" si="422"/>
        <v>0</v>
      </c>
      <c r="J109" s="298">
        <f t="shared" ref="J109:K109" si="465">J8*J18</f>
        <v>0</v>
      </c>
      <c r="K109" s="299">
        <f t="shared" si="465"/>
        <v>0</v>
      </c>
      <c r="L109" s="262">
        <f t="shared" si="424"/>
        <v>0</v>
      </c>
      <c r="M109" s="298">
        <f t="shared" ref="M109:N109" si="466">M8*M18</f>
        <v>0</v>
      </c>
      <c r="N109" s="299">
        <f t="shared" si="466"/>
        <v>0</v>
      </c>
      <c r="O109" s="262">
        <f t="shared" si="426"/>
        <v>0</v>
      </c>
      <c r="P109" s="298">
        <f t="shared" ref="P109:Q109" si="467">P8*P18</f>
        <v>0</v>
      </c>
      <c r="Q109" s="299">
        <f t="shared" si="467"/>
        <v>0</v>
      </c>
      <c r="R109" s="262">
        <f t="shared" si="392"/>
        <v>0</v>
      </c>
      <c r="S109" s="298">
        <f t="shared" ref="S109:T109" si="468">S8*S18</f>
        <v>0</v>
      </c>
      <c r="T109" s="299">
        <f t="shared" si="468"/>
        <v>0</v>
      </c>
      <c r="U109" s="262">
        <f t="shared" si="394"/>
        <v>0</v>
      </c>
      <c r="V109" s="298">
        <f t="shared" ref="V109:W109" si="469">V8*V18</f>
        <v>0</v>
      </c>
      <c r="W109" s="299">
        <f t="shared" si="469"/>
        <v>0</v>
      </c>
      <c r="X109" s="262">
        <f t="shared" si="396"/>
        <v>0</v>
      </c>
      <c r="Y109" s="298">
        <f t="shared" ref="Y109:Z109" si="470">Y8*Y18</f>
        <v>0</v>
      </c>
      <c r="Z109" s="299">
        <f t="shared" si="470"/>
        <v>0</v>
      </c>
      <c r="AA109" s="262">
        <f t="shared" si="431"/>
        <v>0</v>
      </c>
      <c r="AB109" s="298">
        <f t="shared" ref="AB109:AC109" si="471">AB8*AB18</f>
        <v>0</v>
      </c>
      <c r="AC109" s="299">
        <f t="shared" si="471"/>
        <v>0</v>
      </c>
      <c r="AD109" s="262">
        <f t="shared" si="433"/>
        <v>0</v>
      </c>
      <c r="AE109" s="298">
        <f t="shared" ref="AE109:AF109" si="472">AE8*AE18</f>
        <v>0</v>
      </c>
      <c r="AF109" s="299">
        <f t="shared" si="472"/>
        <v>0</v>
      </c>
      <c r="AG109" s="262">
        <f t="shared" si="400"/>
        <v>0</v>
      </c>
      <c r="AH109" s="298">
        <f t="shared" ref="AH109:AI109" si="473">AH8*AH18</f>
        <v>0</v>
      </c>
      <c r="AI109" s="299">
        <f t="shared" si="473"/>
        <v>0</v>
      </c>
      <c r="AJ109" s="262">
        <f t="shared" si="402"/>
        <v>0</v>
      </c>
      <c r="AK109" s="298">
        <f t="shared" ref="AK109:AL109" si="474">AK8*AK18</f>
        <v>0</v>
      </c>
      <c r="AL109" s="299">
        <f t="shared" si="474"/>
        <v>0</v>
      </c>
      <c r="AM109" s="262">
        <f t="shared" si="404"/>
        <v>0</v>
      </c>
      <c r="AN109" s="298">
        <f t="shared" ref="AN109:AO109" si="475">AN8*AN18</f>
        <v>0</v>
      </c>
      <c r="AO109" s="299">
        <f t="shared" si="475"/>
        <v>0</v>
      </c>
      <c r="AP109" s="262">
        <f t="shared" si="438"/>
        <v>0</v>
      </c>
      <c r="AQ109" s="298">
        <f t="shared" ref="AQ109:AR109" si="476">AQ8*AQ18</f>
        <v>0</v>
      </c>
      <c r="AR109" s="299">
        <f t="shared" si="476"/>
        <v>0</v>
      </c>
      <c r="AS109" s="262">
        <f t="shared" si="440"/>
        <v>0</v>
      </c>
      <c r="AT109" s="298">
        <f t="shared" ref="AT109:AU109" si="477">AT8*AT18</f>
        <v>0</v>
      </c>
      <c r="AU109" s="299">
        <f t="shared" si="477"/>
        <v>0</v>
      </c>
      <c r="AV109" s="262">
        <f t="shared" si="408"/>
        <v>0</v>
      </c>
      <c r="AW109" s="298">
        <f t="shared" ref="AW109:AX109" si="478">AW8*AW18</f>
        <v>0</v>
      </c>
      <c r="AX109" s="299">
        <f t="shared" si="478"/>
        <v>0</v>
      </c>
      <c r="AY109" s="262">
        <f t="shared" si="410"/>
        <v>0</v>
      </c>
      <c r="AZ109" s="298">
        <f t="shared" ref="AZ109:BA109" si="479">AZ8*AZ18</f>
        <v>0</v>
      </c>
      <c r="BA109" s="299">
        <f t="shared" si="479"/>
        <v>0</v>
      </c>
      <c r="BB109" s="262">
        <f t="shared" si="412"/>
        <v>0</v>
      </c>
      <c r="BC109" s="298">
        <f t="shared" ref="BC109:BD109" si="480">BC8*BC18</f>
        <v>0</v>
      </c>
      <c r="BD109" s="299">
        <f t="shared" si="480"/>
        <v>0</v>
      </c>
      <c r="BE109" s="262">
        <f t="shared" si="445"/>
        <v>0</v>
      </c>
      <c r="BF109" s="298">
        <f t="shared" ref="BF109:BG109" si="481">BF8*BF18</f>
        <v>0</v>
      </c>
      <c r="BG109" s="299">
        <f t="shared" si="481"/>
        <v>0</v>
      </c>
      <c r="BH109" s="262">
        <f t="shared" si="447"/>
        <v>0</v>
      </c>
      <c r="BI109" s="298">
        <f t="shared" si="415"/>
        <v>0</v>
      </c>
      <c r="BJ109" s="299">
        <f t="shared" si="415"/>
        <v>0</v>
      </c>
      <c r="BK109" s="262">
        <f t="shared" si="416"/>
        <v>0</v>
      </c>
      <c r="BL109" s="298">
        <f t="shared" si="417"/>
        <v>0</v>
      </c>
      <c r="BM109" s="299">
        <f t="shared" si="417"/>
        <v>0</v>
      </c>
      <c r="BN109" s="262">
        <f t="shared" si="418"/>
        <v>0</v>
      </c>
      <c r="BO109" s="298">
        <f t="shared" si="419"/>
        <v>0</v>
      </c>
      <c r="BP109" s="299">
        <f t="shared" si="419"/>
        <v>0</v>
      </c>
      <c r="BQ109" s="262">
        <f t="shared" si="420"/>
        <v>0</v>
      </c>
    </row>
    <row r="110" spans="1:69" ht="16" x14ac:dyDescent="0.2">
      <c r="A110" s="832"/>
      <c r="B110" s="834"/>
      <c r="C110" s="290" t="s">
        <v>167</v>
      </c>
      <c r="D110" s="291">
        <f t="shared" si="366"/>
        <v>0</v>
      </c>
      <c r="E110" s="292">
        <f t="shared" si="169"/>
        <v>0</v>
      </c>
      <c r="F110" s="293">
        <f t="shared" si="421"/>
        <v>0</v>
      </c>
      <c r="G110" s="298">
        <f t="shared" si="388"/>
        <v>0</v>
      </c>
      <c r="H110" s="299">
        <f t="shared" si="388"/>
        <v>0</v>
      </c>
      <c r="I110" s="262">
        <f t="shared" si="422"/>
        <v>0</v>
      </c>
      <c r="J110" s="298">
        <f t="shared" ref="J110:K110" si="482">J9*J19</f>
        <v>0</v>
      </c>
      <c r="K110" s="299">
        <f t="shared" si="482"/>
        <v>0</v>
      </c>
      <c r="L110" s="262">
        <f t="shared" si="424"/>
        <v>0</v>
      </c>
      <c r="M110" s="298">
        <f t="shared" ref="M110:N110" si="483">M9*M19</f>
        <v>0</v>
      </c>
      <c r="N110" s="299">
        <f t="shared" si="483"/>
        <v>0</v>
      </c>
      <c r="O110" s="262">
        <f t="shared" si="426"/>
        <v>0</v>
      </c>
      <c r="P110" s="298">
        <f t="shared" ref="P110:Q110" si="484">P9*P19</f>
        <v>0</v>
      </c>
      <c r="Q110" s="299">
        <f t="shared" si="484"/>
        <v>0</v>
      </c>
      <c r="R110" s="262">
        <f t="shared" si="392"/>
        <v>0</v>
      </c>
      <c r="S110" s="298">
        <f t="shared" ref="S110:T110" si="485">S9*S19</f>
        <v>0</v>
      </c>
      <c r="T110" s="299">
        <f t="shared" si="485"/>
        <v>0</v>
      </c>
      <c r="U110" s="262">
        <f t="shared" si="394"/>
        <v>0</v>
      </c>
      <c r="V110" s="298">
        <f t="shared" ref="V110:W110" si="486">V9*V19</f>
        <v>0</v>
      </c>
      <c r="W110" s="299">
        <f t="shared" si="486"/>
        <v>0</v>
      </c>
      <c r="X110" s="262">
        <f t="shared" si="396"/>
        <v>0</v>
      </c>
      <c r="Y110" s="298">
        <f t="shared" ref="Y110:Z110" si="487">Y9*Y19</f>
        <v>0</v>
      </c>
      <c r="Z110" s="299">
        <f t="shared" si="487"/>
        <v>0</v>
      </c>
      <c r="AA110" s="262">
        <f t="shared" si="431"/>
        <v>0</v>
      </c>
      <c r="AB110" s="298">
        <f t="shared" ref="AB110:AC110" si="488">AB9*AB19</f>
        <v>0</v>
      </c>
      <c r="AC110" s="299">
        <f t="shared" si="488"/>
        <v>0</v>
      </c>
      <c r="AD110" s="262">
        <f t="shared" si="433"/>
        <v>0</v>
      </c>
      <c r="AE110" s="298">
        <f t="shared" ref="AE110:AF110" si="489">AE9*AE19</f>
        <v>0</v>
      </c>
      <c r="AF110" s="299">
        <f t="shared" si="489"/>
        <v>0</v>
      </c>
      <c r="AG110" s="262">
        <f t="shared" si="400"/>
        <v>0</v>
      </c>
      <c r="AH110" s="298">
        <f t="shared" ref="AH110:AI110" si="490">AH9*AH19</f>
        <v>0</v>
      </c>
      <c r="AI110" s="299">
        <f t="shared" si="490"/>
        <v>0</v>
      </c>
      <c r="AJ110" s="262">
        <f t="shared" si="402"/>
        <v>0</v>
      </c>
      <c r="AK110" s="298">
        <f t="shared" ref="AK110:AL110" si="491">AK9*AK19</f>
        <v>0</v>
      </c>
      <c r="AL110" s="299">
        <f t="shared" si="491"/>
        <v>0</v>
      </c>
      <c r="AM110" s="262">
        <f t="shared" si="404"/>
        <v>0</v>
      </c>
      <c r="AN110" s="298">
        <f t="shared" ref="AN110:AO110" si="492">AN9*AN19</f>
        <v>0</v>
      </c>
      <c r="AO110" s="299">
        <f t="shared" si="492"/>
        <v>0</v>
      </c>
      <c r="AP110" s="262">
        <f t="shared" si="438"/>
        <v>0</v>
      </c>
      <c r="AQ110" s="298">
        <f t="shared" ref="AQ110:AR110" si="493">AQ9*AQ19</f>
        <v>0</v>
      </c>
      <c r="AR110" s="299">
        <f t="shared" si="493"/>
        <v>0</v>
      </c>
      <c r="AS110" s="262">
        <f t="shared" si="440"/>
        <v>0</v>
      </c>
      <c r="AT110" s="298">
        <f t="shared" ref="AT110:AU110" si="494">AT9*AT19</f>
        <v>0</v>
      </c>
      <c r="AU110" s="299">
        <f t="shared" si="494"/>
        <v>0</v>
      </c>
      <c r="AV110" s="262">
        <f t="shared" si="408"/>
        <v>0</v>
      </c>
      <c r="AW110" s="298">
        <f t="shared" ref="AW110:AX110" si="495">AW9*AW19</f>
        <v>0</v>
      </c>
      <c r="AX110" s="299">
        <f t="shared" si="495"/>
        <v>0</v>
      </c>
      <c r="AY110" s="262">
        <f t="shared" si="410"/>
        <v>0</v>
      </c>
      <c r="AZ110" s="298">
        <f t="shared" ref="AZ110:BA110" si="496">AZ9*AZ19</f>
        <v>0</v>
      </c>
      <c r="BA110" s="299">
        <f t="shared" si="496"/>
        <v>0</v>
      </c>
      <c r="BB110" s="262">
        <f t="shared" si="412"/>
        <v>0</v>
      </c>
      <c r="BC110" s="298">
        <f t="shared" ref="BC110:BD110" si="497">BC9*BC19</f>
        <v>0</v>
      </c>
      <c r="BD110" s="299">
        <f t="shared" si="497"/>
        <v>0</v>
      </c>
      <c r="BE110" s="262">
        <f t="shared" si="445"/>
        <v>0</v>
      </c>
      <c r="BF110" s="298">
        <f t="shared" ref="BF110:BG110" si="498">BF9*BF19</f>
        <v>0</v>
      </c>
      <c r="BG110" s="299">
        <f t="shared" si="498"/>
        <v>0</v>
      </c>
      <c r="BH110" s="262">
        <f t="shared" si="447"/>
        <v>0</v>
      </c>
      <c r="BI110" s="298">
        <f t="shared" si="415"/>
        <v>0</v>
      </c>
      <c r="BJ110" s="299">
        <f t="shared" si="415"/>
        <v>0</v>
      </c>
      <c r="BK110" s="262">
        <f t="shared" si="416"/>
        <v>0</v>
      </c>
      <c r="BL110" s="298">
        <f t="shared" si="417"/>
        <v>0</v>
      </c>
      <c r="BM110" s="299">
        <f t="shared" si="417"/>
        <v>0</v>
      </c>
      <c r="BN110" s="262">
        <f t="shared" si="418"/>
        <v>0</v>
      </c>
      <c r="BO110" s="298">
        <f t="shared" si="419"/>
        <v>0</v>
      </c>
      <c r="BP110" s="299">
        <f t="shared" si="419"/>
        <v>0</v>
      </c>
      <c r="BQ110" s="262">
        <f t="shared" si="420"/>
        <v>0</v>
      </c>
    </row>
    <row r="111" spans="1:69" ht="16" x14ac:dyDescent="0.2">
      <c r="A111" s="832"/>
      <c r="B111" s="834"/>
      <c r="C111" s="290" t="s">
        <v>168</v>
      </c>
      <c r="D111" s="291">
        <f t="shared" si="366"/>
        <v>0</v>
      </c>
      <c r="E111" s="292">
        <f t="shared" si="169"/>
        <v>0</v>
      </c>
      <c r="F111" s="293">
        <f t="shared" si="421"/>
        <v>0</v>
      </c>
      <c r="G111" s="298">
        <f t="shared" si="388"/>
        <v>0</v>
      </c>
      <c r="H111" s="299">
        <f t="shared" si="388"/>
        <v>0</v>
      </c>
      <c r="I111" s="262">
        <f t="shared" si="422"/>
        <v>0</v>
      </c>
      <c r="J111" s="298">
        <f t="shared" ref="J111:K111" si="499">J10*J20</f>
        <v>0</v>
      </c>
      <c r="K111" s="299">
        <f t="shared" si="499"/>
        <v>0</v>
      </c>
      <c r="L111" s="262">
        <f t="shared" si="424"/>
        <v>0</v>
      </c>
      <c r="M111" s="298">
        <f t="shared" ref="M111:N111" si="500">M10*M20</f>
        <v>0</v>
      </c>
      <c r="N111" s="299">
        <f t="shared" si="500"/>
        <v>0</v>
      </c>
      <c r="O111" s="262">
        <f t="shared" si="426"/>
        <v>0</v>
      </c>
      <c r="P111" s="298">
        <f t="shared" ref="P111:Q111" si="501">P10*P20</f>
        <v>0</v>
      </c>
      <c r="Q111" s="299">
        <f t="shared" si="501"/>
        <v>0</v>
      </c>
      <c r="R111" s="262">
        <f t="shared" si="392"/>
        <v>0</v>
      </c>
      <c r="S111" s="298">
        <f t="shared" ref="S111:T111" si="502">S10*S20</f>
        <v>0</v>
      </c>
      <c r="T111" s="299">
        <f t="shared" si="502"/>
        <v>0</v>
      </c>
      <c r="U111" s="262">
        <f t="shared" si="394"/>
        <v>0</v>
      </c>
      <c r="V111" s="298">
        <f t="shared" ref="V111:W111" si="503">V10*V20</f>
        <v>0</v>
      </c>
      <c r="W111" s="299">
        <f t="shared" si="503"/>
        <v>0</v>
      </c>
      <c r="X111" s="262">
        <f t="shared" si="396"/>
        <v>0</v>
      </c>
      <c r="Y111" s="298">
        <f t="shared" ref="Y111:Z111" si="504">Y10*Y20</f>
        <v>0</v>
      </c>
      <c r="Z111" s="299">
        <f t="shared" si="504"/>
        <v>0</v>
      </c>
      <c r="AA111" s="262">
        <f t="shared" si="431"/>
        <v>0</v>
      </c>
      <c r="AB111" s="298">
        <f t="shared" ref="AB111:AC111" si="505">AB10*AB20</f>
        <v>0</v>
      </c>
      <c r="AC111" s="299">
        <f t="shared" si="505"/>
        <v>0</v>
      </c>
      <c r="AD111" s="262">
        <f t="shared" si="433"/>
        <v>0</v>
      </c>
      <c r="AE111" s="298">
        <f t="shared" ref="AE111:AF111" si="506">AE10*AE20</f>
        <v>0</v>
      </c>
      <c r="AF111" s="299">
        <f t="shared" si="506"/>
        <v>0</v>
      </c>
      <c r="AG111" s="262">
        <f t="shared" si="400"/>
        <v>0</v>
      </c>
      <c r="AH111" s="298">
        <f t="shared" ref="AH111:AI111" si="507">AH10*AH20</f>
        <v>0</v>
      </c>
      <c r="AI111" s="299">
        <f t="shared" si="507"/>
        <v>0</v>
      </c>
      <c r="AJ111" s="262">
        <f t="shared" si="402"/>
        <v>0</v>
      </c>
      <c r="AK111" s="298">
        <f t="shared" ref="AK111:AL111" si="508">AK10*AK20</f>
        <v>0</v>
      </c>
      <c r="AL111" s="299">
        <f t="shared" si="508"/>
        <v>0</v>
      </c>
      <c r="AM111" s="262">
        <f t="shared" si="404"/>
        <v>0</v>
      </c>
      <c r="AN111" s="298">
        <f t="shared" ref="AN111:AO111" si="509">AN10*AN20</f>
        <v>0</v>
      </c>
      <c r="AO111" s="299">
        <f t="shared" si="509"/>
        <v>0</v>
      </c>
      <c r="AP111" s="262">
        <f t="shared" si="438"/>
        <v>0</v>
      </c>
      <c r="AQ111" s="298">
        <f t="shared" ref="AQ111:AR111" si="510">AQ10*AQ20</f>
        <v>0</v>
      </c>
      <c r="AR111" s="299">
        <f t="shared" si="510"/>
        <v>0</v>
      </c>
      <c r="AS111" s="262">
        <f t="shared" si="440"/>
        <v>0</v>
      </c>
      <c r="AT111" s="298">
        <f t="shared" ref="AT111:AU111" si="511">AT10*AT20</f>
        <v>0</v>
      </c>
      <c r="AU111" s="299">
        <f t="shared" si="511"/>
        <v>0</v>
      </c>
      <c r="AV111" s="262">
        <f t="shared" si="408"/>
        <v>0</v>
      </c>
      <c r="AW111" s="298">
        <f t="shared" ref="AW111:AX111" si="512">AW10*AW20</f>
        <v>0</v>
      </c>
      <c r="AX111" s="299">
        <f t="shared" si="512"/>
        <v>0</v>
      </c>
      <c r="AY111" s="262">
        <f t="shared" si="410"/>
        <v>0</v>
      </c>
      <c r="AZ111" s="298">
        <f t="shared" ref="AZ111:BA111" si="513">AZ10*AZ20</f>
        <v>0</v>
      </c>
      <c r="BA111" s="299">
        <f t="shared" si="513"/>
        <v>0</v>
      </c>
      <c r="BB111" s="262">
        <f t="shared" si="412"/>
        <v>0</v>
      </c>
      <c r="BC111" s="298">
        <f t="shared" ref="BC111:BD111" si="514">BC10*BC20</f>
        <v>0</v>
      </c>
      <c r="BD111" s="299">
        <f t="shared" si="514"/>
        <v>0</v>
      </c>
      <c r="BE111" s="262">
        <f t="shared" si="445"/>
        <v>0</v>
      </c>
      <c r="BF111" s="298">
        <f t="shared" ref="BF111:BG111" si="515">BF10*BF20</f>
        <v>0</v>
      </c>
      <c r="BG111" s="299">
        <f t="shared" si="515"/>
        <v>0</v>
      </c>
      <c r="BH111" s="262">
        <f t="shared" si="447"/>
        <v>0</v>
      </c>
      <c r="BI111" s="298">
        <f t="shared" si="415"/>
        <v>0</v>
      </c>
      <c r="BJ111" s="299">
        <f t="shared" si="415"/>
        <v>0</v>
      </c>
      <c r="BK111" s="262">
        <f t="shared" si="416"/>
        <v>0</v>
      </c>
      <c r="BL111" s="298">
        <f t="shared" si="417"/>
        <v>0</v>
      </c>
      <c r="BM111" s="299">
        <f t="shared" si="417"/>
        <v>0</v>
      </c>
      <c r="BN111" s="262">
        <f t="shared" si="418"/>
        <v>0</v>
      </c>
      <c r="BO111" s="298">
        <f t="shared" si="419"/>
        <v>0</v>
      </c>
      <c r="BP111" s="299">
        <f t="shared" si="419"/>
        <v>0</v>
      </c>
      <c r="BQ111" s="262">
        <f t="shared" si="420"/>
        <v>0</v>
      </c>
    </row>
    <row r="112" spans="1:69" ht="16" x14ac:dyDescent="0.2">
      <c r="A112" s="832"/>
      <c r="B112" s="834"/>
      <c r="C112" s="290" t="s">
        <v>169</v>
      </c>
      <c r="D112" s="291">
        <f t="shared" ref="D112:D115" si="516">SUM(G112,J112,M112,P112,S112,V112,Y112,AB112,AE112,AH112,AK112,AN112,AQ112,AT112,AW112,AZ112,AZ112,BC112,BF112,BI112,BL112,BO112)</f>
        <v>0</v>
      </c>
      <c r="E112" s="292">
        <f t="shared" si="169"/>
        <v>0</v>
      </c>
      <c r="F112" s="293">
        <f t="shared" si="421"/>
        <v>0</v>
      </c>
      <c r="G112" s="298">
        <f t="shared" si="388"/>
        <v>0</v>
      </c>
      <c r="H112" s="299">
        <f t="shared" si="388"/>
        <v>0</v>
      </c>
      <c r="I112" s="262">
        <f t="shared" si="422"/>
        <v>0</v>
      </c>
      <c r="J112" s="298">
        <f t="shared" ref="J112:K112" si="517">J11*J21</f>
        <v>0</v>
      </c>
      <c r="K112" s="299">
        <f t="shared" si="517"/>
        <v>0</v>
      </c>
      <c r="L112" s="262">
        <f t="shared" si="424"/>
        <v>0</v>
      </c>
      <c r="M112" s="298">
        <f t="shared" ref="M112:N112" si="518">M11*M21</f>
        <v>0</v>
      </c>
      <c r="N112" s="299">
        <f t="shared" si="518"/>
        <v>0</v>
      </c>
      <c r="O112" s="262">
        <f t="shared" si="426"/>
        <v>0</v>
      </c>
      <c r="P112" s="298">
        <f t="shared" ref="P112:Q112" si="519">P11*P21</f>
        <v>0</v>
      </c>
      <c r="Q112" s="299">
        <f t="shared" si="519"/>
        <v>0</v>
      </c>
      <c r="R112" s="262">
        <f t="shared" si="392"/>
        <v>0</v>
      </c>
      <c r="S112" s="298">
        <f t="shared" ref="S112:T112" si="520">S11*S21</f>
        <v>0</v>
      </c>
      <c r="T112" s="299">
        <f t="shared" si="520"/>
        <v>0</v>
      </c>
      <c r="U112" s="262">
        <f t="shared" si="394"/>
        <v>0</v>
      </c>
      <c r="V112" s="298">
        <f t="shared" ref="V112:W112" si="521">V11*V21</f>
        <v>0</v>
      </c>
      <c r="W112" s="299">
        <f t="shared" si="521"/>
        <v>0</v>
      </c>
      <c r="X112" s="262">
        <f t="shared" si="396"/>
        <v>0</v>
      </c>
      <c r="Y112" s="298">
        <f t="shared" ref="Y112:Z112" si="522">Y11*Y21</f>
        <v>0</v>
      </c>
      <c r="Z112" s="299">
        <f t="shared" si="522"/>
        <v>0</v>
      </c>
      <c r="AA112" s="262">
        <f t="shared" si="431"/>
        <v>0</v>
      </c>
      <c r="AB112" s="298">
        <f t="shared" ref="AB112:AC112" si="523">AB11*AB21</f>
        <v>0</v>
      </c>
      <c r="AC112" s="299">
        <f t="shared" si="523"/>
        <v>0</v>
      </c>
      <c r="AD112" s="262">
        <f t="shared" si="433"/>
        <v>0</v>
      </c>
      <c r="AE112" s="298">
        <f t="shared" ref="AE112:AF112" si="524">AE11*AE21</f>
        <v>0</v>
      </c>
      <c r="AF112" s="299">
        <f t="shared" si="524"/>
        <v>0</v>
      </c>
      <c r="AG112" s="262">
        <f t="shared" si="400"/>
        <v>0</v>
      </c>
      <c r="AH112" s="298">
        <f t="shared" ref="AH112:AI112" si="525">AH11*AH21</f>
        <v>0</v>
      </c>
      <c r="AI112" s="299">
        <f t="shared" si="525"/>
        <v>0</v>
      </c>
      <c r="AJ112" s="262">
        <f t="shared" si="402"/>
        <v>0</v>
      </c>
      <c r="AK112" s="298">
        <f t="shared" ref="AK112:AL112" si="526">AK11*AK21</f>
        <v>0</v>
      </c>
      <c r="AL112" s="299">
        <f t="shared" si="526"/>
        <v>0</v>
      </c>
      <c r="AM112" s="262">
        <f t="shared" si="404"/>
        <v>0</v>
      </c>
      <c r="AN112" s="298">
        <f t="shared" ref="AN112:AO112" si="527">AN11*AN21</f>
        <v>0</v>
      </c>
      <c r="AO112" s="299">
        <f t="shared" si="527"/>
        <v>0</v>
      </c>
      <c r="AP112" s="262">
        <f t="shared" si="438"/>
        <v>0</v>
      </c>
      <c r="AQ112" s="298">
        <f t="shared" ref="AQ112:AR112" si="528">AQ11*AQ21</f>
        <v>0</v>
      </c>
      <c r="AR112" s="299">
        <f t="shared" si="528"/>
        <v>0</v>
      </c>
      <c r="AS112" s="262">
        <f t="shared" si="440"/>
        <v>0</v>
      </c>
      <c r="AT112" s="298">
        <f t="shared" ref="AT112:AU112" si="529">AT11*AT21</f>
        <v>0</v>
      </c>
      <c r="AU112" s="299">
        <f t="shared" si="529"/>
        <v>0</v>
      </c>
      <c r="AV112" s="262">
        <f t="shared" si="408"/>
        <v>0</v>
      </c>
      <c r="AW112" s="298">
        <f t="shared" ref="AW112:AX112" si="530">AW11*AW21</f>
        <v>0</v>
      </c>
      <c r="AX112" s="299">
        <f t="shared" si="530"/>
        <v>0</v>
      </c>
      <c r="AY112" s="262">
        <f t="shared" si="410"/>
        <v>0</v>
      </c>
      <c r="AZ112" s="298">
        <f t="shared" ref="AZ112:BA112" si="531">AZ11*AZ21</f>
        <v>0</v>
      </c>
      <c r="BA112" s="299">
        <f t="shared" si="531"/>
        <v>0</v>
      </c>
      <c r="BB112" s="262">
        <f t="shared" si="412"/>
        <v>0</v>
      </c>
      <c r="BC112" s="298">
        <f t="shared" ref="BC112:BD112" si="532">BC11*BC21</f>
        <v>0</v>
      </c>
      <c r="BD112" s="299">
        <f t="shared" si="532"/>
        <v>0</v>
      </c>
      <c r="BE112" s="262">
        <f t="shared" si="445"/>
        <v>0</v>
      </c>
      <c r="BF112" s="298">
        <f t="shared" ref="BF112:BG112" si="533">BF11*BF21</f>
        <v>0</v>
      </c>
      <c r="BG112" s="299">
        <f t="shared" si="533"/>
        <v>0</v>
      </c>
      <c r="BH112" s="262">
        <f t="shared" si="447"/>
        <v>0</v>
      </c>
      <c r="BI112" s="298">
        <f t="shared" si="415"/>
        <v>0</v>
      </c>
      <c r="BJ112" s="299">
        <f t="shared" si="415"/>
        <v>0</v>
      </c>
      <c r="BK112" s="262">
        <f t="shared" si="416"/>
        <v>0</v>
      </c>
      <c r="BL112" s="298">
        <f t="shared" si="417"/>
        <v>0</v>
      </c>
      <c r="BM112" s="299">
        <f t="shared" si="417"/>
        <v>0</v>
      </c>
      <c r="BN112" s="262">
        <f t="shared" si="418"/>
        <v>0</v>
      </c>
      <c r="BO112" s="298">
        <f t="shared" si="419"/>
        <v>0</v>
      </c>
      <c r="BP112" s="299">
        <f t="shared" si="419"/>
        <v>0</v>
      </c>
      <c r="BQ112" s="262">
        <f t="shared" si="420"/>
        <v>0</v>
      </c>
    </row>
    <row r="113" spans="1:70" ht="16" x14ac:dyDescent="0.2">
      <c r="A113" s="832"/>
      <c r="B113" s="834"/>
      <c r="C113" s="290" t="s">
        <v>170</v>
      </c>
      <c r="D113" s="291">
        <f t="shared" si="516"/>
        <v>0</v>
      </c>
      <c r="E113" s="292">
        <f t="shared" si="169"/>
        <v>0</v>
      </c>
      <c r="F113" s="293">
        <f t="shared" si="421"/>
        <v>0</v>
      </c>
      <c r="G113" s="298">
        <f t="shared" si="388"/>
        <v>0</v>
      </c>
      <c r="H113" s="299">
        <f t="shared" si="388"/>
        <v>0</v>
      </c>
      <c r="I113" s="262">
        <f t="shared" si="422"/>
        <v>0</v>
      </c>
      <c r="J113" s="298">
        <f t="shared" ref="J113:K113" si="534">J12*J22</f>
        <v>0</v>
      </c>
      <c r="K113" s="299">
        <f t="shared" si="534"/>
        <v>0</v>
      </c>
      <c r="L113" s="262">
        <f t="shared" si="424"/>
        <v>0</v>
      </c>
      <c r="M113" s="298">
        <f t="shared" ref="M113:N113" si="535">M12*M22</f>
        <v>0</v>
      </c>
      <c r="N113" s="299">
        <f t="shared" si="535"/>
        <v>0</v>
      </c>
      <c r="O113" s="262">
        <f t="shared" si="426"/>
        <v>0</v>
      </c>
      <c r="P113" s="298">
        <f t="shared" ref="P113:Q113" si="536">P12*P22</f>
        <v>0</v>
      </c>
      <c r="Q113" s="299">
        <f t="shared" si="536"/>
        <v>0</v>
      </c>
      <c r="R113" s="262">
        <f t="shared" si="392"/>
        <v>0</v>
      </c>
      <c r="S113" s="298">
        <f t="shared" ref="S113:T113" si="537">S12*S22</f>
        <v>0</v>
      </c>
      <c r="T113" s="299">
        <f t="shared" si="537"/>
        <v>0</v>
      </c>
      <c r="U113" s="262">
        <f t="shared" si="394"/>
        <v>0</v>
      </c>
      <c r="V113" s="298">
        <f t="shared" ref="V113:W113" si="538">V12*V22</f>
        <v>0</v>
      </c>
      <c r="W113" s="299">
        <f t="shared" si="538"/>
        <v>0</v>
      </c>
      <c r="X113" s="262">
        <f t="shared" si="396"/>
        <v>0</v>
      </c>
      <c r="Y113" s="298">
        <f t="shared" ref="Y113:Z113" si="539">Y12*Y22</f>
        <v>0</v>
      </c>
      <c r="Z113" s="299">
        <f t="shared" si="539"/>
        <v>0</v>
      </c>
      <c r="AA113" s="262">
        <f t="shared" si="431"/>
        <v>0</v>
      </c>
      <c r="AB113" s="298">
        <f t="shared" ref="AB113:AC113" si="540">AB12*AB22</f>
        <v>0</v>
      </c>
      <c r="AC113" s="299">
        <f t="shared" si="540"/>
        <v>0</v>
      </c>
      <c r="AD113" s="262">
        <f t="shared" si="433"/>
        <v>0</v>
      </c>
      <c r="AE113" s="298">
        <f t="shared" ref="AE113:AF113" si="541">AE12*AE22</f>
        <v>0</v>
      </c>
      <c r="AF113" s="299">
        <f t="shared" si="541"/>
        <v>0</v>
      </c>
      <c r="AG113" s="262">
        <f t="shared" si="400"/>
        <v>0</v>
      </c>
      <c r="AH113" s="298">
        <f t="shared" ref="AH113:AI113" si="542">AH12*AH22</f>
        <v>0</v>
      </c>
      <c r="AI113" s="299">
        <f t="shared" si="542"/>
        <v>0</v>
      </c>
      <c r="AJ113" s="262">
        <f t="shared" si="402"/>
        <v>0</v>
      </c>
      <c r="AK113" s="298">
        <f t="shared" ref="AK113:AL113" si="543">AK12*AK22</f>
        <v>0</v>
      </c>
      <c r="AL113" s="299">
        <f t="shared" si="543"/>
        <v>0</v>
      </c>
      <c r="AM113" s="262">
        <f t="shared" si="404"/>
        <v>0</v>
      </c>
      <c r="AN113" s="298">
        <f t="shared" ref="AN113:AO113" si="544">AN12*AN22</f>
        <v>0</v>
      </c>
      <c r="AO113" s="299">
        <f t="shared" si="544"/>
        <v>0</v>
      </c>
      <c r="AP113" s="262">
        <f t="shared" si="438"/>
        <v>0</v>
      </c>
      <c r="AQ113" s="298">
        <f t="shared" ref="AQ113:AR113" si="545">AQ12*AQ22</f>
        <v>0</v>
      </c>
      <c r="AR113" s="299">
        <f t="shared" si="545"/>
        <v>0</v>
      </c>
      <c r="AS113" s="262">
        <f t="shared" si="440"/>
        <v>0</v>
      </c>
      <c r="AT113" s="298">
        <f t="shared" ref="AT113:AU113" si="546">AT12*AT22</f>
        <v>0</v>
      </c>
      <c r="AU113" s="299">
        <f t="shared" si="546"/>
        <v>0</v>
      </c>
      <c r="AV113" s="262">
        <f t="shared" si="408"/>
        <v>0</v>
      </c>
      <c r="AW113" s="298">
        <f t="shared" ref="AW113:AX113" si="547">AW12*AW22</f>
        <v>0</v>
      </c>
      <c r="AX113" s="299">
        <f t="shared" si="547"/>
        <v>0</v>
      </c>
      <c r="AY113" s="262">
        <f t="shared" si="410"/>
        <v>0</v>
      </c>
      <c r="AZ113" s="298">
        <f t="shared" ref="AZ113:BA113" si="548">AZ12*AZ22</f>
        <v>0</v>
      </c>
      <c r="BA113" s="299">
        <f t="shared" si="548"/>
        <v>0</v>
      </c>
      <c r="BB113" s="262">
        <f t="shared" si="412"/>
        <v>0</v>
      </c>
      <c r="BC113" s="298">
        <f t="shared" ref="BC113:BD113" si="549">BC12*BC22</f>
        <v>0</v>
      </c>
      <c r="BD113" s="299">
        <f t="shared" si="549"/>
        <v>0</v>
      </c>
      <c r="BE113" s="262">
        <f t="shared" si="445"/>
        <v>0</v>
      </c>
      <c r="BF113" s="298">
        <f t="shared" ref="BF113:BG113" si="550">BF12*BF22</f>
        <v>0</v>
      </c>
      <c r="BG113" s="299">
        <f t="shared" si="550"/>
        <v>0</v>
      </c>
      <c r="BH113" s="262">
        <f t="shared" si="447"/>
        <v>0</v>
      </c>
      <c r="BI113" s="298">
        <f t="shared" si="415"/>
        <v>0</v>
      </c>
      <c r="BJ113" s="299">
        <f t="shared" si="415"/>
        <v>0</v>
      </c>
      <c r="BK113" s="262">
        <f t="shared" si="416"/>
        <v>0</v>
      </c>
      <c r="BL113" s="298">
        <f t="shared" si="417"/>
        <v>0</v>
      </c>
      <c r="BM113" s="299">
        <f t="shared" si="417"/>
        <v>0</v>
      </c>
      <c r="BN113" s="262">
        <f t="shared" si="418"/>
        <v>0</v>
      </c>
      <c r="BO113" s="298">
        <f t="shared" si="419"/>
        <v>0</v>
      </c>
      <c r="BP113" s="299">
        <f t="shared" si="419"/>
        <v>0</v>
      </c>
      <c r="BQ113" s="262">
        <f t="shared" si="420"/>
        <v>0</v>
      </c>
    </row>
    <row r="114" spans="1:70" ht="16" x14ac:dyDescent="0.2">
      <c r="A114" s="832"/>
      <c r="B114" s="834"/>
      <c r="C114" s="290" t="s">
        <v>171</v>
      </c>
      <c r="D114" s="291">
        <f t="shared" si="516"/>
        <v>0</v>
      </c>
      <c r="E114" s="292">
        <f t="shared" si="169"/>
        <v>0</v>
      </c>
      <c r="F114" s="293">
        <f t="shared" si="421"/>
        <v>0</v>
      </c>
      <c r="G114" s="298">
        <f t="shared" si="388"/>
        <v>0</v>
      </c>
      <c r="H114" s="299">
        <f t="shared" si="388"/>
        <v>0</v>
      </c>
      <c r="I114" s="262">
        <f t="shared" si="422"/>
        <v>0</v>
      </c>
      <c r="J114" s="298">
        <f t="shared" ref="J114:K114" si="551">J13*J23</f>
        <v>0</v>
      </c>
      <c r="K114" s="299">
        <f t="shared" si="551"/>
        <v>0</v>
      </c>
      <c r="L114" s="262">
        <f t="shared" si="424"/>
        <v>0</v>
      </c>
      <c r="M114" s="298">
        <f t="shared" ref="M114:N114" si="552">M13*M23</f>
        <v>0</v>
      </c>
      <c r="N114" s="299">
        <f t="shared" si="552"/>
        <v>0</v>
      </c>
      <c r="O114" s="262">
        <f t="shared" si="426"/>
        <v>0</v>
      </c>
      <c r="P114" s="298">
        <f t="shared" ref="P114:Q114" si="553">P13*P23</f>
        <v>0</v>
      </c>
      <c r="Q114" s="299">
        <f t="shared" si="553"/>
        <v>0</v>
      </c>
      <c r="R114" s="262">
        <f t="shared" si="392"/>
        <v>0</v>
      </c>
      <c r="S114" s="298">
        <f t="shared" ref="S114:T114" si="554">S13*S23</f>
        <v>0</v>
      </c>
      <c r="T114" s="299">
        <f t="shared" si="554"/>
        <v>0</v>
      </c>
      <c r="U114" s="262">
        <f t="shared" si="394"/>
        <v>0</v>
      </c>
      <c r="V114" s="298">
        <f t="shared" ref="V114:W114" si="555">V13*V23</f>
        <v>0</v>
      </c>
      <c r="W114" s="299">
        <f t="shared" si="555"/>
        <v>0</v>
      </c>
      <c r="X114" s="262">
        <f t="shared" si="396"/>
        <v>0</v>
      </c>
      <c r="Y114" s="298">
        <f t="shared" ref="Y114:Z114" si="556">Y13*Y23</f>
        <v>0</v>
      </c>
      <c r="Z114" s="299">
        <f t="shared" si="556"/>
        <v>0</v>
      </c>
      <c r="AA114" s="262">
        <f t="shared" si="431"/>
        <v>0</v>
      </c>
      <c r="AB114" s="298">
        <f t="shared" ref="AB114:AC114" si="557">AB13*AB23</f>
        <v>0</v>
      </c>
      <c r="AC114" s="299">
        <f t="shared" si="557"/>
        <v>0</v>
      </c>
      <c r="AD114" s="262">
        <f t="shared" si="433"/>
        <v>0</v>
      </c>
      <c r="AE114" s="298">
        <f t="shared" ref="AE114:AF114" si="558">AE13*AE23</f>
        <v>0</v>
      </c>
      <c r="AF114" s="299">
        <f t="shared" si="558"/>
        <v>0</v>
      </c>
      <c r="AG114" s="262">
        <f t="shared" si="400"/>
        <v>0</v>
      </c>
      <c r="AH114" s="298">
        <f t="shared" ref="AH114:AI114" si="559">AH13*AH23</f>
        <v>0</v>
      </c>
      <c r="AI114" s="299">
        <f t="shared" si="559"/>
        <v>0</v>
      </c>
      <c r="AJ114" s="262">
        <f t="shared" si="402"/>
        <v>0</v>
      </c>
      <c r="AK114" s="298">
        <f t="shared" ref="AK114:AL114" si="560">AK13*AK23</f>
        <v>0</v>
      </c>
      <c r="AL114" s="299">
        <f t="shared" si="560"/>
        <v>0</v>
      </c>
      <c r="AM114" s="262">
        <f t="shared" si="404"/>
        <v>0</v>
      </c>
      <c r="AN114" s="298">
        <f t="shared" ref="AN114:AO114" si="561">AN13*AN23</f>
        <v>0</v>
      </c>
      <c r="AO114" s="299">
        <f t="shared" si="561"/>
        <v>0</v>
      </c>
      <c r="AP114" s="262">
        <f t="shared" si="438"/>
        <v>0</v>
      </c>
      <c r="AQ114" s="298">
        <f t="shared" ref="AQ114:AR114" si="562">AQ13*AQ23</f>
        <v>0</v>
      </c>
      <c r="AR114" s="299">
        <f t="shared" si="562"/>
        <v>0</v>
      </c>
      <c r="AS114" s="262">
        <f t="shared" si="440"/>
        <v>0</v>
      </c>
      <c r="AT114" s="298">
        <f t="shared" ref="AT114:AU114" si="563">AT13*AT23</f>
        <v>0</v>
      </c>
      <c r="AU114" s="299">
        <f t="shared" si="563"/>
        <v>0</v>
      </c>
      <c r="AV114" s="262">
        <f t="shared" si="408"/>
        <v>0</v>
      </c>
      <c r="AW114" s="298">
        <f t="shared" ref="AW114:AX114" si="564">AW13*AW23</f>
        <v>0</v>
      </c>
      <c r="AX114" s="299">
        <f t="shared" si="564"/>
        <v>0</v>
      </c>
      <c r="AY114" s="262">
        <f t="shared" si="410"/>
        <v>0</v>
      </c>
      <c r="AZ114" s="298">
        <f t="shared" ref="AZ114:BA114" si="565">AZ13*AZ23</f>
        <v>0</v>
      </c>
      <c r="BA114" s="299">
        <f t="shared" si="565"/>
        <v>0</v>
      </c>
      <c r="BB114" s="262">
        <f t="shared" si="412"/>
        <v>0</v>
      </c>
      <c r="BC114" s="298">
        <f t="shared" ref="BC114:BD114" si="566">BC13*BC23</f>
        <v>0</v>
      </c>
      <c r="BD114" s="299">
        <f t="shared" si="566"/>
        <v>0</v>
      </c>
      <c r="BE114" s="262">
        <f t="shared" si="445"/>
        <v>0</v>
      </c>
      <c r="BF114" s="298">
        <f t="shared" ref="BF114:BG114" si="567">BF13*BF23</f>
        <v>0</v>
      </c>
      <c r="BG114" s="299">
        <f t="shared" si="567"/>
        <v>0</v>
      </c>
      <c r="BH114" s="262">
        <f t="shared" si="447"/>
        <v>0</v>
      </c>
      <c r="BI114" s="298">
        <f t="shared" si="415"/>
        <v>0</v>
      </c>
      <c r="BJ114" s="299">
        <f t="shared" si="415"/>
        <v>0</v>
      </c>
      <c r="BK114" s="262">
        <f t="shared" si="416"/>
        <v>0</v>
      </c>
      <c r="BL114" s="298">
        <f t="shared" si="417"/>
        <v>0</v>
      </c>
      <c r="BM114" s="299">
        <f t="shared" si="417"/>
        <v>0</v>
      </c>
      <c r="BN114" s="262">
        <f t="shared" si="418"/>
        <v>0</v>
      </c>
      <c r="BO114" s="298">
        <f t="shared" si="419"/>
        <v>0</v>
      </c>
      <c r="BP114" s="299">
        <f t="shared" si="419"/>
        <v>0</v>
      </c>
      <c r="BQ114" s="262">
        <f t="shared" si="420"/>
        <v>0</v>
      </c>
    </row>
    <row r="115" spans="1:70" ht="17" thickBot="1" x14ac:dyDescent="0.25">
      <c r="A115" s="833"/>
      <c r="B115" s="835"/>
      <c r="C115" s="300" t="s">
        <v>172</v>
      </c>
      <c r="D115" s="301">
        <f t="shared" si="516"/>
        <v>0</v>
      </c>
      <c r="E115" s="302">
        <f t="shared" si="169"/>
        <v>0</v>
      </c>
      <c r="F115" s="303">
        <f t="shared" si="421"/>
        <v>0</v>
      </c>
      <c r="G115" s="304">
        <f t="shared" si="388"/>
        <v>0</v>
      </c>
      <c r="H115" s="305">
        <f t="shared" si="388"/>
        <v>0</v>
      </c>
      <c r="I115" s="267">
        <f t="shared" si="422"/>
        <v>0</v>
      </c>
      <c r="J115" s="304">
        <f t="shared" ref="J115:K115" si="568">J14*J24</f>
        <v>0</v>
      </c>
      <c r="K115" s="305">
        <f t="shared" si="568"/>
        <v>0</v>
      </c>
      <c r="L115" s="267">
        <f t="shared" si="424"/>
        <v>0</v>
      </c>
      <c r="M115" s="304">
        <f t="shared" ref="M115:N115" si="569">M14*M24</f>
        <v>0</v>
      </c>
      <c r="N115" s="305">
        <f t="shared" si="569"/>
        <v>0</v>
      </c>
      <c r="O115" s="267">
        <f t="shared" si="426"/>
        <v>0</v>
      </c>
      <c r="P115" s="304">
        <f t="shared" ref="P115:Q115" si="570">P14*P24</f>
        <v>0</v>
      </c>
      <c r="Q115" s="305">
        <f t="shared" si="570"/>
        <v>0</v>
      </c>
      <c r="R115" s="267">
        <f t="shared" si="392"/>
        <v>0</v>
      </c>
      <c r="S115" s="304">
        <f t="shared" ref="S115:T115" si="571">S14*S24</f>
        <v>0</v>
      </c>
      <c r="T115" s="305">
        <f t="shared" si="571"/>
        <v>0</v>
      </c>
      <c r="U115" s="267">
        <f t="shared" si="394"/>
        <v>0</v>
      </c>
      <c r="V115" s="304">
        <f t="shared" ref="V115:W115" si="572">V14*V24</f>
        <v>0</v>
      </c>
      <c r="W115" s="305">
        <f t="shared" si="572"/>
        <v>0</v>
      </c>
      <c r="X115" s="267">
        <f t="shared" si="396"/>
        <v>0</v>
      </c>
      <c r="Y115" s="304">
        <f t="shared" ref="Y115:Z115" si="573">Y14*Y24</f>
        <v>0</v>
      </c>
      <c r="Z115" s="305">
        <f t="shared" si="573"/>
        <v>0</v>
      </c>
      <c r="AA115" s="267">
        <f t="shared" si="431"/>
        <v>0</v>
      </c>
      <c r="AB115" s="304">
        <f t="shared" ref="AB115:AC115" si="574">AB14*AB24</f>
        <v>0</v>
      </c>
      <c r="AC115" s="305">
        <f t="shared" si="574"/>
        <v>0</v>
      </c>
      <c r="AD115" s="267">
        <f t="shared" si="433"/>
        <v>0</v>
      </c>
      <c r="AE115" s="304">
        <f t="shared" ref="AE115:AF115" si="575">AE14*AE24</f>
        <v>0</v>
      </c>
      <c r="AF115" s="305">
        <f t="shared" si="575"/>
        <v>0</v>
      </c>
      <c r="AG115" s="267">
        <f t="shared" si="400"/>
        <v>0</v>
      </c>
      <c r="AH115" s="304">
        <f t="shared" ref="AH115:AI115" si="576">AH14*AH24</f>
        <v>0</v>
      </c>
      <c r="AI115" s="305">
        <f t="shared" si="576"/>
        <v>0</v>
      </c>
      <c r="AJ115" s="267">
        <f t="shared" si="402"/>
        <v>0</v>
      </c>
      <c r="AK115" s="304">
        <f t="shared" ref="AK115:AL115" si="577">AK14*AK24</f>
        <v>0</v>
      </c>
      <c r="AL115" s="305">
        <f t="shared" si="577"/>
        <v>0</v>
      </c>
      <c r="AM115" s="267">
        <f t="shared" si="404"/>
        <v>0</v>
      </c>
      <c r="AN115" s="304">
        <f t="shared" ref="AN115:AO115" si="578">AN14*AN24</f>
        <v>0</v>
      </c>
      <c r="AO115" s="305">
        <f t="shared" si="578"/>
        <v>0</v>
      </c>
      <c r="AP115" s="267">
        <f t="shared" si="438"/>
        <v>0</v>
      </c>
      <c r="AQ115" s="304">
        <f t="shared" ref="AQ115:AR115" si="579">AQ14*AQ24</f>
        <v>0</v>
      </c>
      <c r="AR115" s="305">
        <f t="shared" si="579"/>
        <v>0</v>
      </c>
      <c r="AS115" s="267">
        <f t="shared" si="440"/>
        <v>0</v>
      </c>
      <c r="AT115" s="304">
        <f t="shared" ref="AT115:AU115" si="580">AT14*AT24</f>
        <v>0</v>
      </c>
      <c r="AU115" s="305">
        <f t="shared" si="580"/>
        <v>0</v>
      </c>
      <c r="AV115" s="267">
        <f t="shared" si="408"/>
        <v>0</v>
      </c>
      <c r="AW115" s="304">
        <f t="shared" ref="AW115:AX115" si="581">AW14*AW24</f>
        <v>0</v>
      </c>
      <c r="AX115" s="305">
        <f t="shared" si="581"/>
        <v>0</v>
      </c>
      <c r="AY115" s="267">
        <f t="shared" si="410"/>
        <v>0</v>
      </c>
      <c r="AZ115" s="304">
        <f t="shared" ref="AZ115:BA115" si="582">AZ14*AZ24</f>
        <v>0</v>
      </c>
      <c r="BA115" s="305">
        <f t="shared" si="582"/>
        <v>0</v>
      </c>
      <c r="BB115" s="267">
        <f t="shared" si="412"/>
        <v>0</v>
      </c>
      <c r="BC115" s="304">
        <f t="shared" ref="BC115:BD115" si="583">BC14*BC24</f>
        <v>0</v>
      </c>
      <c r="BD115" s="305">
        <f t="shared" si="583"/>
        <v>0</v>
      </c>
      <c r="BE115" s="267">
        <f t="shared" si="445"/>
        <v>0</v>
      </c>
      <c r="BF115" s="304">
        <f t="shared" ref="BF115:BG115" si="584">BF14*BF24</f>
        <v>0</v>
      </c>
      <c r="BG115" s="305">
        <f t="shared" si="584"/>
        <v>0</v>
      </c>
      <c r="BH115" s="267">
        <f t="shared" si="447"/>
        <v>0</v>
      </c>
      <c r="BI115" s="304">
        <f t="shared" si="415"/>
        <v>0</v>
      </c>
      <c r="BJ115" s="305">
        <f t="shared" si="415"/>
        <v>0</v>
      </c>
      <c r="BK115" s="267">
        <f t="shared" si="416"/>
        <v>0</v>
      </c>
      <c r="BL115" s="304">
        <f t="shared" si="417"/>
        <v>0</v>
      </c>
      <c r="BM115" s="305">
        <f t="shared" si="417"/>
        <v>0</v>
      </c>
      <c r="BN115" s="267">
        <f t="shared" si="418"/>
        <v>0</v>
      </c>
      <c r="BO115" s="304">
        <f t="shared" si="419"/>
        <v>0</v>
      </c>
      <c r="BP115" s="305">
        <f t="shared" si="419"/>
        <v>0</v>
      </c>
      <c r="BQ115" s="267">
        <f t="shared" si="420"/>
        <v>0</v>
      </c>
    </row>
    <row r="116" spans="1:70" ht="16" x14ac:dyDescent="0.2">
      <c r="A116" s="832" t="s">
        <v>221</v>
      </c>
      <c r="B116" s="834" t="s">
        <v>211</v>
      </c>
      <c r="C116" s="290" t="s">
        <v>163</v>
      </c>
      <c r="D116" s="291">
        <f t="shared" ref="D116:D131" si="585">SUM(G116,J116,M116,P116,S116,V116,Y116,AB116,AE116,AH116,AK116,AN116,AQ116,AT116,AW116,AZ116,AZ116,BC116,BF116,BI116,BL116,BO116)</f>
        <v>0</v>
      </c>
      <c r="E116" s="292">
        <f t="shared" si="169"/>
        <v>0</v>
      </c>
      <c r="F116" s="293">
        <f t="shared" ref="F116:F135" si="586">SUM(I116,L116,O116,R116,U116,X116,AA116,AD116,AG116,AJ116,AM116,AP116,AS116,AV116,AY116,BB116,BB116,BE116,BH116,BK116,BN116,BQ116)</f>
        <v>0</v>
      </c>
      <c r="G116" s="306">
        <f t="shared" ref="G116:H125" si="587">G5*G25</f>
        <v>0</v>
      </c>
      <c r="H116" s="307">
        <f t="shared" si="587"/>
        <v>0</v>
      </c>
      <c r="I116" s="257">
        <f>H116-G116</f>
        <v>0</v>
      </c>
      <c r="J116" s="306">
        <f t="shared" ref="J116:K116" si="588">J5*J25</f>
        <v>0</v>
      </c>
      <c r="K116" s="307">
        <f t="shared" si="588"/>
        <v>0</v>
      </c>
      <c r="L116" s="257">
        <f>K116-J116</f>
        <v>0</v>
      </c>
      <c r="M116" s="306">
        <f t="shared" ref="M116:N116" si="589">M5*M25</f>
        <v>0</v>
      </c>
      <c r="N116" s="307">
        <f t="shared" si="589"/>
        <v>0</v>
      </c>
      <c r="O116" s="257">
        <f>N116-M116</f>
        <v>0</v>
      </c>
      <c r="P116" s="306">
        <f t="shared" ref="P116:Q116" si="590">P5*P25</f>
        <v>0</v>
      </c>
      <c r="Q116" s="307">
        <f t="shared" si="590"/>
        <v>0</v>
      </c>
      <c r="R116" s="257">
        <f>Q116-P116</f>
        <v>0</v>
      </c>
      <c r="S116" s="306">
        <f t="shared" ref="S116:T116" si="591">S5*S25</f>
        <v>0</v>
      </c>
      <c r="T116" s="307">
        <f t="shared" si="591"/>
        <v>0</v>
      </c>
      <c r="U116" s="257">
        <f>T116-S116</f>
        <v>0</v>
      </c>
      <c r="V116" s="306">
        <f t="shared" ref="V116:W116" si="592">V5*V25</f>
        <v>0</v>
      </c>
      <c r="W116" s="307">
        <f t="shared" si="592"/>
        <v>0</v>
      </c>
      <c r="X116" s="257">
        <f>W116-V116</f>
        <v>0</v>
      </c>
      <c r="Y116" s="306">
        <f t="shared" ref="Y116:Z116" si="593">Y5*Y25</f>
        <v>0</v>
      </c>
      <c r="Z116" s="307">
        <f t="shared" si="593"/>
        <v>0</v>
      </c>
      <c r="AA116" s="257">
        <f>Z116-Y116</f>
        <v>0</v>
      </c>
      <c r="AB116" s="306">
        <f t="shared" ref="AB116:AC116" si="594">AB5*AB25</f>
        <v>0</v>
      </c>
      <c r="AC116" s="307">
        <f t="shared" si="594"/>
        <v>0</v>
      </c>
      <c r="AD116" s="257">
        <f>AC116-AB116</f>
        <v>0</v>
      </c>
      <c r="AE116" s="306">
        <f t="shared" ref="AE116:AF116" si="595">AE5*AE25</f>
        <v>0</v>
      </c>
      <c r="AF116" s="307">
        <f t="shared" si="595"/>
        <v>0</v>
      </c>
      <c r="AG116" s="257">
        <f>AF116-AE116</f>
        <v>0</v>
      </c>
      <c r="AH116" s="306">
        <f t="shared" ref="AH116:AI116" si="596">AH5*AH25</f>
        <v>0</v>
      </c>
      <c r="AI116" s="307">
        <f t="shared" si="596"/>
        <v>0</v>
      </c>
      <c r="AJ116" s="257">
        <f>AI116-AH116</f>
        <v>0</v>
      </c>
      <c r="AK116" s="306">
        <f t="shared" ref="AK116:AL116" si="597">AK5*AK25</f>
        <v>0</v>
      </c>
      <c r="AL116" s="307">
        <f t="shared" si="597"/>
        <v>0</v>
      </c>
      <c r="AM116" s="257">
        <f>AL116-AK116</f>
        <v>0</v>
      </c>
      <c r="AN116" s="306">
        <f t="shared" ref="AN116:AO116" si="598">AN5*AN25</f>
        <v>0</v>
      </c>
      <c r="AO116" s="307">
        <f t="shared" si="598"/>
        <v>0</v>
      </c>
      <c r="AP116" s="257">
        <f>AO116-AN116</f>
        <v>0</v>
      </c>
      <c r="AQ116" s="306">
        <f t="shared" ref="AQ116:AR116" si="599">AQ5*AQ25</f>
        <v>0</v>
      </c>
      <c r="AR116" s="307">
        <f t="shared" si="599"/>
        <v>0</v>
      </c>
      <c r="AS116" s="257">
        <f>AR116-AQ116</f>
        <v>0</v>
      </c>
      <c r="AT116" s="306">
        <f t="shared" ref="AT116:AU116" si="600">AT5*AT25</f>
        <v>0</v>
      </c>
      <c r="AU116" s="307">
        <f t="shared" si="600"/>
        <v>0</v>
      </c>
      <c r="AV116" s="257">
        <f>AU116-AT116</f>
        <v>0</v>
      </c>
      <c r="AW116" s="306">
        <f t="shared" ref="AW116:AX116" si="601">AW5*AW25</f>
        <v>0</v>
      </c>
      <c r="AX116" s="307">
        <f t="shared" si="601"/>
        <v>0</v>
      </c>
      <c r="AY116" s="257">
        <f>AX116-AW116</f>
        <v>0</v>
      </c>
      <c r="AZ116" s="306">
        <f t="shared" ref="AZ116:BA116" si="602">AZ5*AZ25</f>
        <v>0</v>
      </c>
      <c r="BA116" s="307">
        <f t="shared" si="602"/>
        <v>0</v>
      </c>
      <c r="BB116" s="257">
        <f>BA116-AZ116</f>
        <v>0</v>
      </c>
      <c r="BC116" s="306">
        <f t="shared" ref="BC116:BD116" si="603">BC5*BC25</f>
        <v>0</v>
      </c>
      <c r="BD116" s="307">
        <f t="shared" si="603"/>
        <v>0</v>
      </c>
      <c r="BE116" s="257">
        <f>BD116-BC116</f>
        <v>0</v>
      </c>
      <c r="BF116" s="306">
        <f t="shared" ref="BF116:BG116" si="604">BF5*BF25</f>
        <v>0</v>
      </c>
      <c r="BG116" s="307">
        <f t="shared" si="604"/>
        <v>0</v>
      </c>
      <c r="BH116" s="257">
        <f>BG116-BF116</f>
        <v>0</v>
      </c>
      <c r="BI116" s="306">
        <f t="shared" ref="BI116:BJ125" si="605">BI5*BI25</f>
        <v>0</v>
      </c>
      <c r="BJ116" s="307">
        <f t="shared" si="605"/>
        <v>0</v>
      </c>
      <c r="BK116" s="257">
        <f>BJ116-BI116</f>
        <v>0</v>
      </c>
      <c r="BL116" s="306">
        <f t="shared" ref="BL116:BM125" si="606">BL5*BL25</f>
        <v>0</v>
      </c>
      <c r="BM116" s="307">
        <f t="shared" si="606"/>
        <v>0</v>
      </c>
      <c r="BN116" s="257">
        <f>BM116-BL116</f>
        <v>0</v>
      </c>
      <c r="BO116" s="306">
        <f t="shared" ref="BO116:BP125" si="607">BO5*BO25</f>
        <v>0</v>
      </c>
      <c r="BP116" s="307">
        <f t="shared" si="607"/>
        <v>0</v>
      </c>
      <c r="BQ116" s="257">
        <f>BP116-BO116</f>
        <v>0</v>
      </c>
    </row>
    <row r="117" spans="1:70" ht="16" x14ac:dyDescent="0.2">
      <c r="A117" s="832"/>
      <c r="B117" s="834"/>
      <c r="C117" s="290" t="s">
        <v>164</v>
      </c>
      <c r="D117" s="291">
        <f t="shared" si="585"/>
        <v>0</v>
      </c>
      <c r="E117" s="292">
        <f t="shared" si="169"/>
        <v>0</v>
      </c>
      <c r="F117" s="293">
        <f t="shared" si="586"/>
        <v>0</v>
      </c>
      <c r="G117" s="298">
        <f t="shared" si="587"/>
        <v>0</v>
      </c>
      <c r="H117" s="299">
        <f t="shared" si="587"/>
        <v>0</v>
      </c>
      <c r="I117" s="262">
        <f t="shared" ref="I117:I125" si="608">H117-G117</f>
        <v>0</v>
      </c>
      <c r="J117" s="298">
        <f t="shared" ref="J117:K117" si="609">J6*J26</f>
        <v>0</v>
      </c>
      <c r="K117" s="299">
        <f t="shared" si="609"/>
        <v>0</v>
      </c>
      <c r="L117" s="262">
        <f t="shared" ref="L117:L125" si="610">K117-J117</f>
        <v>0</v>
      </c>
      <c r="M117" s="298">
        <f t="shared" ref="M117:N117" si="611">M6*M26</f>
        <v>0</v>
      </c>
      <c r="N117" s="299">
        <f t="shared" si="611"/>
        <v>0</v>
      </c>
      <c r="O117" s="262">
        <f t="shared" ref="O117:O125" si="612">N117-M117</f>
        <v>0</v>
      </c>
      <c r="P117" s="298">
        <f t="shared" ref="P117:Q117" si="613">P6*P26</f>
        <v>0</v>
      </c>
      <c r="Q117" s="299">
        <f t="shared" si="613"/>
        <v>0</v>
      </c>
      <c r="R117" s="262">
        <f t="shared" ref="R117:R125" si="614">Q117-P117</f>
        <v>0</v>
      </c>
      <c r="S117" s="298">
        <f t="shared" ref="S117:T117" si="615">S6*S26</f>
        <v>0</v>
      </c>
      <c r="T117" s="299">
        <f t="shared" si="615"/>
        <v>0</v>
      </c>
      <c r="U117" s="262">
        <f t="shared" ref="U117:U125" si="616">T117-S117</f>
        <v>0</v>
      </c>
      <c r="V117" s="298">
        <f t="shared" ref="V117:W117" si="617">V6*V26</f>
        <v>0</v>
      </c>
      <c r="W117" s="299">
        <f t="shared" si="617"/>
        <v>0</v>
      </c>
      <c r="X117" s="262">
        <f t="shared" ref="X117:X125" si="618">W117-V117</f>
        <v>0</v>
      </c>
      <c r="Y117" s="298">
        <f t="shared" ref="Y117:Z117" si="619">Y6*Y26</f>
        <v>0</v>
      </c>
      <c r="Z117" s="299">
        <f t="shared" si="619"/>
        <v>0</v>
      </c>
      <c r="AA117" s="262">
        <f t="shared" ref="AA117:AA125" si="620">Z117-Y117</f>
        <v>0</v>
      </c>
      <c r="AB117" s="298">
        <f t="shared" ref="AB117:AC117" si="621">AB6*AB26</f>
        <v>0</v>
      </c>
      <c r="AC117" s="299">
        <f t="shared" si="621"/>
        <v>0</v>
      </c>
      <c r="AD117" s="262">
        <f t="shared" ref="AD117:AD125" si="622">AC117-AB117</f>
        <v>0</v>
      </c>
      <c r="AE117" s="298">
        <f t="shared" ref="AE117:AF117" si="623">AE6*AE26</f>
        <v>0</v>
      </c>
      <c r="AF117" s="299">
        <f t="shared" si="623"/>
        <v>0</v>
      </c>
      <c r="AG117" s="262">
        <f t="shared" ref="AG117:AG125" si="624">AF117-AE117</f>
        <v>0</v>
      </c>
      <c r="AH117" s="298">
        <f t="shared" ref="AH117:AI117" si="625">AH6*AH26</f>
        <v>0</v>
      </c>
      <c r="AI117" s="299">
        <f t="shared" si="625"/>
        <v>0</v>
      </c>
      <c r="AJ117" s="262">
        <f t="shared" ref="AJ117:AJ125" si="626">AI117-AH117</f>
        <v>0</v>
      </c>
      <c r="AK117" s="298">
        <f t="shared" ref="AK117:AL117" si="627">AK6*AK26</f>
        <v>0</v>
      </c>
      <c r="AL117" s="299">
        <f t="shared" si="627"/>
        <v>0</v>
      </c>
      <c r="AM117" s="262">
        <f t="shared" ref="AM117:AM125" si="628">AL117-AK117</f>
        <v>0</v>
      </c>
      <c r="AN117" s="298">
        <f t="shared" ref="AN117:AO117" si="629">AN6*AN26</f>
        <v>0</v>
      </c>
      <c r="AO117" s="299">
        <f t="shared" si="629"/>
        <v>0</v>
      </c>
      <c r="AP117" s="262">
        <f t="shared" ref="AP117:AP125" si="630">AO117-AN117</f>
        <v>0</v>
      </c>
      <c r="AQ117" s="298">
        <f t="shared" ref="AQ117:AR117" si="631">AQ6*AQ26</f>
        <v>0</v>
      </c>
      <c r="AR117" s="299">
        <f t="shared" si="631"/>
        <v>0</v>
      </c>
      <c r="AS117" s="262">
        <f t="shared" ref="AS117:AS125" si="632">AR117-AQ117</f>
        <v>0</v>
      </c>
      <c r="AT117" s="298">
        <f t="shared" ref="AT117:AU117" si="633">AT6*AT26</f>
        <v>0</v>
      </c>
      <c r="AU117" s="299">
        <f t="shared" si="633"/>
        <v>0</v>
      </c>
      <c r="AV117" s="262">
        <f t="shared" ref="AV117:AV125" si="634">AU117-AT117</f>
        <v>0</v>
      </c>
      <c r="AW117" s="298">
        <f t="shared" ref="AW117:AX117" si="635">AW6*AW26</f>
        <v>0</v>
      </c>
      <c r="AX117" s="299">
        <f t="shared" si="635"/>
        <v>0</v>
      </c>
      <c r="AY117" s="262">
        <f t="shared" ref="AY117:AY125" si="636">AX117-AW117</f>
        <v>0</v>
      </c>
      <c r="AZ117" s="298">
        <f t="shared" ref="AZ117:BA117" si="637">AZ6*AZ26</f>
        <v>0</v>
      </c>
      <c r="BA117" s="299">
        <f t="shared" si="637"/>
        <v>0</v>
      </c>
      <c r="BB117" s="262">
        <f t="shared" ref="BB117:BB125" si="638">BA117-AZ117</f>
        <v>0</v>
      </c>
      <c r="BC117" s="298">
        <f t="shared" ref="BC117:BD117" si="639">BC6*BC26</f>
        <v>0</v>
      </c>
      <c r="BD117" s="299">
        <f t="shared" si="639"/>
        <v>0</v>
      </c>
      <c r="BE117" s="262">
        <f t="shared" ref="BE117:BE125" si="640">BD117-BC117</f>
        <v>0</v>
      </c>
      <c r="BF117" s="298">
        <f t="shared" ref="BF117:BG117" si="641">BF6*BF26</f>
        <v>0</v>
      </c>
      <c r="BG117" s="299">
        <f t="shared" si="641"/>
        <v>0</v>
      </c>
      <c r="BH117" s="262">
        <f t="shared" ref="BH117:BH125" si="642">BG117-BF117</f>
        <v>0</v>
      </c>
      <c r="BI117" s="298">
        <f t="shared" si="605"/>
        <v>0</v>
      </c>
      <c r="BJ117" s="299">
        <f t="shared" si="605"/>
        <v>0</v>
      </c>
      <c r="BK117" s="262">
        <f t="shared" ref="BK117:BK125" si="643">BJ117-BI117</f>
        <v>0</v>
      </c>
      <c r="BL117" s="298">
        <f t="shared" si="606"/>
        <v>0</v>
      </c>
      <c r="BM117" s="299">
        <f t="shared" si="606"/>
        <v>0</v>
      </c>
      <c r="BN117" s="262">
        <f t="shared" ref="BN117:BN125" si="644">BM117-BL117</f>
        <v>0</v>
      </c>
      <c r="BO117" s="298">
        <f t="shared" si="607"/>
        <v>0</v>
      </c>
      <c r="BP117" s="299">
        <f t="shared" si="607"/>
        <v>0</v>
      </c>
      <c r="BQ117" s="262">
        <f t="shared" ref="BQ117:BQ125" si="645">BP117-BO117</f>
        <v>0</v>
      </c>
    </row>
    <row r="118" spans="1:70" ht="16" x14ac:dyDescent="0.2">
      <c r="A118" s="832"/>
      <c r="B118" s="834"/>
      <c r="C118" s="290" t="s">
        <v>165</v>
      </c>
      <c r="D118" s="291">
        <f t="shared" si="585"/>
        <v>0</v>
      </c>
      <c r="E118" s="292">
        <f t="shared" si="169"/>
        <v>0</v>
      </c>
      <c r="F118" s="293">
        <f t="shared" si="586"/>
        <v>0</v>
      </c>
      <c r="G118" s="298">
        <f t="shared" si="587"/>
        <v>0</v>
      </c>
      <c r="H118" s="299">
        <f t="shared" si="587"/>
        <v>0</v>
      </c>
      <c r="I118" s="262">
        <f t="shared" si="608"/>
        <v>0</v>
      </c>
      <c r="J118" s="298">
        <f t="shared" ref="J118:K118" si="646">J7*J27</f>
        <v>0</v>
      </c>
      <c r="K118" s="299">
        <f t="shared" si="646"/>
        <v>0</v>
      </c>
      <c r="L118" s="262">
        <f t="shared" si="610"/>
        <v>0</v>
      </c>
      <c r="M118" s="298">
        <f t="shared" ref="M118:N118" si="647">M7*M27</f>
        <v>0</v>
      </c>
      <c r="N118" s="299">
        <f t="shared" si="647"/>
        <v>0</v>
      </c>
      <c r="O118" s="262">
        <f t="shared" si="612"/>
        <v>0</v>
      </c>
      <c r="P118" s="298">
        <f t="shared" ref="P118:Q118" si="648">P7*P27</f>
        <v>0</v>
      </c>
      <c r="Q118" s="299">
        <f t="shared" si="648"/>
        <v>0</v>
      </c>
      <c r="R118" s="262">
        <f t="shared" si="614"/>
        <v>0</v>
      </c>
      <c r="S118" s="298">
        <f t="shared" ref="S118:T118" si="649">S7*S27</f>
        <v>0</v>
      </c>
      <c r="T118" s="299">
        <f t="shared" si="649"/>
        <v>0</v>
      </c>
      <c r="U118" s="262">
        <f t="shared" si="616"/>
        <v>0</v>
      </c>
      <c r="V118" s="298">
        <f t="shared" ref="V118:W118" si="650">V7*V27</f>
        <v>0</v>
      </c>
      <c r="W118" s="299">
        <f t="shared" si="650"/>
        <v>0</v>
      </c>
      <c r="X118" s="262">
        <f t="shared" si="618"/>
        <v>0</v>
      </c>
      <c r="Y118" s="298">
        <f t="shared" ref="Y118:Z118" si="651">Y7*Y27</f>
        <v>0</v>
      </c>
      <c r="Z118" s="299">
        <f t="shared" si="651"/>
        <v>0</v>
      </c>
      <c r="AA118" s="262">
        <f t="shared" si="620"/>
        <v>0</v>
      </c>
      <c r="AB118" s="298">
        <f t="shared" ref="AB118:AC118" si="652">AB7*AB27</f>
        <v>0</v>
      </c>
      <c r="AC118" s="299">
        <f t="shared" si="652"/>
        <v>0</v>
      </c>
      <c r="AD118" s="262">
        <f t="shared" si="622"/>
        <v>0</v>
      </c>
      <c r="AE118" s="298">
        <f t="shared" ref="AE118:AF118" si="653">AE7*AE27</f>
        <v>0</v>
      </c>
      <c r="AF118" s="299">
        <f t="shared" si="653"/>
        <v>0</v>
      </c>
      <c r="AG118" s="262">
        <f t="shared" si="624"/>
        <v>0</v>
      </c>
      <c r="AH118" s="298">
        <f t="shared" ref="AH118:AI118" si="654">AH7*AH27</f>
        <v>0</v>
      </c>
      <c r="AI118" s="299">
        <f t="shared" si="654"/>
        <v>0</v>
      </c>
      <c r="AJ118" s="262">
        <f t="shared" si="626"/>
        <v>0</v>
      </c>
      <c r="AK118" s="298">
        <f t="shared" ref="AK118:AL118" si="655">AK7*AK27</f>
        <v>0</v>
      </c>
      <c r="AL118" s="299">
        <f t="shared" si="655"/>
        <v>0</v>
      </c>
      <c r="AM118" s="262">
        <f t="shared" si="628"/>
        <v>0</v>
      </c>
      <c r="AN118" s="298">
        <f t="shared" ref="AN118:AO118" si="656">AN7*AN27</f>
        <v>0</v>
      </c>
      <c r="AO118" s="299">
        <f t="shared" si="656"/>
        <v>0</v>
      </c>
      <c r="AP118" s="262">
        <f t="shared" si="630"/>
        <v>0</v>
      </c>
      <c r="AQ118" s="298">
        <f t="shared" ref="AQ118:AR118" si="657">AQ7*AQ27</f>
        <v>0</v>
      </c>
      <c r="AR118" s="299">
        <f t="shared" si="657"/>
        <v>0</v>
      </c>
      <c r="AS118" s="262">
        <f t="shared" si="632"/>
        <v>0</v>
      </c>
      <c r="AT118" s="298">
        <f t="shared" ref="AT118:AU118" si="658">AT7*AT27</f>
        <v>0</v>
      </c>
      <c r="AU118" s="299">
        <f t="shared" si="658"/>
        <v>0</v>
      </c>
      <c r="AV118" s="262">
        <f t="shared" si="634"/>
        <v>0</v>
      </c>
      <c r="AW118" s="298">
        <f t="shared" ref="AW118:AX118" si="659">AW7*AW27</f>
        <v>0</v>
      </c>
      <c r="AX118" s="299">
        <f t="shared" si="659"/>
        <v>0</v>
      </c>
      <c r="AY118" s="262">
        <f t="shared" si="636"/>
        <v>0</v>
      </c>
      <c r="AZ118" s="298">
        <f t="shared" ref="AZ118:BA118" si="660">AZ7*AZ27</f>
        <v>0</v>
      </c>
      <c r="BA118" s="299">
        <f t="shared" si="660"/>
        <v>0</v>
      </c>
      <c r="BB118" s="262">
        <f t="shared" si="638"/>
        <v>0</v>
      </c>
      <c r="BC118" s="298">
        <f t="shared" ref="BC118:BD118" si="661">BC7*BC27</f>
        <v>0</v>
      </c>
      <c r="BD118" s="299">
        <f t="shared" si="661"/>
        <v>0</v>
      </c>
      <c r="BE118" s="262">
        <f t="shared" si="640"/>
        <v>0</v>
      </c>
      <c r="BF118" s="298">
        <f t="shared" ref="BF118:BG118" si="662">BF7*BF27</f>
        <v>0</v>
      </c>
      <c r="BG118" s="299">
        <f t="shared" si="662"/>
        <v>0</v>
      </c>
      <c r="BH118" s="262">
        <f t="shared" si="642"/>
        <v>0</v>
      </c>
      <c r="BI118" s="298">
        <f t="shared" si="605"/>
        <v>0</v>
      </c>
      <c r="BJ118" s="299">
        <f t="shared" si="605"/>
        <v>0</v>
      </c>
      <c r="BK118" s="262">
        <f t="shared" si="643"/>
        <v>0</v>
      </c>
      <c r="BL118" s="298">
        <f t="shared" si="606"/>
        <v>0</v>
      </c>
      <c r="BM118" s="299">
        <f t="shared" si="606"/>
        <v>0</v>
      </c>
      <c r="BN118" s="262">
        <f t="shared" si="644"/>
        <v>0</v>
      </c>
      <c r="BO118" s="298">
        <f t="shared" si="607"/>
        <v>0</v>
      </c>
      <c r="BP118" s="299">
        <f t="shared" si="607"/>
        <v>0</v>
      </c>
      <c r="BQ118" s="262">
        <f t="shared" si="645"/>
        <v>0</v>
      </c>
    </row>
    <row r="119" spans="1:70" ht="16" x14ac:dyDescent="0.2">
      <c r="A119" s="832"/>
      <c r="B119" s="834"/>
      <c r="C119" s="290" t="s">
        <v>166</v>
      </c>
      <c r="D119" s="291">
        <f t="shared" si="585"/>
        <v>0</v>
      </c>
      <c r="E119" s="292">
        <f t="shared" si="169"/>
        <v>0</v>
      </c>
      <c r="F119" s="293">
        <f t="shared" si="586"/>
        <v>0</v>
      </c>
      <c r="G119" s="298">
        <f t="shared" si="587"/>
        <v>0</v>
      </c>
      <c r="H119" s="299">
        <f t="shared" si="587"/>
        <v>0</v>
      </c>
      <c r="I119" s="262">
        <f t="shared" si="608"/>
        <v>0</v>
      </c>
      <c r="J119" s="298">
        <f t="shared" ref="J119:K119" si="663">J8*J28</f>
        <v>0</v>
      </c>
      <c r="K119" s="299">
        <f t="shared" si="663"/>
        <v>0</v>
      </c>
      <c r="L119" s="262">
        <f t="shared" si="610"/>
        <v>0</v>
      </c>
      <c r="M119" s="298">
        <f t="shared" ref="M119:N119" si="664">M8*M28</f>
        <v>0</v>
      </c>
      <c r="N119" s="299">
        <f t="shared" si="664"/>
        <v>0</v>
      </c>
      <c r="O119" s="262">
        <f t="shared" si="612"/>
        <v>0</v>
      </c>
      <c r="P119" s="298">
        <f t="shared" ref="P119:Q119" si="665">P8*P28</f>
        <v>0</v>
      </c>
      <c r="Q119" s="299">
        <f t="shared" si="665"/>
        <v>0</v>
      </c>
      <c r="R119" s="262">
        <f t="shared" si="614"/>
        <v>0</v>
      </c>
      <c r="S119" s="298">
        <f t="shared" ref="S119:T119" si="666">S8*S28</f>
        <v>0</v>
      </c>
      <c r="T119" s="299">
        <f t="shared" si="666"/>
        <v>0</v>
      </c>
      <c r="U119" s="262">
        <f t="shared" si="616"/>
        <v>0</v>
      </c>
      <c r="V119" s="298">
        <f t="shared" ref="V119:W119" si="667">V8*V28</f>
        <v>0</v>
      </c>
      <c r="W119" s="299">
        <f t="shared" si="667"/>
        <v>0</v>
      </c>
      <c r="X119" s="262">
        <f t="shared" si="618"/>
        <v>0</v>
      </c>
      <c r="Y119" s="298">
        <f t="shared" ref="Y119:Z119" si="668">Y8*Y28</f>
        <v>0</v>
      </c>
      <c r="Z119" s="299">
        <f t="shared" si="668"/>
        <v>0</v>
      </c>
      <c r="AA119" s="262">
        <f t="shared" si="620"/>
        <v>0</v>
      </c>
      <c r="AB119" s="298">
        <f t="shared" ref="AB119:AC119" si="669">AB8*AB28</f>
        <v>0</v>
      </c>
      <c r="AC119" s="299">
        <f t="shared" si="669"/>
        <v>0</v>
      </c>
      <c r="AD119" s="262">
        <f t="shared" si="622"/>
        <v>0</v>
      </c>
      <c r="AE119" s="298">
        <f t="shared" ref="AE119:AF119" si="670">AE8*AE28</f>
        <v>0</v>
      </c>
      <c r="AF119" s="299">
        <f t="shared" si="670"/>
        <v>0</v>
      </c>
      <c r="AG119" s="262">
        <f t="shared" si="624"/>
        <v>0</v>
      </c>
      <c r="AH119" s="298">
        <f t="shared" ref="AH119:AI119" si="671">AH8*AH28</f>
        <v>0</v>
      </c>
      <c r="AI119" s="299">
        <f t="shared" si="671"/>
        <v>0</v>
      </c>
      <c r="AJ119" s="262">
        <f t="shared" si="626"/>
        <v>0</v>
      </c>
      <c r="AK119" s="298">
        <f t="shared" ref="AK119:AL119" si="672">AK8*AK28</f>
        <v>0</v>
      </c>
      <c r="AL119" s="299">
        <f t="shared" si="672"/>
        <v>0</v>
      </c>
      <c r="AM119" s="262">
        <f t="shared" si="628"/>
        <v>0</v>
      </c>
      <c r="AN119" s="298">
        <f t="shared" ref="AN119:AO119" si="673">AN8*AN28</f>
        <v>0</v>
      </c>
      <c r="AO119" s="299">
        <f t="shared" si="673"/>
        <v>0</v>
      </c>
      <c r="AP119" s="262">
        <f t="shared" si="630"/>
        <v>0</v>
      </c>
      <c r="AQ119" s="298">
        <f t="shared" ref="AQ119:AR119" si="674">AQ8*AQ28</f>
        <v>0</v>
      </c>
      <c r="AR119" s="299">
        <f t="shared" si="674"/>
        <v>0</v>
      </c>
      <c r="AS119" s="262">
        <f t="shared" si="632"/>
        <v>0</v>
      </c>
      <c r="AT119" s="298">
        <f t="shared" ref="AT119:AU119" si="675">AT8*AT28</f>
        <v>0</v>
      </c>
      <c r="AU119" s="299">
        <f t="shared" si="675"/>
        <v>0</v>
      </c>
      <c r="AV119" s="262">
        <f t="shared" si="634"/>
        <v>0</v>
      </c>
      <c r="AW119" s="298">
        <f t="shared" ref="AW119:AX119" si="676">AW8*AW28</f>
        <v>0</v>
      </c>
      <c r="AX119" s="299">
        <f t="shared" si="676"/>
        <v>0</v>
      </c>
      <c r="AY119" s="262">
        <f t="shared" si="636"/>
        <v>0</v>
      </c>
      <c r="AZ119" s="298">
        <f t="shared" ref="AZ119:BA119" si="677">AZ8*AZ28</f>
        <v>0</v>
      </c>
      <c r="BA119" s="299">
        <f t="shared" si="677"/>
        <v>0</v>
      </c>
      <c r="BB119" s="262">
        <f t="shared" si="638"/>
        <v>0</v>
      </c>
      <c r="BC119" s="298">
        <f t="shared" ref="BC119:BD119" si="678">BC8*BC28</f>
        <v>0</v>
      </c>
      <c r="BD119" s="299">
        <f t="shared" si="678"/>
        <v>0</v>
      </c>
      <c r="BE119" s="262">
        <f t="shared" si="640"/>
        <v>0</v>
      </c>
      <c r="BF119" s="298">
        <f t="shared" ref="BF119:BG119" si="679">BF8*BF28</f>
        <v>0</v>
      </c>
      <c r="BG119" s="299">
        <f t="shared" si="679"/>
        <v>0</v>
      </c>
      <c r="BH119" s="262">
        <f t="shared" si="642"/>
        <v>0</v>
      </c>
      <c r="BI119" s="298">
        <f t="shared" si="605"/>
        <v>0</v>
      </c>
      <c r="BJ119" s="299">
        <f t="shared" si="605"/>
        <v>0</v>
      </c>
      <c r="BK119" s="262">
        <f t="shared" si="643"/>
        <v>0</v>
      </c>
      <c r="BL119" s="298">
        <f t="shared" si="606"/>
        <v>0</v>
      </c>
      <c r="BM119" s="299">
        <f t="shared" si="606"/>
        <v>0</v>
      </c>
      <c r="BN119" s="262">
        <f t="shared" si="644"/>
        <v>0</v>
      </c>
      <c r="BO119" s="298">
        <f t="shared" si="607"/>
        <v>0</v>
      </c>
      <c r="BP119" s="299">
        <f t="shared" si="607"/>
        <v>0</v>
      </c>
      <c r="BQ119" s="262">
        <f t="shared" si="645"/>
        <v>0</v>
      </c>
    </row>
    <row r="120" spans="1:70" ht="16" x14ac:dyDescent="0.2">
      <c r="A120" s="832"/>
      <c r="B120" s="834"/>
      <c r="C120" s="290" t="s">
        <v>167</v>
      </c>
      <c r="D120" s="291">
        <f t="shared" si="585"/>
        <v>0</v>
      </c>
      <c r="E120" s="292">
        <f t="shared" si="169"/>
        <v>0</v>
      </c>
      <c r="F120" s="293">
        <f t="shared" si="586"/>
        <v>0</v>
      </c>
      <c r="G120" s="298">
        <f t="shared" si="587"/>
        <v>0</v>
      </c>
      <c r="H120" s="299">
        <f t="shared" si="587"/>
        <v>0</v>
      </c>
      <c r="I120" s="262">
        <f t="shared" si="608"/>
        <v>0</v>
      </c>
      <c r="J120" s="298">
        <f t="shared" ref="J120:K120" si="680">J9*J29</f>
        <v>0</v>
      </c>
      <c r="K120" s="299">
        <f t="shared" si="680"/>
        <v>0</v>
      </c>
      <c r="L120" s="262">
        <f t="shared" si="610"/>
        <v>0</v>
      </c>
      <c r="M120" s="298">
        <f t="shared" ref="M120:N120" si="681">M9*M29</f>
        <v>0</v>
      </c>
      <c r="N120" s="299">
        <f t="shared" si="681"/>
        <v>0</v>
      </c>
      <c r="O120" s="262">
        <f t="shared" si="612"/>
        <v>0</v>
      </c>
      <c r="P120" s="298">
        <f t="shared" ref="P120:Q120" si="682">P9*P29</f>
        <v>0</v>
      </c>
      <c r="Q120" s="299">
        <f t="shared" si="682"/>
        <v>0</v>
      </c>
      <c r="R120" s="262">
        <f t="shared" si="614"/>
        <v>0</v>
      </c>
      <c r="S120" s="298">
        <f t="shared" ref="S120:T120" si="683">S9*S29</f>
        <v>0</v>
      </c>
      <c r="T120" s="299">
        <f t="shared" si="683"/>
        <v>0</v>
      </c>
      <c r="U120" s="262">
        <f t="shared" si="616"/>
        <v>0</v>
      </c>
      <c r="V120" s="298">
        <f t="shared" ref="V120:W120" si="684">V9*V29</f>
        <v>0</v>
      </c>
      <c r="W120" s="299">
        <f t="shared" si="684"/>
        <v>0</v>
      </c>
      <c r="X120" s="262">
        <f t="shared" si="618"/>
        <v>0</v>
      </c>
      <c r="Y120" s="298">
        <f t="shared" ref="Y120:Z120" si="685">Y9*Y29</f>
        <v>0</v>
      </c>
      <c r="Z120" s="299">
        <f t="shared" si="685"/>
        <v>0</v>
      </c>
      <c r="AA120" s="262">
        <f t="shared" si="620"/>
        <v>0</v>
      </c>
      <c r="AB120" s="298">
        <f t="shared" ref="AB120:AC120" si="686">AB9*AB29</f>
        <v>0</v>
      </c>
      <c r="AC120" s="299">
        <f t="shared" si="686"/>
        <v>0</v>
      </c>
      <c r="AD120" s="262">
        <f t="shared" si="622"/>
        <v>0</v>
      </c>
      <c r="AE120" s="298">
        <f t="shared" ref="AE120:AF120" si="687">AE9*AE29</f>
        <v>0</v>
      </c>
      <c r="AF120" s="299">
        <f t="shared" si="687"/>
        <v>0</v>
      </c>
      <c r="AG120" s="262">
        <f t="shared" si="624"/>
        <v>0</v>
      </c>
      <c r="AH120" s="298">
        <f t="shared" ref="AH120:AI120" si="688">AH9*AH29</f>
        <v>0</v>
      </c>
      <c r="AI120" s="299">
        <f t="shared" si="688"/>
        <v>0</v>
      </c>
      <c r="AJ120" s="262">
        <f t="shared" si="626"/>
        <v>0</v>
      </c>
      <c r="AK120" s="298">
        <f t="shared" ref="AK120:AL120" si="689">AK9*AK29</f>
        <v>0</v>
      </c>
      <c r="AL120" s="299">
        <f t="shared" si="689"/>
        <v>0</v>
      </c>
      <c r="AM120" s="262">
        <f t="shared" si="628"/>
        <v>0</v>
      </c>
      <c r="AN120" s="298">
        <f t="shared" ref="AN120:AO120" si="690">AN9*AN29</f>
        <v>0</v>
      </c>
      <c r="AO120" s="299">
        <f t="shared" si="690"/>
        <v>0</v>
      </c>
      <c r="AP120" s="262">
        <f t="shared" si="630"/>
        <v>0</v>
      </c>
      <c r="AQ120" s="298">
        <f t="shared" ref="AQ120:AR120" si="691">AQ9*AQ29</f>
        <v>0</v>
      </c>
      <c r="AR120" s="299">
        <f t="shared" si="691"/>
        <v>0</v>
      </c>
      <c r="AS120" s="262">
        <f t="shared" si="632"/>
        <v>0</v>
      </c>
      <c r="AT120" s="298">
        <f t="shared" ref="AT120:AU120" si="692">AT9*AT29</f>
        <v>0</v>
      </c>
      <c r="AU120" s="299">
        <f t="shared" si="692"/>
        <v>0</v>
      </c>
      <c r="AV120" s="262">
        <f t="shared" si="634"/>
        <v>0</v>
      </c>
      <c r="AW120" s="298">
        <f t="shared" ref="AW120:AX120" si="693">AW9*AW29</f>
        <v>0</v>
      </c>
      <c r="AX120" s="299">
        <f t="shared" si="693"/>
        <v>0</v>
      </c>
      <c r="AY120" s="262">
        <f t="shared" si="636"/>
        <v>0</v>
      </c>
      <c r="AZ120" s="298">
        <f t="shared" ref="AZ120:BA120" si="694">AZ9*AZ29</f>
        <v>0</v>
      </c>
      <c r="BA120" s="299">
        <f t="shared" si="694"/>
        <v>0</v>
      </c>
      <c r="BB120" s="262">
        <f t="shared" si="638"/>
        <v>0</v>
      </c>
      <c r="BC120" s="298">
        <f t="shared" ref="BC120:BD120" si="695">BC9*BC29</f>
        <v>0</v>
      </c>
      <c r="BD120" s="299">
        <f t="shared" si="695"/>
        <v>0</v>
      </c>
      <c r="BE120" s="262">
        <f t="shared" si="640"/>
        <v>0</v>
      </c>
      <c r="BF120" s="298">
        <f t="shared" ref="BF120:BG120" si="696">BF9*BF29</f>
        <v>0</v>
      </c>
      <c r="BG120" s="299">
        <f t="shared" si="696"/>
        <v>0</v>
      </c>
      <c r="BH120" s="262">
        <f t="shared" si="642"/>
        <v>0</v>
      </c>
      <c r="BI120" s="298">
        <f t="shared" si="605"/>
        <v>0</v>
      </c>
      <c r="BJ120" s="299">
        <f t="shared" si="605"/>
        <v>0</v>
      </c>
      <c r="BK120" s="262">
        <f t="shared" si="643"/>
        <v>0</v>
      </c>
      <c r="BL120" s="298">
        <f t="shared" si="606"/>
        <v>0</v>
      </c>
      <c r="BM120" s="299">
        <f t="shared" si="606"/>
        <v>0</v>
      </c>
      <c r="BN120" s="262">
        <f t="shared" si="644"/>
        <v>0</v>
      </c>
      <c r="BO120" s="298">
        <f t="shared" si="607"/>
        <v>0</v>
      </c>
      <c r="BP120" s="299">
        <f t="shared" si="607"/>
        <v>0</v>
      </c>
      <c r="BQ120" s="262">
        <f t="shared" si="645"/>
        <v>0</v>
      </c>
    </row>
    <row r="121" spans="1:70" ht="16" x14ac:dyDescent="0.2">
      <c r="A121" s="832"/>
      <c r="B121" s="834"/>
      <c r="C121" s="290" t="s">
        <v>168</v>
      </c>
      <c r="D121" s="291">
        <f t="shared" si="585"/>
        <v>0</v>
      </c>
      <c r="E121" s="292">
        <f t="shared" si="169"/>
        <v>0</v>
      </c>
      <c r="F121" s="293">
        <f t="shared" si="586"/>
        <v>0</v>
      </c>
      <c r="G121" s="298">
        <f t="shared" si="587"/>
        <v>0</v>
      </c>
      <c r="H121" s="299">
        <f t="shared" si="587"/>
        <v>0</v>
      </c>
      <c r="I121" s="262">
        <f t="shared" si="608"/>
        <v>0</v>
      </c>
      <c r="J121" s="298">
        <f t="shared" ref="J121:K121" si="697">J10*J30</f>
        <v>0</v>
      </c>
      <c r="K121" s="299">
        <f t="shared" si="697"/>
        <v>0</v>
      </c>
      <c r="L121" s="262">
        <f t="shared" si="610"/>
        <v>0</v>
      </c>
      <c r="M121" s="298">
        <f t="shared" ref="M121:N121" si="698">M10*M30</f>
        <v>0</v>
      </c>
      <c r="N121" s="299">
        <f t="shared" si="698"/>
        <v>0</v>
      </c>
      <c r="O121" s="262">
        <f t="shared" si="612"/>
        <v>0</v>
      </c>
      <c r="P121" s="298">
        <f t="shared" ref="P121:Q121" si="699">P10*P30</f>
        <v>0</v>
      </c>
      <c r="Q121" s="299">
        <f t="shared" si="699"/>
        <v>0</v>
      </c>
      <c r="R121" s="262">
        <f t="shared" si="614"/>
        <v>0</v>
      </c>
      <c r="S121" s="298">
        <f t="shared" ref="S121:T121" si="700">S10*S30</f>
        <v>0</v>
      </c>
      <c r="T121" s="299">
        <f t="shared" si="700"/>
        <v>0</v>
      </c>
      <c r="U121" s="262">
        <f t="shared" si="616"/>
        <v>0</v>
      </c>
      <c r="V121" s="298">
        <f t="shared" ref="V121:W121" si="701">V10*V30</f>
        <v>0</v>
      </c>
      <c r="W121" s="299">
        <f t="shared" si="701"/>
        <v>0</v>
      </c>
      <c r="X121" s="262">
        <f t="shared" si="618"/>
        <v>0</v>
      </c>
      <c r="Y121" s="298">
        <f t="shared" ref="Y121:Z121" si="702">Y10*Y30</f>
        <v>0</v>
      </c>
      <c r="Z121" s="299">
        <f t="shared" si="702"/>
        <v>0</v>
      </c>
      <c r="AA121" s="262">
        <f t="shared" si="620"/>
        <v>0</v>
      </c>
      <c r="AB121" s="298">
        <f t="shared" ref="AB121:AC121" si="703">AB10*AB30</f>
        <v>0</v>
      </c>
      <c r="AC121" s="299">
        <f t="shared" si="703"/>
        <v>0</v>
      </c>
      <c r="AD121" s="262">
        <f t="shared" si="622"/>
        <v>0</v>
      </c>
      <c r="AE121" s="298">
        <f t="shared" ref="AE121:AF121" si="704">AE10*AE30</f>
        <v>0</v>
      </c>
      <c r="AF121" s="299">
        <f t="shared" si="704"/>
        <v>0</v>
      </c>
      <c r="AG121" s="262">
        <f t="shared" si="624"/>
        <v>0</v>
      </c>
      <c r="AH121" s="298">
        <f t="shared" ref="AH121:AI121" si="705">AH10*AH30</f>
        <v>0</v>
      </c>
      <c r="AI121" s="299">
        <f t="shared" si="705"/>
        <v>0</v>
      </c>
      <c r="AJ121" s="262">
        <f t="shared" si="626"/>
        <v>0</v>
      </c>
      <c r="AK121" s="298">
        <f t="shared" ref="AK121:AL121" si="706">AK10*AK30</f>
        <v>0</v>
      </c>
      <c r="AL121" s="299">
        <f t="shared" si="706"/>
        <v>0</v>
      </c>
      <c r="AM121" s="262">
        <f t="shared" si="628"/>
        <v>0</v>
      </c>
      <c r="AN121" s="298">
        <f t="shared" ref="AN121:AO121" si="707">AN10*AN30</f>
        <v>0</v>
      </c>
      <c r="AO121" s="299">
        <f t="shared" si="707"/>
        <v>0</v>
      </c>
      <c r="AP121" s="262">
        <f t="shared" si="630"/>
        <v>0</v>
      </c>
      <c r="AQ121" s="298">
        <f t="shared" ref="AQ121:AR121" si="708">AQ10*AQ30</f>
        <v>0</v>
      </c>
      <c r="AR121" s="299">
        <f t="shared" si="708"/>
        <v>0</v>
      </c>
      <c r="AS121" s="262">
        <f t="shared" si="632"/>
        <v>0</v>
      </c>
      <c r="AT121" s="298">
        <f t="shared" ref="AT121:AU121" si="709">AT10*AT30</f>
        <v>0</v>
      </c>
      <c r="AU121" s="299">
        <f t="shared" si="709"/>
        <v>0</v>
      </c>
      <c r="AV121" s="262">
        <f t="shared" si="634"/>
        <v>0</v>
      </c>
      <c r="AW121" s="298">
        <f t="shared" ref="AW121:AX121" si="710">AW10*AW30</f>
        <v>0</v>
      </c>
      <c r="AX121" s="299">
        <f t="shared" si="710"/>
        <v>0</v>
      </c>
      <c r="AY121" s="262">
        <f t="shared" si="636"/>
        <v>0</v>
      </c>
      <c r="AZ121" s="298">
        <f t="shared" ref="AZ121:BA121" si="711">AZ10*AZ30</f>
        <v>0</v>
      </c>
      <c r="BA121" s="299">
        <f t="shared" si="711"/>
        <v>0</v>
      </c>
      <c r="BB121" s="262">
        <f t="shared" si="638"/>
        <v>0</v>
      </c>
      <c r="BC121" s="298">
        <f t="shared" ref="BC121:BD121" si="712">BC10*BC30</f>
        <v>0</v>
      </c>
      <c r="BD121" s="299">
        <f t="shared" si="712"/>
        <v>0</v>
      </c>
      <c r="BE121" s="262">
        <f t="shared" si="640"/>
        <v>0</v>
      </c>
      <c r="BF121" s="298">
        <f t="shared" ref="BF121:BG121" si="713">BF10*BF30</f>
        <v>0</v>
      </c>
      <c r="BG121" s="299">
        <f t="shared" si="713"/>
        <v>0</v>
      </c>
      <c r="BH121" s="262">
        <f t="shared" si="642"/>
        <v>0</v>
      </c>
      <c r="BI121" s="298">
        <f t="shared" si="605"/>
        <v>0</v>
      </c>
      <c r="BJ121" s="299">
        <f t="shared" si="605"/>
        <v>0</v>
      </c>
      <c r="BK121" s="262">
        <f t="shared" si="643"/>
        <v>0</v>
      </c>
      <c r="BL121" s="298">
        <f t="shared" si="606"/>
        <v>0</v>
      </c>
      <c r="BM121" s="299">
        <f t="shared" si="606"/>
        <v>0</v>
      </c>
      <c r="BN121" s="262">
        <f t="shared" si="644"/>
        <v>0</v>
      </c>
      <c r="BO121" s="298">
        <f t="shared" si="607"/>
        <v>0</v>
      </c>
      <c r="BP121" s="299">
        <f t="shared" si="607"/>
        <v>0</v>
      </c>
      <c r="BQ121" s="262">
        <f t="shared" si="645"/>
        <v>0</v>
      </c>
    </row>
    <row r="122" spans="1:70" ht="16" x14ac:dyDescent="0.2">
      <c r="A122" s="832"/>
      <c r="B122" s="834"/>
      <c r="C122" s="290" t="s">
        <v>169</v>
      </c>
      <c r="D122" s="291">
        <f t="shared" si="585"/>
        <v>0</v>
      </c>
      <c r="E122" s="292">
        <f t="shared" si="169"/>
        <v>0</v>
      </c>
      <c r="F122" s="293">
        <f t="shared" si="586"/>
        <v>0</v>
      </c>
      <c r="G122" s="298">
        <f t="shared" si="587"/>
        <v>0</v>
      </c>
      <c r="H122" s="299">
        <f t="shared" si="587"/>
        <v>0</v>
      </c>
      <c r="I122" s="262">
        <f t="shared" si="608"/>
        <v>0</v>
      </c>
      <c r="J122" s="298">
        <f t="shared" ref="J122:K122" si="714">J11*J31</f>
        <v>0</v>
      </c>
      <c r="K122" s="299">
        <f t="shared" si="714"/>
        <v>0</v>
      </c>
      <c r="L122" s="262">
        <f t="shared" si="610"/>
        <v>0</v>
      </c>
      <c r="M122" s="298">
        <f t="shared" ref="M122:N122" si="715">M11*M31</f>
        <v>0</v>
      </c>
      <c r="N122" s="299">
        <f t="shared" si="715"/>
        <v>0</v>
      </c>
      <c r="O122" s="262">
        <f t="shared" si="612"/>
        <v>0</v>
      </c>
      <c r="P122" s="298">
        <f t="shared" ref="P122:Q122" si="716">P11*P31</f>
        <v>0</v>
      </c>
      <c r="Q122" s="299">
        <f t="shared" si="716"/>
        <v>0</v>
      </c>
      <c r="R122" s="262">
        <f t="shared" si="614"/>
        <v>0</v>
      </c>
      <c r="S122" s="298">
        <f t="shared" ref="S122:T122" si="717">S11*S31</f>
        <v>0</v>
      </c>
      <c r="T122" s="299">
        <f t="shared" si="717"/>
        <v>0</v>
      </c>
      <c r="U122" s="262">
        <f t="shared" si="616"/>
        <v>0</v>
      </c>
      <c r="V122" s="298">
        <f t="shared" ref="V122:W122" si="718">V11*V31</f>
        <v>0</v>
      </c>
      <c r="W122" s="299">
        <f t="shared" si="718"/>
        <v>0</v>
      </c>
      <c r="X122" s="262">
        <f t="shared" si="618"/>
        <v>0</v>
      </c>
      <c r="Y122" s="298">
        <f t="shared" ref="Y122:Z122" si="719">Y11*Y31</f>
        <v>0</v>
      </c>
      <c r="Z122" s="299">
        <f t="shared" si="719"/>
        <v>0</v>
      </c>
      <c r="AA122" s="262">
        <f t="shared" si="620"/>
        <v>0</v>
      </c>
      <c r="AB122" s="298">
        <f t="shared" ref="AB122:AC122" si="720">AB11*AB31</f>
        <v>0</v>
      </c>
      <c r="AC122" s="299">
        <f t="shared" si="720"/>
        <v>0</v>
      </c>
      <c r="AD122" s="262">
        <f t="shared" si="622"/>
        <v>0</v>
      </c>
      <c r="AE122" s="298">
        <f t="shared" ref="AE122:AF122" si="721">AE11*AE31</f>
        <v>0</v>
      </c>
      <c r="AF122" s="299">
        <f t="shared" si="721"/>
        <v>0</v>
      </c>
      <c r="AG122" s="262">
        <f t="shared" si="624"/>
        <v>0</v>
      </c>
      <c r="AH122" s="298">
        <f t="shared" ref="AH122:AI122" si="722">AH11*AH31</f>
        <v>0</v>
      </c>
      <c r="AI122" s="299">
        <f t="shared" si="722"/>
        <v>0</v>
      </c>
      <c r="AJ122" s="262">
        <f t="shared" si="626"/>
        <v>0</v>
      </c>
      <c r="AK122" s="298">
        <f t="shared" ref="AK122:AL122" si="723">AK11*AK31</f>
        <v>0</v>
      </c>
      <c r="AL122" s="299">
        <f t="shared" si="723"/>
        <v>0</v>
      </c>
      <c r="AM122" s="262">
        <f t="shared" si="628"/>
        <v>0</v>
      </c>
      <c r="AN122" s="298">
        <f t="shared" ref="AN122:AO122" si="724">AN11*AN31</f>
        <v>0</v>
      </c>
      <c r="AO122" s="299">
        <f t="shared" si="724"/>
        <v>0</v>
      </c>
      <c r="AP122" s="262">
        <f t="shared" si="630"/>
        <v>0</v>
      </c>
      <c r="AQ122" s="298">
        <f t="shared" ref="AQ122:AR122" si="725">AQ11*AQ31</f>
        <v>0</v>
      </c>
      <c r="AR122" s="299">
        <f t="shared" si="725"/>
        <v>0</v>
      </c>
      <c r="AS122" s="262">
        <f t="shared" si="632"/>
        <v>0</v>
      </c>
      <c r="AT122" s="298">
        <f t="shared" ref="AT122:AU122" si="726">AT11*AT31</f>
        <v>0</v>
      </c>
      <c r="AU122" s="299">
        <f t="shared" si="726"/>
        <v>0</v>
      </c>
      <c r="AV122" s="262">
        <f t="shared" si="634"/>
        <v>0</v>
      </c>
      <c r="AW122" s="298">
        <f t="shared" ref="AW122:AX122" si="727">AW11*AW31</f>
        <v>0</v>
      </c>
      <c r="AX122" s="299">
        <f t="shared" si="727"/>
        <v>0</v>
      </c>
      <c r="AY122" s="262">
        <f t="shared" si="636"/>
        <v>0</v>
      </c>
      <c r="AZ122" s="298">
        <f t="shared" ref="AZ122:BA122" si="728">AZ11*AZ31</f>
        <v>0</v>
      </c>
      <c r="BA122" s="299">
        <f t="shared" si="728"/>
        <v>0</v>
      </c>
      <c r="BB122" s="262">
        <f t="shared" si="638"/>
        <v>0</v>
      </c>
      <c r="BC122" s="298">
        <f t="shared" ref="BC122:BD122" si="729">BC11*BC31</f>
        <v>0</v>
      </c>
      <c r="BD122" s="299">
        <f t="shared" si="729"/>
        <v>0</v>
      </c>
      <c r="BE122" s="262">
        <f t="shared" si="640"/>
        <v>0</v>
      </c>
      <c r="BF122" s="298">
        <f t="shared" ref="BF122:BG122" si="730">BF11*BF31</f>
        <v>0</v>
      </c>
      <c r="BG122" s="299">
        <f t="shared" si="730"/>
        <v>0</v>
      </c>
      <c r="BH122" s="262">
        <f t="shared" si="642"/>
        <v>0</v>
      </c>
      <c r="BI122" s="298">
        <f t="shared" si="605"/>
        <v>0</v>
      </c>
      <c r="BJ122" s="299">
        <f t="shared" si="605"/>
        <v>0</v>
      </c>
      <c r="BK122" s="262">
        <f t="shared" si="643"/>
        <v>0</v>
      </c>
      <c r="BL122" s="298">
        <f t="shared" si="606"/>
        <v>0</v>
      </c>
      <c r="BM122" s="299">
        <f t="shared" si="606"/>
        <v>0</v>
      </c>
      <c r="BN122" s="262">
        <f t="shared" si="644"/>
        <v>0</v>
      </c>
      <c r="BO122" s="298">
        <f t="shared" si="607"/>
        <v>0</v>
      </c>
      <c r="BP122" s="299">
        <f t="shared" si="607"/>
        <v>0</v>
      </c>
      <c r="BQ122" s="262">
        <f t="shared" si="645"/>
        <v>0</v>
      </c>
    </row>
    <row r="123" spans="1:70" ht="16" x14ac:dyDescent="0.2">
      <c r="A123" s="832"/>
      <c r="B123" s="834"/>
      <c r="C123" s="290" t="s">
        <v>170</v>
      </c>
      <c r="D123" s="291">
        <f t="shared" si="585"/>
        <v>0</v>
      </c>
      <c r="E123" s="292">
        <f t="shared" si="169"/>
        <v>0</v>
      </c>
      <c r="F123" s="293">
        <f t="shared" si="586"/>
        <v>0</v>
      </c>
      <c r="G123" s="298">
        <f t="shared" si="587"/>
        <v>0</v>
      </c>
      <c r="H123" s="299">
        <f t="shared" si="587"/>
        <v>0</v>
      </c>
      <c r="I123" s="262">
        <f t="shared" si="608"/>
        <v>0</v>
      </c>
      <c r="J123" s="298">
        <f t="shared" ref="J123:K123" si="731">J12*J32</f>
        <v>0</v>
      </c>
      <c r="K123" s="299">
        <f t="shared" si="731"/>
        <v>0</v>
      </c>
      <c r="L123" s="262">
        <f t="shared" si="610"/>
        <v>0</v>
      </c>
      <c r="M123" s="298">
        <f t="shared" ref="M123:N123" si="732">M12*M32</f>
        <v>0</v>
      </c>
      <c r="N123" s="299">
        <f t="shared" si="732"/>
        <v>0</v>
      </c>
      <c r="O123" s="262">
        <f t="shared" si="612"/>
        <v>0</v>
      </c>
      <c r="P123" s="298">
        <f t="shared" ref="P123:Q123" si="733">P12*P32</f>
        <v>0</v>
      </c>
      <c r="Q123" s="299">
        <f t="shared" si="733"/>
        <v>0</v>
      </c>
      <c r="R123" s="262">
        <f t="shared" si="614"/>
        <v>0</v>
      </c>
      <c r="S123" s="298">
        <f t="shared" ref="S123:T123" si="734">S12*S32</f>
        <v>0</v>
      </c>
      <c r="T123" s="299">
        <f t="shared" si="734"/>
        <v>0</v>
      </c>
      <c r="U123" s="262">
        <f t="shared" si="616"/>
        <v>0</v>
      </c>
      <c r="V123" s="298">
        <f t="shared" ref="V123:W123" si="735">V12*V32</f>
        <v>0</v>
      </c>
      <c r="W123" s="299">
        <f t="shared" si="735"/>
        <v>0</v>
      </c>
      <c r="X123" s="262">
        <f t="shared" si="618"/>
        <v>0</v>
      </c>
      <c r="Y123" s="298">
        <f t="shared" ref="Y123:Z123" si="736">Y12*Y32</f>
        <v>0</v>
      </c>
      <c r="Z123" s="299">
        <f t="shared" si="736"/>
        <v>0</v>
      </c>
      <c r="AA123" s="262">
        <f t="shared" si="620"/>
        <v>0</v>
      </c>
      <c r="AB123" s="298">
        <f t="shared" ref="AB123:AC123" si="737">AB12*AB32</f>
        <v>0</v>
      </c>
      <c r="AC123" s="299">
        <f t="shared" si="737"/>
        <v>0</v>
      </c>
      <c r="AD123" s="262">
        <f t="shared" si="622"/>
        <v>0</v>
      </c>
      <c r="AE123" s="298">
        <f t="shared" ref="AE123:AF123" si="738">AE12*AE32</f>
        <v>0</v>
      </c>
      <c r="AF123" s="299">
        <f t="shared" si="738"/>
        <v>0</v>
      </c>
      <c r="AG123" s="262">
        <f t="shared" si="624"/>
        <v>0</v>
      </c>
      <c r="AH123" s="298">
        <f t="shared" ref="AH123:AI123" si="739">AH12*AH32</f>
        <v>0</v>
      </c>
      <c r="AI123" s="299">
        <f t="shared" si="739"/>
        <v>0</v>
      </c>
      <c r="AJ123" s="262">
        <f t="shared" si="626"/>
        <v>0</v>
      </c>
      <c r="AK123" s="298">
        <f t="shared" ref="AK123:AL123" si="740">AK12*AK32</f>
        <v>0</v>
      </c>
      <c r="AL123" s="299">
        <f t="shared" si="740"/>
        <v>0</v>
      </c>
      <c r="AM123" s="262">
        <f t="shared" si="628"/>
        <v>0</v>
      </c>
      <c r="AN123" s="298">
        <f t="shared" ref="AN123:AO123" si="741">AN12*AN32</f>
        <v>0</v>
      </c>
      <c r="AO123" s="299">
        <f t="shared" si="741"/>
        <v>0</v>
      </c>
      <c r="AP123" s="262">
        <f t="shared" si="630"/>
        <v>0</v>
      </c>
      <c r="AQ123" s="298">
        <f t="shared" ref="AQ123:AR123" si="742">AQ12*AQ32</f>
        <v>0</v>
      </c>
      <c r="AR123" s="299">
        <f t="shared" si="742"/>
        <v>0</v>
      </c>
      <c r="AS123" s="262">
        <f t="shared" si="632"/>
        <v>0</v>
      </c>
      <c r="AT123" s="298">
        <f t="shared" ref="AT123:AU123" si="743">AT12*AT32</f>
        <v>0</v>
      </c>
      <c r="AU123" s="299">
        <f t="shared" si="743"/>
        <v>0</v>
      </c>
      <c r="AV123" s="262">
        <f t="shared" si="634"/>
        <v>0</v>
      </c>
      <c r="AW123" s="298">
        <f t="shared" ref="AW123:AX123" si="744">AW12*AW32</f>
        <v>0</v>
      </c>
      <c r="AX123" s="299">
        <f t="shared" si="744"/>
        <v>0</v>
      </c>
      <c r="AY123" s="262">
        <f t="shared" si="636"/>
        <v>0</v>
      </c>
      <c r="AZ123" s="298">
        <f t="shared" ref="AZ123:BA123" si="745">AZ12*AZ32</f>
        <v>0</v>
      </c>
      <c r="BA123" s="299">
        <f t="shared" si="745"/>
        <v>0</v>
      </c>
      <c r="BB123" s="262">
        <f t="shared" si="638"/>
        <v>0</v>
      </c>
      <c r="BC123" s="298">
        <f t="shared" ref="BC123:BD123" si="746">BC12*BC32</f>
        <v>0</v>
      </c>
      <c r="BD123" s="299">
        <f t="shared" si="746"/>
        <v>0</v>
      </c>
      <c r="BE123" s="262">
        <f t="shared" si="640"/>
        <v>0</v>
      </c>
      <c r="BF123" s="298">
        <f t="shared" ref="BF123:BG123" si="747">BF12*BF32</f>
        <v>0</v>
      </c>
      <c r="BG123" s="299">
        <f t="shared" si="747"/>
        <v>0</v>
      </c>
      <c r="BH123" s="262">
        <f t="shared" si="642"/>
        <v>0</v>
      </c>
      <c r="BI123" s="298">
        <f t="shared" si="605"/>
        <v>0</v>
      </c>
      <c r="BJ123" s="299">
        <f t="shared" si="605"/>
        <v>0</v>
      </c>
      <c r="BK123" s="262">
        <f t="shared" si="643"/>
        <v>0</v>
      </c>
      <c r="BL123" s="298">
        <f t="shared" si="606"/>
        <v>0</v>
      </c>
      <c r="BM123" s="299">
        <f t="shared" si="606"/>
        <v>0</v>
      </c>
      <c r="BN123" s="262">
        <f t="shared" si="644"/>
        <v>0</v>
      </c>
      <c r="BO123" s="298">
        <f t="shared" si="607"/>
        <v>0</v>
      </c>
      <c r="BP123" s="299">
        <f t="shared" si="607"/>
        <v>0</v>
      </c>
      <c r="BQ123" s="262">
        <f t="shared" si="645"/>
        <v>0</v>
      </c>
    </row>
    <row r="124" spans="1:70" ht="16" x14ac:dyDescent="0.2">
      <c r="A124" s="832"/>
      <c r="B124" s="834"/>
      <c r="C124" s="290" t="s">
        <v>171</v>
      </c>
      <c r="D124" s="291">
        <f t="shared" si="585"/>
        <v>0</v>
      </c>
      <c r="E124" s="292">
        <f t="shared" si="169"/>
        <v>0</v>
      </c>
      <c r="F124" s="293">
        <f t="shared" si="586"/>
        <v>0</v>
      </c>
      <c r="G124" s="298">
        <f t="shared" si="587"/>
        <v>0</v>
      </c>
      <c r="H124" s="299">
        <f t="shared" si="587"/>
        <v>0</v>
      </c>
      <c r="I124" s="262">
        <f t="shared" si="608"/>
        <v>0</v>
      </c>
      <c r="J124" s="298">
        <f t="shared" ref="J124:K124" si="748">J13*J33</f>
        <v>0</v>
      </c>
      <c r="K124" s="299">
        <f t="shared" si="748"/>
        <v>0</v>
      </c>
      <c r="L124" s="262">
        <f t="shared" si="610"/>
        <v>0</v>
      </c>
      <c r="M124" s="298">
        <f t="shared" ref="M124:N124" si="749">M13*M33</f>
        <v>0</v>
      </c>
      <c r="N124" s="299">
        <f t="shared" si="749"/>
        <v>0</v>
      </c>
      <c r="O124" s="262">
        <f t="shared" si="612"/>
        <v>0</v>
      </c>
      <c r="P124" s="298">
        <f t="shared" ref="P124:Q124" si="750">P13*P33</f>
        <v>0</v>
      </c>
      <c r="Q124" s="299">
        <f t="shared" si="750"/>
        <v>0</v>
      </c>
      <c r="R124" s="262">
        <f t="shared" si="614"/>
        <v>0</v>
      </c>
      <c r="S124" s="298">
        <f t="shared" ref="S124:T124" si="751">S13*S33</f>
        <v>0</v>
      </c>
      <c r="T124" s="299">
        <f t="shared" si="751"/>
        <v>0</v>
      </c>
      <c r="U124" s="262">
        <f t="shared" si="616"/>
        <v>0</v>
      </c>
      <c r="V124" s="298">
        <f t="shared" ref="V124:W124" si="752">V13*V33</f>
        <v>0</v>
      </c>
      <c r="W124" s="299">
        <f t="shared" si="752"/>
        <v>0</v>
      </c>
      <c r="X124" s="262">
        <f t="shared" si="618"/>
        <v>0</v>
      </c>
      <c r="Y124" s="298">
        <f t="shared" ref="Y124:Z124" si="753">Y13*Y33</f>
        <v>0</v>
      </c>
      <c r="Z124" s="299">
        <f t="shared" si="753"/>
        <v>0</v>
      </c>
      <c r="AA124" s="262">
        <f t="shared" si="620"/>
        <v>0</v>
      </c>
      <c r="AB124" s="298">
        <f t="shared" ref="AB124:AC124" si="754">AB13*AB33</f>
        <v>0</v>
      </c>
      <c r="AC124" s="299">
        <f t="shared" si="754"/>
        <v>0</v>
      </c>
      <c r="AD124" s="262">
        <f t="shared" si="622"/>
        <v>0</v>
      </c>
      <c r="AE124" s="298">
        <f t="shared" ref="AE124:AF124" si="755">AE13*AE33</f>
        <v>0</v>
      </c>
      <c r="AF124" s="299">
        <f t="shared" si="755"/>
        <v>0</v>
      </c>
      <c r="AG124" s="262">
        <f t="shared" si="624"/>
        <v>0</v>
      </c>
      <c r="AH124" s="298">
        <f t="shared" ref="AH124:AI124" si="756">AH13*AH33</f>
        <v>0</v>
      </c>
      <c r="AI124" s="299">
        <f t="shared" si="756"/>
        <v>0</v>
      </c>
      <c r="AJ124" s="262">
        <f t="shared" si="626"/>
        <v>0</v>
      </c>
      <c r="AK124" s="298">
        <f t="shared" ref="AK124:AL124" si="757">AK13*AK33</f>
        <v>0</v>
      </c>
      <c r="AL124" s="299">
        <f t="shared" si="757"/>
        <v>0</v>
      </c>
      <c r="AM124" s="262">
        <f t="shared" si="628"/>
        <v>0</v>
      </c>
      <c r="AN124" s="298">
        <f t="shared" ref="AN124:AO124" si="758">AN13*AN33</f>
        <v>0</v>
      </c>
      <c r="AO124" s="299">
        <f t="shared" si="758"/>
        <v>0</v>
      </c>
      <c r="AP124" s="262">
        <f t="shared" si="630"/>
        <v>0</v>
      </c>
      <c r="AQ124" s="298">
        <f t="shared" ref="AQ124:AR124" si="759">AQ13*AQ33</f>
        <v>0</v>
      </c>
      <c r="AR124" s="299">
        <f t="shared" si="759"/>
        <v>0</v>
      </c>
      <c r="AS124" s="262">
        <f t="shared" si="632"/>
        <v>0</v>
      </c>
      <c r="AT124" s="298">
        <f t="shared" ref="AT124:AU124" si="760">AT13*AT33</f>
        <v>0</v>
      </c>
      <c r="AU124" s="299">
        <f t="shared" si="760"/>
        <v>0</v>
      </c>
      <c r="AV124" s="262">
        <f t="shared" si="634"/>
        <v>0</v>
      </c>
      <c r="AW124" s="298">
        <f t="shared" ref="AW124:AX124" si="761">AW13*AW33</f>
        <v>0</v>
      </c>
      <c r="AX124" s="299">
        <f t="shared" si="761"/>
        <v>0</v>
      </c>
      <c r="AY124" s="262">
        <f t="shared" si="636"/>
        <v>0</v>
      </c>
      <c r="AZ124" s="298">
        <f t="shared" ref="AZ124:BA124" si="762">AZ13*AZ33</f>
        <v>0</v>
      </c>
      <c r="BA124" s="299">
        <f t="shared" si="762"/>
        <v>0</v>
      </c>
      <c r="BB124" s="262">
        <f t="shared" si="638"/>
        <v>0</v>
      </c>
      <c r="BC124" s="298">
        <f t="shared" ref="BC124:BD124" si="763">BC13*BC33</f>
        <v>0</v>
      </c>
      <c r="BD124" s="299">
        <f t="shared" si="763"/>
        <v>0</v>
      </c>
      <c r="BE124" s="262">
        <f t="shared" si="640"/>
        <v>0</v>
      </c>
      <c r="BF124" s="298">
        <f t="shared" ref="BF124:BG124" si="764">BF13*BF33</f>
        <v>0</v>
      </c>
      <c r="BG124" s="299">
        <f t="shared" si="764"/>
        <v>0</v>
      </c>
      <c r="BH124" s="262">
        <f t="shared" si="642"/>
        <v>0</v>
      </c>
      <c r="BI124" s="298">
        <f t="shared" si="605"/>
        <v>0</v>
      </c>
      <c r="BJ124" s="299">
        <f t="shared" si="605"/>
        <v>0</v>
      </c>
      <c r="BK124" s="262">
        <f t="shared" si="643"/>
        <v>0</v>
      </c>
      <c r="BL124" s="298">
        <f t="shared" si="606"/>
        <v>0</v>
      </c>
      <c r="BM124" s="299">
        <f t="shared" si="606"/>
        <v>0</v>
      </c>
      <c r="BN124" s="262">
        <f t="shared" si="644"/>
        <v>0</v>
      </c>
      <c r="BO124" s="298">
        <f t="shared" si="607"/>
        <v>0</v>
      </c>
      <c r="BP124" s="299">
        <f t="shared" si="607"/>
        <v>0</v>
      </c>
      <c r="BQ124" s="262">
        <f t="shared" si="645"/>
        <v>0</v>
      </c>
    </row>
    <row r="125" spans="1:70" ht="17" thickBot="1" x14ac:dyDescent="0.25">
      <c r="A125" s="833"/>
      <c r="B125" s="835"/>
      <c r="C125" s="300" t="s">
        <v>172</v>
      </c>
      <c r="D125" s="301">
        <f t="shared" si="585"/>
        <v>0</v>
      </c>
      <c r="E125" s="302">
        <f t="shared" si="169"/>
        <v>0</v>
      </c>
      <c r="F125" s="303">
        <f t="shared" si="586"/>
        <v>0</v>
      </c>
      <c r="G125" s="304">
        <f t="shared" si="587"/>
        <v>0</v>
      </c>
      <c r="H125" s="305">
        <f t="shared" si="587"/>
        <v>0</v>
      </c>
      <c r="I125" s="267">
        <f t="shared" si="608"/>
        <v>0</v>
      </c>
      <c r="J125" s="304">
        <f t="shared" ref="J125:K125" si="765">J14*J34</f>
        <v>0</v>
      </c>
      <c r="K125" s="305">
        <f t="shared" si="765"/>
        <v>0</v>
      </c>
      <c r="L125" s="267">
        <f t="shared" si="610"/>
        <v>0</v>
      </c>
      <c r="M125" s="304">
        <f t="shared" ref="M125:N125" si="766">M14*M34</f>
        <v>0</v>
      </c>
      <c r="N125" s="305">
        <f t="shared" si="766"/>
        <v>0</v>
      </c>
      <c r="O125" s="267">
        <f t="shared" si="612"/>
        <v>0</v>
      </c>
      <c r="P125" s="304">
        <f t="shared" ref="P125:Q125" si="767">P14*P34</f>
        <v>0</v>
      </c>
      <c r="Q125" s="305">
        <f t="shared" si="767"/>
        <v>0</v>
      </c>
      <c r="R125" s="267">
        <f t="shared" si="614"/>
        <v>0</v>
      </c>
      <c r="S125" s="304">
        <f t="shared" ref="S125:T125" si="768">S14*S34</f>
        <v>0</v>
      </c>
      <c r="T125" s="305">
        <f t="shared" si="768"/>
        <v>0</v>
      </c>
      <c r="U125" s="267">
        <f t="shared" si="616"/>
        <v>0</v>
      </c>
      <c r="V125" s="304">
        <f t="shared" ref="V125:W125" si="769">V14*V34</f>
        <v>0</v>
      </c>
      <c r="W125" s="305">
        <f t="shared" si="769"/>
        <v>0</v>
      </c>
      <c r="X125" s="267">
        <f t="shared" si="618"/>
        <v>0</v>
      </c>
      <c r="Y125" s="304">
        <f t="shared" ref="Y125:Z125" si="770">Y14*Y34</f>
        <v>0</v>
      </c>
      <c r="Z125" s="305">
        <f t="shared" si="770"/>
        <v>0</v>
      </c>
      <c r="AA125" s="267">
        <f t="shared" si="620"/>
        <v>0</v>
      </c>
      <c r="AB125" s="304">
        <f t="shared" ref="AB125:AC125" si="771">AB14*AB34</f>
        <v>0</v>
      </c>
      <c r="AC125" s="305">
        <f t="shared" si="771"/>
        <v>0</v>
      </c>
      <c r="AD125" s="267">
        <f t="shared" si="622"/>
        <v>0</v>
      </c>
      <c r="AE125" s="304">
        <f t="shared" ref="AE125:AF125" si="772">AE14*AE34</f>
        <v>0</v>
      </c>
      <c r="AF125" s="305">
        <f t="shared" si="772"/>
        <v>0</v>
      </c>
      <c r="AG125" s="267">
        <f t="shared" si="624"/>
        <v>0</v>
      </c>
      <c r="AH125" s="304">
        <f t="shared" ref="AH125:AI125" si="773">AH14*AH34</f>
        <v>0</v>
      </c>
      <c r="AI125" s="305">
        <f t="shared" si="773"/>
        <v>0</v>
      </c>
      <c r="AJ125" s="267">
        <f t="shared" si="626"/>
        <v>0</v>
      </c>
      <c r="AK125" s="304">
        <f t="shared" ref="AK125:AL125" si="774">AK14*AK34</f>
        <v>0</v>
      </c>
      <c r="AL125" s="305">
        <f t="shared" si="774"/>
        <v>0</v>
      </c>
      <c r="AM125" s="267">
        <f t="shared" si="628"/>
        <v>0</v>
      </c>
      <c r="AN125" s="304">
        <f t="shared" ref="AN125:AO125" si="775">AN14*AN34</f>
        <v>0</v>
      </c>
      <c r="AO125" s="305">
        <f t="shared" si="775"/>
        <v>0</v>
      </c>
      <c r="AP125" s="267">
        <f t="shared" si="630"/>
        <v>0</v>
      </c>
      <c r="AQ125" s="304">
        <f t="shared" ref="AQ125:AR125" si="776">AQ14*AQ34</f>
        <v>0</v>
      </c>
      <c r="AR125" s="305">
        <f t="shared" si="776"/>
        <v>0</v>
      </c>
      <c r="AS125" s="267">
        <f t="shared" si="632"/>
        <v>0</v>
      </c>
      <c r="AT125" s="304">
        <f t="shared" ref="AT125:AU125" si="777">AT14*AT34</f>
        <v>0</v>
      </c>
      <c r="AU125" s="305">
        <f t="shared" si="777"/>
        <v>0</v>
      </c>
      <c r="AV125" s="267">
        <f t="shared" si="634"/>
        <v>0</v>
      </c>
      <c r="AW125" s="304">
        <f t="shared" ref="AW125:AX125" si="778">AW14*AW34</f>
        <v>0</v>
      </c>
      <c r="AX125" s="305">
        <f t="shared" si="778"/>
        <v>0</v>
      </c>
      <c r="AY125" s="267">
        <f t="shared" si="636"/>
        <v>0</v>
      </c>
      <c r="AZ125" s="304">
        <f t="shared" ref="AZ125:BA125" si="779">AZ14*AZ34</f>
        <v>0</v>
      </c>
      <c r="BA125" s="305">
        <f t="shared" si="779"/>
        <v>0</v>
      </c>
      <c r="BB125" s="267">
        <f t="shared" si="638"/>
        <v>0</v>
      </c>
      <c r="BC125" s="304">
        <f t="shared" ref="BC125:BD125" si="780">BC14*BC34</f>
        <v>0</v>
      </c>
      <c r="BD125" s="305">
        <f t="shared" si="780"/>
        <v>0</v>
      </c>
      <c r="BE125" s="267">
        <f t="shared" si="640"/>
        <v>0</v>
      </c>
      <c r="BF125" s="304">
        <f t="shared" ref="BF125:BG125" si="781">BF14*BF34</f>
        <v>0</v>
      </c>
      <c r="BG125" s="305">
        <f t="shared" si="781"/>
        <v>0</v>
      </c>
      <c r="BH125" s="267">
        <f t="shared" si="642"/>
        <v>0</v>
      </c>
      <c r="BI125" s="304">
        <f t="shared" si="605"/>
        <v>0</v>
      </c>
      <c r="BJ125" s="305">
        <f t="shared" si="605"/>
        <v>0</v>
      </c>
      <c r="BK125" s="267">
        <f t="shared" si="643"/>
        <v>0</v>
      </c>
      <c r="BL125" s="304">
        <f t="shared" si="606"/>
        <v>0</v>
      </c>
      <c r="BM125" s="305">
        <f t="shared" si="606"/>
        <v>0</v>
      </c>
      <c r="BN125" s="267">
        <f t="shared" si="644"/>
        <v>0</v>
      </c>
      <c r="BO125" s="304">
        <f t="shared" si="607"/>
        <v>0</v>
      </c>
      <c r="BP125" s="305">
        <f t="shared" si="607"/>
        <v>0</v>
      </c>
      <c r="BQ125" s="267">
        <f t="shared" si="645"/>
        <v>0</v>
      </c>
    </row>
    <row r="126" spans="1:70" ht="16" x14ac:dyDescent="0.2">
      <c r="A126" s="832" t="s">
        <v>115</v>
      </c>
      <c r="B126" s="834" t="s">
        <v>211</v>
      </c>
      <c r="C126" s="290" t="s">
        <v>163</v>
      </c>
      <c r="D126" s="291">
        <f t="shared" si="585"/>
        <v>0</v>
      </c>
      <c r="E126" s="292">
        <f t="shared" si="169"/>
        <v>0</v>
      </c>
      <c r="F126" s="293">
        <f t="shared" si="586"/>
        <v>0</v>
      </c>
      <c r="G126" s="306">
        <f>G55</f>
        <v>0</v>
      </c>
      <c r="H126" s="307">
        <f t="shared" ref="H126:H135" si="782">H55*(1+$BR$126)</f>
        <v>0</v>
      </c>
      <c r="I126" s="257">
        <f>H126-G126</f>
        <v>0</v>
      </c>
      <c r="J126" s="306">
        <f>J55</f>
        <v>0</v>
      </c>
      <c r="K126" s="307">
        <f>K55*(1+$BR$126)</f>
        <v>0</v>
      </c>
      <c r="L126" s="257">
        <f>K126-J126</f>
        <v>0</v>
      </c>
      <c r="M126" s="306">
        <f>M55</f>
        <v>0</v>
      </c>
      <c r="N126" s="307">
        <f>N55*(1+$BR$126)</f>
        <v>0</v>
      </c>
      <c r="O126" s="257">
        <f>N126-M126</f>
        <v>0</v>
      </c>
      <c r="P126" s="306">
        <f t="shared" ref="P126:P135" si="783">P55</f>
        <v>0</v>
      </c>
      <c r="Q126" s="307">
        <f t="shared" ref="Q126:Q135" si="784">Q55*(1+$BR$126)</f>
        <v>0</v>
      </c>
      <c r="R126" s="257">
        <f>Q126-P126</f>
        <v>0</v>
      </c>
      <c r="S126" s="306">
        <f t="shared" ref="S126:S135" si="785">S55</f>
        <v>0</v>
      </c>
      <c r="T126" s="307">
        <f t="shared" ref="T126:T135" si="786">T55*(1+$BR$126)</f>
        <v>0</v>
      </c>
      <c r="U126" s="257">
        <f>T126-S126</f>
        <v>0</v>
      </c>
      <c r="V126" s="306">
        <f t="shared" ref="V126:V135" si="787">V55</f>
        <v>0</v>
      </c>
      <c r="W126" s="307">
        <f t="shared" ref="W126:W135" si="788">W55*(1+$BR$126)</f>
        <v>0</v>
      </c>
      <c r="X126" s="257">
        <f>W126-V126</f>
        <v>0</v>
      </c>
      <c r="Y126" s="306">
        <f>Y55</f>
        <v>0</v>
      </c>
      <c r="Z126" s="307">
        <f>Z55*(1+$BR$126)</f>
        <v>0</v>
      </c>
      <c r="AA126" s="257">
        <f>Z126-Y126</f>
        <v>0</v>
      </c>
      <c r="AB126" s="306">
        <f>AB55</f>
        <v>0</v>
      </c>
      <c r="AC126" s="307">
        <f>AC55*(1+$BR$126)</f>
        <v>0</v>
      </c>
      <c r="AD126" s="257">
        <f>AC126-AB126</f>
        <v>0</v>
      </c>
      <c r="AE126" s="306">
        <f t="shared" ref="AE126:AE135" si="789">AE55</f>
        <v>0</v>
      </c>
      <c r="AF126" s="307">
        <f t="shared" ref="AF126:AF135" si="790">AF55*(1+$BR$126)</f>
        <v>0</v>
      </c>
      <c r="AG126" s="257">
        <f>AF126-AE126</f>
        <v>0</v>
      </c>
      <c r="AH126" s="306">
        <f t="shared" ref="AH126:AH135" si="791">AH55</f>
        <v>0</v>
      </c>
      <c r="AI126" s="307">
        <f t="shared" ref="AI126:AI135" si="792">AI55*(1+$BR$126)</f>
        <v>0</v>
      </c>
      <c r="AJ126" s="257">
        <f>AI126-AH126</f>
        <v>0</v>
      </c>
      <c r="AK126" s="306">
        <f t="shared" ref="AK126:AK135" si="793">AK55</f>
        <v>0</v>
      </c>
      <c r="AL126" s="307">
        <f t="shared" ref="AL126:AL135" si="794">AL55*(1+$BR$126)</f>
        <v>0</v>
      </c>
      <c r="AM126" s="257">
        <f>AL126-AK126</f>
        <v>0</v>
      </c>
      <c r="AN126" s="306">
        <f>AN55</f>
        <v>0</v>
      </c>
      <c r="AO126" s="307">
        <f>AO55*(1+$BR$126)</f>
        <v>0</v>
      </c>
      <c r="AP126" s="257">
        <f>AO126-AN126</f>
        <v>0</v>
      </c>
      <c r="AQ126" s="306">
        <f>AQ55</f>
        <v>0</v>
      </c>
      <c r="AR126" s="307">
        <f>AR55*(1+$BR$126)</f>
        <v>0</v>
      </c>
      <c r="AS126" s="257">
        <f>AR126-AQ126</f>
        <v>0</v>
      </c>
      <c r="AT126" s="306">
        <f t="shared" ref="AT126:AT135" si="795">AT55</f>
        <v>0</v>
      </c>
      <c r="AU126" s="307">
        <f t="shared" ref="AU126:AU135" si="796">AU55*(1+$BR$126)</f>
        <v>0</v>
      </c>
      <c r="AV126" s="257">
        <f>AU126-AT126</f>
        <v>0</v>
      </c>
      <c r="AW126" s="306">
        <f t="shared" ref="AW126:AW135" si="797">AW55</f>
        <v>0</v>
      </c>
      <c r="AX126" s="307">
        <f t="shared" ref="AX126:AX135" si="798">AX55*(1+$BR$126)</f>
        <v>0</v>
      </c>
      <c r="AY126" s="257">
        <f>AX126-AW126</f>
        <v>0</v>
      </c>
      <c r="AZ126" s="306">
        <f t="shared" ref="AZ126:AZ135" si="799">AZ55</f>
        <v>0</v>
      </c>
      <c r="BA126" s="307">
        <f t="shared" ref="BA126:BA135" si="800">BA55*(1+$BR$126)</f>
        <v>0</v>
      </c>
      <c r="BB126" s="257">
        <f>BA126-AZ126</f>
        <v>0</v>
      </c>
      <c r="BC126" s="306">
        <f>BC55</f>
        <v>0</v>
      </c>
      <c r="BD126" s="307">
        <f>BD55*(1+$BR$126)</f>
        <v>0</v>
      </c>
      <c r="BE126" s="257">
        <f>BD126-BC126</f>
        <v>0</v>
      </c>
      <c r="BF126" s="306">
        <f>BF55</f>
        <v>0</v>
      </c>
      <c r="BG126" s="307">
        <f>BG55*(1+$BR$126)</f>
        <v>0</v>
      </c>
      <c r="BH126" s="257">
        <f>BG126-BF126</f>
        <v>0</v>
      </c>
      <c r="BI126" s="306">
        <f t="shared" ref="BI126:BI135" si="801">BI55</f>
        <v>0</v>
      </c>
      <c r="BJ126" s="307">
        <f t="shared" ref="BJ126:BJ135" si="802">BJ55*(1+$BR$126)</f>
        <v>0</v>
      </c>
      <c r="BK126" s="257">
        <f>BJ126-BI126</f>
        <v>0</v>
      </c>
      <c r="BL126" s="306">
        <f t="shared" ref="BL126:BL135" si="803">BL55</f>
        <v>0</v>
      </c>
      <c r="BM126" s="307">
        <f t="shared" ref="BM126:BM135" si="804">BM55*(1+$BR$126)</f>
        <v>0</v>
      </c>
      <c r="BN126" s="257">
        <f>BM126-BL126</f>
        <v>0</v>
      </c>
      <c r="BO126" s="306">
        <f t="shared" ref="BO126:BO135" si="805">BO55</f>
        <v>0</v>
      </c>
      <c r="BP126" s="307">
        <f t="shared" ref="BP126:BP135" si="806">BP55*(1+$BR$126)</f>
        <v>0</v>
      </c>
      <c r="BQ126" s="257">
        <f>BP126-BO126</f>
        <v>0</v>
      </c>
      <c r="BR126" s="258">
        <f>'Analyza citlivosti - AgendovéIS'!H7</f>
        <v>0</v>
      </c>
    </row>
    <row r="127" spans="1:70" ht="16" x14ac:dyDescent="0.2">
      <c r="A127" s="832"/>
      <c r="B127" s="834"/>
      <c r="C127" s="290" t="s">
        <v>164</v>
      </c>
      <c r="D127" s="291">
        <f t="shared" si="585"/>
        <v>0</v>
      </c>
      <c r="E127" s="292">
        <f t="shared" si="169"/>
        <v>0</v>
      </c>
      <c r="F127" s="293">
        <f t="shared" si="586"/>
        <v>0</v>
      </c>
      <c r="G127" s="298">
        <f t="shared" ref="G127:G135" si="807">G56</f>
        <v>0</v>
      </c>
      <c r="H127" s="299">
        <f t="shared" si="782"/>
        <v>0</v>
      </c>
      <c r="I127" s="262">
        <f t="shared" ref="I127:I135" si="808">H127-G127</f>
        <v>0</v>
      </c>
      <c r="J127" s="298">
        <f t="shared" ref="J127:J135" si="809">J56</f>
        <v>0</v>
      </c>
      <c r="K127" s="299">
        <f t="shared" ref="K127:K135" si="810">K56*(1+$BR$126)</f>
        <v>0</v>
      </c>
      <c r="L127" s="262">
        <f t="shared" ref="L127:L135" si="811">K127-J127</f>
        <v>0</v>
      </c>
      <c r="M127" s="298">
        <f t="shared" ref="M127:M135" si="812">M56</f>
        <v>0</v>
      </c>
      <c r="N127" s="299">
        <f t="shared" ref="N127:N135" si="813">N56*(1+$BR$126)</f>
        <v>0</v>
      </c>
      <c r="O127" s="262">
        <f t="shared" ref="O127:O135" si="814">N127-M127</f>
        <v>0</v>
      </c>
      <c r="P127" s="298">
        <f t="shared" si="783"/>
        <v>0</v>
      </c>
      <c r="Q127" s="299">
        <f t="shared" si="784"/>
        <v>0</v>
      </c>
      <c r="R127" s="262">
        <f t="shared" ref="R127:R135" si="815">Q127-P127</f>
        <v>0</v>
      </c>
      <c r="S127" s="298">
        <f t="shared" si="785"/>
        <v>0</v>
      </c>
      <c r="T127" s="299">
        <f t="shared" si="786"/>
        <v>0</v>
      </c>
      <c r="U127" s="262">
        <f t="shared" ref="U127:U135" si="816">T127-S127</f>
        <v>0</v>
      </c>
      <c r="V127" s="298">
        <f t="shared" si="787"/>
        <v>0</v>
      </c>
      <c r="W127" s="299">
        <f t="shared" si="788"/>
        <v>0</v>
      </c>
      <c r="X127" s="262">
        <f t="shared" ref="X127:X135" si="817">W127-V127</f>
        <v>0</v>
      </c>
      <c r="Y127" s="298">
        <f t="shared" ref="Y127:Y135" si="818">Y56</f>
        <v>0</v>
      </c>
      <c r="Z127" s="299">
        <f t="shared" ref="Z127:Z135" si="819">Z56*(1+$BR$126)</f>
        <v>0</v>
      </c>
      <c r="AA127" s="262">
        <f t="shared" ref="AA127:AA135" si="820">Z127-Y127</f>
        <v>0</v>
      </c>
      <c r="AB127" s="298">
        <f t="shared" ref="AB127:AB135" si="821">AB56</f>
        <v>0</v>
      </c>
      <c r="AC127" s="299">
        <f t="shared" ref="AC127:AC135" si="822">AC56*(1+$BR$126)</f>
        <v>0</v>
      </c>
      <c r="AD127" s="262">
        <f t="shared" ref="AD127:AD135" si="823">AC127-AB127</f>
        <v>0</v>
      </c>
      <c r="AE127" s="298">
        <f t="shared" si="789"/>
        <v>0</v>
      </c>
      <c r="AF127" s="299">
        <f t="shared" si="790"/>
        <v>0</v>
      </c>
      <c r="AG127" s="262">
        <f t="shared" ref="AG127:AG135" si="824">AF127-AE127</f>
        <v>0</v>
      </c>
      <c r="AH127" s="298">
        <f t="shared" si="791"/>
        <v>0</v>
      </c>
      <c r="AI127" s="299">
        <f t="shared" si="792"/>
        <v>0</v>
      </c>
      <c r="AJ127" s="262">
        <f t="shared" ref="AJ127:AJ135" si="825">AI127-AH127</f>
        <v>0</v>
      </c>
      <c r="AK127" s="298">
        <f t="shared" si="793"/>
        <v>0</v>
      </c>
      <c r="AL127" s="299">
        <f t="shared" si="794"/>
        <v>0</v>
      </c>
      <c r="AM127" s="262">
        <f t="shared" ref="AM127:AM135" si="826">AL127-AK127</f>
        <v>0</v>
      </c>
      <c r="AN127" s="298">
        <f t="shared" ref="AN127:AN135" si="827">AN56</f>
        <v>0</v>
      </c>
      <c r="AO127" s="299">
        <f t="shared" ref="AO127:AO135" si="828">AO56*(1+$BR$126)</f>
        <v>0</v>
      </c>
      <c r="AP127" s="262">
        <f t="shared" ref="AP127:AP135" si="829">AO127-AN127</f>
        <v>0</v>
      </c>
      <c r="AQ127" s="298">
        <f t="shared" ref="AQ127:AQ135" si="830">AQ56</f>
        <v>0</v>
      </c>
      <c r="AR127" s="299">
        <f t="shared" ref="AR127:AR135" si="831">AR56*(1+$BR$126)</f>
        <v>0</v>
      </c>
      <c r="AS127" s="262">
        <f t="shared" ref="AS127:AS135" si="832">AR127-AQ127</f>
        <v>0</v>
      </c>
      <c r="AT127" s="298">
        <f t="shared" si="795"/>
        <v>0</v>
      </c>
      <c r="AU127" s="299">
        <f t="shared" si="796"/>
        <v>0</v>
      </c>
      <c r="AV127" s="262">
        <f t="shared" ref="AV127:AV135" si="833">AU127-AT127</f>
        <v>0</v>
      </c>
      <c r="AW127" s="298">
        <f t="shared" si="797"/>
        <v>0</v>
      </c>
      <c r="AX127" s="299">
        <f t="shared" si="798"/>
        <v>0</v>
      </c>
      <c r="AY127" s="262">
        <f t="shared" ref="AY127:AY135" si="834">AX127-AW127</f>
        <v>0</v>
      </c>
      <c r="AZ127" s="298">
        <f t="shared" si="799"/>
        <v>0</v>
      </c>
      <c r="BA127" s="299">
        <f t="shared" si="800"/>
        <v>0</v>
      </c>
      <c r="BB127" s="262">
        <f t="shared" ref="BB127:BB135" si="835">BA127-AZ127</f>
        <v>0</v>
      </c>
      <c r="BC127" s="298">
        <f t="shared" ref="BC127:BC135" si="836">BC56</f>
        <v>0</v>
      </c>
      <c r="BD127" s="299">
        <f t="shared" ref="BD127:BD135" si="837">BD56*(1+$BR$126)</f>
        <v>0</v>
      </c>
      <c r="BE127" s="262">
        <f t="shared" ref="BE127:BE135" si="838">BD127-BC127</f>
        <v>0</v>
      </c>
      <c r="BF127" s="298">
        <f t="shared" ref="BF127:BF135" si="839">BF56</f>
        <v>0</v>
      </c>
      <c r="BG127" s="299">
        <f t="shared" ref="BG127:BG135" si="840">BG56*(1+$BR$126)</f>
        <v>0</v>
      </c>
      <c r="BH127" s="262">
        <f t="shared" ref="BH127:BH135" si="841">BG127-BF127</f>
        <v>0</v>
      </c>
      <c r="BI127" s="298">
        <f t="shared" si="801"/>
        <v>0</v>
      </c>
      <c r="BJ127" s="299">
        <f t="shared" si="802"/>
        <v>0</v>
      </c>
      <c r="BK127" s="262">
        <f t="shared" ref="BK127:BK135" si="842">BJ127-BI127</f>
        <v>0</v>
      </c>
      <c r="BL127" s="298">
        <f t="shared" si="803"/>
        <v>0</v>
      </c>
      <c r="BM127" s="299">
        <f t="shared" si="804"/>
        <v>0</v>
      </c>
      <c r="BN127" s="262">
        <f t="shared" ref="BN127:BN135" si="843">BM127-BL127</f>
        <v>0</v>
      </c>
      <c r="BO127" s="298">
        <f t="shared" si="805"/>
        <v>0</v>
      </c>
      <c r="BP127" s="299">
        <f t="shared" si="806"/>
        <v>0</v>
      </c>
      <c r="BQ127" s="262">
        <f t="shared" ref="BQ127:BQ135" si="844">BP127-BO127</f>
        <v>0</v>
      </c>
    </row>
    <row r="128" spans="1:70" ht="16" x14ac:dyDescent="0.2">
      <c r="A128" s="832"/>
      <c r="B128" s="834"/>
      <c r="C128" s="290" t="s">
        <v>165</v>
      </c>
      <c r="D128" s="291">
        <f t="shared" si="585"/>
        <v>0</v>
      </c>
      <c r="E128" s="292">
        <f t="shared" si="169"/>
        <v>0</v>
      </c>
      <c r="F128" s="293">
        <f t="shared" si="586"/>
        <v>0</v>
      </c>
      <c r="G128" s="298">
        <f t="shared" si="807"/>
        <v>0</v>
      </c>
      <c r="H128" s="299">
        <f t="shared" si="782"/>
        <v>0</v>
      </c>
      <c r="I128" s="262">
        <f t="shared" si="808"/>
        <v>0</v>
      </c>
      <c r="J128" s="298">
        <f t="shared" si="809"/>
        <v>0</v>
      </c>
      <c r="K128" s="299">
        <f t="shared" si="810"/>
        <v>0</v>
      </c>
      <c r="L128" s="262">
        <f t="shared" si="811"/>
        <v>0</v>
      </c>
      <c r="M128" s="298">
        <f t="shared" si="812"/>
        <v>0</v>
      </c>
      <c r="N128" s="299">
        <f t="shared" si="813"/>
        <v>0</v>
      </c>
      <c r="O128" s="262">
        <f t="shared" si="814"/>
        <v>0</v>
      </c>
      <c r="P128" s="298">
        <f t="shared" si="783"/>
        <v>0</v>
      </c>
      <c r="Q128" s="299">
        <f t="shared" si="784"/>
        <v>0</v>
      </c>
      <c r="R128" s="262">
        <f t="shared" si="815"/>
        <v>0</v>
      </c>
      <c r="S128" s="298">
        <f t="shared" si="785"/>
        <v>0</v>
      </c>
      <c r="T128" s="299">
        <f t="shared" si="786"/>
        <v>0</v>
      </c>
      <c r="U128" s="262">
        <f t="shared" si="816"/>
        <v>0</v>
      </c>
      <c r="V128" s="298">
        <f t="shared" si="787"/>
        <v>0</v>
      </c>
      <c r="W128" s="299">
        <f t="shared" si="788"/>
        <v>0</v>
      </c>
      <c r="X128" s="262">
        <f t="shared" si="817"/>
        <v>0</v>
      </c>
      <c r="Y128" s="298">
        <f t="shared" si="818"/>
        <v>0</v>
      </c>
      <c r="Z128" s="299">
        <f t="shared" si="819"/>
        <v>0</v>
      </c>
      <c r="AA128" s="262">
        <f t="shared" si="820"/>
        <v>0</v>
      </c>
      <c r="AB128" s="298">
        <f t="shared" si="821"/>
        <v>0</v>
      </c>
      <c r="AC128" s="299">
        <f t="shared" si="822"/>
        <v>0</v>
      </c>
      <c r="AD128" s="262">
        <f t="shared" si="823"/>
        <v>0</v>
      </c>
      <c r="AE128" s="298">
        <f t="shared" si="789"/>
        <v>0</v>
      </c>
      <c r="AF128" s="299">
        <f t="shared" si="790"/>
        <v>0</v>
      </c>
      <c r="AG128" s="262">
        <f t="shared" si="824"/>
        <v>0</v>
      </c>
      <c r="AH128" s="298">
        <f t="shared" si="791"/>
        <v>0</v>
      </c>
      <c r="AI128" s="299">
        <f t="shared" si="792"/>
        <v>0</v>
      </c>
      <c r="AJ128" s="262">
        <f t="shared" si="825"/>
        <v>0</v>
      </c>
      <c r="AK128" s="298">
        <f t="shared" si="793"/>
        <v>0</v>
      </c>
      <c r="AL128" s="299">
        <f t="shared" si="794"/>
        <v>0</v>
      </c>
      <c r="AM128" s="262">
        <f t="shared" si="826"/>
        <v>0</v>
      </c>
      <c r="AN128" s="298">
        <f t="shared" si="827"/>
        <v>0</v>
      </c>
      <c r="AO128" s="299">
        <f t="shared" si="828"/>
        <v>0</v>
      </c>
      <c r="AP128" s="262">
        <f t="shared" si="829"/>
        <v>0</v>
      </c>
      <c r="AQ128" s="298">
        <f t="shared" si="830"/>
        <v>0</v>
      </c>
      <c r="AR128" s="299">
        <f t="shared" si="831"/>
        <v>0</v>
      </c>
      <c r="AS128" s="262">
        <f t="shared" si="832"/>
        <v>0</v>
      </c>
      <c r="AT128" s="298">
        <f t="shared" si="795"/>
        <v>0</v>
      </c>
      <c r="AU128" s="299">
        <f t="shared" si="796"/>
        <v>0</v>
      </c>
      <c r="AV128" s="262">
        <f t="shared" si="833"/>
        <v>0</v>
      </c>
      <c r="AW128" s="298">
        <f t="shared" si="797"/>
        <v>0</v>
      </c>
      <c r="AX128" s="299">
        <f t="shared" si="798"/>
        <v>0</v>
      </c>
      <c r="AY128" s="262">
        <f t="shared" si="834"/>
        <v>0</v>
      </c>
      <c r="AZ128" s="298">
        <f t="shared" si="799"/>
        <v>0</v>
      </c>
      <c r="BA128" s="299">
        <f t="shared" si="800"/>
        <v>0</v>
      </c>
      <c r="BB128" s="262">
        <f t="shared" si="835"/>
        <v>0</v>
      </c>
      <c r="BC128" s="298">
        <f t="shared" si="836"/>
        <v>0</v>
      </c>
      <c r="BD128" s="299">
        <f t="shared" si="837"/>
        <v>0</v>
      </c>
      <c r="BE128" s="262">
        <f t="shared" si="838"/>
        <v>0</v>
      </c>
      <c r="BF128" s="298">
        <f t="shared" si="839"/>
        <v>0</v>
      </c>
      <c r="BG128" s="299">
        <f t="shared" si="840"/>
        <v>0</v>
      </c>
      <c r="BH128" s="262">
        <f t="shared" si="841"/>
        <v>0</v>
      </c>
      <c r="BI128" s="298">
        <f t="shared" si="801"/>
        <v>0</v>
      </c>
      <c r="BJ128" s="299">
        <f t="shared" si="802"/>
        <v>0</v>
      </c>
      <c r="BK128" s="262">
        <f t="shared" si="842"/>
        <v>0</v>
      </c>
      <c r="BL128" s="298">
        <f t="shared" si="803"/>
        <v>0</v>
      </c>
      <c r="BM128" s="299">
        <f t="shared" si="804"/>
        <v>0</v>
      </c>
      <c r="BN128" s="262">
        <f t="shared" si="843"/>
        <v>0</v>
      </c>
      <c r="BO128" s="298">
        <f t="shared" si="805"/>
        <v>0</v>
      </c>
      <c r="BP128" s="299">
        <f t="shared" si="806"/>
        <v>0</v>
      </c>
      <c r="BQ128" s="262">
        <f t="shared" si="844"/>
        <v>0</v>
      </c>
    </row>
    <row r="129" spans="1:69" ht="16" x14ac:dyDescent="0.2">
      <c r="A129" s="832"/>
      <c r="B129" s="834"/>
      <c r="C129" s="290" t="s">
        <v>166</v>
      </c>
      <c r="D129" s="291">
        <f t="shared" si="585"/>
        <v>0</v>
      </c>
      <c r="E129" s="292">
        <f t="shared" si="169"/>
        <v>0</v>
      </c>
      <c r="F129" s="293">
        <f t="shared" si="586"/>
        <v>0</v>
      </c>
      <c r="G129" s="298">
        <f t="shared" si="807"/>
        <v>0</v>
      </c>
      <c r="H129" s="299">
        <f t="shared" si="782"/>
        <v>0</v>
      </c>
      <c r="I129" s="262">
        <f t="shared" si="808"/>
        <v>0</v>
      </c>
      <c r="J129" s="298">
        <f t="shared" si="809"/>
        <v>0</v>
      </c>
      <c r="K129" s="299">
        <f t="shared" si="810"/>
        <v>0</v>
      </c>
      <c r="L129" s="262">
        <f t="shared" si="811"/>
        <v>0</v>
      </c>
      <c r="M129" s="298">
        <f t="shared" si="812"/>
        <v>0</v>
      </c>
      <c r="N129" s="299">
        <f t="shared" si="813"/>
        <v>0</v>
      </c>
      <c r="O129" s="262">
        <f t="shared" si="814"/>
        <v>0</v>
      </c>
      <c r="P129" s="298">
        <f t="shared" si="783"/>
        <v>0</v>
      </c>
      <c r="Q129" s="299">
        <f t="shared" si="784"/>
        <v>0</v>
      </c>
      <c r="R129" s="262">
        <f t="shared" si="815"/>
        <v>0</v>
      </c>
      <c r="S129" s="298">
        <f t="shared" si="785"/>
        <v>0</v>
      </c>
      <c r="T129" s="299">
        <f t="shared" si="786"/>
        <v>0</v>
      </c>
      <c r="U129" s="262">
        <f t="shared" si="816"/>
        <v>0</v>
      </c>
      <c r="V129" s="298">
        <f t="shared" si="787"/>
        <v>0</v>
      </c>
      <c r="W129" s="299">
        <f t="shared" si="788"/>
        <v>0</v>
      </c>
      <c r="X129" s="262">
        <f t="shared" si="817"/>
        <v>0</v>
      </c>
      <c r="Y129" s="298">
        <f t="shared" si="818"/>
        <v>0</v>
      </c>
      <c r="Z129" s="299">
        <f t="shared" si="819"/>
        <v>0</v>
      </c>
      <c r="AA129" s="262">
        <f t="shared" si="820"/>
        <v>0</v>
      </c>
      <c r="AB129" s="298">
        <f t="shared" si="821"/>
        <v>0</v>
      </c>
      <c r="AC129" s="299">
        <f t="shared" si="822"/>
        <v>0</v>
      </c>
      <c r="AD129" s="262">
        <f t="shared" si="823"/>
        <v>0</v>
      </c>
      <c r="AE129" s="298">
        <f t="shared" si="789"/>
        <v>0</v>
      </c>
      <c r="AF129" s="299">
        <f t="shared" si="790"/>
        <v>0</v>
      </c>
      <c r="AG129" s="262">
        <f t="shared" si="824"/>
        <v>0</v>
      </c>
      <c r="AH129" s="298">
        <f t="shared" si="791"/>
        <v>0</v>
      </c>
      <c r="AI129" s="299">
        <f t="shared" si="792"/>
        <v>0</v>
      </c>
      <c r="AJ129" s="262">
        <f t="shared" si="825"/>
        <v>0</v>
      </c>
      <c r="AK129" s="298">
        <f t="shared" si="793"/>
        <v>0</v>
      </c>
      <c r="AL129" s="299">
        <f t="shared" si="794"/>
        <v>0</v>
      </c>
      <c r="AM129" s="262">
        <f t="shared" si="826"/>
        <v>0</v>
      </c>
      <c r="AN129" s="298">
        <f t="shared" si="827"/>
        <v>0</v>
      </c>
      <c r="AO129" s="299">
        <f t="shared" si="828"/>
        <v>0</v>
      </c>
      <c r="AP129" s="262">
        <f t="shared" si="829"/>
        <v>0</v>
      </c>
      <c r="AQ129" s="298">
        <f t="shared" si="830"/>
        <v>0</v>
      </c>
      <c r="AR129" s="299">
        <f t="shared" si="831"/>
        <v>0</v>
      </c>
      <c r="AS129" s="262">
        <f t="shared" si="832"/>
        <v>0</v>
      </c>
      <c r="AT129" s="298">
        <f t="shared" si="795"/>
        <v>0</v>
      </c>
      <c r="AU129" s="299">
        <f t="shared" si="796"/>
        <v>0</v>
      </c>
      <c r="AV129" s="262">
        <f t="shared" si="833"/>
        <v>0</v>
      </c>
      <c r="AW129" s="298">
        <f t="shared" si="797"/>
        <v>0</v>
      </c>
      <c r="AX129" s="299">
        <f t="shared" si="798"/>
        <v>0</v>
      </c>
      <c r="AY129" s="262">
        <f t="shared" si="834"/>
        <v>0</v>
      </c>
      <c r="AZ129" s="298">
        <f t="shared" si="799"/>
        <v>0</v>
      </c>
      <c r="BA129" s="299">
        <f t="shared" si="800"/>
        <v>0</v>
      </c>
      <c r="BB129" s="262">
        <f t="shared" si="835"/>
        <v>0</v>
      </c>
      <c r="BC129" s="298">
        <f t="shared" si="836"/>
        <v>0</v>
      </c>
      <c r="BD129" s="299">
        <f t="shared" si="837"/>
        <v>0</v>
      </c>
      <c r="BE129" s="262">
        <f t="shared" si="838"/>
        <v>0</v>
      </c>
      <c r="BF129" s="298">
        <f t="shared" si="839"/>
        <v>0</v>
      </c>
      <c r="BG129" s="299">
        <f t="shared" si="840"/>
        <v>0</v>
      </c>
      <c r="BH129" s="262">
        <f t="shared" si="841"/>
        <v>0</v>
      </c>
      <c r="BI129" s="298">
        <f t="shared" si="801"/>
        <v>0</v>
      </c>
      <c r="BJ129" s="299">
        <f t="shared" si="802"/>
        <v>0</v>
      </c>
      <c r="BK129" s="262">
        <f t="shared" si="842"/>
        <v>0</v>
      </c>
      <c r="BL129" s="298">
        <f t="shared" si="803"/>
        <v>0</v>
      </c>
      <c r="BM129" s="299">
        <f t="shared" si="804"/>
        <v>0</v>
      </c>
      <c r="BN129" s="262">
        <f t="shared" si="843"/>
        <v>0</v>
      </c>
      <c r="BO129" s="298">
        <f t="shared" si="805"/>
        <v>0</v>
      </c>
      <c r="BP129" s="299">
        <f t="shared" si="806"/>
        <v>0</v>
      </c>
      <c r="BQ129" s="262">
        <f t="shared" si="844"/>
        <v>0</v>
      </c>
    </row>
    <row r="130" spans="1:69" ht="16" x14ac:dyDescent="0.2">
      <c r="A130" s="832"/>
      <c r="B130" s="834"/>
      <c r="C130" s="290" t="s">
        <v>167</v>
      </c>
      <c r="D130" s="291">
        <f t="shared" si="585"/>
        <v>0</v>
      </c>
      <c r="E130" s="292">
        <f t="shared" si="169"/>
        <v>0</v>
      </c>
      <c r="F130" s="293">
        <f t="shared" si="586"/>
        <v>0</v>
      </c>
      <c r="G130" s="298">
        <f t="shared" si="807"/>
        <v>0</v>
      </c>
      <c r="H130" s="299">
        <f t="shared" si="782"/>
        <v>0</v>
      </c>
      <c r="I130" s="262">
        <f t="shared" si="808"/>
        <v>0</v>
      </c>
      <c r="J130" s="298">
        <f t="shared" si="809"/>
        <v>0</v>
      </c>
      <c r="K130" s="299">
        <f t="shared" si="810"/>
        <v>0</v>
      </c>
      <c r="L130" s="262">
        <f t="shared" si="811"/>
        <v>0</v>
      </c>
      <c r="M130" s="298">
        <f t="shared" si="812"/>
        <v>0</v>
      </c>
      <c r="N130" s="299">
        <f t="shared" si="813"/>
        <v>0</v>
      </c>
      <c r="O130" s="262">
        <f t="shared" si="814"/>
        <v>0</v>
      </c>
      <c r="P130" s="298">
        <f t="shared" si="783"/>
        <v>0</v>
      </c>
      <c r="Q130" s="299">
        <f t="shared" si="784"/>
        <v>0</v>
      </c>
      <c r="R130" s="262">
        <f t="shared" si="815"/>
        <v>0</v>
      </c>
      <c r="S130" s="298">
        <f t="shared" si="785"/>
        <v>0</v>
      </c>
      <c r="T130" s="299">
        <f t="shared" si="786"/>
        <v>0</v>
      </c>
      <c r="U130" s="262">
        <f t="shared" si="816"/>
        <v>0</v>
      </c>
      <c r="V130" s="298">
        <f t="shared" si="787"/>
        <v>0</v>
      </c>
      <c r="W130" s="299">
        <f t="shared" si="788"/>
        <v>0</v>
      </c>
      <c r="X130" s="262">
        <f t="shared" si="817"/>
        <v>0</v>
      </c>
      <c r="Y130" s="298">
        <f t="shared" si="818"/>
        <v>0</v>
      </c>
      <c r="Z130" s="299">
        <f t="shared" si="819"/>
        <v>0</v>
      </c>
      <c r="AA130" s="262">
        <f t="shared" si="820"/>
        <v>0</v>
      </c>
      <c r="AB130" s="298">
        <f t="shared" si="821"/>
        <v>0</v>
      </c>
      <c r="AC130" s="299">
        <f t="shared" si="822"/>
        <v>0</v>
      </c>
      <c r="AD130" s="262">
        <f t="shared" si="823"/>
        <v>0</v>
      </c>
      <c r="AE130" s="298">
        <f t="shared" si="789"/>
        <v>0</v>
      </c>
      <c r="AF130" s="299">
        <f t="shared" si="790"/>
        <v>0</v>
      </c>
      <c r="AG130" s="262">
        <f t="shared" si="824"/>
        <v>0</v>
      </c>
      <c r="AH130" s="298">
        <f t="shared" si="791"/>
        <v>0</v>
      </c>
      <c r="AI130" s="299">
        <f t="shared" si="792"/>
        <v>0</v>
      </c>
      <c r="AJ130" s="262">
        <f t="shared" si="825"/>
        <v>0</v>
      </c>
      <c r="AK130" s="298">
        <f t="shared" si="793"/>
        <v>0</v>
      </c>
      <c r="AL130" s="299">
        <f t="shared" si="794"/>
        <v>0</v>
      </c>
      <c r="AM130" s="262">
        <f t="shared" si="826"/>
        <v>0</v>
      </c>
      <c r="AN130" s="298">
        <f t="shared" si="827"/>
        <v>0</v>
      </c>
      <c r="AO130" s="299">
        <f t="shared" si="828"/>
        <v>0</v>
      </c>
      <c r="AP130" s="262">
        <f t="shared" si="829"/>
        <v>0</v>
      </c>
      <c r="AQ130" s="298">
        <f t="shared" si="830"/>
        <v>0</v>
      </c>
      <c r="AR130" s="299">
        <f t="shared" si="831"/>
        <v>0</v>
      </c>
      <c r="AS130" s="262">
        <f t="shared" si="832"/>
        <v>0</v>
      </c>
      <c r="AT130" s="298">
        <f t="shared" si="795"/>
        <v>0</v>
      </c>
      <c r="AU130" s="299">
        <f t="shared" si="796"/>
        <v>0</v>
      </c>
      <c r="AV130" s="262">
        <f t="shared" si="833"/>
        <v>0</v>
      </c>
      <c r="AW130" s="298">
        <f t="shared" si="797"/>
        <v>0</v>
      </c>
      <c r="AX130" s="299">
        <f t="shared" si="798"/>
        <v>0</v>
      </c>
      <c r="AY130" s="262">
        <f t="shared" si="834"/>
        <v>0</v>
      </c>
      <c r="AZ130" s="298">
        <f t="shared" si="799"/>
        <v>0</v>
      </c>
      <c r="BA130" s="299">
        <f t="shared" si="800"/>
        <v>0</v>
      </c>
      <c r="BB130" s="262">
        <f t="shared" si="835"/>
        <v>0</v>
      </c>
      <c r="BC130" s="298">
        <f t="shared" si="836"/>
        <v>0</v>
      </c>
      <c r="BD130" s="299">
        <f t="shared" si="837"/>
        <v>0</v>
      </c>
      <c r="BE130" s="262">
        <f t="shared" si="838"/>
        <v>0</v>
      </c>
      <c r="BF130" s="298">
        <f t="shared" si="839"/>
        <v>0</v>
      </c>
      <c r="BG130" s="299">
        <f t="shared" si="840"/>
        <v>0</v>
      </c>
      <c r="BH130" s="262">
        <f t="shared" si="841"/>
        <v>0</v>
      </c>
      <c r="BI130" s="298">
        <f t="shared" si="801"/>
        <v>0</v>
      </c>
      <c r="BJ130" s="299">
        <f t="shared" si="802"/>
        <v>0</v>
      </c>
      <c r="BK130" s="262">
        <f t="shared" si="842"/>
        <v>0</v>
      </c>
      <c r="BL130" s="298">
        <f t="shared" si="803"/>
        <v>0</v>
      </c>
      <c r="BM130" s="299">
        <f t="shared" si="804"/>
        <v>0</v>
      </c>
      <c r="BN130" s="262">
        <f t="shared" si="843"/>
        <v>0</v>
      </c>
      <c r="BO130" s="298">
        <f t="shared" si="805"/>
        <v>0</v>
      </c>
      <c r="BP130" s="299">
        <f t="shared" si="806"/>
        <v>0</v>
      </c>
      <c r="BQ130" s="262">
        <f t="shared" si="844"/>
        <v>0</v>
      </c>
    </row>
    <row r="131" spans="1:69" ht="16" x14ac:dyDescent="0.2">
      <c r="A131" s="832"/>
      <c r="B131" s="834"/>
      <c r="C131" s="290" t="s">
        <v>168</v>
      </c>
      <c r="D131" s="291">
        <f t="shared" si="585"/>
        <v>0</v>
      </c>
      <c r="E131" s="292">
        <f t="shared" si="169"/>
        <v>0</v>
      </c>
      <c r="F131" s="293">
        <f t="shared" si="586"/>
        <v>0</v>
      </c>
      <c r="G131" s="298">
        <f t="shared" si="807"/>
        <v>0</v>
      </c>
      <c r="H131" s="299">
        <f t="shared" si="782"/>
        <v>0</v>
      </c>
      <c r="I131" s="262">
        <f t="shared" si="808"/>
        <v>0</v>
      </c>
      <c r="J131" s="298">
        <f t="shared" si="809"/>
        <v>0</v>
      </c>
      <c r="K131" s="299">
        <f t="shared" si="810"/>
        <v>0</v>
      </c>
      <c r="L131" s="262">
        <f t="shared" si="811"/>
        <v>0</v>
      </c>
      <c r="M131" s="298">
        <f t="shared" si="812"/>
        <v>0</v>
      </c>
      <c r="N131" s="299">
        <f t="shared" si="813"/>
        <v>0</v>
      </c>
      <c r="O131" s="262">
        <f t="shared" si="814"/>
        <v>0</v>
      </c>
      <c r="P131" s="298">
        <f t="shared" si="783"/>
        <v>0</v>
      </c>
      <c r="Q131" s="299">
        <f t="shared" si="784"/>
        <v>0</v>
      </c>
      <c r="R131" s="262">
        <f t="shared" si="815"/>
        <v>0</v>
      </c>
      <c r="S131" s="298">
        <f t="shared" si="785"/>
        <v>0</v>
      </c>
      <c r="T131" s="299">
        <f t="shared" si="786"/>
        <v>0</v>
      </c>
      <c r="U131" s="262">
        <f t="shared" si="816"/>
        <v>0</v>
      </c>
      <c r="V131" s="298">
        <f t="shared" si="787"/>
        <v>0</v>
      </c>
      <c r="W131" s="299">
        <f t="shared" si="788"/>
        <v>0</v>
      </c>
      <c r="X131" s="262">
        <f t="shared" si="817"/>
        <v>0</v>
      </c>
      <c r="Y131" s="298">
        <f t="shared" si="818"/>
        <v>0</v>
      </c>
      <c r="Z131" s="299">
        <f t="shared" si="819"/>
        <v>0</v>
      </c>
      <c r="AA131" s="262">
        <f t="shared" si="820"/>
        <v>0</v>
      </c>
      <c r="AB131" s="298">
        <f t="shared" si="821"/>
        <v>0</v>
      </c>
      <c r="AC131" s="299">
        <f t="shared" si="822"/>
        <v>0</v>
      </c>
      <c r="AD131" s="262">
        <f t="shared" si="823"/>
        <v>0</v>
      </c>
      <c r="AE131" s="298">
        <f t="shared" si="789"/>
        <v>0</v>
      </c>
      <c r="AF131" s="299">
        <f t="shared" si="790"/>
        <v>0</v>
      </c>
      <c r="AG131" s="262">
        <f t="shared" si="824"/>
        <v>0</v>
      </c>
      <c r="AH131" s="298">
        <f t="shared" si="791"/>
        <v>0</v>
      </c>
      <c r="AI131" s="299">
        <f t="shared" si="792"/>
        <v>0</v>
      </c>
      <c r="AJ131" s="262">
        <f t="shared" si="825"/>
        <v>0</v>
      </c>
      <c r="AK131" s="298">
        <f t="shared" si="793"/>
        <v>0</v>
      </c>
      <c r="AL131" s="299">
        <f t="shared" si="794"/>
        <v>0</v>
      </c>
      <c r="AM131" s="262">
        <f t="shared" si="826"/>
        <v>0</v>
      </c>
      <c r="AN131" s="298">
        <f t="shared" si="827"/>
        <v>0</v>
      </c>
      <c r="AO131" s="299">
        <f t="shared" si="828"/>
        <v>0</v>
      </c>
      <c r="AP131" s="262">
        <f t="shared" si="829"/>
        <v>0</v>
      </c>
      <c r="AQ131" s="298">
        <f t="shared" si="830"/>
        <v>0</v>
      </c>
      <c r="AR131" s="299">
        <f t="shared" si="831"/>
        <v>0</v>
      </c>
      <c r="AS131" s="262">
        <f t="shared" si="832"/>
        <v>0</v>
      </c>
      <c r="AT131" s="298">
        <f t="shared" si="795"/>
        <v>0</v>
      </c>
      <c r="AU131" s="299">
        <f t="shared" si="796"/>
        <v>0</v>
      </c>
      <c r="AV131" s="262">
        <f t="shared" si="833"/>
        <v>0</v>
      </c>
      <c r="AW131" s="298">
        <f t="shared" si="797"/>
        <v>0</v>
      </c>
      <c r="AX131" s="299">
        <f t="shared" si="798"/>
        <v>0</v>
      </c>
      <c r="AY131" s="262">
        <f t="shared" si="834"/>
        <v>0</v>
      </c>
      <c r="AZ131" s="298">
        <f t="shared" si="799"/>
        <v>0</v>
      </c>
      <c r="BA131" s="299">
        <f t="shared" si="800"/>
        <v>0</v>
      </c>
      <c r="BB131" s="262">
        <f t="shared" si="835"/>
        <v>0</v>
      </c>
      <c r="BC131" s="298">
        <f t="shared" si="836"/>
        <v>0</v>
      </c>
      <c r="BD131" s="299">
        <f t="shared" si="837"/>
        <v>0</v>
      </c>
      <c r="BE131" s="262">
        <f t="shared" si="838"/>
        <v>0</v>
      </c>
      <c r="BF131" s="298">
        <f t="shared" si="839"/>
        <v>0</v>
      </c>
      <c r="BG131" s="299">
        <f t="shared" si="840"/>
        <v>0</v>
      </c>
      <c r="BH131" s="262">
        <f t="shared" si="841"/>
        <v>0</v>
      </c>
      <c r="BI131" s="298">
        <f t="shared" si="801"/>
        <v>0</v>
      </c>
      <c r="BJ131" s="299">
        <f t="shared" si="802"/>
        <v>0</v>
      </c>
      <c r="BK131" s="262">
        <f t="shared" si="842"/>
        <v>0</v>
      </c>
      <c r="BL131" s="298">
        <f t="shared" si="803"/>
        <v>0</v>
      </c>
      <c r="BM131" s="299">
        <f t="shared" si="804"/>
        <v>0</v>
      </c>
      <c r="BN131" s="262">
        <f t="shared" si="843"/>
        <v>0</v>
      </c>
      <c r="BO131" s="298">
        <f t="shared" si="805"/>
        <v>0</v>
      </c>
      <c r="BP131" s="299">
        <f t="shared" si="806"/>
        <v>0</v>
      </c>
      <c r="BQ131" s="262">
        <f t="shared" si="844"/>
        <v>0</v>
      </c>
    </row>
    <row r="132" spans="1:69" ht="16" x14ac:dyDescent="0.2">
      <c r="A132" s="832"/>
      <c r="B132" s="834"/>
      <c r="C132" s="290" t="s">
        <v>169</v>
      </c>
      <c r="D132" s="291">
        <f t="shared" ref="D132:D135" si="845">SUM(G132,J132,M132,P132,S132,V132,Y132,AB132,AE132,AH132,AK132,AN132,AQ132,AT132,AW132,AZ132,AZ132,BC132,BF132,BI132,BL132,BO132)</f>
        <v>0</v>
      </c>
      <c r="E132" s="292">
        <f t="shared" si="169"/>
        <v>0</v>
      </c>
      <c r="F132" s="293">
        <f t="shared" si="586"/>
        <v>0</v>
      </c>
      <c r="G132" s="298">
        <f t="shared" si="807"/>
        <v>0</v>
      </c>
      <c r="H132" s="299">
        <f t="shared" si="782"/>
        <v>0</v>
      </c>
      <c r="I132" s="262">
        <f t="shared" si="808"/>
        <v>0</v>
      </c>
      <c r="J132" s="298">
        <f t="shared" si="809"/>
        <v>0</v>
      </c>
      <c r="K132" s="299">
        <f t="shared" si="810"/>
        <v>0</v>
      </c>
      <c r="L132" s="262">
        <f t="shared" si="811"/>
        <v>0</v>
      </c>
      <c r="M132" s="298">
        <f t="shared" si="812"/>
        <v>0</v>
      </c>
      <c r="N132" s="299">
        <f t="shared" si="813"/>
        <v>0</v>
      </c>
      <c r="O132" s="262">
        <f t="shared" si="814"/>
        <v>0</v>
      </c>
      <c r="P132" s="298">
        <f t="shared" si="783"/>
        <v>0</v>
      </c>
      <c r="Q132" s="299">
        <f t="shared" si="784"/>
        <v>0</v>
      </c>
      <c r="R132" s="262">
        <f t="shared" si="815"/>
        <v>0</v>
      </c>
      <c r="S132" s="298">
        <f t="shared" si="785"/>
        <v>0</v>
      </c>
      <c r="T132" s="299">
        <f t="shared" si="786"/>
        <v>0</v>
      </c>
      <c r="U132" s="262">
        <f t="shared" si="816"/>
        <v>0</v>
      </c>
      <c r="V132" s="298">
        <f t="shared" si="787"/>
        <v>0</v>
      </c>
      <c r="W132" s="299">
        <f t="shared" si="788"/>
        <v>0</v>
      </c>
      <c r="X132" s="262">
        <f t="shared" si="817"/>
        <v>0</v>
      </c>
      <c r="Y132" s="298">
        <f t="shared" si="818"/>
        <v>0</v>
      </c>
      <c r="Z132" s="299">
        <f t="shared" si="819"/>
        <v>0</v>
      </c>
      <c r="AA132" s="262">
        <f t="shared" si="820"/>
        <v>0</v>
      </c>
      <c r="AB132" s="298">
        <f t="shared" si="821"/>
        <v>0</v>
      </c>
      <c r="AC132" s="299">
        <f t="shared" si="822"/>
        <v>0</v>
      </c>
      <c r="AD132" s="262">
        <f t="shared" si="823"/>
        <v>0</v>
      </c>
      <c r="AE132" s="298">
        <f t="shared" si="789"/>
        <v>0</v>
      </c>
      <c r="AF132" s="299">
        <f t="shared" si="790"/>
        <v>0</v>
      </c>
      <c r="AG132" s="262">
        <f t="shared" si="824"/>
        <v>0</v>
      </c>
      <c r="AH132" s="298">
        <f t="shared" si="791"/>
        <v>0</v>
      </c>
      <c r="AI132" s="299">
        <f t="shared" si="792"/>
        <v>0</v>
      </c>
      <c r="AJ132" s="262">
        <f t="shared" si="825"/>
        <v>0</v>
      </c>
      <c r="AK132" s="298">
        <f t="shared" si="793"/>
        <v>0</v>
      </c>
      <c r="AL132" s="299">
        <f t="shared" si="794"/>
        <v>0</v>
      </c>
      <c r="AM132" s="262">
        <f t="shared" si="826"/>
        <v>0</v>
      </c>
      <c r="AN132" s="298">
        <f t="shared" si="827"/>
        <v>0</v>
      </c>
      <c r="AO132" s="299">
        <f t="shared" si="828"/>
        <v>0</v>
      </c>
      <c r="AP132" s="262">
        <f t="shared" si="829"/>
        <v>0</v>
      </c>
      <c r="AQ132" s="298">
        <f t="shared" si="830"/>
        <v>0</v>
      </c>
      <c r="AR132" s="299">
        <f t="shared" si="831"/>
        <v>0</v>
      </c>
      <c r="AS132" s="262">
        <f t="shared" si="832"/>
        <v>0</v>
      </c>
      <c r="AT132" s="298">
        <f t="shared" si="795"/>
        <v>0</v>
      </c>
      <c r="AU132" s="299">
        <f t="shared" si="796"/>
        <v>0</v>
      </c>
      <c r="AV132" s="262">
        <f t="shared" si="833"/>
        <v>0</v>
      </c>
      <c r="AW132" s="298">
        <f t="shared" si="797"/>
        <v>0</v>
      </c>
      <c r="AX132" s="299">
        <f t="shared" si="798"/>
        <v>0</v>
      </c>
      <c r="AY132" s="262">
        <f t="shared" si="834"/>
        <v>0</v>
      </c>
      <c r="AZ132" s="298">
        <f t="shared" si="799"/>
        <v>0</v>
      </c>
      <c r="BA132" s="299">
        <f t="shared" si="800"/>
        <v>0</v>
      </c>
      <c r="BB132" s="262">
        <f t="shared" si="835"/>
        <v>0</v>
      </c>
      <c r="BC132" s="298">
        <f t="shared" si="836"/>
        <v>0</v>
      </c>
      <c r="BD132" s="299">
        <f t="shared" si="837"/>
        <v>0</v>
      </c>
      <c r="BE132" s="262">
        <f t="shared" si="838"/>
        <v>0</v>
      </c>
      <c r="BF132" s="298">
        <f t="shared" si="839"/>
        <v>0</v>
      </c>
      <c r="BG132" s="299">
        <f t="shared" si="840"/>
        <v>0</v>
      </c>
      <c r="BH132" s="262">
        <f t="shared" si="841"/>
        <v>0</v>
      </c>
      <c r="BI132" s="298">
        <f t="shared" si="801"/>
        <v>0</v>
      </c>
      <c r="BJ132" s="299">
        <f t="shared" si="802"/>
        <v>0</v>
      </c>
      <c r="BK132" s="262">
        <f t="shared" si="842"/>
        <v>0</v>
      </c>
      <c r="BL132" s="298">
        <f t="shared" si="803"/>
        <v>0</v>
      </c>
      <c r="BM132" s="299">
        <f t="shared" si="804"/>
        <v>0</v>
      </c>
      <c r="BN132" s="262">
        <f t="shared" si="843"/>
        <v>0</v>
      </c>
      <c r="BO132" s="298">
        <f t="shared" si="805"/>
        <v>0</v>
      </c>
      <c r="BP132" s="299">
        <f t="shared" si="806"/>
        <v>0</v>
      </c>
      <c r="BQ132" s="262">
        <f t="shared" si="844"/>
        <v>0</v>
      </c>
    </row>
    <row r="133" spans="1:69" ht="16" x14ac:dyDescent="0.2">
      <c r="A133" s="832"/>
      <c r="B133" s="834"/>
      <c r="C133" s="290" t="s">
        <v>170</v>
      </c>
      <c r="D133" s="291">
        <f t="shared" si="845"/>
        <v>0</v>
      </c>
      <c r="E133" s="292">
        <f t="shared" si="169"/>
        <v>0</v>
      </c>
      <c r="F133" s="293">
        <f t="shared" si="586"/>
        <v>0</v>
      </c>
      <c r="G133" s="298">
        <f t="shared" si="807"/>
        <v>0</v>
      </c>
      <c r="H133" s="299">
        <f t="shared" si="782"/>
        <v>0</v>
      </c>
      <c r="I133" s="262">
        <f t="shared" si="808"/>
        <v>0</v>
      </c>
      <c r="J133" s="298">
        <f t="shared" si="809"/>
        <v>0</v>
      </c>
      <c r="K133" s="299">
        <f t="shared" si="810"/>
        <v>0</v>
      </c>
      <c r="L133" s="262">
        <f t="shared" si="811"/>
        <v>0</v>
      </c>
      <c r="M133" s="298">
        <f t="shared" si="812"/>
        <v>0</v>
      </c>
      <c r="N133" s="299">
        <f t="shared" si="813"/>
        <v>0</v>
      </c>
      <c r="O133" s="262">
        <f t="shared" si="814"/>
        <v>0</v>
      </c>
      <c r="P133" s="298">
        <f t="shared" si="783"/>
        <v>0</v>
      </c>
      <c r="Q133" s="299">
        <f t="shared" si="784"/>
        <v>0</v>
      </c>
      <c r="R133" s="262">
        <f t="shared" si="815"/>
        <v>0</v>
      </c>
      <c r="S133" s="298">
        <f t="shared" si="785"/>
        <v>0</v>
      </c>
      <c r="T133" s="299">
        <f t="shared" si="786"/>
        <v>0</v>
      </c>
      <c r="U133" s="262">
        <f t="shared" si="816"/>
        <v>0</v>
      </c>
      <c r="V133" s="298">
        <f t="shared" si="787"/>
        <v>0</v>
      </c>
      <c r="W133" s="299">
        <f t="shared" si="788"/>
        <v>0</v>
      </c>
      <c r="X133" s="262">
        <f t="shared" si="817"/>
        <v>0</v>
      </c>
      <c r="Y133" s="298">
        <f t="shared" si="818"/>
        <v>0</v>
      </c>
      <c r="Z133" s="299">
        <f t="shared" si="819"/>
        <v>0</v>
      </c>
      <c r="AA133" s="262">
        <f t="shared" si="820"/>
        <v>0</v>
      </c>
      <c r="AB133" s="298">
        <f t="shared" si="821"/>
        <v>0</v>
      </c>
      <c r="AC133" s="299">
        <f t="shared" si="822"/>
        <v>0</v>
      </c>
      <c r="AD133" s="262">
        <f t="shared" si="823"/>
        <v>0</v>
      </c>
      <c r="AE133" s="298">
        <f t="shared" si="789"/>
        <v>0</v>
      </c>
      <c r="AF133" s="299">
        <f t="shared" si="790"/>
        <v>0</v>
      </c>
      <c r="AG133" s="262">
        <f t="shared" si="824"/>
        <v>0</v>
      </c>
      <c r="AH133" s="298">
        <f t="shared" si="791"/>
        <v>0</v>
      </c>
      <c r="AI133" s="299">
        <f t="shared" si="792"/>
        <v>0</v>
      </c>
      <c r="AJ133" s="262">
        <f t="shared" si="825"/>
        <v>0</v>
      </c>
      <c r="AK133" s="298">
        <f t="shared" si="793"/>
        <v>0</v>
      </c>
      <c r="AL133" s="299">
        <f t="shared" si="794"/>
        <v>0</v>
      </c>
      <c r="AM133" s="262">
        <f t="shared" si="826"/>
        <v>0</v>
      </c>
      <c r="AN133" s="298">
        <f t="shared" si="827"/>
        <v>0</v>
      </c>
      <c r="AO133" s="299">
        <f t="shared" si="828"/>
        <v>0</v>
      </c>
      <c r="AP133" s="262">
        <f t="shared" si="829"/>
        <v>0</v>
      </c>
      <c r="AQ133" s="298">
        <f t="shared" si="830"/>
        <v>0</v>
      </c>
      <c r="AR133" s="299">
        <f t="shared" si="831"/>
        <v>0</v>
      </c>
      <c r="AS133" s="262">
        <f t="shared" si="832"/>
        <v>0</v>
      </c>
      <c r="AT133" s="298">
        <f t="shared" si="795"/>
        <v>0</v>
      </c>
      <c r="AU133" s="299">
        <f t="shared" si="796"/>
        <v>0</v>
      </c>
      <c r="AV133" s="262">
        <f t="shared" si="833"/>
        <v>0</v>
      </c>
      <c r="AW133" s="298">
        <f t="shared" si="797"/>
        <v>0</v>
      </c>
      <c r="AX133" s="299">
        <f t="shared" si="798"/>
        <v>0</v>
      </c>
      <c r="AY133" s="262">
        <f t="shared" si="834"/>
        <v>0</v>
      </c>
      <c r="AZ133" s="298">
        <f t="shared" si="799"/>
        <v>0</v>
      </c>
      <c r="BA133" s="299">
        <f t="shared" si="800"/>
        <v>0</v>
      </c>
      <c r="BB133" s="262">
        <f t="shared" si="835"/>
        <v>0</v>
      </c>
      <c r="BC133" s="298">
        <f t="shared" si="836"/>
        <v>0</v>
      </c>
      <c r="BD133" s="299">
        <f t="shared" si="837"/>
        <v>0</v>
      </c>
      <c r="BE133" s="262">
        <f t="shared" si="838"/>
        <v>0</v>
      </c>
      <c r="BF133" s="298">
        <f t="shared" si="839"/>
        <v>0</v>
      </c>
      <c r="BG133" s="299">
        <f t="shared" si="840"/>
        <v>0</v>
      </c>
      <c r="BH133" s="262">
        <f t="shared" si="841"/>
        <v>0</v>
      </c>
      <c r="BI133" s="298">
        <f t="shared" si="801"/>
        <v>0</v>
      </c>
      <c r="BJ133" s="299">
        <f t="shared" si="802"/>
        <v>0</v>
      </c>
      <c r="BK133" s="262">
        <f t="shared" si="842"/>
        <v>0</v>
      </c>
      <c r="BL133" s="298">
        <f t="shared" si="803"/>
        <v>0</v>
      </c>
      <c r="BM133" s="299">
        <f t="shared" si="804"/>
        <v>0</v>
      </c>
      <c r="BN133" s="262">
        <f t="shared" si="843"/>
        <v>0</v>
      </c>
      <c r="BO133" s="298">
        <f t="shared" si="805"/>
        <v>0</v>
      </c>
      <c r="BP133" s="299">
        <f t="shared" si="806"/>
        <v>0</v>
      </c>
      <c r="BQ133" s="262">
        <f t="shared" si="844"/>
        <v>0</v>
      </c>
    </row>
    <row r="134" spans="1:69" ht="16" x14ac:dyDescent="0.2">
      <c r="A134" s="832"/>
      <c r="B134" s="834"/>
      <c r="C134" s="290" t="s">
        <v>171</v>
      </c>
      <c r="D134" s="291">
        <f t="shared" si="845"/>
        <v>0</v>
      </c>
      <c r="E134" s="292">
        <f t="shared" si="169"/>
        <v>0</v>
      </c>
      <c r="F134" s="293">
        <f t="shared" si="586"/>
        <v>0</v>
      </c>
      <c r="G134" s="298">
        <f t="shared" si="807"/>
        <v>0</v>
      </c>
      <c r="H134" s="299">
        <f t="shared" si="782"/>
        <v>0</v>
      </c>
      <c r="I134" s="262">
        <f t="shared" si="808"/>
        <v>0</v>
      </c>
      <c r="J134" s="298">
        <f t="shared" si="809"/>
        <v>0</v>
      </c>
      <c r="K134" s="299">
        <f t="shared" si="810"/>
        <v>0</v>
      </c>
      <c r="L134" s="262">
        <f t="shared" si="811"/>
        <v>0</v>
      </c>
      <c r="M134" s="298">
        <f t="shared" si="812"/>
        <v>0</v>
      </c>
      <c r="N134" s="299">
        <f t="shared" si="813"/>
        <v>0</v>
      </c>
      <c r="O134" s="262">
        <f t="shared" si="814"/>
        <v>0</v>
      </c>
      <c r="P134" s="298">
        <f t="shared" si="783"/>
        <v>0</v>
      </c>
      <c r="Q134" s="299">
        <f t="shared" si="784"/>
        <v>0</v>
      </c>
      <c r="R134" s="262">
        <f t="shared" si="815"/>
        <v>0</v>
      </c>
      <c r="S134" s="298">
        <f t="shared" si="785"/>
        <v>0</v>
      </c>
      <c r="T134" s="299">
        <f t="shared" si="786"/>
        <v>0</v>
      </c>
      <c r="U134" s="262">
        <f t="shared" si="816"/>
        <v>0</v>
      </c>
      <c r="V134" s="298">
        <f t="shared" si="787"/>
        <v>0</v>
      </c>
      <c r="W134" s="299">
        <f t="shared" si="788"/>
        <v>0</v>
      </c>
      <c r="X134" s="262">
        <f t="shared" si="817"/>
        <v>0</v>
      </c>
      <c r="Y134" s="298">
        <f t="shared" si="818"/>
        <v>0</v>
      </c>
      <c r="Z134" s="299">
        <f t="shared" si="819"/>
        <v>0</v>
      </c>
      <c r="AA134" s="262">
        <f t="shared" si="820"/>
        <v>0</v>
      </c>
      <c r="AB134" s="298">
        <f t="shared" si="821"/>
        <v>0</v>
      </c>
      <c r="AC134" s="299">
        <f t="shared" si="822"/>
        <v>0</v>
      </c>
      <c r="AD134" s="262">
        <f t="shared" si="823"/>
        <v>0</v>
      </c>
      <c r="AE134" s="298">
        <f t="shared" si="789"/>
        <v>0</v>
      </c>
      <c r="AF134" s="299">
        <f t="shared" si="790"/>
        <v>0</v>
      </c>
      <c r="AG134" s="262">
        <f t="shared" si="824"/>
        <v>0</v>
      </c>
      <c r="AH134" s="298">
        <f t="shared" si="791"/>
        <v>0</v>
      </c>
      <c r="AI134" s="299">
        <f t="shared" si="792"/>
        <v>0</v>
      </c>
      <c r="AJ134" s="262">
        <f t="shared" si="825"/>
        <v>0</v>
      </c>
      <c r="AK134" s="298">
        <f t="shared" si="793"/>
        <v>0</v>
      </c>
      <c r="AL134" s="299">
        <f t="shared" si="794"/>
        <v>0</v>
      </c>
      <c r="AM134" s="262">
        <f t="shared" si="826"/>
        <v>0</v>
      </c>
      <c r="AN134" s="298">
        <f t="shared" si="827"/>
        <v>0</v>
      </c>
      <c r="AO134" s="299">
        <f t="shared" si="828"/>
        <v>0</v>
      </c>
      <c r="AP134" s="262">
        <f t="shared" si="829"/>
        <v>0</v>
      </c>
      <c r="AQ134" s="298">
        <f t="shared" si="830"/>
        <v>0</v>
      </c>
      <c r="AR134" s="299">
        <f t="shared" si="831"/>
        <v>0</v>
      </c>
      <c r="AS134" s="262">
        <f t="shared" si="832"/>
        <v>0</v>
      </c>
      <c r="AT134" s="298">
        <f t="shared" si="795"/>
        <v>0</v>
      </c>
      <c r="AU134" s="299">
        <f t="shared" si="796"/>
        <v>0</v>
      </c>
      <c r="AV134" s="262">
        <f t="shared" si="833"/>
        <v>0</v>
      </c>
      <c r="AW134" s="298">
        <f t="shared" si="797"/>
        <v>0</v>
      </c>
      <c r="AX134" s="299">
        <f t="shared" si="798"/>
        <v>0</v>
      </c>
      <c r="AY134" s="262">
        <f t="shared" si="834"/>
        <v>0</v>
      </c>
      <c r="AZ134" s="298">
        <f t="shared" si="799"/>
        <v>0</v>
      </c>
      <c r="BA134" s="299">
        <f t="shared" si="800"/>
        <v>0</v>
      </c>
      <c r="BB134" s="262">
        <f t="shared" si="835"/>
        <v>0</v>
      </c>
      <c r="BC134" s="298">
        <f t="shared" si="836"/>
        <v>0</v>
      </c>
      <c r="BD134" s="299">
        <f t="shared" si="837"/>
        <v>0</v>
      </c>
      <c r="BE134" s="262">
        <f t="shared" si="838"/>
        <v>0</v>
      </c>
      <c r="BF134" s="298">
        <f t="shared" si="839"/>
        <v>0</v>
      </c>
      <c r="BG134" s="299">
        <f t="shared" si="840"/>
        <v>0</v>
      </c>
      <c r="BH134" s="262">
        <f t="shared" si="841"/>
        <v>0</v>
      </c>
      <c r="BI134" s="298">
        <f t="shared" si="801"/>
        <v>0</v>
      </c>
      <c r="BJ134" s="299">
        <f t="shared" si="802"/>
        <v>0</v>
      </c>
      <c r="BK134" s="262">
        <f t="shared" si="842"/>
        <v>0</v>
      </c>
      <c r="BL134" s="298">
        <f t="shared" si="803"/>
        <v>0</v>
      </c>
      <c r="BM134" s="299">
        <f t="shared" si="804"/>
        <v>0</v>
      </c>
      <c r="BN134" s="262">
        <f t="shared" si="843"/>
        <v>0</v>
      </c>
      <c r="BO134" s="298">
        <f t="shared" si="805"/>
        <v>0</v>
      </c>
      <c r="BP134" s="299">
        <f t="shared" si="806"/>
        <v>0</v>
      </c>
      <c r="BQ134" s="262">
        <f t="shared" si="844"/>
        <v>0</v>
      </c>
    </row>
    <row r="135" spans="1:69" ht="17" thickBot="1" x14ac:dyDescent="0.25">
      <c r="A135" s="833"/>
      <c r="B135" s="835"/>
      <c r="C135" s="300" t="s">
        <v>172</v>
      </c>
      <c r="D135" s="301">
        <f t="shared" si="845"/>
        <v>0</v>
      </c>
      <c r="E135" s="302">
        <f t="shared" si="169"/>
        <v>0</v>
      </c>
      <c r="F135" s="303">
        <f t="shared" si="586"/>
        <v>0</v>
      </c>
      <c r="G135" s="304">
        <f t="shared" si="807"/>
        <v>0</v>
      </c>
      <c r="H135" s="305">
        <f t="shared" si="782"/>
        <v>0</v>
      </c>
      <c r="I135" s="267">
        <f t="shared" si="808"/>
        <v>0</v>
      </c>
      <c r="J135" s="304">
        <f t="shared" si="809"/>
        <v>0</v>
      </c>
      <c r="K135" s="305">
        <f t="shared" si="810"/>
        <v>0</v>
      </c>
      <c r="L135" s="267">
        <f t="shared" si="811"/>
        <v>0</v>
      </c>
      <c r="M135" s="304">
        <f t="shared" si="812"/>
        <v>0</v>
      </c>
      <c r="N135" s="305">
        <f t="shared" si="813"/>
        <v>0</v>
      </c>
      <c r="O135" s="267">
        <f t="shared" si="814"/>
        <v>0</v>
      </c>
      <c r="P135" s="304">
        <f t="shared" si="783"/>
        <v>0</v>
      </c>
      <c r="Q135" s="305">
        <f t="shared" si="784"/>
        <v>0</v>
      </c>
      <c r="R135" s="267">
        <f t="shared" si="815"/>
        <v>0</v>
      </c>
      <c r="S135" s="304">
        <f t="shared" si="785"/>
        <v>0</v>
      </c>
      <c r="T135" s="305">
        <f t="shared" si="786"/>
        <v>0</v>
      </c>
      <c r="U135" s="267">
        <f t="shared" si="816"/>
        <v>0</v>
      </c>
      <c r="V135" s="304">
        <f t="shared" si="787"/>
        <v>0</v>
      </c>
      <c r="W135" s="305">
        <f t="shared" si="788"/>
        <v>0</v>
      </c>
      <c r="X135" s="267">
        <f t="shared" si="817"/>
        <v>0</v>
      </c>
      <c r="Y135" s="304">
        <f t="shared" si="818"/>
        <v>0</v>
      </c>
      <c r="Z135" s="305">
        <f t="shared" si="819"/>
        <v>0</v>
      </c>
      <c r="AA135" s="267">
        <f t="shared" si="820"/>
        <v>0</v>
      </c>
      <c r="AB135" s="304">
        <f t="shared" si="821"/>
        <v>0</v>
      </c>
      <c r="AC135" s="305">
        <f t="shared" si="822"/>
        <v>0</v>
      </c>
      <c r="AD135" s="267">
        <f t="shared" si="823"/>
        <v>0</v>
      </c>
      <c r="AE135" s="304">
        <f t="shared" si="789"/>
        <v>0</v>
      </c>
      <c r="AF135" s="305">
        <f t="shared" si="790"/>
        <v>0</v>
      </c>
      <c r="AG135" s="267">
        <f t="shared" si="824"/>
        <v>0</v>
      </c>
      <c r="AH135" s="304">
        <f t="shared" si="791"/>
        <v>0</v>
      </c>
      <c r="AI135" s="305">
        <f t="shared" si="792"/>
        <v>0</v>
      </c>
      <c r="AJ135" s="267">
        <f t="shared" si="825"/>
        <v>0</v>
      </c>
      <c r="AK135" s="304">
        <f t="shared" si="793"/>
        <v>0</v>
      </c>
      <c r="AL135" s="305">
        <f t="shared" si="794"/>
        <v>0</v>
      </c>
      <c r="AM135" s="267">
        <f t="shared" si="826"/>
        <v>0</v>
      </c>
      <c r="AN135" s="304">
        <f t="shared" si="827"/>
        <v>0</v>
      </c>
      <c r="AO135" s="305">
        <f t="shared" si="828"/>
        <v>0</v>
      </c>
      <c r="AP135" s="267">
        <f t="shared" si="829"/>
        <v>0</v>
      </c>
      <c r="AQ135" s="304">
        <f t="shared" si="830"/>
        <v>0</v>
      </c>
      <c r="AR135" s="305">
        <f t="shared" si="831"/>
        <v>0</v>
      </c>
      <c r="AS135" s="267">
        <f t="shared" si="832"/>
        <v>0</v>
      </c>
      <c r="AT135" s="304">
        <f t="shared" si="795"/>
        <v>0</v>
      </c>
      <c r="AU135" s="305">
        <f t="shared" si="796"/>
        <v>0</v>
      </c>
      <c r="AV135" s="267">
        <f t="shared" si="833"/>
        <v>0</v>
      </c>
      <c r="AW135" s="304">
        <f t="shared" si="797"/>
        <v>0</v>
      </c>
      <c r="AX135" s="305">
        <f t="shared" si="798"/>
        <v>0</v>
      </c>
      <c r="AY135" s="267">
        <f t="shared" si="834"/>
        <v>0</v>
      </c>
      <c r="AZ135" s="304">
        <f t="shared" si="799"/>
        <v>0</v>
      </c>
      <c r="BA135" s="305">
        <f t="shared" si="800"/>
        <v>0</v>
      </c>
      <c r="BB135" s="267">
        <f t="shared" si="835"/>
        <v>0</v>
      </c>
      <c r="BC135" s="304">
        <f t="shared" si="836"/>
        <v>0</v>
      </c>
      <c r="BD135" s="305">
        <f t="shared" si="837"/>
        <v>0</v>
      </c>
      <c r="BE135" s="267">
        <f t="shared" si="838"/>
        <v>0</v>
      </c>
      <c r="BF135" s="304">
        <f t="shared" si="839"/>
        <v>0</v>
      </c>
      <c r="BG135" s="305">
        <f t="shared" si="840"/>
        <v>0</v>
      </c>
      <c r="BH135" s="267">
        <f t="shared" si="841"/>
        <v>0</v>
      </c>
      <c r="BI135" s="304">
        <f t="shared" si="801"/>
        <v>0</v>
      </c>
      <c r="BJ135" s="305">
        <f t="shared" si="802"/>
        <v>0</v>
      </c>
      <c r="BK135" s="267">
        <f t="shared" si="842"/>
        <v>0</v>
      </c>
      <c r="BL135" s="304">
        <f t="shared" si="803"/>
        <v>0</v>
      </c>
      <c r="BM135" s="305">
        <f t="shared" si="804"/>
        <v>0</v>
      </c>
      <c r="BN135" s="267">
        <f t="shared" si="843"/>
        <v>0</v>
      </c>
      <c r="BO135" s="304">
        <f t="shared" si="805"/>
        <v>0</v>
      </c>
      <c r="BP135" s="305">
        <f t="shared" si="806"/>
        <v>0</v>
      </c>
      <c r="BQ135" s="267">
        <f t="shared" si="84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1725-EECC-45D9-976A-BA7A2D48A206}">
  <dimension ref="B1:H22"/>
  <sheetViews>
    <sheetView workbookViewId="0">
      <selection activeCell="F7" sqref="F7:H10"/>
    </sheetView>
  </sheetViews>
  <sheetFormatPr baseColWidth="10" defaultColWidth="8.83203125" defaultRowHeight="15" x14ac:dyDescent="0.2"/>
  <cols>
    <col min="2" max="2" width="17.5" customWidth="1"/>
    <col min="3" max="3" width="9.1640625" customWidth="1"/>
    <col min="6" max="6" width="29.5" customWidth="1"/>
    <col min="9" max="9" width="16.6640625" bestFit="1" customWidth="1"/>
  </cols>
  <sheetData>
    <row r="1" spans="2:8" x14ac:dyDescent="0.2">
      <c r="C1" s="97">
        <v>2022</v>
      </c>
      <c r="D1" s="97">
        <v>2023</v>
      </c>
    </row>
    <row r="2" spans="2:8" x14ac:dyDescent="0.2">
      <c r="B2" t="s">
        <v>222</v>
      </c>
      <c r="D2">
        <v>160000</v>
      </c>
      <c r="E2" s="712"/>
    </row>
    <row r="3" spans="2:8" x14ac:dyDescent="0.2">
      <c r="B3" t="s">
        <v>223</v>
      </c>
      <c r="D3">
        <v>270000</v>
      </c>
      <c r="E3" s="712"/>
    </row>
    <row r="4" spans="2:8" x14ac:dyDescent="0.2">
      <c r="B4" s="715"/>
      <c r="C4" s="715"/>
      <c r="D4" s="715"/>
      <c r="E4" s="712"/>
    </row>
    <row r="5" spans="2:8" x14ac:dyDescent="0.2">
      <c r="B5" s="715"/>
      <c r="C5" s="715"/>
      <c r="D5" s="715"/>
      <c r="E5" s="712"/>
    </row>
    <row r="6" spans="2:8" x14ac:dyDescent="0.2">
      <c r="C6" s="364"/>
      <c r="D6" s="364"/>
    </row>
    <row r="7" spans="2:8" x14ac:dyDescent="0.2">
      <c r="C7" s="364"/>
      <c r="D7" s="364"/>
    </row>
    <row r="8" spans="2:8" x14ac:dyDescent="0.2">
      <c r="B8" t="s">
        <v>224</v>
      </c>
      <c r="C8" s="126">
        <v>0.5</v>
      </c>
      <c r="D8" s="364">
        <f>C8*60</f>
        <v>30</v>
      </c>
    </row>
    <row r="9" spans="2:8" x14ac:dyDescent="0.2">
      <c r="B9" t="s">
        <v>225</v>
      </c>
      <c r="C9" s="126">
        <v>0.17</v>
      </c>
      <c r="D9" s="364">
        <f>C9*60</f>
        <v>10.200000000000001</v>
      </c>
    </row>
    <row r="10" spans="2:8" x14ac:dyDescent="0.2">
      <c r="C10" s="364"/>
      <c r="D10" s="364"/>
    </row>
    <row r="11" spans="2:8" x14ac:dyDescent="0.2">
      <c r="C11" s="364"/>
      <c r="D11" s="364"/>
    </row>
    <row r="12" spans="2:8" ht="64" x14ac:dyDescent="0.2">
      <c r="B12" t="s">
        <v>191</v>
      </c>
      <c r="C12" s="57" t="s">
        <v>226</v>
      </c>
      <c r="D12" s="57" t="s">
        <v>227</v>
      </c>
      <c r="E12" s="57" t="s">
        <v>228</v>
      </c>
      <c r="F12" s="57" t="s">
        <v>96</v>
      </c>
      <c r="G12" s="57" t="s">
        <v>229</v>
      </c>
      <c r="H12" s="57" t="s">
        <v>230</v>
      </c>
    </row>
    <row r="13" spans="2:8" x14ac:dyDescent="0.2">
      <c r="B13">
        <v>1</v>
      </c>
      <c r="C13" s="711">
        <v>0</v>
      </c>
      <c r="D13" s="364">
        <f t="shared" ref="D13:D22" si="0">ROUNDDOWN($D$2*C13,0)</f>
        <v>0</v>
      </c>
      <c r="E13" s="364">
        <f>ROUNDDOWN($D$3*$C13,0)</f>
        <v>0</v>
      </c>
      <c r="F13" s="364">
        <f t="shared" ref="F13:F22" si="1">SUM(D13:E13)</f>
        <v>0</v>
      </c>
      <c r="G13" s="364">
        <f>SUM($D$2:$D$3)-F13</f>
        <v>430000</v>
      </c>
      <c r="H13">
        <f>(F13*$C$9+G13*SUM($C$8))/SUM(F13:G13)</f>
        <v>0.5</v>
      </c>
    </row>
    <row r="14" spans="2:8" x14ac:dyDescent="0.2">
      <c r="B14">
        <v>2</v>
      </c>
      <c r="C14" s="711">
        <v>0.2</v>
      </c>
      <c r="D14" s="364">
        <f t="shared" si="0"/>
        <v>32000</v>
      </c>
      <c r="E14" s="364">
        <f t="shared" ref="E14:E22" si="2">ROUNDDOWN($D$3*C14,0)</f>
        <v>54000</v>
      </c>
      <c r="F14" s="364">
        <f t="shared" si="1"/>
        <v>86000</v>
      </c>
      <c r="G14" s="364">
        <f t="shared" ref="G14:G22" si="3">SUM($D$2:$D$3)-F14</f>
        <v>344000</v>
      </c>
      <c r="H14">
        <f t="shared" ref="H14:H22" si="4">(F14*$C$9+G14*SUM($C$8))/SUM(F14:G14)</f>
        <v>0.434</v>
      </c>
    </row>
    <row r="15" spans="2:8" x14ac:dyDescent="0.2">
      <c r="B15">
        <v>3</v>
      </c>
      <c r="C15" s="711">
        <v>0.4</v>
      </c>
      <c r="D15" s="364">
        <f t="shared" si="0"/>
        <v>64000</v>
      </c>
      <c r="E15" s="364">
        <f t="shared" si="2"/>
        <v>108000</v>
      </c>
      <c r="F15" s="364">
        <f t="shared" si="1"/>
        <v>172000</v>
      </c>
      <c r="G15" s="364">
        <f t="shared" si="3"/>
        <v>258000</v>
      </c>
      <c r="H15">
        <f t="shared" si="4"/>
        <v>0.36799999999999999</v>
      </c>
    </row>
    <row r="16" spans="2:8" x14ac:dyDescent="0.2">
      <c r="B16">
        <v>4</v>
      </c>
      <c r="C16" s="711">
        <v>0.5</v>
      </c>
      <c r="D16" s="364">
        <f t="shared" si="0"/>
        <v>80000</v>
      </c>
      <c r="E16" s="364">
        <f t="shared" si="2"/>
        <v>135000</v>
      </c>
      <c r="F16" s="364">
        <f t="shared" si="1"/>
        <v>215000</v>
      </c>
      <c r="G16" s="364">
        <f t="shared" si="3"/>
        <v>215000</v>
      </c>
      <c r="H16">
        <f t="shared" si="4"/>
        <v>0.33500000000000002</v>
      </c>
    </row>
    <row r="17" spans="2:8" x14ac:dyDescent="0.2">
      <c r="B17">
        <v>5</v>
      </c>
      <c r="C17" s="711">
        <v>0.6</v>
      </c>
      <c r="D17" s="364">
        <f t="shared" si="0"/>
        <v>96000</v>
      </c>
      <c r="E17" s="364">
        <f t="shared" si="2"/>
        <v>162000</v>
      </c>
      <c r="F17" s="364">
        <f t="shared" si="1"/>
        <v>258000</v>
      </c>
      <c r="G17" s="364">
        <f t="shared" si="3"/>
        <v>172000</v>
      </c>
      <c r="H17">
        <f t="shared" si="4"/>
        <v>0.30199999999999999</v>
      </c>
    </row>
    <row r="18" spans="2:8" x14ac:dyDescent="0.2">
      <c r="B18">
        <v>6</v>
      </c>
      <c r="C18" s="711">
        <v>0.7</v>
      </c>
      <c r="D18" s="364">
        <f t="shared" si="0"/>
        <v>112000</v>
      </c>
      <c r="E18" s="364">
        <f t="shared" si="2"/>
        <v>189000</v>
      </c>
      <c r="F18" s="364">
        <f t="shared" si="1"/>
        <v>301000</v>
      </c>
      <c r="G18" s="364">
        <f t="shared" si="3"/>
        <v>129000</v>
      </c>
      <c r="H18">
        <f t="shared" si="4"/>
        <v>0.26900000000000002</v>
      </c>
    </row>
    <row r="19" spans="2:8" x14ac:dyDescent="0.2">
      <c r="B19">
        <v>7</v>
      </c>
      <c r="C19" s="711">
        <v>0.8</v>
      </c>
      <c r="D19" s="364">
        <f t="shared" si="0"/>
        <v>128000</v>
      </c>
      <c r="E19" s="364">
        <f t="shared" si="2"/>
        <v>216000</v>
      </c>
      <c r="F19" s="364">
        <f t="shared" si="1"/>
        <v>344000</v>
      </c>
      <c r="G19" s="364">
        <f t="shared" si="3"/>
        <v>86000</v>
      </c>
      <c r="H19">
        <f t="shared" si="4"/>
        <v>0.23599999999999999</v>
      </c>
    </row>
    <row r="20" spans="2:8" x14ac:dyDescent="0.2">
      <c r="B20">
        <v>8</v>
      </c>
      <c r="C20" s="711">
        <v>0.85</v>
      </c>
      <c r="D20" s="364">
        <f t="shared" si="0"/>
        <v>136000</v>
      </c>
      <c r="E20" s="364">
        <f t="shared" si="2"/>
        <v>229500</v>
      </c>
      <c r="F20" s="364">
        <f t="shared" si="1"/>
        <v>365500</v>
      </c>
      <c r="G20" s="364">
        <f t="shared" si="3"/>
        <v>64500</v>
      </c>
      <c r="H20">
        <f t="shared" si="4"/>
        <v>0.2195</v>
      </c>
    </row>
    <row r="21" spans="2:8" x14ac:dyDescent="0.2">
      <c r="B21">
        <v>9</v>
      </c>
      <c r="C21" s="711">
        <v>0.85</v>
      </c>
      <c r="D21" s="364">
        <f t="shared" si="0"/>
        <v>136000</v>
      </c>
      <c r="E21" s="364">
        <f t="shared" si="2"/>
        <v>229500</v>
      </c>
      <c r="F21" s="364">
        <f t="shared" si="1"/>
        <v>365500</v>
      </c>
      <c r="G21" s="364">
        <f t="shared" si="3"/>
        <v>64500</v>
      </c>
      <c r="H21">
        <f t="shared" si="4"/>
        <v>0.2195</v>
      </c>
    </row>
    <row r="22" spans="2:8" x14ac:dyDescent="0.2">
      <c r="B22">
        <v>10</v>
      </c>
      <c r="C22" s="711">
        <v>0.85</v>
      </c>
      <c r="D22" s="364">
        <f t="shared" si="0"/>
        <v>136000</v>
      </c>
      <c r="E22" s="364">
        <f t="shared" si="2"/>
        <v>229500</v>
      </c>
      <c r="F22" s="364">
        <f t="shared" si="1"/>
        <v>365500</v>
      </c>
      <c r="G22" s="364">
        <f t="shared" si="3"/>
        <v>64500</v>
      </c>
      <c r="H22">
        <f t="shared" si="4"/>
        <v>0.2195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O23"/>
  <sheetViews>
    <sheetView workbookViewId="0">
      <selection activeCell="B6" sqref="B6"/>
    </sheetView>
  </sheetViews>
  <sheetFormatPr baseColWidth="10" defaultColWidth="8.6640625" defaultRowHeight="14" x14ac:dyDescent="0.2"/>
  <cols>
    <col min="1" max="1" width="8.6640625" style="378"/>
    <col min="2" max="2" width="33.6640625" style="378" customWidth="1"/>
    <col min="3" max="13" width="10.1640625" style="378" customWidth="1"/>
    <col min="14" max="14" width="11" style="378" customWidth="1"/>
    <col min="15" max="15" width="15.33203125" style="378" customWidth="1"/>
    <col min="16" max="16384" width="8.6640625" style="378"/>
  </cols>
  <sheetData>
    <row r="1" spans="1:15" x14ac:dyDescent="0.2">
      <c r="J1" s="477">
        <f>SUM(J3:J23)</f>
        <v>5357</v>
      </c>
      <c r="O1" s="477">
        <f>AKTIVITY_POZICIE!K1</f>
        <v>5358</v>
      </c>
    </row>
    <row r="2" spans="1:15" s="460" customFormat="1" ht="45" x14ac:dyDescent="0.2">
      <c r="A2" s="462" t="s">
        <v>231</v>
      </c>
      <c r="B2" s="461" t="s">
        <v>232</v>
      </c>
      <c r="C2" s="461" t="s">
        <v>233</v>
      </c>
      <c r="D2" s="461" t="s">
        <v>234</v>
      </c>
      <c r="E2" s="461" t="s">
        <v>235</v>
      </c>
      <c r="F2" s="461" t="s">
        <v>236</v>
      </c>
      <c r="G2" s="461" t="s">
        <v>237</v>
      </c>
      <c r="H2" s="461" t="s">
        <v>238</v>
      </c>
      <c r="I2" s="461" t="s">
        <v>239</v>
      </c>
      <c r="J2" s="461" t="s">
        <v>240</v>
      </c>
      <c r="K2" s="461" t="s">
        <v>241</v>
      </c>
      <c r="L2" s="461" t="s">
        <v>242</v>
      </c>
      <c r="M2" s="461" t="s">
        <v>243</v>
      </c>
      <c r="N2" s="461" t="s">
        <v>244</v>
      </c>
      <c r="O2" s="461" t="s">
        <v>245</v>
      </c>
    </row>
    <row r="3" spans="1:15" x14ac:dyDescent="0.2">
      <c r="A3" s="383" t="s">
        <v>246</v>
      </c>
      <c r="B3" s="382" t="s">
        <v>247</v>
      </c>
      <c r="C3" s="380">
        <f>IF(ISBLANK(B3),"",TCF_v02!$B$2)</f>
        <v>0.99</v>
      </c>
      <c r="D3" s="380">
        <f>IF(ISBLANK(B3),"",ECF_v02!$B$2)</f>
        <v>1.2049999999999998</v>
      </c>
      <c r="E3" s="380">
        <f>IFERROR(VLOOKUP(B3,UAW_v02!A6:B26,2,0),"")</f>
        <v>18</v>
      </c>
      <c r="F3" s="381">
        <v>30</v>
      </c>
      <c r="G3" s="381" t="s">
        <v>248</v>
      </c>
      <c r="H3" s="380">
        <f>IFERROR(YEAR(VLOOKUP(G3,INKREMENTY!$A$2:$F$21,4,0)),"")</f>
        <v>2026</v>
      </c>
      <c r="I3" s="379">
        <f>IFERROR(VLOOKUP(G3,INKREMENTY!$A$2:$F$21,6,0),"")</f>
        <v>2</v>
      </c>
      <c r="J3" s="604">
        <f>IFERROR(ROUND((SUMIF(KATALOG_POZIADAVKY!$G$3:$G$149,MODULY_CBA!B3,KATALOG_POZIADAVKY!$Q$3:$Q$149)/8),0),"")</f>
        <v>1937</v>
      </c>
      <c r="K3" s="398">
        <v>0.05</v>
      </c>
      <c r="L3" s="398">
        <v>7.0000000000000007E-2</v>
      </c>
      <c r="M3" s="398">
        <v>0.1</v>
      </c>
      <c r="N3" s="476">
        <v>2</v>
      </c>
      <c r="O3" s="476">
        <f>IFERROR($O$1*J3/$J$1,"")</f>
        <v>1937.3615829755461</v>
      </c>
    </row>
    <row r="4" spans="1:15" x14ac:dyDescent="0.2">
      <c r="A4" s="383" t="s">
        <v>249</v>
      </c>
      <c r="B4" s="382" t="s">
        <v>250</v>
      </c>
      <c r="C4" s="380">
        <f>IF(ISBLANK(B4),"",TCF_v02!$B$2)</f>
        <v>0.99</v>
      </c>
      <c r="D4" s="380">
        <f>IF(ISBLANK(B4),"",ECF_v02!$B$2)</f>
        <v>1.2049999999999998</v>
      </c>
      <c r="E4" s="380">
        <f>IFERROR(VLOOKUP(B4,UAW_v02!A7:B27,2,0),"")</f>
        <v>14</v>
      </c>
      <c r="F4" s="381">
        <v>30</v>
      </c>
      <c r="G4" s="381" t="s">
        <v>248</v>
      </c>
      <c r="H4" s="380">
        <f>IFERROR(YEAR(VLOOKUP(G4,INKREMENTY!$A$2:$F$21,4,0)),"")</f>
        <v>2026</v>
      </c>
      <c r="I4" s="379">
        <f>IFERROR(VLOOKUP(G4,INKREMENTY!$A$2:$F$21,6,0),"")</f>
        <v>2</v>
      </c>
      <c r="J4" s="604">
        <f>IFERROR(ROUND((SUMIF(KATALOG_POZIADAVKY!$G$3:$G$149,MODULY_CBA!B4,KATALOG_POZIADAVKY!$Q$3:$Q$149)/8),0),"")</f>
        <v>599</v>
      </c>
      <c r="K4" s="398">
        <v>0.05</v>
      </c>
      <c r="L4" s="398">
        <v>7.0000000000000007E-2</v>
      </c>
      <c r="M4" s="398">
        <v>0.1</v>
      </c>
      <c r="N4" s="476">
        <v>2</v>
      </c>
      <c r="O4" s="476">
        <f t="shared" ref="O4:O23" si="0">IFERROR($O$1*J4/$J$1,"")</f>
        <v>599.11181631510169</v>
      </c>
    </row>
    <row r="5" spans="1:15" x14ac:dyDescent="0.2">
      <c r="A5" s="383" t="s">
        <v>251</v>
      </c>
      <c r="B5" s="382" t="s">
        <v>252</v>
      </c>
      <c r="C5" s="380">
        <f>IF(ISBLANK(B5),"",TCF_v02!$B$2)</f>
        <v>0.99</v>
      </c>
      <c r="D5" s="380">
        <f>IF(ISBLANK(B5),"",ECF_v02!$B$2)</f>
        <v>1.2049999999999998</v>
      </c>
      <c r="E5" s="380">
        <f>IFERROR(VLOOKUP(B5,UAW_v02!A8:B28,2,0),"")</f>
        <v>14</v>
      </c>
      <c r="F5" s="381">
        <v>30</v>
      </c>
      <c r="G5" s="381" t="s">
        <v>248</v>
      </c>
      <c r="H5" s="380">
        <f>IFERROR(YEAR(VLOOKUP(G5,INKREMENTY!$A$2:$F$21,4,0)),"")</f>
        <v>2026</v>
      </c>
      <c r="I5" s="379">
        <f>IFERROR(VLOOKUP(G5,INKREMENTY!$A$2:$F$21,6,0),"")</f>
        <v>2</v>
      </c>
      <c r="J5" s="604">
        <f>IFERROR(ROUND((SUMIF(KATALOG_POZIADAVKY!$G$3:$G$149,MODULY_CBA!B5,KATALOG_POZIADAVKY!$Q$3:$Q$149)/8),0),"")</f>
        <v>935</v>
      </c>
      <c r="K5" s="398">
        <v>0.05</v>
      </c>
      <c r="L5" s="398">
        <v>7.0000000000000007E-2</v>
      </c>
      <c r="M5" s="398">
        <v>0.1</v>
      </c>
      <c r="N5" s="476">
        <v>2</v>
      </c>
      <c r="O5" s="476">
        <f t="shared" si="0"/>
        <v>935.17453798767963</v>
      </c>
    </row>
    <row r="6" spans="1:15" x14ac:dyDescent="0.2">
      <c r="A6" s="383" t="s">
        <v>253</v>
      </c>
      <c r="B6" s="382" t="s">
        <v>254</v>
      </c>
      <c r="C6" s="380">
        <f>IF(ISBLANK(B6),"",TCF_v02!$B$2)</f>
        <v>0.99</v>
      </c>
      <c r="D6" s="380">
        <f>IF(ISBLANK(B6),"",ECF_v02!$B$2)</f>
        <v>1.2049999999999998</v>
      </c>
      <c r="E6" s="380">
        <f>IFERROR(VLOOKUP(B6,UAW_v02!A9:B29,2,0),"")</f>
        <v>14</v>
      </c>
      <c r="F6" s="381">
        <v>15</v>
      </c>
      <c r="G6" s="381" t="s">
        <v>248</v>
      </c>
      <c r="H6" s="380">
        <f>IFERROR(YEAR(VLOOKUP(G6,INKREMENTY!$A$2:$F$21,4,0)),"")</f>
        <v>2026</v>
      </c>
      <c r="I6" s="379">
        <f>IFERROR(VLOOKUP(G6,INKREMENTY!$A$2:$F$21,6,0),"")</f>
        <v>2</v>
      </c>
      <c r="J6" s="604">
        <f>IFERROR(ROUND((SUMIF(KATALOG_POZIADAVKY!$G$3:$G$149,MODULY_CBA!B6,KATALOG_POZIADAVKY!$Q$3:$Q$149)/8),0),"")</f>
        <v>1157</v>
      </c>
      <c r="K6" s="398">
        <v>0.05</v>
      </c>
      <c r="L6" s="398">
        <v>7.0000000000000007E-2</v>
      </c>
      <c r="M6" s="398">
        <v>0.1</v>
      </c>
      <c r="N6" s="476">
        <v>2</v>
      </c>
      <c r="O6" s="476">
        <f t="shared" si="0"/>
        <v>1157.2159790927758</v>
      </c>
    </row>
    <row r="7" spans="1:15" ht="15" x14ac:dyDescent="0.2">
      <c r="A7" s="383" t="s">
        <v>255</v>
      </c>
      <c r="B7" s="671" t="s">
        <v>256</v>
      </c>
      <c r="C7" s="380">
        <f>IF(ISBLANK(B7),"",TCF_v02!$B$2)</f>
        <v>0.99</v>
      </c>
      <c r="D7" s="380">
        <f>IF(ISBLANK(B7),"",ECF_v02!$B$2)</f>
        <v>1.2049999999999998</v>
      </c>
      <c r="E7" s="380">
        <f>IFERROR(VLOOKUP(B7,UAW_v02!A10:B30,2,0),"")</f>
        <v>14</v>
      </c>
      <c r="F7" s="381">
        <v>20</v>
      </c>
      <c r="G7" s="381" t="s">
        <v>248</v>
      </c>
      <c r="H7" s="380">
        <f>IFERROR(YEAR(VLOOKUP(G7,INKREMENTY!$A$2:$F$21,4,0)),"")</f>
        <v>2026</v>
      </c>
      <c r="I7" s="379">
        <f>IFERROR(VLOOKUP(G7,INKREMENTY!$A$2:$F$21,6,0),"")</f>
        <v>2</v>
      </c>
      <c r="J7" s="604">
        <f>IFERROR(ROUND((SUMIF(KATALOG_POZIADAVKY!$G$3:$G$149,MODULY_CBA!B7,KATALOG_POZIADAVKY!$Q$3:$Q$149)/8),0),"")</f>
        <v>462</v>
      </c>
      <c r="K7" s="398">
        <v>0.05</v>
      </c>
      <c r="L7" s="398">
        <v>7.0000000000000007E-2</v>
      </c>
      <c r="M7" s="398">
        <v>0.1</v>
      </c>
      <c r="N7" s="476">
        <v>2</v>
      </c>
      <c r="O7" s="476">
        <f t="shared" si="0"/>
        <v>462.08624229979466</v>
      </c>
    </row>
    <row r="8" spans="1:15" ht="15.75" customHeight="1" x14ac:dyDescent="0.2">
      <c r="A8" s="383" t="s">
        <v>257</v>
      </c>
      <c r="B8" s="382" t="s">
        <v>258</v>
      </c>
      <c r="C8" s="380">
        <f>IF(ISBLANK(B8),"",TCF_v02!$B$2)</f>
        <v>0.99</v>
      </c>
      <c r="D8" s="380">
        <f>IF(ISBLANK(B8),"",ECF_v02!$B$2)</f>
        <v>1.2049999999999998</v>
      </c>
      <c r="E8" s="380">
        <f>IFERROR(VLOOKUP(B8,UAW_v02!A11:B31,2,0),"")</f>
        <v>14</v>
      </c>
      <c r="F8" s="381">
        <v>15</v>
      </c>
      <c r="G8" s="381" t="s">
        <v>248</v>
      </c>
      <c r="H8" s="380">
        <f>IFERROR(YEAR(VLOOKUP(G8,INKREMENTY!$A$2:$F$21,4,0)),"")</f>
        <v>2026</v>
      </c>
      <c r="I8" s="379">
        <f>IFERROR(VLOOKUP(G8,INKREMENTY!$A$2:$F$21,6,0),"")</f>
        <v>2</v>
      </c>
      <c r="J8" s="604">
        <f>IFERROR(ROUND((SUMIF(KATALOG_POZIADAVKY!$G$3:$G$149,MODULY_CBA!B8,KATALOG_POZIADAVKY!$Q$3:$Q$149)/8),0),"")</f>
        <v>141</v>
      </c>
      <c r="K8" s="398">
        <v>0.05</v>
      </c>
      <c r="L8" s="398">
        <v>7.0000000000000007E-2</v>
      </c>
      <c r="M8" s="398">
        <v>0.1</v>
      </c>
      <c r="N8" s="476">
        <v>2</v>
      </c>
      <c r="O8" s="476">
        <f t="shared" si="0"/>
        <v>141.0263207018854</v>
      </c>
    </row>
    <row r="9" spans="1:15" x14ac:dyDescent="0.2">
      <c r="A9" s="383" t="s">
        <v>259</v>
      </c>
      <c r="B9" s="382" t="s">
        <v>260</v>
      </c>
      <c r="C9" s="380">
        <f>IF(ISBLANK(B9),"",TCF_v02!$B$2)</f>
        <v>0.99</v>
      </c>
      <c r="D9" s="380">
        <f>IF(ISBLANK(B9),"",ECF_v02!$B$2)</f>
        <v>1.2049999999999998</v>
      </c>
      <c r="E9" s="380">
        <f>IFERROR(VLOOKUP(B9,UAW_v02!A12:B32,2,0),"")</f>
        <v>14</v>
      </c>
      <c r="F9" s="381">
        <v>15</v>
      </c>
      <c r="G9" s="381" t="s">
        <v>248</v>
      </c>
      <c r="H9" s="380">
        <f>IFERROR(YEAR(VLOOKUP(G9,INKREMENTY!$A$2:$F$21,4,0)),"")</f>
        <v>2026</v>
      </c>
      <c r="I9" s="379">
        <f>IFERROR(VLOOKUP(G9,INKREMENTY!$A$2:$F$21,6,0),"")</f>
        <v>2</v>
      </c>
      <c r="J9" s="604">
        <f>IFERROR(ROUND((SUMIF(KATALOG_POZIADAVKY!$G$3:$G$149,MODULY_CBA!B9,KATALOG_POZIADAVKY!$Q$3:$Q$149)/8),0),"")</f>
        <v>126</v>
      </c>
      <c r="K9" s="398">
        <v>0.05</v>
      </c>
      <c r="L9" s="398">
        <v>7.0000000000000007E-2</v>
      </c>
      <c r="M9" s="398">
        <v>0.1</v>
      </c>
      <c r="N9" s="476">
        <v>2</v>
      </c>
      <c r="O9" s="476">
        <f t="shared" si="0"/>
        <v>126.02352062721673</v>
      </c>
    </row>
    <row r="10" spans="1:15" x14ac:dyDescent="0.2">
      <c r="A10" s="383" t="s">
        <v>261</v>
      </c>
      <c r="B10" s="382"/>
      <c r="C10" s="380" t="str">
        <f>IF(ISBLANK(B10),"",TCF_v02!$B$2)</f>
        <v/>
      </c>
      <c r="D10" s="380" t="str">
        <f>IF(ISBLANK(B10),"",ECF_v02!$B$2)</f>
        <v/>
      </c>
      <c r="E10" s="380" t="str">
        <f>IFERROR(VLOOKUP(B10,UAW_v02!A13:B33,2,0),"")</f>
        <v/>
      </c>
      <c r="F10" s="381"/>
      <c r="G10" s="381"/>
      <c r="H10" s="380" t="str">
        <f>IFERROR(YEAR(VLOOKUP(G10,INKREMENTY!$A$2:$F$21,4,0)),"")</f>
        <v/>
      </c>
      <c r="I10" s="379" t="str">
        <f>IFERROR(VLOOKUP(G10,INKREMENTY!$A$2:$F$21,6,0),"")</f>
        <v/>
      </c>
      <c r="J10" s="604">
        <f>IFERROR(ROUND((SUMIF(KATALOG_POZIADAVKY!$G$3:$G$149,MODULY_CBA!B10,KATALOG_POZIADAVKY!$Q$3:$Q$149)/8),0),"")</f>
        <v>0</v>
      </c>
      <c r="K10" s="381"/>
      <c r="L10" s="381"/>
      <c r="M10" s="381"/>
      <c r="N10" s="476"/>
      <c r="O10" s="476">
        <f t="shared" si="0"/>
        <v>0</v>
      </c>
    </row>
    <row r="11" spans="1:15" x14ac:dyDescent="0.2">
      <c r="A11" s="383" t="s">
        <v>262</v>
      </c>
      <c r="B11" s="382"/>
      <c r="C11" s="380" t="str">
        <f>IF(ISBLANK(B11),"",TCF_v02!$B$2)</f>
        <v/>
      </c>
      <c r="D11" s="380" t="str">
        <f>IF(ISBLANK(B11),"",ECF_v02!$B$2)</f>
        <v/>
      </c>
      <c r="E11" s="380" t="str">
        <f>IFERROR(VLOOKUP(B11,UAW_v02!A14:B34,2,0),"")</f>
        <v/>
      </c>
      <c r="F11" s="381"/>
      <c r="G11" s="381"/>
      <c r="H11" s="380" t="str">
        <f>IFERROR(YEAR(VLOOKUP(G11,INKREMENTY!$A$2:$F$21,4,0)),"")</f>
        <v/>
      </c>
      <c r="I11" s="379" t="str">
        <f>IFERROR(VLOOKUP(G11,INKREMENTY!$A$2:$F$21,6,0),"")</f>
        <v/>
      </c>
      <c r="J11" s="604">
        <f>IFERROR(ROUND((SUMIF(KATALOG_POZIADAVKY!$G$3:$G$149,MODULY_CBA!B11,KATALOG_POZIADAVKY!$Q$3:$Q$149)/8),0),"")</f>
        <v>0</v>
      </c>
      <c r="K11" s="381"/>
      <c r="L11" s="381"/>
      <c r="M11" s="381"/>
      <c r="N11" s="476"/>
      <c r="O11" s="476">
        <f t="shared" si="0"/>
        <v>0</v>
      </c>
    </row>
    <row r="12" spans="1:15" x14ac:dyDescent="0.2">
      <c r="A12" s="383" t="s">
        <v>263</v>
      </c>
      <c r="B12" s="382"/>
      <c r="C12" s="380" t="str">
        <f>IF(ISBLANK(B12),"",TCF_v02!$B$2)</f>
        <v/>
      </c>
      <c r="D12" s="380" t="str">
        <f>IF(ISBLANK(B12),"",ECF_v02!$B$2)</f>
        <v/>
      </c>
      <c r="E12" s="380" t="str">
        <f>IFERROR(VLOOKUP(B12,UAW_v02!A15:B35,2,0),"")</f>
        <v/>
      </c>
      <c r="F12" s="381"/>
      <c r="G12" s="381"/>
      <c r="H12" s="380" t="str">
        <f>IFERROR(YEAR(VLOOKUP(G12,INKREMENTY!$A$2:$F$21,4,0)),"")</f>
        <v/>
      </c>
      <c r="I12" s="379" t="str">
        <f>IFERROR(VLOOKUP(G12,INKREMENTY!$A$2:$F$21,6,0),"")</f>
        <v/>
      </c>
      <c r="J12" s="604">
        <f>IFERROR(ROUND((SUMIF(KATALOG_POZIADAVKY!$G$3:$G$149,MODULY_CBA!B12,KATALOG_POZIADAVKY!$Q$3:$Q$149)/8),0),"")</f>
        <v>0</v>
      </c>
      <c r="K12" s="381"/>
      <c r="L12" s="381"/>
      <c r="M12" s="381"/>
      <c r="N12" s="476"/>
      <c r="O12" s="476">
        <f t="shared" si="0"/>
        <v>0</v>
      </c>
    </row>
    <row r="13" spans="1:15" x14ac:dyDescent="0.2">
      <c r="A13" s="383" t="s">
        <v>264</v>
      </c>
      <c r="B13" s="382"/>
      <c r="C13" s="380" t="str">
        <f>IF(ISBLANK(B13),"",TCF_v02!$B$2)</f>
        <v/>
      </c>
      <c r="D13" s="380" t="str">
        <f>IF(ISBLANK(B13),"",ECF_v02!$B$2)</f>
        <v/>
      </c>
      <c r="E13" s="380" t="str">
        <f>IFERROR(VLOOKUP(B13,UAW_v02!A16:B36,2,0),"")</f>
        <v/>
      </c>
      <c r="F13" s="381"/>
      <c r="G13" s="381"/>
      <c r="H13" s="380" t="str">
        <f>IFERROR(YEAR(VLOOKUP(G13,INKREMENTY!$A$2:$F$21,4,0)),"")</f>
        <v/>
      </c>
      <c r="I13" s="379" t="str">
        <f>IFERROR(VLOOKUP(G13,INKREMENTY!$A$2:$F$21,6,0),"")</f>
        <v/>
      </c>
      <c r="J13" s="604">
        <f>IFERROR(ROUND((SUMIF(KATALOG_POZIADAVKY!$G$3:$G$149,MODULY_CBA!B13,KATALOG_POZIADAVKY!$Q$3:$Q$149)/8),0),"")</f>
        <v>0</v>
      </c>
      <c r="K13" s="381"/>
      <c r="L13" s="381"/>
      <c r="M13" s="381"/>
      <c r="N13" s="476"/>
      <c r="O13" s="476">
        <f t="shared" si="0"/>
        <v>0</v>
      </c>
    </row>
    <row r="14" spans="1:15" x14ac:dyDescent="0.2">
      <c r="A14" s="383" t="s">
        <v>265</v>
      </c>
      <c r="B14" s="382"/>
      <c r="C14" s="380" t="str">
        <f>IF(ISBLANK(B14),"",TCF_v02!$B$2)</f>
        <v/>
      </c>
      <c r="D14" s="380" t="str">
        <f>IF(ISBLANK(B14),"",ECF_v02!$B$2)</f>
        <v/>
      </c>
      <c r="E14" s="380" t="str">
        <f>IFERROR(VLOOKUP(B14,UAW_v02!A17:B37,2,0),"")</f>
        <v/>
      </c>
      <c r="F14" s="381"/>
      <c r="G14" s="381"/>
      <c r="H14" s="380" t="str">
        <f>IFERROR(YEAR(VLOOKUP(G14,INKREMENTY!$A$2:$F$21,4,0)),"")</f>
        <v/>
      </c>
      <c r="I14" s="379" t="str">
        <f>IFERROR(VLOOKUP(G14,INKREMENTY!$A$2:$F$21,6,0),"")</f>
        <v/>
      </c>
      <c r="J14" s="604">
        <f>IFERROR(ROUND((SUMIF(KATALOG_POZIADAVKY!$G$3:$G$149,MODULY_CBA!B14,KATALOG_POZIADAVKY!$Q$3:$Q$149)/8),0),"")</f>
        <v>0</v>
      </c>
      <c r="K14" s="381"/>
      <c r="L14" s="381"/>
      <c r="M14" s="381"/>
      <c r="N14" s="476"/>
      <c r="O14" s="476">
        <f t="shared" si="0"/>
        <v>0</v>
      </c>
    </row>
    <row r="15" spans="1:15" x14ac:dyDescent="0.2">
      <c r="A15" s="383" t="s">
        <v>266</v>
      </c>
      <c r="B15" s="382"/>
      <c r="C15" s="380" t="str">
        <f>IF(ISBLANK(B15),"",TCF_v02!$B$2)</f>
        <v/>
      </c>
      <c r="D15" s="380" t="str">
        <f>IF(ISBLANK(B15),"",ECF_v02!$B$2)</f>
        <v/>
      </c>
      <c r="E15" s="380" t="str">
        <f>IFERROR(VLOOKUP(B15,UAW_v02!A18:B38,2,0),"")</f>
        <v/>
      </c>
      <c r="F15" s="381"/>
      <c r="G15" s="381"/>
      <c r="H15" s="380" t="str">
        <f>IFERROR(YEAR(VLOOKUP(G15,INKREMENTY!$A$2:$F$21,4,0)),"")</f>
        <v/>
      </c>
      <c r="I15" s="379" t="str">
        <f>IFERROR(VLOOKUP(G15,INKREMENTY!$A$2:$F$21,6,0),"")</f>
        <v/>
      </c>
      <c r="J15" s="604">
        <f>IFERROR(ROUND((SUMIF(KATALOG_POZIADAVKY!$G$3:$G$149,MODULY_CBA!B15,KATALOG_POZIADAVKY!$Q$3:$Q$149)/8),0),"")</f>
        <v>0</v>
      </c>
      <c r="K15" s="381"/>
      <c r="L15" s="381"/>
      <c r="M15" s="381"/>
      <c r="N15" s="476"/>
      <c r="O15" s="476">
        <f t="shared" si="0"/>
        <v>0</v>
      </c>
    </row>
    <row r="16" spans="1:15" x14ac:dyDescent="0.2">
      <c r="A16" s="383" t="s">
        <v>267</v>
      </c>
      <c r="B16" s="382"/>
      <c r="C16" s="380" t="str">
        <f>IF(ISBLANK(B16),"",TCF_v02!$B$2)</f>
        <v/>
      </c>
      <c r="D16" s="380" t="str">
        <f>IF(ISBLANK(B16),"",ECF_v02!$B$2)</f>
        <v/>
      </c>
      <c r="E16" s="380" t="str">
        <f>IFERROR(VLOOKUP(B16,UAW_v02!A19:B39,2,0),"")</f>
        <v/>
      </c>
      <c r="F16" s="381"/>
      <c r="G16" s="381"/>
      <c r="H16" s="380" t="str">
        <f>IFERROR(YEAR(VLOOKUP(G16,INKREMENTY!$A$2:$F$21,4,0)),"")</f>
        <v/>
      </c>
      <c r="I16" s="379" t="str">
        <f>IFERROR(VLOOKUP(G16,INKREMENTY!$A$2:$F$21,6,0),"")</f>
        <v/>
      </c>
      <c r="J16" s="604">
        <f>IFERROR(ROUND((SUMIF(KATALOG_POZIADAVKY!$G$3:$G$149,MODULY_CBA!B16,KATALOG_POZIADAVKY!$Q$3:$Q$149)/8),0),"")</f>
        <v>0</v>
      </c>
      <c r="K16" s="381"/>
      <c r="L16" s="381"/>
      <c r="M16" s="381"/>
      <c r="N16" s="476"/>
      <c r="O16" s="476">
        <f t="shared" si="0"/>
        <v>0</v>
      </c>
    </row>
    <row r="17" spans="1:15" x14ac:dyDescent="0.2">
      <c r="A17" s="383" t="s">
        <v>268</v>
      </c>
      <c r="B17" s="382"/>
      <c r="C17" s="380" t="str">
        <f>IF(ISBLANK(B17),"",TCF_v02!$B$2)</f>
        <v/>
      </c>
      <c r="D17" s="380" t="str">
        <f>IF(ISBLANK(B17),"",ECF_v02!$B$2)</f>
        <v/>
      </c>
      <c r="E17" s="380" t="str">
        <f>IFERROR(VLOOKUP(B17,UAW_v02!A20:B40,2,0),"")</f>
        <v/>
      </c>
      <c r="F17" s="381"/>
      <c r="G17" s="381"/>
      <c r="H17" s="380" t="str">
        <f>IFERROR(YEAR(VLOOKUP(G17,INKREMENTY!$A$2:$F$21,4,0)),"")</f>
        <v/>
      </c>
      <c r="I17" s="379" t="str">
        <f>IFERROR(VLOOKUP(G17,INKREMENTY!$A$2:$F$21,6,0),"")</f>
        <v/>
      </c>
      <c r="J17" s="604">
        <f>IFERROR(ROUND((SUMIF(KATALOG_POZIADAVKY!$G$3:$G$149,MODULY_CBA!B17,KATALOG_POZIADAVKY!$Q$3:$Q$149)/8),0),"")</f>
        <v>0</v>
      </c>
      <c r="K17" s="381"/>
      <c r="L17" s="381"/>
      <c r="M17" s="381"/>
      <c r="N17" s="476"/>
      <c r="O17" s="476">
        <f t="shared" si="0"/>
        <v>0</v>
      </c>
    </row>
    <row r="18" spans="1:15" x14ac:dyDescent="0.2">
      <c r="A18" s="383" t="s">
        <v>269</v>
      </c>
      <c r="B18" s="382"/>
      <c r="C18" s="380" t="str">
        <f>IF(ISBLANK(B18),"",TCF_v02!$B$2)</f>
        <v/>
      </c>
      <c r="D18" s="380" t="str">
        <f>IF(ISBLANK(B18),"",ECF_v02!$B$2)</f>
        <v/>
      </c>
      <c r="E18" s="380" t="str">
        <f>IFERROR(VLOOKUP(B18,UAW_v02!A21:B41,2,0),"")</f>
        <v/>
      </c>
      <c r="F18" s="381"/>
      <c r="G18" s="381"/>
      <c r="H18" s="380" t="str">
        <f>IFERROR(YEAR(VLOOKUP(G18,INKREMENTY!$A$2:$F$21,4,0)),"")</f>
        <v/>
      </c>
      <c r="I18" s="379" t="str">
        <f>IFERROR(VLOOKUP(G18,INKREMENTY!$A$2:$F$21,6,0),"")</f>
        <v/>
      </c>
      <c r="J18" s="604">
        <f>IFERROR(ROUND((SUMIF(KATALOG_POZIADAVKY!$G$3:$G$149,MODULY_CBA!B18,KATALOG_POZIADAVKY!$Q$3:$Q$149)/8),0),"")</f>
        <v>0</v>
      </c>
      <c r="K18" s="381"/>
      <c r="L18" s="381"/>
      <c r="M18" s="381"/>
      <c r="N18" s="476"/>
      <c r="O18" s="476">
        <f t="shared" si="0"/>
        <v>0</v>
      </c>
    </row>
    <row r="19" spans="1:15" x14ac:dyDescent="0.2">
      <c r="A19" s="383" t="s">
        <v>270</v>
      </c>
      <c r="B19" s="382"/>
      <c r="C19" s="380" t="str">
        <f>IF(ISBLANK(B19),"",TCF_v02!$B$2)</f>
        <v/>
      </c>
      <c r="D19" s="380" t="str">
        <f>IF(ISBLANK(B19),"",ECF_v02!$B$2)</f>
        <v/>
      </c>
      <c r="E19" s="380" t="str">
        <f>IFERROR(VLOOKUP(B19,UAW_v02!A22:B42,2,0),"")</f>
        <v/>
      </c>
      <c r="F19" s="381"/>
      <c r="G19" s="381"/>
      <c r="H19" s="380" t="str">
        <f>IFERROR(YEAR(VLOOKUP(G19,INKREMENTY!$A$2:$F$21,4,0)),"")</f>
        <v/>
      </c>
      <c r="I19" s="379" t="str">
        <f>IFERROR(VLOOKUP(G19,INKREMENTY!$A$2:$F$21,6,0),"")</f>
        <v/>
      </c>
      <c r="J19" s="604">
        <f>IFERROR(ROUND((SUMIF(KATALOG_POZIADAVKY!$G$3:$G$149,MODULY_CBA!B19,KATALOG_POZIADAVKY!$Q$3:$Q$149)/8),0),"")</f>
        <v>0</v>
      </c>
      <c r="K19" s="381"/>
      <c r="L19" s="381"/>
      <c r="M19" s="381"/>
      <c r="N19" s="476"/>
      <c r="O19" s="476">
        <f t="shared" si="0"/>
        <v>0</v>
      </c>
    </row>
    <row r="20" spans="1:15" x14ac:dyDescent="0.2">
      <c r="A20" s="383" t="s">
        <v>271</v>
      </c>
      <c r="B20" s="382"/>
      <c r="C20" s="380" t="str">
        <f>IF(ISBLANK(B20),"",TCF_v02!$B$2)</f>
        <v/>
      </c>
      <c r="D20" s="380" t="str">
        <f>IF(ISBLANK(B20),"",ECF_v02!$B$2)</f>
        <v/>
      </c>
      <c r="E20" s="380" t="str">
        <f>IFERROR(VLOOKUP(B20,UAW_v02!A23:B43,2,0),"")</f>
        <v/>
      </c>
      <c r="F20" s="381"/>
      <c r="G20" s="381"/>
      <c r="H20" s="380" t="str">
        <f>IFERROR(YEAR(VLOOKUP(G20,INKREMENTY!$A$2:$F$21,4,0)),"")</f>
        <v/>
      </c>
      <c r="I20" s="379" t="str">
        <f>IFERROR(VLOOKUP(G20,INKREMENTY!$A$2:$F$21,6,0),"")</f>
        <v/>
      </c>
      <c r="J20" s="604">
        <f>IFERROR(ROUND((SUMIF(KATALOG_POZIADAVKY!$G$3:$G$149,MODULY_CBA!B20,KATALOG_POZIADAVKY!$Q$3:$Q$149)/8),0),"")</f>
        <v>0</v>
      </c>
      <c r="K20" s="381"/>
      <c r="L20" s="381"/>
      <c r="M20" s="381"/>
      <c r="N20" s="476"/>
      <c r="O20" s="476">
        <f t="shared" si="0"/>
        <v>0</v>
      </c>
    </row>
    <row r="21" spans="1:15" x14ac:dyDescent="0.2">
      <c r="A21" s="383" t="s">
        <v>272</v>
      </c>
      <c r="B21" s="382"/>
      <c r="C21" s="380" t="str">
        <f>IF(ISBLANK(B21),"",TCF_v02!$B$2)</f>
        <v/>
      </c>
      <c r="D21" s="380" t="str">
        <f>IF(ISBLANK(B21),"",ECF_v02!$B$2)</f>
        <v/>
      </c>
      <c r="E21" s="380" t="str">
        <f>IFERROR(VLOOKUP(B21,UAW_v02!A24:B44,2,0),"")</f>
        <v/>
      </c>
      <c r="F21" s="381"/>
      <c r="G21" s="381"/>
      <c r="H21" s="380" t="str">
        <f>IFERROR(YEAR(VLOOKUP(G21,INKREMENTY!$A$2:$F$21,4,0)),"")</f>
        <v/>
      </c>
      <c r="I21" s="379" t="str">
        <f>IFERROR(VLOOKUP(G21,INKREMENTY!$A$2:$F$21,6,0),"")</f>
        <v/>
      </c>
      <c r="J21" s="604">
        <f>IFERROR(ROUND((SUMIF(KATALOG_POZIADAVKY!$G$3:$G$149,MODULY_CBA!B21,KATALOG_POZIADAVKY!$Q$3:$Q$149)/8),0),"")</f>
        <v>0</v>
      </c>
      <c r="K21" s="381"/>
      <c r="L21" s="381"/>
      <c r="M21" s="381"/>
      <c r="N21" s="476"/>
      <c r="O21" s="476">
        <f t="shared" si="0"/>
        <v>0</v>
      </c>
    </row>
    <row r="22" spans="1:15" x14ac:dyDescent="0.2">
      <c r="A22" s="383" t="s">
        <v>273</v>
      </c>
      <c r="B22" s="382"/>
      <c r="C22" s="380" t="str">
        <f>IF(ISBLANK(B22),"",TCF_v02!$B$2)</f>
        <v/>
      </c>
      <c r="D22" s="380" t="str">
        <f>IF(ISBLANK(B22),"",ECF_v02!$B$2)</f>
        <v/>
      </c>
      <c r="E22" s="380" t="str">
        <f>IFERROR(VLOOKUP(B22,UAW_v02!A25:B45,2,0),"")</f>
        <v/>
      </c>
      <c r="F22" s="381"/>
      <c r="G22" s="381"/>
      <c r="H22" s="380" t="str">
        <f>IFERROR(YEAR(VLOOKUP(G22,INKREMENTY!$A$2:$F$21,4,0)),"")</f>
        <v/>
      </c>
      <c r="I22" s="379" t="str">
        <f>IFERROR(VLOOKUP(G22,INKREMENTY!$A$2:$F$21,6,0),"")</f>
        <v/>
      </c>
      <c r="J22" s="604">
        <f>IFERROR(ROUND((SUMIF(KATALOG_POZIADAVKY!$G$3:$G$149,MODULY_CBA!B22,KATALOG_POZIADAVKY!$Q$3:$Q$149)/8),0),"")</f>
        <v>0</v>
      </c>
      <c r="K22" s="381"/>
      <c r="L22" s="381"/>
      <c r="M22" s="381"/>
      <c r="N22" s="476"/>
      <c r="O22" s="476">
        <f t="shared" si="0"/>
        <v>0</v>
      </c>
    </row>
    <row r="23" spans="1:15" x14ac:dyDescent="0.2">
      <c r="A23" s="383" t="s">
        <v>274</v>
      </c>
      <c r="B23" s="382"/>
      <c r="C23" s="380" t="str">
        <f>IF(ISBLANK(B23),"",TCF_v02!$B$2)</f>
        <v/>
      </c>
      <c r="D23" s="380" t="str">
        <f>IF(ISBLANK(B23),"",ECF_v02!$B$2)</f>
        <v/>
      </c>
      <c r="E23" s="380" t="str">
        <f>IFERROR(VLOOKUP(B23,UAW_v02!A26:B46,2,0),"")</f>
        <v/>
      </c>
      <c r="F23" s="381"/>
      <c r="G23" s="381"/>
      <c r="H23" s="380" t="str">
        <f>IFERROR(YEAR(VLOOKUP(G23,INKREMENTY!$A$2:$F$21,4,0)),"")</f>
        <v/>
      </c>
      <c r="I23" s="379" t="str">
        <f>IFERROR(VLOOKUP(G23,INKREMENTY!$A$2:$F$21,6,0),"")</f>
        <v/>
      </c>
      <c r="J23" s="604">
        <f>IFERROR(ROUND((SUMIF(KATALOG_POZIADAVKY!$G$3:$G$149,MODULY_CBA!B23,KATALOG_POZIADAVKY!$Q$3:$Q$149)/8),0),"")</f>
        <v>0</v>
      </c>
      <c r="K23" s="381"/>
      <c r="L23" s="381"/>
      <c r="M23" s="381"/>
      <c r="N23" s="476"/>
      <c r="O23" s="476">
        <f t="shared" si="0"/>
        <v>0</v>
      </c>
    </row>
  </sheetData>
  <conditionalFormatting sqref="K3:K23">
    <cfRule type="cellIs" dxfId="34" priority="1" operator="greaterThan">
      <formula>0.1</formula>
    </cfRule>
  </conditionalFormatting>
  <dataValidations count="2">
    <dataValidation type="list" allowBlank="1" showInputMessage="1" showErrorMessage="1" sqref="G3:G23" xr:uid="{00000000-0002-0000-0800-000000000000}">
      <formula1>Inkrement</formula1>
    </dataValidation>
    <dataValidation type="list" allowBlank="1" showInputMessage="1" showErrorMessage="1" sqref="F3:F23" xr:uid="{00000000-0002-0000-0800-000001000000}">
      <formula1>"15,20,25,30"</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2"/>
  <sheetViews>
    <sheetView workbookViewId="0"/>
  </sheetViews>
  <sheetFormatPr baseColWidth="10" defaultColWidth="8.6640625" defaultRowHeight="14" x14ac:dyDescent="0.2"/>
  <cols>
    <col min="1" max="1" width="8.6640625" style="580"/>
    <col min="2" max="7" width="33.33203125" style="580" customWidth="1"/>
    <col min="8" max="16384" width="8.6640625" style="580"/>
  </cols>
  <sheetData>
    <row r="1" spans="1:7" ht="15" x14ac:dyDescent="0.2">
      <c r="A1" s="580" t="s">
        <v>275</v>
      </c>
      <c r="B1" s="580">
        <v>0</v>
      </c>
      <c r="C1" s="580">
        <v>1</v>
      </c>
      <c r="D1" s="580">
        <v>2</v>
      </c>
      <c r="E1" s="580">
        <v>3</v>
      </c>
      <c r="F1" s="580">
        <v>4</v>
      </c>
      <c r="G1" s="580">
        <v>5</v>
      </c>
    </row>
    <row r="2" spans="1:7" ht="60" x14ac:dyDescent="0.2">
      <c r="A2" s="580" t="s">
        <v>276</v>
      </c>
      <c r="B2" s="580" t="s">
        <v>277</v>
      </c>
      <c r="C2" s="580" t="s">
        <v>278</v>
      </c>
      <c r="D2" s="580" t="s">
        <v>279</v>
      </c>
      <c r="E2" s="580" t="s">
        <v>280</v>
      </c>
      <c r="F2" s="580" t="s">
        <v>281</v>
      </c>
      <c r="G2" s="580" t="s">
        <v>282</v>
      </c>
    </row>
    <row r="3" spans="1:7" ht="180" x14ac:dyDescent="0.2">
      <c r="A3" s="580" t="s">
        <v>283</v>
      </c>
      <c r="B3" s="580" t="s">
        <v>284</v>
      </c>
      <c r="C3" s="580" t="s">
        <v>285</v>
      </c>
      <c r="D3" s="580" t="s">
        <v>286</v>
      </c>
      <c r="E3" s="580" t="s">
        <v>287</v>
      </c>
      <c r="F3" s="580" t="s">
        <v>288</v>
      </c>
      <c r="G3" s="580" t="s">
        <v>289</v>
      </c>
    </row>
    <row r="4" spans="1:7" ht="314" x14ac:dyDescent="0.2">
      <c r="A4" s="580" t="s">
        <v>290</v>
      </c>
      <c r="B4" s="580" t="s">
        <v>291</v>
      </c>
      <c r="C4" s="580" t="s">
        <v>292</v>
      </c>
      <c r="D4" s="580" t="s">
        <v>293</v>
      </c>
      <c r="E4" s="580" t="s">
        <v>294</v>
      </c>
      <c r="F4" s="580" t="s">
        <v>295</v>
      </c>
      <c r="G4" s="580" t="s">
        <v>296</v>
      </c>
    </row>
    <row r="5" spans="1:7" ht="240" x14ac:dyDescent="0.2">
      <c r="A5" s="580" t="s">
        <v>297</v>
      </c>
      <c r="B5" s="580" t="s">
        <v>298</v>
      </c>
      <c r="C5" s="580" t="s">
        <v>299</v>
      </c>
      <c r="D5" s="580" t="s">
        <v>300</v>
      </c>
      <c r="E5" s="580" t="s">
        <v>301</v>
      </c>
      <c r="F5" s="580" t="s">
        <v>302</v>
      </c>
      <c r="G5" s="580" t="s">
        <v>303</v>
      </c>
    </row>
    <row r="6" spans="1:7" ht="60" x14ac:dyDescent="0.2">
      <c r="A6" s="580" t="s">
        <v>304</v>
      </c>
      <c r="B6" s="580" t="s">
        <v>305</v>
      </c>
      <c r="C6" s="580" t="s">
        <v>306</v>
      </c>
      <c r="D6" s="580" t="s">
        <v>307</v>
      </c>
      <c r="E6" s="580" t="s">
        <v>308</v>
      </c>
      <c r="F6" s="580" t="s">
        <v>309</v>
      </c>
      <c r="G6" s="580" t="s">
        <v>310</v>
      </c>
    </row>
    <row r="7" spans="1:7" ht="90" x14ac:dyDescent="0.2">
      <c r="A7" s="580" t="s">
        <v>311</v>
      </c>
      <c r="B7" s="580" t="s">
        <v>312</v>
      </c>
      <c r="C7" s="580" t="s">
        <v>313</v>
      </c>
      <c r="D7" s="580" t="s">
        <v>314</v>
      </c>
      <c r="E7" s="580" t="s">
        <v>315</v>
      </c>
      <c r="F7" s="580" t="s">
        <v>316</v>
      </c>
      <c r="G7" s="580" t="s">
        <v>317</v>
      </c>
    </row>
    <row r="8" spans="1:7" ht="210" x14ac:dyDescent="0.2">
      <c r="A8" s="580" t="s">
        <v>318</v>
      </c>
      <c r="B8" s="580" t="s">
        <v>319</v>
      </c>
      <c r="C8" s="580" t="s">
        <v>320</v>
      </c>
      <c r="D8" s="580" t="s">
        <v>321</v>
      </c>
      <c r="E8" s="580" t="s">
        <v>322</v>
      </c>
      <c r="F8" s="580" t="s">
        <v>323</v>
      </c>
      <c r="G8" s="580" t="s">
        <v>324</v>
      </c>
    </row>
    <row r="9" spans="1:7" ht="240" x14ac:dyDescent="0.2">
      <c r="A9" s="580" t="s">
        <v>325</v>
      </c>
      <c r="B9" s="580" t="s">
        <v>326</v>
      </c>
      <c r="C9" s="580" t="s">
        <v>327</v>
      </c>
      <c r="D9" s="580" t="s">
        <v>328</v>
      </c>
      <c r="E9" s="580" t="s">
        <v>329</v>
      </c>
      <c r="F9" s="580" t="s">
        <v>330</v>
      </c>
      <c r="G9" s="580" t="s">
        <v>331</v>
      </c>
    </row>
    <row r="10" spans="1:7" ht="384" x14ac:dyDescent="0.2">
      <c r="A10" s="580" t="s">
        <v>332</v>
      </c>
      <c r="B10" s="580" t="s">
        <v>298</v>
      </c>
      <c r="C10" s="580" t="s">
        <v>333</v>
      </c>
      <c r="D10" s="580" t="s">
        <v>334</v>
      </c>
      <c r="E10" s="580" t="s">
        <v>335</v>
      </c>
      <c r="F10" s="580" t="s">
        <v>336</v>
      </c>
      <c r="G10" s="580" t="s">
        <v>337</v>
      </c>
    </row>
    <row r="11" spans="1:7" ht="75" x14ac:dyDescent="0.2">
      <c r="A11" s="580" t="s">
        <v>338</v>
      </c>
      <c r="B11" s="580" t="s">
        <v>339</v>
      </c>
      <c r="C11" s="580" t="s">
        <v>340</v>
      </c>
      <c r="D11" s="580" t="s">
        <v>341</v>
      </c>
      <c r="E11" s="580" t="s">
        <v>342</v>
      </c>
      <c r="F11" s="580" t="s">
        <v>343</v>
      </c>
      <c r="G11" s="580" t="s">
        <v>344</v>
      </c>
    </row>
    <row r="12" spans="1:7" ht="150" x14ac:dyDescent="0.2">
      <c r="A12" s="580" t="s">
        <v>345</v>
      </c>
      <c r="B12" s="580" t="s">
        <v>346</v>
      </c>
      <c r="C12" s="580" t="s">
        <v>347</v>
      </c>
      <c r="D12" s="580" t="s">
        <v>348</v>
      </c>
      <c r="E12" s="580" t="s">
        <v>349</v>
      </c>
      <c r="F12" s="580" t="s">
        <v>350</v>
      </c>
      <c r="G12" s="580" t="s">
        <v>351</v>
      </c>
    </row>
    <row r="13" spans="1:7" ht="45" x14ac:dyDescent="0.2">
      <c r="A13" s="580" t="s">
        <v>352</v>
      </c>
      <c r="B13" s="580" t="s">
        <v>353</v>
      </c>
      <c r="C13" s="580" t="s">
        <v>354</v>
      </c>
      <c r="D13" s="580" t="s">
        <v>355</v>
      </c>
      <c r="E13" s="580" t="s">
        <v>356</v>
      </c>
      <c r="F13" s="580" t="s">
        <v>357</v>
      </c>
      <c r="G13" s="580" t="s">
        <v>358</v>
      </c>
    </row>
    <row r="14" spans="1:7" ht="60" x14ac:dyDescent="0.2">
      <c r="A14" s="580" t="s">
        <v>359</v>
      </c>
      <c r="B14" s="580" t="s">
        <v>360</v>
      </c>
      <c r="C14" s="580" t="s">
        <v>361</v>
      </c>
      <c r="D14" s="580" t="s">
        <v>362</v>
      </c>
      <c r="E14" s="580" t="s">
        <v>363</v>
      </c>
      <c r="F14" s="580" t="s">
        <v>364</v>
      </c>
      <c r="G14" s="580" t="s">
        <v>365</v>
      </c>
    </row>
    <row r="15" spans="1:7" ht="30" x14ac:dyDescent="0.2">
      <c r="A15" s="580" t="s">
        <v>366</v>
      </c>
      <c r="B15" s="580" t="s">
        <v>367</v>
      </c>
      <c r="C15" s="580" t="s">
        <v>368</v>
      </c>
      <c r="D15" s="580" t="s">
        <v>369</v>
      </c>
      <c r="E15" s="580" t="s">
        <v>370</v>
      </c>
      <c r="F15" s="580" t="s">
        <v>371</v>
      </c>
      <c r="G15" s="580" t="s">
        <v>372</v>
      </c>
    </row>
    <row r="16" spans="1:7" ht="30" x14ac:dyDescent="0.2">
      <c r="A16" s="580" t="s">
        <v>373</v>
      </c>
      <c r="B16" s="580" t="s">
        <v>374</v>
      </c>
      <c r="C16" s="580" t="s">
        <v>375</v>
      </c>
      <c r="D16" s="580" t="s">
        <v>376</v>
      </c>
      <c r="E16" s="580" t="s">
        <v>377</v>
      </c>
      <c r="F16" s="580" t="s">
        <v>378</v>
      </c>
      <c r="G16" s="580" t="s">
        <v>379</v>
      </c>
    </row>
    <row r="17" spans="1:7" ht="60" x14ac:dyDescent="0.2">
      <c r="A17" s="580" t="s">
        <v>380</v>
      </c>
      <c r="B17" s="580" t="s">
        <v>381</v>
      </c>
      <c r="C17" s="580" t="s">
        <v>382</v>
      </c>
      <c r="D17" s="580" t="s">
        <v>383</v>
      </c>
      <c r="E17" s="580" t="s">
        <v>384</v>
      </c>
      <c r="F17" s="580" t="s">
        <v>385</v>
      </c>
      <c r="G17" s="580" t="s">
        <v>386</v>
      </c>
    </row>
    <row r="18" spans="1:7" ht="30" x14ac:dyDescent="0.2">
      <c r="A18" s="580" t="s">
        <v>387</v>
      </c>
      <c r="B18" s="580" t="s">
        <v>388</v>
      </c>
      <c r="C18" s="580" t="s">
        <v>389</v>
      </c>
      <c r="D18" s="580" t="s">
        <v>390</v>
      </c>
      <c r="E18" s="580" t="s">
        <v>391</v>
      </c>
      <c r="F18" s="580" t="s">
        <v>392</v>
      </c>
      <c r="G18" s="580" t="s">
        <v>393</v>
      </c>
    </row>
    <row r="19" spans="1:7" ht="60" x14ac:dyDescent="0.2">
      <c r="A19" s="580" t="s">
        <v>394</v>
      </c>
      <c r="B19" s="580" t="s">
        <v>395</v>
      </c>
      <c r="C19" s="580" t="s">
        <v>396</v>
      </c>
      <c r="D19" s="580" t="s">
        <v>397</v>
      </c>
      <c r="E19" s="580" t="s">
        <v>398</v>
      </c>
      <c r="F19" s="580" t="s">
        <v>399</v>
      </c>
      <c r="G19" s="580" t="s">
        <v>400</v>
      </c>
    </row>
    <row r="20" spans="1:7" ht="60" x14ac:dyDescent="0.2">
      <c r="A20" s="580" t="s">
        <v>401</v>
      </c>
      <c r="B20" s="580" t="s">
        <v>402</v>
      </c>
      <c r="C20" s="580" t="s">
        <v>403</v>
      </c>
      <c r="D20" s="580" t="s">
        <v>404</v>
      </c>
      <c r="E20" s="580" t="s">
        <v>405</v>
      </c>
      <c r="F20" s="580" t="s">
        <v>406</v>
      </c>
      <c r="G20" s="580" t="s">
        <v>407</v>
      </c>
    </row>
    <row r="21" spans="1:7" ht="30" x14ac:dyDescent="0.2">
      <c r="A21" s="580" t="s">
        <v>408</v>
      </c>
      <c r="B21" s="580" t="s">
        <v>409</v>
      </c>
      <c r="C21" s="580" t="s">
        <v>410</v>
      </c>
      <c r="D21" s="580" t="s">
        <v>411</v>
      </c>
      <c r="E21" s="580" t="s">
        <v>412</v>
      </c>
      <c r="F21" s="580" t="s">
        <v>413</v>
      </c>
      <c r="G21" s="580" t="s">
        <v>414</v>
      </c>
    </row>
    <row r="22" spans="1:7" ht="30" x14ac:dyDescent="0.2">
      <c r="A22" s="580" t="s">
        <v>415</v>
      </c>
      <c r="B22" s="580" t="s">
        <v>416</v>
      </c>
      <c r="C22" s="580" t="s">
        <v>417</v>
      </c>
      <c r="D22" s="580" t="s">
        <v>418</v>
      </c>
      <c r="E22" s="580" t="s">
        <v>419</v>
      </c>
      <c r="F22" s="580" t="s">
        <v>420</v>
      </c>
      <c r="G22" s="580" t="s">
        <v>421</v>
      </c>
    </row>
  </sheetData>
  <phoneticPr fontId="5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5">
    <tabColor rgb="FFFFC000"/>
  </sheetPr>
  <dimension ref="A1:H21"/>
  <sheetViews>
    <sheetView workbookViewId="0">
      <selection activeCell="D49" sqref="D49"/>
    </sheetView>
  </sheetViews>
  <sheetFormatPr baseColWidth="10" defaultColWidth="8.6640625" defaultRowHeight="14" x14ac:dyDescent="0.2"/>
  <cols>
    <col min="1" max="1" width="18.6640625" style="376" customWidth="1"/>
    <col min="2" max="2" width="12" style="376" customWidth="1"/>
    <col min="3" max="3" width="6.1640625" style="376" customWidth="1"/>
    <col min="4" max="5" width="12" style="376" customWidth="1"/>
    <col min="6" max="7" width="11.33203125" style="376" customWidth="1"/>
    <col min="8" max="16384" width="8.6640625" style="376"/>
  </cols>
  <sheetData>
    <row r="1" spans="1:8" s="377" customFormat="1" ht="30" x14ac:dyDescent="0.2">
      <c r="A1" s="397" t="s">
        <v>422</v>
      </c>
      <c r="B1" s="397" t="s">
        <v>423</v>
      </c>
      <c r="C1" s="397" t="s">
        <v>191</v>
      </c>
      <c r="D1" s="397" t="s">
        <v>424</v>
      </c>
      <c r="E1" s="397" t="s">
        <v>425</v>
      </c>
      <c r="F1" s="397" t="s">
        <v>238</v>
      </c>
      <c r="G1" s="397" t="s">
        <v>426</v>
      </c>
    </row>
    <row r="2" spans="1:8" x14ac:dyDescent="0.2">
      <c r="A2" s="394" t="s">
        <v>248</v>
      </c>
      <c r="B2" s="395">
        <v>45809</v>
      </c>
      <c r="C2" s="392">
        <f t="shared" ref="C2:C21" si="0">IF(ISBLANK(B2),"",YEAR(B2))</f>
        <v>2025</v>
      </c>
      <c r="D2" s="395">
        <v>46265</v>
      </c>
      <c r="E2" s="385">
        <f>IF(ISBLANK(B2),"",ROUND((D2-B2+1)/30,0))</f>
        <v>15</v>
      </c>
      <c r="F2" s="392">
        <f>IF(ISBLANK(B2),"",ROUNDUP(((D2+1)-MIN($B$2:$B$21))/365,))</f>
        <v>2</v>
      </c>
      <c r="G2" s="392">
        <f>IF(ISBLANK(B2),"",ROUND((D2-$B$2+1)/30,0))</f>
        <v>15</v>
      </c>
      <c r="H2" s="396"/>
    </row>
    <row r="3" spans="1:8" x14ac:dyDescent="0.2">
      <c r="A3" s="394" t="s">
        <v>427</v>
      </c>
      <c r="B3" s="395"/>
      <c r="C3" s="392" t="str">
        <f t="shared" si="0"/>
        <v/>
      </c>
      <c r="D3" s="395"/>
      <c r="E3" s="385" t="str">
        <f t="shared" ref="E3:E21" si="1">IF(ISBLANK(B3),"",ROUND((D3-B3+1)/30,0))</f>
        <v/>
      </c>
      <c r="F3" s="392" t="str">
        <f t="shared" ref="F3:F21" si="2">IF(ISBLANK(B3),"",ROUNDUP(((D3+1)-MIN($B$2:$B$21))/365,))</f>
        <v/>
      </c>
      <c r="G3" s="392" t="str">
        <f>IF(ISBLANK(B3),"",ROUND((D3-$B$2+1)/30,0))</f>
        <v/>
      </c>
    </row>
    <row r="4" spans="1:8" x14ac:dyDescent="0.2">
      <c r="A4" s="394" t="s">
        <v>428</v>
      </c>
      <c r="B4" s="395"/>
      <c r="C4" s="392" t="str">
        <f t="shared" si="0"/>
        <v/>
      </c>
      <c r="D4" s="395"/>
      <c r="E4" s="385" t="str">
        <f t="shared" si="1"/>
        <v/>
      </c>
      <c r="F4" s="392" t="str">
        <f t="shared" si="2"/>
        <v/>
      </c>
      <c r="G4" s="392" t="str">
        <f>IF(ISBLANK(B4),"",ROUND((D4-$B$2+1)/30,0))</f>
        <v/>
      </c>
    </row>
    <row r="5" spans="1:8" x14ac:dyDescent="0.2">
      <c r="A5" s="394" t="s">
        <v>429</v>
      </c>
      <c r="B5" s="393"/>
      <c r="C5" s="392" t="str">
        <f t="shared" si="0"/>
        <v/>
      </c>
      <c r="D5" s="393"/>
      <c r="E5" s="385" t="str">
        <f t="shared" si="1"/>
        <v/>
      </c>
      <c r="F5" s="392" t="str">
        <f t="shared" si="2"/>
        <v/>
      </c>
      <c r="G5" s="392"/>
    </row>
    <row r="6" spans="1:8" x14ac:dyDescent="0.2">
      <c r="A6" s="394" t="s">
        <v>430</v>
      </c>
      <c r="B6" s="393"/>
      <c r="C6" s="392" t="str">
        <f t="shared" si="0"/>
        <v/>
      </c>
      <c r="D6" s="393"/>
      <c r="E6" s="385" t="str">
        <f t="shared" si="1"/>
        <v/>
      </c>
      <c r="F6" s="392" t="str">
        <f t="shared" si="2"/>
        <v/>
      </c>
      <c r="G6" s="392"/>
    </row>
    <row r="7" spans="1:8" x14ac:dyDescent="0.2">
      <c r="A7" s="394" t="s">
        <v>431</v>
      </c>
      <c r="B7" s="393"/>
      <c r="C7" s="392" t="str">
        <f t="shared" si="0"/>
        <v/>
      </c>
      <c r="D7" s="393"/>
      <c r="E7" s="385" t="str">
        <f t="shared" si="1"/>
        <v/>
      </c>
      <c r="F7" s="392" t="str">
        <f t="shared" si="2"/>
        <v/>
      </c>
      <c r="G7" s="392"/>
    </row>
    <row r="8" spans="1:8" x14ac:dyDescent="0.2">
      <c r="A8" s="394" t="s">
        <v>432</v>
      </c>
      <c r="B8" s="393"/>
      <c r="C8" s="392" t="str">
        <f t="shared" si="0"/>
        <v/>
      </c>
      <c r="D8" s="393"/>
      <c r="E8" s="385" t="str">
        <f t="shared" si="1"/>
        <v/>
      </c>
      <c r="F8" s="392" t="str">
        <f t="shared" si="2"/>
        <v/>
      </c>
      <c r="G8" s="392"/>
    </row>
    <row r="9" spans="1:8" x14ac:dyDescent="0.2">
      <c r="A9" s="394" t="s">
        <v>433</v>
      </c>
      <c r="B9" s="393"/>
      <c r="C9" s="392" t="str">
        <f t="shared" si="0"/>
        <v/>
      </c>
      <c r="D9" s="393"/>
      <c r="E9" s="385" t="str">
        <f t="shared" si="1"/>
        <v/>
      </c>
      <c r="F9" s="392" t="str">
        <f t="shared" si="2"/>
        <v/>
      </c>
      <c r="G9" s="392"/>
    </row>
    <row r="10" spans="1:8" x14ac:dyDescent="0.2">
      <c r="A10" s="394" t="s">
        <v>434</v>
      </c>
      <c r="B10" s="393"/>
      <c r="C10" s="392" t="str">
        <f t="shared" si="0"/>
        <v/>
      </c>
      <c r="D10" s="393"/>
      <c r="E10" s="385" t="str">
        <f t="shared" si="1"/>
        <v/>
      </c>
      <c r="F10" s="392" t="str">
        <f t="shared" si="2"/>
        <v/>
      </c>
      <c r="G10" s="392"/>
    </row>
    <row r="11" spans="1:8" x14ac:dyDescent="0.2">
      <c r="A11" s="394" t="s">
        <v>435</v>
      </c>
      <c r="B11" s="393"/>
      <c r="C11" s="392" t="str">
        <f t="shared" si="0"/>
        <v/>
      </c>
      <c r="D11" s="393"/>
      <c r="E11" s="385" t="str">
        <f t="shared" si="1"/>
        <v/>
      </c>
      <c r="F11" s="392" t="str">
        <f t="shared" si="2"/>
        <v/>
      </c>
      <c r="G11" s="392"/>
    </row>
    <row r="12" spans="1:8" x14ac:dyDescent="0.2">
      <c r="A12" s="394" t="s">
        <v>436</v>
      </c>
      <c r="B12" s="393"/>
      <c r="C12" s="392" t="str">
        <f t="shared" si="0"/>
        <v/>
      </c>
      <c r="D12" s="393"/>
      <c r="E12" s="385" t="str">
        <f t="shared" si="1"/>
        <v/>
      </c>
      <c r="F12" s="392" t="str">
        <f t="shared" si="2"/>
        <v/>
      </c>
      <c r="G12" s="392"/>
    </row>
    <row r="13" spans="1:8" x14ac:dyDescent="0.2">
      <c r="A13" s="394" t="s">
        <v>437</v>
      </c>
      <c r="B13" s="393"/>
      <c r="C13" s="392" t="str">
        <f t="shared" si="0"/>
        <v/>
      </c>
      <c r="D13" s="393"/>
      <c r="E13" s="385" t="str">
        <f t="shared" si="1"/>
        <v/>
      </c>
      <c r="F13" s="392" t="str">
        <f t="shared" si="2"/>
        <v/>
      </c>
      <c r="G13" s="392"/>
    </row>
    <row r="14" spans="1:8" x14ac:dyDescent="0.2">
      <c r="A14" s="394" t="s">
        <v>438</v>
      </c>
      <c r="B14" s="393"/>
      <c r="C14" s="392" t="str">
        <f t="shared" si="0"/>
        <v/>
      </c>
      <c r="D14" s="393"/>
      <c r="E14" s="385" t="str">
        <f t="shared" si="1"/>
        <v/>
      </c>
      <c r="F14" s="392" t="str">
        <f t="shared" si="2"/>
        <v/>
      </c>
      <c r="G14" s="392"/>
    </row>
    <row r="15" spans="1:8" x14ac:dyDescent="0.2">
      <c r="A15" s="394" t="s">
        <v>439</v>
      </c>
      <c r="B15" s="393"/>
      <c r="C15" s="392" t="str">
        <f t="shared" si="0"/>
        <v/>
      </c>
      <c r="D15" s="393"/>
      <c r="E15" s="385" t="str">
        <f t="shared" si="1"/>
        <v/>
      </c>
      <c r="F15" s="392" t="str">
        <f t="shared" si="2"/>
        <v/>
      </c>
      <c r="G15" s="392"/>
    </row>
    <row r="16" spans="1:8" x14ac:dyDescent="0.2">
      <c r="A16" s="394" t="s">
        <v>440</v>
      </c>
      <c r="B16" s="393"/>
      <c r="C16" s="392" t="str">
        <f t="shared" si="0"/>
        <v/>
      </c>
      <c r="D16" s="393"/>
      <c r="E16" s="385" t="str">
        <f t="shared" si="1"/>
        <v/>
      </c>
      <c r="F16" s="392" t="str">
        <f t="shared" si="2"/>
        <v/>
      </c>
      <c r="G16" s="392"/>
    </row>
    <row r="17" spans="1:7" x14ac:dyDescent="0.2">
      <c r="A17" s="394" t="s">
        <v>441</v>
      </c>
      <c r="B17" s="393"/>
      <c r="C17" s="392" t="str">
        <f t="shared" si="0"/>
        <v/>
      </c>
      <c r="D17" s="393"/>
      <c r="E17" s="385" t="str">
        <f t="shared" si="1"/>
        <v/>
      </c>
      <c r="F17" s="392" t="str">
        <f t="shared" si="2"/>
        <v/>
      </c>
      <c r="G17" s="392"/>
    </row>
    <row r="18" spans="1:7" x14ac:dyDescent="0.2">
      <c r="A18" s="394" t="s">
        <v>442</v>
      </c>
      <c r="B18" s="393"/>
      <c r="C18" s="392" t="str">
        <f t="shared" si="0"/>
        <v/>
      </c>
      <c r="D18" s="393"/>
      <c r="E18" s="385" t="str">
        <f t="shared" si="1"/>
        <v/>
      </c>
      <c r="F18" s="392" t="str">
        <f t="shared" si="2"/>
        <v/>
      </c>
      <c r="G18" s="392"/>
    </row>
    <row r="19" spans="1:7" x14ac:dyDescent="0.2">
      <c r="A19" s="394" t="s">
        <v>443</v>
      </c>
      <c r="B19" s="393"/>
      <c r="C19" s="392" t="str">
        <f t="shared" si="0"/>
        <v/>
      </c>
      <c r="D19" s="393"/>
      <c r="E19" s="385" t="str">
        <f t="shared" si="1"/>
        <v/>
      </c>
      <c r="F19" s="392" t="str">
        <f t="shared" si="2"/>
        <v/>
      </c>
      <c r="G19" s="392"/>
    </row>
    <row r="20" spans="1:7" x14ac:dyDescent="0.2">
      <c r="A20" s="394" t="s">
        <v>444</v>
      </c>
      <c r="B20" s="393"/>
      <c r="C20" s="392" t="str">
        <f t="shared" si="0"/>
        <v/>
      </c>
      <c r="D20" s="393"/>
      <c r="E20" s="385" t="str">
        <f t="shared" si="1"/>
        <v/>
      </c>
      <c r="F20" s="392" t="str">
        <f t="shared" si="2"/>
        <v/>
      </c>
      <c r="G20" s="392"/>
    </row>
    <row r="21" spans="1:7" x14ac:dyDescent="0.2">
      <c r="A21" s="394" t="s">
        <v>445</v>
      </c>
      <c r="B21" s="393"/>
      <c r="C21" s="392" t="str">
        <f t="shared" si="0"/>
        <v/>
      </c>
      <c r="D21" s="393"/>
      <c r="E21" s="385" t="str">
        <f t="shared" si="1"/>
        <v/>
      </c>
      <c r="F21" s="392" t="str">
        <f t="shared" si="2"/>
        <v/>
      </c>
      <c r="G21" s="392"/>
    </row>
  </sheetData>
  <dataValidations count="1">
    <dataValidation type="date" allowBlank="1" showInputMessage="1" showErrorMessage="1" sqref="B2:B21 D2:D21" xr:uid="{00000000-0002-0000-0A00-000000000000}">
      <formula1>36526</formula1>
      <formula2>55153</formula2>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894D-6E75-4584-8253-1FD3BD3C0941}">
  <sheetPr>
    <tabColor rgb="FFFFC000"/>
  </sheetPr>
  <dimension ref="A3:B32"/>
  <sheetViews>
    <sheetView workbookViewId="0"/>
  </sheetViews>
  <sheetFormatPr baseColWidth="10" defaultColWidth="8.83203125" defaultRowHeight="15" x14ac:dyDescent="0.2"/>
  <cols>
    <col min="1" max="1" width="44.83203125" bestFit="1" customWidth="1"/>
    <col min="2" max="2" width="33.33203125" bestFit="1" customWidth="1"/>
  </cols>
  <sheetData>
    <row r="3" spans="1:2" x14ac:dyDescent="0.2">
      <c r="A3" s="669" t="s">
        <v>446</v>
      </c>
      <c r="B3" t="s">
        <v>447</v>
      </c>
    </row>
    <row r="4" spans="1:2" x14ac:dyDescent="0.2">
      <c r="A4" s="208" t="s">
        <v>448</v>
      </c>
      <c r="B4">
        <v>28</v>
      </c>
    </row>
    <row r="5" spans="1:2" x14ac:dyDescent="0.2">
      <c r="A5" s="670" t="s">
        <v>449</v>
      </c>
      <c r="B5">
        <v>23</v>
      </c>
    </row>
    <row r="6" spans="1:2" x14ac:dyDescent="0.2">
      <c r="A6" s="670" t="s">
        <v>250</v>
      </c>
      <c r="B6">
        <v>5</v>
      </c>
    </row>
    <row r="7" spans="1:2" x14ac:dyDescent="0.2">
      <c r="A7" s="208" t="s">
        <v>450</v>
      </c>
      <c r="B7">
        <v>21</v>
      </c>
    </row>
    <row r="8" spans="1:2" x14ac:dyDescent="0.2">
      <c r="A8" s="670" t="s">
        <v>449</v>
      </c>
      <c r="B8">
        <v>6</v>
      </c>
    </row>
    <row r="9" spans="1:2" x14ac:dyDescent="0.2">
      <c r="A9" s="670" t="s">
        <v>451</v>
      </c>
      <c r="B9">
        <v>15</v>
      </c>
    </row>
    <row r="10" spans="1:2" x14ac:dyDescent="0.2">
      <c r="A10" s="208" t="s">
        <v>452</v>
      </c>
      <c r="B10">
        <v>4</v>
      </c>
    </row>
    <row r="11" spans="1:2" x14ac:dyDescent="0.2">
      <c r="A11" s="670" t="s">
        <v>449</v>
      </c>
      <c r="B11">
        <v>2</v>
      </c>
    </row>
    <row r="12" spans="1:2" x14ac:dyDescent="0.2">
      <c r="A12" s="670" t="s">
        <v>451</v>
      </c>
      <c r="B12">
        <v>2</v>
      </c>
    </row>
    <row r="13" spans="1:2" x14ac:dyDescent="0.2">
      <c r="A13" s="208" t="s">
        <v>453</v>
      </c>
      <c r="B13">
        <v>37</v>
      </c>
    </row>
    <row r="14" spans="1:2" x14ac:dyDescent="0.2">
      <c r="A14" s="670" t="s">
        <v>449</v>
      </c>
      <c r="B14">
        <v>17</v>
      </c>
    </row>
    <row r="15" spans="1:2" x14ac:dyDescent="0.2">
      <c r="A15" s="670" t="s">
        <v>252</v>
      </c>
      <c r="B15">
        <v>18</v>
      </c>
    </row>
    <row r="16" spans="1:2" x14ac:dyDescent="0.2">
      <c r="A16" s="670" t="s">
        <v>250</v>
      </c>
      <c r="B16">
        <v>2</v>
      </c>
    </row>
    <row r="17" spans="1:2" x14ac:dyDescent="0.2">
      <c r="A17" s="208" t="s">
        <v>454</v>
      </c>
      <c r="B17">
        <v>12</v>
      </c>
    </row>
    <row r="18" spans="1:2" x14ac:dyDescent="0.2">
      <c r="A18" s="670" t="s">
        <v>449</v>
      </c>
      <c r="B18">
        <v>12</v>
      </c>
    </row>
    <row r="19" spans="1:2" x14ac:dyDescent="0.2">
      <c r="A19" s="208" t="s">
        <v>455</v>
      </c>
      <c r="B19">
        <v>3</v>
      </c>
    </row>
    <row r="20" spans="1:2" x14ac:dyDescent="0.2">
      <c r="A20" s="670" t="s">
        <v>449</v>
      </c>
      <c r="B20">
        <v>3</v>
      </c>
    </row>
    <row r="21" spans="1:2" x14ac:dyDescent="0.2">
      <c r="A21" s="208" t="s">
        <v>456</v>
      </c>
      <c r="B21">
        <v>4</v>
      </c>
    </row>
    <row r="22" spans="1:2" x14ac:dyDescent="0.2">
      <c r="A22" s="670" t="s">
        <v>457</v>
      </c>
      <c r="B22">
        <v>4</v>
      </c>
    </row>
    <row r="23" spans="1:2" x14ac:dyDescent="0.2">
      <c r="A23" s="208" t="s">
        <v>458</v>
      </c>
      <c r="B23">
        <v>7</v>
      </c>
    </row>
    <row r="24" spans="1:2" x14ac:dyDescent="0.2">
      <c r="A24" s="670" t="s">
        <v>451</v>
      </c>
      <c r="B24">
        <v>7</v>
      </c>
    </row>
    <row r="25" spans="1:2" x14ac:dyDescent="0.2">
      <c r="A25" s="208" t="s">
        <v>459</v>
      </c>
      <c r="B25">
        <v>15</v>
      </c>
    </row>
    <row r="26" spans="1:2" x14ac:dyDescent="0.2">
      <c r="A26" s="670" t="s">
        <v>449</v>
      </c>
      <c r="B26">
        <v>1</v>
      </c>
    </row>
    <row r="27" spans="1:2" x14ac:dyDescent="0.2">
      <c r="A27" s="670" t="s">
        <v>451</v>
      </c>
      <c r="B27">
        <v>14</v>
      </c>
    </row>
    <row r="28" spans="1:2" x14ac:dyDescent="0.2">
      <c r="A28" s="208" t="s">
        <v>460</v>
      </c>
      <c r="B28">
        <v>16</v>
      </c>
    </row>
    <row r="29" spans="1:2" x14ac:dyDescent="0.2">
      <c r="A29" s="670" t="s">
        <v>449</v>
      </c>
      <c r="B29">
        <v>16</v>
      </c>
    </row>
    <row r="30" spans="1:2" x14ac:dyDescent="0.2">
      <c r="A30" s="208" t="s">
        <v>461</v>
      </c>
      <c r="B30">
        <v>9</v>
      </c>
    </row>
    <row r="31" spans="1:2" x14ac:dyDescent="0.2">
      <c r="A31" s="670" t="s">
        <v>449</v>
      </c>
      <c r="B31">
        <v>9</v>
      </c>
    </row>
    <row r="32" spans="1:2" x14ac:dyDescent="0.2">
      <c r="A32" s="208" t="s">
        <v>462</v>
      </c>
      <c r="B32">
        <v>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2DC4-663B-43EA-A0F0-16C64B0EC96C}">
  <sheetPr>
    <tabColor rgb="FFFFC000"/>
  </sheetPr>
  <dimension ref="A1:K27"/>
  <sheetViews>
    <sheetView workbookViewId="0">
      <selection activeCell="H1" sqref="H1"/>
    </sheetView>
  </sheetViews>
  <sheetFormatPr baseColWidth="10" defaultColWidth="8.6640625" defaultRowHeight="15" x14ac:dyDescent="0.2"/>
  <cols>
    <col min="1" max="1" width="15.5" style="634" customWidth="1"/>
    <col min="2" max="3" width="34.6640625" style="634" customWidth="1"/>
    <col min="4" max="4" width="50.33203125" style="634" customWidth="1"/>
    <col min="5" max="5" width="12.1640625" style="634" customWidth="1"/>
    <col min="6" max="6" width="18.6640625" style="634" customWidth="1"/>
    <col min="7" max="7" width="13.5" style="634" customWidth="1"/>
    <col min="8" max="8" width="16.1640625" style="634" customWidth="1"/>
    <col min="9" max="9" width="34.6640625" style="634" customWidth="1"/>
    <col min="10" max="10" width="10.33203125" style="634" bestFit="1" customWidth="1"/>
    <col min="11" max="16384" width="8.6640625" style="634"/>
  </cols>
  <sheetData>
    <row r="1" spans="1:10" x14ac:dyDescent="0.2">
      <c r="A1" s="639"/>
      <c r="B1" s="639"/>
      <c r="C1" s="639"/>
      <c r="D1" s="639"/>
      <c r="E1" s="639"/>
      <c r="F1" s="639"/>
      <c r="G1" s="639"/>
      <c r="H1" s="649">
        <f>SUM(H6:H17,H21:H27)</f>
        <v>3975771.111111111</v>
      </c>
      <c r="I1" s="657" t="str">
        <f>IF(H1&gt;4000000,"Prekročený limit","Limit Dodržaný")</f>
        <v>Limit Dodržaný</v>
      </c>
    </row>
    <row r="2" spans="1:10" x14ac:dyDescent="0.2">
      <c r="A2" s="640" t="s">
        <v>463</v>
      </c>
      <c r="B2" s="640" t="s">
        <v>464</v>
      </c>
      <c r="C2" s="640" t="s">
        <v>465</v>
      </c>
      <c r="D2" s="641" t="s">
        <v>466</v>
      </c>
      <c r="E2" s="642" t="s">
        <v>206</v>
      </c>
      <c r="F2" s="643" t="s">
        <v>467</v>
      </c>
      <c r="G2" s="642" t="s">
        <v>468</v>
      </c>
      <c r="H2" s="642" t="s">
        <v>469</v>
      </c>
      <c r="I2" s="642" t="s">
        <v>470</v>
      </c>
    </row>
    <row r="3" spans="1:10" ht="16" x14ac:dyDescent="0.2">
      <c r="A3" s="841" t="s">
        <v>471</v>
      </c>
      <c r="B3" s="844" t="s">
        <v>472</v>
      </c>
      <c r="C3" s="627" t="s">
        <v>448</v>
      </c>
      <c r="D3" s="650" t="s">
        <v>473</v>
      </c>
      <c r="E3" s="651" t="s">
        <v>474</v>
      </c>
      <c r="F3" s="644">
        <v>1</v>
      </c>
      <c r="G3" s="646">
        <v>10000</v>
      </c>
      <c r="H3" s="647">
        <f t="shared" ref="H3:H5" si="0">F3*G3</f>
        <v>10000</v>
      </c>
      <c r="I3" s="654" t="s">
        <v>475</v>
      </c>
    </row>
    <row r="4" spans="1:10" ht="16" x14ac:dyDescent="0.2">
      <c r="A4" s="842"/>
      <c r="B4" s="845"/>
      <c r="C4" s="627" t="s">
        <v>448</v>
      </c>
      <c r="D4" s="650" t="s">
        <v>476</v>
      </c>
      <c r="E4" s="651" t="s">
        <v>477</v>
      </c>
      <c r="F4" s="644">
        <v>0</v>
      </c>
      <c r="G4" s="646">
        <v>7000</v>
      </c>
      <c r="H4" s="647">
        <f t="shared" si="0"/>
        <v>0</v>
      </c>
      <c r="I4" s="654" t="s">
        <v>475</v>
      </c>
    </row>
    <row r="5" spans="1:10" ht="30.75" customHeight="1" x14ac:dyDescent="0.2">
      <c r="A5" s="842"/>
      <c r="B5" s="845"/>
      <c r="C5" s="627" t="s">
        <v>448</v>
      </c>
      <c r="D5" s="650" t="s">
        <v>478</v>
      </c>
      <c r="E5" s="651" t="s">
        <v>477</v>
      </c>
      <c r="F5" s="644">
        <v>6</v>
      </c>
      <c r="G5" s="646">
        <v>10000</v>
      </c>
      <c r="H5" s="647">
        <f t="shared" si="0"/>
        <v>60000</v>
      </c>
      <c r="I5" s="654" t="s">
        <v>475</v>
      </c>
    </row>
    <row r="6" spans="1:10" ht="32" x14ac:dyDescent="0.2">
      <c r="A6" s="843"/>
      <c r="B6" s="846"/>
      <c r="C6" s="627" t="s">
        <v>448</v>
      </c>
      <c r="D6" s="650" t="s">
        <v>479</v>
      </c>
      <c r="E6" s="651" t="s">
        <v>480</v>
      </c>
      <c r="F6" s="644">
        <v>1</v>
      </c>
      <c r="G6" s="646">
        <v>2000000</v>
      </c>
      <c r="H6" s="646">
        <f>F6*G6</f>
        <v>2000000</v>
      </c>
      <c r="I6" s="654" t="s">
        <v>481</v>
      </c>
    </row>
    <row r="7" spans="1:10" ht="30" x14ac:dyDescent="0.2">
      <c r="A7" s="652" t="s">
        <v>482</v>
      </c>
      <c r="B7" s="628" t="s">
        <v>483</v>
      </c>
      <c r="C7" s="627" t="s">
        <v>453</v>
      </c>
      <c r="D7" s="650" t="s">
        <v>484</v>
      </c>
      <c r="E7" s="651" t="s">
        <v>485</v>
      </c>
      <c r="F7" s="644">
        <v>710</v>
      </c>
      <c r="G7" s="647"/>
      <c r="H7" s="646">
        <f>F7*AKTIVITY_POZICIE!S8*1.2</f>
        <v>450708</v>
      </c>
      <c r="I7" s="654" t="s">
        <v>486</v>
      </c>
      <c r="J7" s="645">
        <f>H7/H1</f>
        <v>0.11336366893466369</v>
      </c>
    </row>
    <row r="8" spans="1:10" ht="16" x14ac:dyDescent="0.2">
      <c r="A8" s="841" t="s">
        <v>487</v>
      </c>
      <c r="B8" s="844" t="s">
        <v>488</v>
      </c>
      <c r="C8" s="627" t="s">
        <v>454</v>
      </c>
      <c r="D8" s="650" t="s">
        <v>473</v>
      </c>
      <c r="E8" s="651" t="s">
        <v>474</v>
      </c>
      <c r="F8" s="648">
        <f t="shared" ref="F8:F9" si="1">SUM(F3,F18)</f>
        <v>1</v>
      </c>
      <c r="G8" s="646">
        <v>10000</v>
      </c>
      <c r="H8" s="646">
        <f t="shared" ref="H8:H20" si="2">F8*G8</f>
        <v>10000</v>
      </c>
      <c r="I8" s="654" t="s">
        <v>489</v>
      </c>
    </row>
    <row r="9" spans="1:10" ht="16" x14ac:dyDescent="0.2">
      <c r="A9" s="842"/>
      <c r="B9" s="845"/>
      <c r="C9" s="627" t="s">
        <v>454</v>
      </c>
      <c r="D9" s="650" t="s">
        <v>476</v>
      </c>
      <c r="E9" s="651" t="s">
        <v>477</v>
      </c>
      <c r="F9" s="648">
        <f t="shared" si="1"/>
        <v>0</v>
      </c>
      <c r="G9" s="646">
        <v>7000</v>
      </c>
      <c r="H9" s="646">
        <f t="shared" si="2"/>
        <v>0</v>
      </c>
      <c r="I9" s="654" t="s">
        <v>489</v>
      </c>
    </row>
    <row r="10" spans="1:10" ht="24.75" customHeight="1" x14ac:dyDescent="0.2">
      <c r="A10" s="843"/>
      <c r="B10" s="846"/>
      <c r="C10" s="627" t="s">
        <v>454</v>
      </c>
      <c r="D10" s="650" t="s">
        <v>478</v>
      </c>
      <c r="E10" s="651" t="s">
        <v>477</v>
      </c>
      <c r="F10" s="648">
        <f>SUM(F5,F20)</f>
        <v>6</v>
      </c>
      <c r="G10" s="646">
        <v>10000</v>
      </c>
      <c r="H10" s="646">
        <f t="shared" si="2"/>
        <v>60000</v>
      </c>
      <c r="I10" s="654" t="s">
        <v>489</v>
      </c>
    </row>
    <row r="11" spans="1:10" ht="24" customHeight="1" x14ac:dyDescent="0.2">
      <c r="A11" s="844" t="s">
        <v>490</v>
      </c>
      <c r="B11" s="844" t="s">
        <v>491</v>
      </c>
      <c r="C11" s="627" t="s">
        <v>455</v>
      </c>
      <c r="D11" s="650" t="s">
        <v>492</v>
      </c>
      <c r="E11" s="651" t="s">
        <v>474</v>
      </c>
      <c r="F11" s="644">
        <v>1</v>
      </c>
      <c r="G11" s="646">
        <v>7000</v>
      </c>
      <c r="H11" s="646">
        <f t="shared" si="2"/>
        <v>7000</v>
      </c>
      <c r="I11" s="655"/>
    </row>
    <row r="12" spans="1:10" ht="26.25" customHeight="1" x14ac:dyDescent="0.2">
      <c r="A12" s="845"/>
      <c r="B12" s="845"/>
      <c r="C12" s="627" t="s">
        <v>455</v>
      </c>
      <c r="D12" s="650" t="s">
        <v>493</v>
      </c>
      <c r="E12" s="651" t="s">
        <v>474</v>
      </c>
      <c r="F12" s="644">
        <v>0</v>
      </c>
      <c r="G12" s="646">
        <v>5000</v>
      </c>
      <c r="H12" s="646">
        <f t="shared" si="2"/>
        <v>0</v>
      </c>
      <c r="I12" s="655"/>
    </row>
    <row r="13" spans="1:10" ht="27" customHeight="1" x14ac:dyDescent="0.2">
      <c r="A13" s="846"/>
      <c r="B13" s="846"/>
      <c r="C13" s="627" t="s">
        <v>455</v>
      </c>
      <c r="D13" s="650" t="s">
        <v>478</v>
      </c>
      <c r="E13" s="651" t="s">
        <v>477</v>
      </c>
      <c r="F13" s="644">
        <v>37</v>
      </c>
      <c r="G13" s="646">
        <v>10000</v>
      </c>
      <c r="H13" s="646">
        <f t="shared" si="2"/>
        <v>370000</v>
      </c>
      <c r="I13" s="655"/>
    </row>
    <row r="14" spans="1:10" x14ac:dyDescent="0.2">
      <c r="A14" s="844" t="s">
        <v>494</v>
      </c>
      <c r="B14" s="844" t="s">
        <v>495</v>
      </c>
      <c r="C14" s="627" t="s">
        <v>456</v>
      </c>
      <c r="D14" s="650" t="s">
        <v>496</v>
      </c>
      <c r="E14" s="653" t="s">
        <v>480</v>
      </c>
      <c r="F14" s="644">
        <v>1</v>
      </c>
      <c r="G14" s="646">
        <v>30000</v>
      </c>
      <c r="H14" s="646">
        <f t="shared" si="2"/>
        <v>30000</v>
      </c>
      <c r="I14" s="655"/>
    </row>
    <row r="15" spans="1:10" x14ac:dyDescent="0.2">
      <c r="A15" s="845"/>
      <c r="B15" s="845"/>
      <c r="C15" s="627" t="s">
        <v>456</v>
      </c>
      <c r="D15" s="650" t="s">
        <v>497</v>
      </c>
      <c r="E15" s="653" t="s">
        <v>480</v>
      </c>
      <c r="F15" s="644">
        <v>0</v>
      </c>
      <c r="G15" s="646">
        <v>20000</v>
      </c>
      <c r="H15" s="646">
        <f t="shared" si="2"/>
        <v>0</v>
      </c>
      <c r="I15" s="655"/>
    </row>
    <row r="16" spans="1:10" ht="30" x14ac:dyDescent="0.2">
      <c r="A16" s="845"/>
      <c r="B16" s="845"/>
      <c r="C16" s="627" t="s">
        <v>456</v>
      </c>
      <c r="D16" s="650" t="s">
        <v>498</v>
      </c>
      <c r="E16" s="653" t="s">
        <v>467</v>
      </c>
      <c r="F16" s="644">
        <v>0</v>
      </c>
      <c r="G16" s="646">
        <v>8000</v>
      </c>
      <c r="H16" s="646">
        <f t="shared" si="2"/>
        <v>0</v>
      </c>
      <c r="I16" s="655"/>
    </row>
    <row r="17" spans="1:11" x14ac:dyDescent="0.2">
      <c r="A17" s="846"/>
      <c r="B17" s="846"/>
      <c r="C17" s="627" t="s">
        <v>456</v>
      </c>
      <c r="D17" s="650" t="s">
        <v>499</v>
      </c>
      <c r="E17" s="653" t="s">
        <v>467</v>
      </c>
      <c r="F17" s="644">
        <v>9</v>
      </c>
      <c r="G17" s="646">
        <v>2000</v>
      </c>
      <c r="H17" s="646">
        <f t="shared" si="2"/>
        <v>18000</v>
      </c>
      <c r="I17" s="655"/>
    </row>
    <row r="18" spans="1:11" ht="16" x14ac:dyDescent="0.2">
      <c r="A18" s="844" t="s">
        <v>500</v>
      </c>
      <c r="B18" s="844" t="s">
        <v>501</v>
      </c>
      <c r="C18" s="627" t="s">
        <v>502</v>
      </c>
      <c r="D18" s="650" t="s">
        <v>473</v>
      </c>
      <c r="E18" s="651" t="s">
        <v>474</v>
      </c>
      <c r="F18" s="644">
        <v>0</v>
      </c>
      <c r="G18" s="646">
        <v>10000</v>
      </c>
      <c r="H18" s="647">
        <f t="shared" si="2"/>
        <v>0</v>
      </c>
      <c r="I18" s="654" t="s">
        <v>475</v>
      </c>
    </row>
    <row r="19" spans="1:11" ht="16" x14ac:dyDescent="0.2">
      <c r="A19" s="845"/>
      <c r="B19" s="845"/>
      <c r="C19" s="627" t="s">
        <v>502</v>
      </c>
      <c r="D19" s="650" t="s">
        <v>476</v>
      </c>
      <c r="E19" s="651" t="s">
        <v>477</v>
      </c>
      <c r="F19" s="644">
        <v>0</v>
      </c>
      <c r="G19" s="646">
        <v>7000</v>
      </c>
      <c r="H19" s="647">
        <f t="shared" si="2"/>
        <v>0</v>
      </c>
      <c r="I19" s="654" t="s">
        <v>475</v>
      </c>
    </row>
    <row r="20" spans="1:11" ht="25.5" customHeight="1" x14ac:dyDescent="0.2">
      <c r="A20" s="846"/>
      <c r="B20" s="846"/>
      <c r="C20" s="627" t="s">
        <v>502</v>
      </c>
      <c r="D20" s="650" t="s">
        <v>478</v>
      </c>
      <c r="E20" s="651" t="s">
        <v>477</v>
      </c>
      <c r="F20" s="644">
        <v>0</v>
      </c>
      <c r="G20" s="646">
        <v>10000</v>
      </c>
      <c r="H20" s="647">
        <f t="shared" si="2"/>
        <v>0</v>
      </c>
      <c r="I20" s="654" t="s">
        <v>475</v>
      </c>
    </row>
    <row r="21" spans="1:11" ht="64" x14ac:dyDescent="0.2">
      <c r="A21" s="628" t="s">
        <v>503</v>
      </c>
      <c r="B21" s="628" t="s">
        <v>504</v>
      </c>
      <c r="C21" s="627" t="s">
        <v>459</v>
      </c>
      <c r="D21" s="650" t="s">
        <v>505</v>
      </c>
      <c r="E21" s="651" t="s">
        <v>121</v>
      </c>
      <c r="F21" s="644">
        <v>1</v>
      </c>
      <c r="G21" s="646">
        <f>IF(F21=0,0,SUM(H6:H17,H22:H27)/0.9*0.1)</f>
        <v>397577.11111111112</v>
      </c>
      <c r="H21" s="646">
        <f t="shared" ref="H21:H25" si="3">F21*G21</f>
        <v>397577.11111111112</v>
      </c>
      <c r="I21" s="654" t="s">
        <v>506</v>
      </c>
      <c r="J21" s="645">
        <f>G21/H1</f>
        <v>0.1</v>
      </c>
    </row>
    <row r="22" spans="1:11" ht="30.75" customHeight="1" x14ac:dyDescent="0.2">
      <c r="A22" s="844" t="s">
        <v>507</v>
      </c>
      <c r="B22" s="844" t="s">
        <v>508</v>
      </c>
      <c r="C22" s="627" t="s">
        <v>460</v>
      </c>
      <c r="D22" s="650" t="s">
        <v>509</v>
      </c>
      <c r="E22" s="651" t="s">
        <v>467</v>
      </c>
      <c r="F22" s="644">
        <v>0</v>
      </c>
      <c r="G22" s="646">
        <v>100000</v>
      </c>
      <c r="H22" s="646">
        <f t="shared" si="3"/>
        <v>0</v>
      </c>
      <c r="I22" s="656" t="s">
        <v>510</v>
      </c>
    </row>
    <row r="23" spans="1:11" ht="41.25" customHeight="1" x14ac:dyDescent="0.2">
      <c r="A23" s="846"/>
      <c r="B23" s="846"/>
      <c r="C23" s="627" t="s">
        <v>460</v>
      </c>
      <c r="D23" s="650" t="s">
        <v>511</v>
      </c>
      <c r="E23" s="651" t="s">
        <v>467</v>
      </c>
      <c r="F23" s="644">
        <v>0</v>
      </c>
      <c r="G23" s="646">
        <v>50000</v>
      </c>
      <c r="H23" s="646">
        <f t="shared" si="3"/>
        <v>0</v>
      </c>
      <c r="I23" s="654" t="s">
        <v>512</v>
      </c>
    </row>
    <row r="24" spans="1:11" ht="48" x14ac:dyDescent="0.2">
      <c r="A24" s="844" t="s">
        <v>513</v>
      </c>
      <c r="B24" s="844" t="s">
        <v>514</v>
      </c>
      <c r="C24" s="627" t="s">
        <v>515</v>
      </c>
      <c r="D24" s="650" t="s">
        <v>516</v>
      </c>
      <c r="E24" s="653" t="s">
        <v>480</v>
      </c>
      <c r="F24" s="644">
        <v>1</v>
      </c>
      <c r="G24" s="646">
        <v>250000</v>
      </c>
      <c r="H24" s="646">
        <f t="shared" si="3"/>
        <v>250000</v>
      </c>
      <c r="I24" s="656" t="s">
        <v>517</v>
      </c>
    </row>
    <row r="25" spans="1:11" ht="48" x14ac:dyDescent="0.2">
      <c r="A25" s="846"/>
      <c r="B25" s="846"/>
      <c r="C25" s="627" t="s">
        <v>515</v>
      </c>
      <c r="D25" s="650" t="s">
        <v>518</v>
      </c>
      <c r="E25" s="651" t="s">
        <v>467</v>
      </c>
      <c r="F25" s="644">
        <v>2</v>
      </c>
      <c r="G25" s="646">
        <v>50000</v>
      </c>
      <c r="H25" s="646">
        <f t="shared" si="3"/>
        <v>100000</v>
      </c>
      <c r="I25" s="654" t="s">
        <v>519</v>
      </c>
      <c r="J25" s="638"/>
      <c r="K25" s="638"/>
    </row>
    <row r="26" spans="1:11" ht="45" x14ac:dyDescent="0.2">
      <c r="A26" s="628" t="s">
        <v>520</v>
      </c>
      <c r="B26" s="628" t="s">
        <v>521</v>
      </c>
      <c r="C26" s="627" t="s">
        <v>450</v>
      </c>
      <c r="D26" s="650" t="s">
        <v>522</v>
      </c>
      <c r="E26" s="653" t="s">
        <v>480</v>
      </c>
      <c r="F26" s="644">
        <v>260</v>
      </c>
      <c r="G26" s="647"/>
      <c r="H26" s="646">
        <f>F26*AKTIVITY_POZICIE!S8*1.2</f>
        <v>165048</v>
      </c>
      <c r="I26" s="654" t="s">
        <v>523</v>
      </c>
      <c r="J26" s="645">
        <f>H26/H1</f>
        <v>4.1513456229595153E-2</v>
      </c>
    </row>
    <row r="27" spans="1:11" ht="30" x14ac:dyDescent="0.2">
      <c r="A27" s="628" t="s">
        <v>524</v>
      </c>
      <c r="B27" s="628" t="s">
        <v>525</v>
      </c>
      <c r="C27" s="627" t="s">
        <v>452</v>
      </c>
      <c r="D27" s="650" t="s">
        <v>526</v>
      </c>
      <c r="E27" s="653" t="s">
        <v>480</v>
      </c>
      <c r="F27" s="644">
        <v>185</v>
      </c>
      <c r="G27" s="647"/>
      <c r="H27" s="646">
        <f>F27*AKTIVITY_POZICIE!S8*1.2</f>
        <v>117438</v>
      </c>
      <c r="I27" s="654" t="s">
        <v>527</v>
      </c>
      <c r="J27" s="645">
        <f>H27/H1</f>
        <v>2.9538420778750397E-2</v>
      </c>
    </row>
  </sheetData>
  <sheetProtection selectLockedCells="1"/>
  <mergeCells count="14">
    <mergeCell ref="A3:A6"/>
    <mergeCell ref="B3:B6"/>
    <mergeCell ref="B24:B25"/>
    <mergeCell ref="A24:A25"/>
    <mergeCell ref="A18:A20"/>
    <mergeCell ref="B18:B20"/>
    <mergeCell ref="A22:A23"/>
    <mergeCell ref="B22:B23"/>
    <mergeCell ref="A11:A13"/>
    <mergeCell ref="B11:B13"/>
    <mergeCell ref="A14:A17"/>
    <mergeCell ref="B14:B17"/>
    <mergeCell ref="A8:A10"/>
    <mergeCell ref="B8:B10"/>
  </mergeCells>
  <conditionalFormatting sqref="H1">
    <cfRule type="cellIs" dxfId="33" priority="6" operator="lessThanOrEqual">
      <formula>4000000</formula>
    </cfRule>
    <cfRule type="cellIs" dxfId="32" priority="8" operator="greaterThan">
      <formula>4000000</formula>
    </cfRule>
  </conditionalFormatting>
  <conditionalFormatting sqref="H7">
    <cfRule type="expression" dxfId="31" priority="5" stopIfTrue="1">
      <formula>$H$7&gt;$H$1*0.15</formula>
    </cfRule>
  </conditionalFormatting>
  <conditionalFormatting sqref="H26">
    <cfRule type="expression" dxfId="30" priority="2">
      <formula>$H$26/$H$1&gt;0.05</formula>
    </cfRule>
    <cfRule type="expression" dxfId="29" priority="4">
      <formula>$H$26&gt;$H$1*0.05</formula>
    </cfRule>
  </conditionalFormatting>
  <conditionalFormatting sqref="H27">
    <cfRule type="expression" dxfId="28" priority="1">
      <formula>$H$27/$H$1&gt;0.03</formula>
    </cfRule>
    <cfRule type="expression" dxfId="27" priority="3">
      <formula>$H$27&gt;$H$1*0.03</formula>
    </cfRule>
  </conditionalFormatting>
  <conditionalFormatting sqref="I1">
    <cfRule type="expression" dxfId="26" priority="7">
      <formula>$H$1&lt;=4000000</formula>
    </cfRule>
    <cfRule type="expression" dxfId="25" priority="9">
      <formula>$H$1&gt;4000000</formula>
    </cfRule>
    <cfRule type="expression" priority="10">
      <formula>"if($H$1&gt;4000000€;""Presiahnutý limit"";""Dodržaný limit"")"</formula>
    </cfRule>
  </conditionalFormatting>
  <dataValidations count="2">
    <dataValidation type="list" allowBlank="1" showInputMessage="1" showErrorMessage="1" sqref="F14:F15 F6 F24 F21" xr:uid="{C505E5FF-BF86-4E7E-AE5B-40EC11DE1353}">
      <formula1>"0,1"</formula1>
    </dataValidation>
    <dataValidation type="whole" allowBlank="1" showInputMessage="1" showErrorMessage="1" sqref="F25" xr:uid="{55EE3F28-118D-4D49-86D8-DB0731E9E8CC}">
      <formula1>0</formula1>
      <formula2>20</formula2>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A1508-9E85-44FD-8A50-868BE9987427}">
  <sheetPr>
    <tabColor rgb="FFFFC000"/>
  </sheetPr>
  <dimension ref="A1:K19"/>
  <sheetViews>
    <sheetView topLeftCell="C1" workbookViewId="0">
      <selection activeCell="E5" sqref="E5"/>
    </sheetView>
  </sheetViews>
  <sheetFormatPr baseColWidth="10" defaultColWidth="11" defaultRowHeight="15" x14ac:dyDescent="0.2"/>
  <cols>
    <col min="1" max="1" width="6.33203125" style="634" customWidth="1"/>
    <col min="2" max="3" width="28.6640625" style="634" customWidth="1"/>
    <col min="4" max="5" width="16.33203125" style="634" customWidth="1"/>
    <col min="6" max="6" width="8.6640625" style="634" customWidth="1"/>
    <col min="7" max="7" width="15.33203125" style="634" customWidth="1"/>
    <col min="8" max="8" width="11" style="634"/>
    <col min="9" max="9" width="19.83203125" style="634" customWidth="1"/>
    <col min="10" max="10" width="15.5" style="634" bestFit="1" customWidth="1"/>
    <col min="11" max="11" width="45.5" style="634" customWidth="1"/>
    <col min="12" max="16384" width="11" style="634"/>
  </cols>
  <sheetData>
    <row r="1" spans="1:11" ht="60" x14ac:dyDescent="0.2">
      <c r="A1" s="629" t="s">
        <v>463</v>
      </c>
      <c r="B1" s="629" t="s">
        <v>464</v>
      </c>
      <c r="C1" s="629" t="s">
        <v>528</v>
      </c>
      <c r="D1" s="629" t="s">
        <v>529</v>
      </c>
      <c r="E1" s="629" t="s">
        <v>530</v>
      </c>
      <c r="F1" s="629" t="s">
        <v>531</v>
      </c>
      <c r="G1" s="629" t="s">
        <v>532</v>
      </c>
      <c r="H1" s="633" t="s">
        <v>533</v>
      </c>
    </row>
    <row r="2" spans="1:11" ht="32" x14ac:dyDescent="0.2">
      <c r="A2" s="635" t="s">
        <v>471</v>
      </c>
      <c r="B2" s="636" t="s">
        <v>472</v>
      </c>
      <c r="C2" s="636" t="s">
        <v>448</v>
      </c>
      <c r="D2" s="630">
        <f>SUMIF(PODAktivity_Parametrizacia!$C$3:$C$27,PODAktivity_Alokacie!C2,PODAktivity_Parametrizacia!$H$3:$H$27)-SUM(PODAktivity_Parametrizacia!H3:H5)</f>
        <v>2000000</v>
      </c>
      <c r="E2" s="631">
        <f>MODULY_CBA!$J$1*PODAktivity_Alokacie!F2/SUM(PODAktivity_Alokacie!$F$2:$F$12)</f>
        <v>2860.9318902780369</v>
      </c>
      <c r="F2" s="631">
        <f>IFERROR(ROUND((SUMIF(KATALOG_POZIADAVKY!$H$3:$H$149,C2,KATALOG_POZIADAVKY!$Q$3:$Q$149)/8),0),"")</f>
        <v>2862</v>
      </c>
      <c r="G2" s="632">
        <f>SUMIF('Rozpočet - HW a licencie'!$B$3:$B$102,PODAktivity_Alokacie!C2,'Rozpočet - HW a licencie'!$J$3:$J$102)+'Rozpocet - Vyvoj aplikacii'!$J$1*PODAktivity_Alokacie!E2/SUM(PODAktivity_Alokacie!$E$2:$E$12)</f>
        <v>1604027.9163761896</v>
      </c>
      <c r="H2" s="672" t="str">
        <f t="shared" ref="H2:H13" si="0">IF(G2&gt;D2,"NOT","OK")</f>
        <v>OK</v>
      </c>
      <c r="I2" s="668" t="s">
        <v>534</v>
      </c>
    </row>
    <row r="3" spans="1:11" ht="30" x14ac:dyDescent="0.2">
      <c r="A3" s="635" t="s">
        <v>482</v>
      </c>
      <c r="B3" s="636" t="s">
        <v>483</v>
      </c>
      <c r="C3" s="637" t="s">
        <v>453</v>
      </c>
      <c r="D3" s="630">
        <f>SUMIF(PODAktivity_Parametrizacia!$C$3:$C$27,PODAktivity_Alokacie!C3,PODAktivity_Parametrizacia!$H$3:$H$27)</f>
        <v>450708</v>
      </c>
      <c r="E3" s="631">
        <f>MODULY_CBA!$J$1*PODAktivity_Alokacie!F3/SUM(PODAktivity_Alokacie!$F$2:$F$12)</f>
        <v>675.74771412576979</v>
      </c>
      <c r="F3" s="631">
        <f>IFERROR(ROUND((SUMIF(KATALOG_POZIADAVKY!$H$3:$H$149,C3,KATALOG_POZIADAVKY!$Q$3:$Q$149)/8),0),"")</f>
        <v>676</v>
      </c>
      <c r="G3" s="632">
        <f>SUMIF('Rozpočet - HW a licencie'!$B$3:$B$102,PODAktivity_Alokacie!C3,'Rozpočet - HW a licencie'!$J$3:$J$102)+'Rozpocet - Vyvoj aplikacii'!$J$1*PODAktivity_Alokacie!E3/SUM(PODAktivity_Alokacie!$E$2:$E$12)</f>
        <v>378868.92783728312</v>
      </c>
      <c r="H3" s="672" t="str">
        <f t="shared" si="0"/>
        <v>OK</v>
      </c>
      <c r="I3" s="668"/>
    </row>
    <row r="4" spans="1:11" ht="32" x14ac:dyDescent="0.2">
      <c r="A4" s="635" t="s">
        <v>487</v>
      </c>
      <c r="B4" s="636" t="s">
        <v>488</v>
      </c>
      <c r="C4" s="637" t="s">
        <v>454</v>
      </c>
      <c r="D4" s="630">
        <f>SUMIF(PODAktivity_Parametrizacia!$C$3:$C$27,PODAktivity_Alokacie!C4,PODAktivity_Parametrizacia!$H$3:$H$27)</f>
        <v>70000</v>
      </c>
      <c r="E4" s="631">
        <f>MODULY_CBA!$J$1*PODAktivity_Alokacie!F4/SUM(PODAktivity_Alokacie!$F$2:$F$12)</f>
        <v>46.982459414069787</v>
      </c>
      <c r="F4" s="631">
        <f>IFERROR(ROUND((SUMIF(KATALOG_POZIADAVKY!$H$3:$H$149,C4,KATALOG_POZIADAVKY!$Q$3:$Q$149)/8),0),"")</f>
        <v>47</v>
      </c>
      <c r="G4" s="632">
        <f>SUMIF('Rozpočet - HW a licencie'!$B$3:$B$102,PODAktivity_Alokacie!C4,'Rozpočet - HW a licencie'!$J$3:$J$102)+'Rozpocet - Vyvoj aplikacii'!$J$1*PODAktivity_Alokacie!E4/SUM(PODAktivity_Alokacie!$E$2:$E$12)</f>
        <v>26341.478710580333</v>
      </c>
      <c r="H4" s="672" t="str">
        <f t="shared" si="0"/>
        <v>OK</v>
      </c>
      <c r="I4" s="668" t="s">
        <v>535</v>
      </c>
    </row>
    <row r="5" spans="1:11" ht="45" x14ac:dyDescent="0.2">
      <c r="A5" s="636" t="s">
        <v>490</v>
      </c>
      <c r="B5" s="636" t="s">
        <v>491</v>
      </c>
      <c r="C5" s="637" t="s">
        <v>455</v>
      </c>
      <c r="D5" s="630">
        <f>SUMIF(PODAktivity_Parametrizacia!$C$3:$C$27,PODAktivity_Alokacie!C5,PODAktivity_Parametrizacia!$H$3:$H$27)</f>
        <v>377000</v>
      </c>
      <c r="E5" s="631">
        <f>MODULY_CBA!$J$1*PODAktivity_Alokacie!F5/SUM(PODAktivity_Alokacie!$F$2:$F$12)</f>
        <v>436.83690987124464</v>
      </c>
      <c r="F5" s="631">
        <f>IFERROR(ROUND((SUMIF(KATALOG_POZIADAVKY!$H$3:$H$149,C5,KATALOG_POZIADAVKY!$Q$3:$Q$149)/8),0),"")</f>
        <v>437</v>
      </c>
      <c r="G5" s="632">
        <f>SUMIF('Rozpočet - HW a licencie'!$B$3:$B$102,PODAktivity_Alokacie!C5,'Rozpočet - HW a licencie'!$J$3:$J$102)+'Rozpocet - Vyvoj aplikacii'!$J$1*PODAktivity_Alokacie!E5/SUM(PODAktivity_Alokacie!$E$2:$E$12)</f>
        <v>244919.70630901292</v>
      </c>
      <c r="H5" s="672" t="str">
        <f t="shared" si="0"/>
        <v>OK</v>
      </c>
      <c r="I5" s="668"/>
    </row>
    <row r="6" spans="1:11" ht="30" x14ac:dyDescent="0.2">
      <c r="A6" s="636" t="s">
        <v>494</v>
      </c>
      <c r="B6" s="636" t="s">
        <v>495</v>
      </c>
      <c r="C6" s="636" t="s">
        <v>456</v>
      </c>
      <c r="D6" s="630">
        <f>SUMIF(PODAktivity_Parametrizacia!$C$3:$C$27,PODAktivity_Alokacie!C6,PODAktivity_Parametrizacia!$H$3:$H$27)</f>
        <v>48000</v>
      </c>
      <c r="E6" s="631">
        <f>MODULY_CBA!$J$1*PODAktivity_Alokacie!F6/SUM(PODAktivity_Alokacie!$F$2:$F$12)</f>
        <v>65.975368538906508</v>
      </c>
      <c r="F6" s="631">
        <f>IFERROR(ROUND((SUMIF(KATALOG_POZIADAVKY!$H$3:$H$149,C6,KATALOG_POZIADAVKY!$Q$3:$Q$149)/8),0),"")</f>
        <v>66</v>
      </c>
      <c r="G6" s="632">
        <f>SUMIF('Rozpočet - HW a licencie'!$B$3:$B$102,PODAktivity_Alokacie!C6,'Rozpočet - HW a licencie'!$J$3:$J$102)+'Rozpocet - Vyvoj aplikacii'!$J$1*PODAktivity_Alokacie!E6/SUM(PODAktivity_Alokacie!$E$2:$E$12)</f>
        <v>36990.161593580895</v>
      </c>
      <c r="H6" s="672" t="str">
        <f t="shared" si="0"/>
        <v>OK</v>
      </c>
      <c r="I6" s="668"/>
      <c r="K6" s="638"/>
    </row>
    <row r="7" spans="1:11" ht="32" x14ac:dyDescent="0.2">
      <c r="A7" s="636" t="s">
        <v>500</v>
      </c>
      <c r="B7" s="636" t="s">
        <v>501</v>
      </c>
      <c r="C7" s="637" t="s">
        <v>502</v>
      </c>
      <c r="D7" s="630">
        <v>0</v>
      </c>
      <c r="E7" s="631">
        <f>MODULY_CBA!$J$1*PODAktivity_Alokacie!F7/SUM(PODAktivity_Alokacie!$F$2:$F$12)</f>
        <v>0</v>
      </c>
      <c r="F7" s="631">
        <f>IFERROR(ROUND((SUMIF(KATALOG_POZIADAVKY!$H$3:$H$149,C7,KATALOG_POZIADAVKY!$Q$3:$Q$149)/8),0),"")</f>
        <v>0</v>
      </c>
      <c r="G7" s="632">
        <f>SUMIF('Rozpočet - HW a licencie'!$B$3:$B$102,PODAktivity_Alokacie!C7,'Rozpočet - HW a licencie'!$J$3:$J$102)+'Rozpocet - Vyvoj aplikacii'!$J$1*PODAktivity_Alokacie!E7/SUM(PODAktivity_Alokacie!$E$2:$E$12)</f>
        <v>0</v>
      </c>
      <c r="H7" s="672" t="str">
        <f t="shared" si="0"/>
        <v>OK</v>
      </c>
      <c r="I7" s="668" t="s">
        <v>534</v>
      </c>
    </row>
    <row r="8" spans="1:11" ht="30" x14ac:dyDescent="0.2">
      <c r="A8" s="636" t="s">
        <v>503</v>
      </c>
      <c r="B8" s="636" t="s">
        <v>504</v>
      </c>
      <c r="C8" s="636" t="s">
        <v>459</v>
      </c>
      <c r="D8" s="630">
        <f>SUMIF(PODAktivity_Parametrizacia!$C$3:$C$27,PODAktivity_Alokacie!C8,PODAktivity_Parametrizacia!$H$3:$H$27)</f>
        <v>397577.11111111112</v>
      </c>
      <c r="E8" s="631">
        <f>MODULY_CBA!$J$1*PODAktivity_Alokacie!F8/SUM(PODAktivity_Alokacie!$F$2:$F$12)</f>
        <v>343.87161783914911</v>
      </c>
      <c r="F8" s="631">
        <f>IFERROR(ROUND((SUMIF(KATALOG_POZIADAVKY!$H$3:$H$149,C8,KATALOG_POZIADAVKY!$Q$3:$Q$149)/8),0),"")</f>
        <v>344</v>
      </c>
      <c r="G8" s="632">
        <f>POZICIE_INTERNE!I1+SUMIF('Rozpočet - HW a licencie'!$B$3:$B$102,PODAktivity_Alokacie!C8,'Rozpočet - HW a licencie'!$J$3:$J$102)+'Rozpocet - Vyvoj aplikacii'!$J$1*PODAktivity_Alokacie!E8/SUM(PODAktivity_Alokacie!$E$2:$E$12)</f>
        <v>347791.60588169436</v>
      </c>
      <c r="H8" s="672" t="str">
        <f t="shared" si="0"/>
        <v>OK</v>
      </c>
      <c r="I8" s="668"/>
    </row>
    <row r="9" spans="1:11" ht="45" x14ac:dyDescent="0.2">
      <c r="A9" s="636" t="s">
        <v>507</v>
      </c>
      <c r="B9" s="636" t="s">
        <v>508</v>
      </c>
      <c r="C9" s="636" t="s">
        <v>460</v>
      </c>
      <c r="D9" s="630">
        <f>SUMIF(PODAktivity_Parametrizacia!$C$3:$C$27,PODAktivity_Alokacie!C9,PODAktivity_Parametrizacia!$H$3:$H$27)</f>
        <v>0</v>
      </c>
      <c r="E9" s="631">
        <f>MODULY_CBA!$J$1*PODAktivity_Alokacie!F9/SUM(PODAktivity_Alokacie!$F$2:$F$12)</f>
        <v>0</v>
      </c>
      <c r="F9" s="631">
        <f>IFERROR(ROUND((SUMIF(KATALOG_POZIADAVKY!$H$3:$H$149,C9,KATALOG_POZIADAVKY!$Q$3:$Q$149)/8),0),"")</f>
        <v>0</v>
      </c>
      <c r="G9" s="632">
        <f>SUMIF('Rozpočet - HW a licencie'!$B$3:$B$102,PODAktivity_Alokacie!C9,'Rozpočet - HW a licencie'!$J$3:$J$102)+'Rozpocet - Vyvoj aplikacii'!$J$1*PODAktivity_Alokacie!E9/SUM(PODAktivity_Alokacie!$E$2:$E$12)</f>
        <v>0</v>
      </c>
      <c r="H9" s="672" t="str">
        <f t="shared" si="0"/>
        <v>OK</v>
      </c>
      <c r="I9" s="668"/>
    </row>
    <row r="10" spans="1:11" ht="60" x14ac:dyDescent="0.2">
      <c r="A10" s="636" t="s">
        <v>513</v>
      </c>
      <c r="B10" s="636" t="s">
        <v>514</v>
      </c>
      <c r="C10" s="636" t="s">
        <v>461</v>
      </c>
      <c r="D10" s="630">
        <f>SUMIF(PODAktivity_Parametrizacia!$C$3:$C$27,PODAktivity_Alokacie!C10,PODAktivity_Parametrizacia!$H$3:$H$27)</f>
        <v>350000</v>
      </c>
      <c r="E10" s="631">
        <f>MODULY_CBA!$J$1*PODAktivity_Alokacie!F10/SUM(PODAktivity_Alokacie!$F$2:$F$12)</f>
        <v>517.80668035081169</v>
      </c>
      <c r="F10" s="631">
        <f>IFERROR(ROUND((SUMIF(KATALOG_POZIADAVKY!$H$3:$H$149,C10,KATALOG_POZIADAVKY!$Q$3:$Q$149)/8),0),"")</f>
        <v>518</v>
      </c>
      <c r="G10" s="632">
        <f>SUMIF('Rozpočet - HW a licencie'!$B$3:$B$102,PODAktivity_Alokacie!C10,'Rozpočet - HW a licencie'!$J$3:$J$102)+'Rozpocet - Vyvoj aplikacii'!$J$1*PODAktivity_Alokacie!E10/SUM(PODAktivity_Alokacie!$E$2:$E$12)</f>
        <v>290316.72281022579</v>
      </c>
      <c r="H10" s="672" t="str">
        <f t="shared" si="0"/>
        <v>OK</v>
      </c>
      <c r="I10" s="668"/>
    </row>
    <row r="11" spans="1:11" ht="45" x14ac:dyDescent="0.2">
      <c r="A11" s="636" t="s">
        <v>520</v>
      </c>
      <c r="B11" s="636" t="s">
        <v>521</v>
      </c>
      <c r="C11" s="636" t="s">
        <v>450</v>
      </c>
      <c r="D11" s="630">
        <f>SUMIF(PODAktivity_Parametrizacia!$C$3:$C$27,PODAktivity_Alokacie!C11,PODAktivity_Parametrizacia!$H$3:$H$27)</f>
        <v>165048</v>
      </c>
      <c r="E11" s="631">
        <f>MODULY_CBA!$J$1*PODAktivity_Alokacie!F11/SUM(PODAktivity_Alokacie!$F$2:$F$12)</f>
        <v>241.90968464265723</v>
      </c>
      <c r="F11" s="631">
        <f>IFERROR(ROUND((SUMIF(KATALOG_POZIADAVKY!$H$3:$H$149,C11,KATALOG_POZIADAVKY!$Q$3:$Q$149)/8),0),"")</f>
        <v>242</v>
      </c>
      <c r="G11" s="632">
        <f>SUMIF('Rozpočet - HW a licencie'!$B$3:$B$102,PODAktivity_Alokacie!C11,'Rozpočet - HW a licencie'!$J$3:$J$102)+'Rozpocet - Vyvoj aplikacii'!$J$1*PODAktivity_Alokacie!E11/SUM(PODAktivity_Alokacie!$E$2:$E$12)</f>
        <v>135630.59250979661</v>
      </c>
      <c r="H11" s="672" t="str">
        <f t="shared" si="0"/>
        <v>OK</v>
      </c>
      <c r="I11" s="668"/>
    </row>
    <row r="12" spans="1:11" ht="30" x14ac:dyDescent="0.2">
      <c r="A12" s="636" t="s">
        <v>524</v>
      </c>
      <c r="B12" s="636" t="s">
        <v>525</v>
      </c>
      <c r="C12" s="636" t="s">
        <v>452</v>
      </c>
      <c r="D12" s="630">
        <f>SUMIF(PODAktivity_Parametrizacia!$C$3:$C$27,PODAktivity_Alokacie!C12,PODAktivity_Parametrizacia!$H$3:$H$27)</f>
        <v>117438</v>
      </c>
      <c r="E12" s="631">
        <f>MODULY_CBA!$J$1*PODAktivity_Alokacie!F12/SUM(PODAktivity_Alokacie!$F$2:$F$12)</f>
        <v>166.93767493935437</v>
      </c>
      <c r="F12" s="631">
        <f>IFERROR(ROUND((SUMIF(KATALOG_POZIADAVKY!$H$3:$H$149,C12,KATALOG_POZIADAVKY!$Q$3:$Q$149)/8),0),"")</f>
        <v>167</v>
      </c>
      <c r="G12" s="632">
        <f>SUMIF('Rozpočet - HW a licencie'!$B$3:$B$102,PODAktivity_Alokacie!C12,'Rozpočet - HW a licencie'!$J$3:$J$102)+'Rozpocet - Vyvoj aplikacii'!$J$1*PODAktivity_Alokacie!E12/SUM(PODAktivity_Alokacie!$E$2:$E$12)</f>
        <v>93596.317971636512</v>
      </c>
      <c r="H12" s="672" t="str">
        <f t="shared" si="0"/>
        <v>OK</v>
      </c>
      <c r="I12" s="668"/>
    </row>
    <row r="13" spans="1:11" x14ac:dyDescent="0.2">
      <c r="A13" s="847" t="s">
        <v>149</v>
      </c>
      <c r="B13" s="848"/>
      <c r="C13" s="849"/>
      <c r="D13" s="673">
        <f>SUM(D2:D12)</f>
        <v>3975771.111111111</v>
      </c>
      <c r="E13" s="674">
        <f>SUM(E2:E12)</f>
        <v>5356.9999999999991</v>
      </c>
      <c r="F13" s="675"/>
      <c r="G13" s="673">
        <f>SUM(G2:G12)</f>
        <v>3158483.4300000006</v>
      </c>
      <c r="H13" s="672" t="str">
        <f t="shared" si="0"/>
        <v>OK</v>
      </c>
      <c r="I13" s="668"/>
    </row>
    <row r="15" spans="1:11" x14ac:dyDescent="0.2">
      <c r="D15" s="638"/>
      <c r="G15" s="638"/>
    </row>
    <row r="17" spans="5:5" x14ac:dyDescent="0.2">
      <c r="E17" s="638"/>
    </row>
    <row r="18" spans="5:5" x14ac:dyDescent="0.2">
      <c r="E18" s="638"/>
    </row>
    <row r="19" spans="5:5" x14ac:dyDescent="0.2">
      <c r="E19" s="638"/>
    </row>
  </sheetData>
  <sheetProtection selectLockedCells="1"/>
  <mergeCells count="1">
    <mergeCell ref="A13:C13"/>
  </mergeCells>
  <conditionalFormatting sqref="H2:H13">
    <cfRule type="containsText" dxfId="24" priority="1" operator="containsText" text="NOT">
      <formula>NOT(ISERROR(SEARCH("NOT",H2)))</formula>
    </cfRule>
    <cfRule type="containsText" dxfId="23" priority="2" operator="containsText" text="OK">
      <formula>NOT(ISERROR(SEARCH("OK",H2)))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6" filterMode="1">
    <tabColor rgb="FFFFC000"/>
  </sheetPr>
  <dimension ref="A1:AH149"/>
  <sheetViews>
    <sheetView workbookViewId="0">
      <selection activeCell="C9" sqref="C9"/>
    </sheetView>
  </sheetViews>
  <sheetFormatPr baseColWidth="10" defaultColWidth="59.5" defaultRowHeight="14" x14ac:dyDescent="0.2"/>
  <cols>
    <col min="1" max="1" width="8" style="667" customWidth="1"/>
    <col min="2" max="2" width="21.1640625" style="667" customWidth="1"/>
    <col min="3" max="3" width="22.6640625" style="667" customWidth="1"/>
    <col min="4" max="4" width="21.6640625" style="667" customWidth="1"/>
    <col min="5" max="5" width="68.1640625" style="667" customWidth="1"/>
    <col min="6" max="6" width="9" style="667" customWidth="1"/>
    <col min="7" max="7" width="19.5" style="667" customWidth="1"/>
    <col min="8" max="8" width="29.33203125" style="667" customWidth="1"/>
    <col min="9" max="9" width="10.83203125" style="667" customWidth="1"/>
    <col min="10" max="10" width="10.6640625" style="667" customWidth="1"/>
    <col min="11" max="11" width="10.33203125" style="667" customWidth="1"/>
    <col min="12" max="12" width="10" style="667" customWidth="1"/>
    <col min="13" max="13" width="9.1640625" style="703" customWidth="1"/>
    <col min="14" max="15" width="59.5" style="667"/>
    <col min="16" max="17" width="59.5" style="703"/>
    <col min="18" max="16384" width="59.5" style="667"/>
  </cols>
  <sheetData>
    <row r="1" spans="1:34" ht="45.5" customHeight="1" x14ac:dyDescent="0.2">
      <c r="A1" s="858" t="s">
        <v>536</v>
      </c>
      <c r="B1" s="859"/>
      <c r="C1" s="859"/>
      <c r="D1" s="859"/>
      <c r="E1" s="859"/>
      <c r="F1" s="859"/>
      <c r="G1" s="859"/>
      <c r="H1" s="859"/>
      <c r="I1" s="859"/>
      <c r="J1" s="859"/>
      <c r="K1" s="859"/>
      <c r="L1" s="859"/>
      <c r="M1" s="859"/>
      <c r="N1" s="859"/>
      <c r="O1" s="859"/>
      <c r="P1" s="859"/>
      <c r="Q1" s="859"/>
      <c r="R1" s="859"/>
      <c r="S1" s="859"/>
      <c r="T1" s="860"/>
      <c r="U1" s="850" t="s">
        <v>537</v>
      </c>
      <c r="V1" s="851"/>
      <c r="W1" s="852"/>
      <c r="X1" s="853" t="s">
        <v>538</v>
      </c>
      <c r="Y1" s="854"/>
      <c r="Z1" s="854"/>
      <c r="AA1" s="854"/>
      <c r="AB1" s="854"/>
      <c r="AC1" s="854"/>
      <c r="AD1" s="855"/>
      <c r="AE1" s="856" t="s">
        <v>539</v>
      </c>
      <c r="AF1" s="857"/>
    </row>
    <row r="2" spans="1:34" s="684" customFormat="1" ht="105" x14ac:dyDescent="0.2">
      <c r="A2" s="678" t="s">
        <v>540</v>
      </c>
      <c r="B2" s="678" t="s">
        <v>541</v>
      </c>
      <c r="C2" s="678" t="s">
        <v>542</v>
      </c>
      <c r="D2" s="678" t="s">
        <v>543</v>
      </c>
      <c r="E2" s="678" t="s">
        <v>544</v>
      </c>
      <c r="F2" s="678" t="s">
        <v>545</v>
      </c>
      <c r="G2" s="678" t="s">
        <v>546</v>
      </c>
      <c r="H2" s="678" t="s">
        <v>547</v>
      </c>
      <c r="I2" s="679" t="s">
        <v>548</v>
      </c>
      <c r="J2" s="679" t="s">
        <v>549</v>
      </c>
      <c r="K2" s="679" t="s">
        <v>550</v>
      </c>
      <c r="L2" s="679" t="s">
        <v>551</v>
      </c>
      <c r="M2" s="679" t="s">
        <v>235</v>
      </c>
      <c r="N2" s="679" t="s">
        <v>234</v>
      </c>
      <c r="O2" s="679" t="s">
        <v>233</v>
      </c>
      <c r="P2" s="679" t="s">
        <v>552</v>
      </c>
      <c r="Q2" s="679" t="s">
        <v>553</v>
      </c>
      <c r="R2" s="678" t="s">
        <v>554</v>
      </c>
      <c r="S2" s="678" t="s">
        <v>555</v>
      </c>
      <c r="T2" s="678" t="s">
        <v>556</v>
      </c>
      <c r="U2" s="680" t="s">
        <v>557</v>
      </c>
      <c r="V2" s="680" t="s">
        <v>558</v>
      </c>
      <c r="W2" s="681" t="s">
        <v>559</v>
      </c>
      <c r="X2" s="682" t="s">
        <v>560</v>
      </c>
      <c r="Y2" s="682" t="s">
        <v>561</v>
      </c>
      <c r="Z2" s="682" t="s">
        <v>562</v>
      </c>
      <c r="AA2" s="682" t="s">
        <v>563</v>
      </c>
      <c r="AB2" s="682" t="s">
        <v>564</v>
      </c>
      <c r="AC2" s="682" t="s">
        <v>565</v>
      </c>
      <c r="AD2" s="682" t="s">
        <v>566</v>
      </c>
      <c r="AE2" s="683" t="s">
        <v>567</v>
      </c>
      <c r="AF2" s="683" t="s">
        <v>568</v>
      </c>
    </row>
    <row r="3" spans="1:34" s="689" customFormat="1" ht="45" hidden="1" x14ac:dyDescent="0.2">
      <c r="A3" s="658" t="s">
        <v>569</v>
      </c>
      <c r="B3" s="661" t="s">
        <v>570</v>
      </c>
      <c r="C3" s="704" t="s">
        <v>571</v>
      </c>
      <c r="D3" s="661" t="s">
        <v>250</v>
      </c>
      <c r="E3" s="661" t="s">
        <v>572</v>
      </c>
      <c r="F3" s="661" t="s">
        <v>573</v>
      </c>
      <c r="G3" s="661" t="s">
        <v>250</v>
      </c>
      <c r="H3" s="661" t="s">
        <v>448</v>
      </c>
      <c r="I3" s="373">
        <v>1</v>
      </c>
      <c r="J3" s="373">
        <v>10</v>
      </c>
      <c r="K3" s="373">
        <f t="shared" ref="K3:K12" si="0">IF(ISNUMBER(I3),I3,)</f>
        <v>1</v>
      </c>
      <c r="L3" s="373">
        <f t="shared" ref="L3" si="1">I3*J3</f>
        <v>10</v>
      </c>
      <c r="M3" s="685">
        <f>IFERROR(IF(B3="funkcna poziadavka",VLOOKUP(G3,MODULY_CBA!$B$3:$E$23,4,0)*I3/SUMIFS($I$3:$I$105,$G$3:$G$105,G3,$B$3:$B$105,B3),),)</f>
        <v>1.1666666666666667</v>
      </c>
      <c r="N3" s="373">
        <f>IFERROR(IF(B3="Funkcna poziadavka",VLOOKUP(G3,MODULY_CBA!$B$3:$E$23,3,0),),)</f>
        <v>1.2049999999999998</v>
      </c>
      <c r="O3" s="373">
        <f>IFERROR(IF(B3="funkcna poziadavka",VLOOKUP(G3,MODULY_CBA!$B$3:$E$23,2,0),),)</f>
        <v>0.99</v>
      </c>
      <c r="P3" s="686">
        <f t="shared" ref="P3" si="2">(L3+M3)*N3*O3</f>
        <v>13.321274999999998</v>
      </c>
      <c r="Q3" s="686">
        <f>IFERROR(P3*VLOOKUP(G3,MODULY_CBA!$B$3:$F$23,5,0),)</f>
        <v>399.63824999999997</v>
      </c>
      <c r="R3" s="448" t="str">
        <f>IFERROR(VLOOKUP(G3,MODULY_CBA!$B$3:$I$23,6,0),"")</f>
        <v>Inkrement 1</v>
      </c>
      <c r="S3" s="373"/>
      <c r="T3" s="373"/>
      <c r="U3" s="373"/>
      <c r="V3" s="373"/>
      <c r="W3" s="373"/>
      <c r="X3" s="373"/>
      <c r="Y3" s="373"/>
      <c r="Z3" s="373"/>
      <c r="AA3" s="373"/>
      <c r="AB3" s="373"/>
      <c r="AC3" s="373"/>
      <c r="AD3" s="373"/>
      <c r="AE3" s="373"/>
      <c r="AF3" s="373"/>
      <c r="AG3" s="687"/>
      <c r="AH3" s="688"/>
    </row>
    <row r="4" spans="1:34" s="689" customFormat="1" ht="30" hidden="1" x14ac:dyDescent="0.2">
      <c r="A4" s="658" t="s">
        <v>574</v>
      </c>
      <c r="B4" s="661" t="s">
        <v>570</v>
      </c>
      <c r="C4" s="704" t="s">
        <v>571</v>
      </c>
      <c r="D4" s="661" t="s">
        <v>250</v>
      </c>
      <c r="E4" s="661" t="s">
        <v>575</v>
      </c>
      <c r="F4" s="661" t="s">
        <v>573</v>
      </c>
      <c r="G4" s="661" t="s">
        <v>250</v>
      </c>
      <c r="H4" s="661" t="s">
        <v>448</v>
      </c>
      <c r="I4" s="373">
        <v>1</v>
      </c>
      <c r="J4" s="373">
        <v>10</v>
      </c>
      <c r="K4" s="373">
        <f t="shared" si="0"/>
        <v>1</v>
      </c>
      <c r="L4" s="373">
        <f t="shared" ref="L4:L7" si="3">I4*J4</f>
        <v>10</v>
      </c>
      <c r="M4" s="685">
        <f>IFERROR(IF(B4="funkcna poziadavka",VLOOKUP(G4,MODULY_CBA!$B$3:$E$23,4,0)*I4/SUMIFS($I$3:$I$105,$G$3:$G$105,G4,$B$3:$B$105,B4),),)</f>
        <v>1.1666666666666667</v>
      </c>
      <c r="N4" s="373">
        <f>IFERROR(IF(B4="Funkcna poziadavka",VLOOKUP(G4,MODULY_CBA!$B$3:$E$23,3,0),),)</f>
        <v>1.2049999999999998</v>
      </c>
      <c r="O4" s="373">
        <f>IFERROR(IF(B4="funkcna poziadavka",VLOOKUP(G4,MODULY_CBA!$B$3:$E$23,2,0),),)</f>
        <v>0.99</v>
      </c>
      <c r="P4" s="686">
        <f t="shared" ref="P4:P7" si="4">(L4+M4)*N4*O4</f>
        <v>13.321274999999998</v>
      </c>
      <c r="Q4" s="686">
        <f>IFERROR(P4*VLOOKUP(G4,MODULY_CBA!$B$3:$F$23,5,0),)</f>
        <v>399.63824999999997</v>
      </c>
      <c r="R4" s="448" t="str">
        <f>IFERROR(VLOOKUP(G4,MODULY_CBA!$B$3:$I$23,6,0),"")</f>
        <v>Inkrement 1</v>
      </c>
      <c r="S4" s="373"/>
      <c r="T4" s="373"/>
      <c r="U4" s="373"/>
      <c r="V4" s="373"/>
      <c r="W4" s="373"/>
      <c r="X4" s="373"/>
      <c r="Y4" s="373"/>
      <c r="Z4" s="373"/>
      <c r="AA4" s="373"/>
      <c r="AB4" s="373"/>
      <c r="AC4" s="373"/>
      <c r="AD4" s="373"/>
      <c r="AE4" s="373"/>
      <c r="AF4" s="373"/>
      <c r="AG4" s="687"/>
      <c r="AH4" s="688"/>
    </row>
    <row r="5" spans="1:34" s="689" customFormat="1" ht="60" hidden="1" x14ac:dyDescent="0.2">
      <c r="A5" s="658" t="s">
        <v>576</v>
      </c>
      <c r="B5" s="661" t="s">
        <v>570</v>
      </c>
      <c r="C5" s="704" t="s">
        <v>571</v>
      </c>
      <c r="D5" s="661" t="s">
        <v>250</v>
      </c>
      <c r="E5" s="661" t="s">
        <v>577</v>
      </c>
      <c r="F5" s="661" t="s">
        <v>573</v>
      </c>
      <c r="G5" s="661" t="s">
        <v>250</v>
      </c>
      <c r="H5" s="661" t="s">
        <v>448</v>
      </c>
      <c r="I5" s="373">
        <v>1</v>
      </c>
      <c r="J5" s="373">
        <v>10</v>
      </c>
      <c r="K5" s="373">
        <f t="shared" si="0"/>
        <v>1</v>
      </c>
      <c r="L5" s="373">
        <f t="shared" si="3"/>
        <v>10</v>
      </c>
      <c r="M5" s="685">
        <f>IFERROR(IF(B5="funkcna poziadavka",VLOOKUP(G5,MODULY_CBA!$B$3:$E$23,4,0)*I5/SUMIFS($I$3:$I$105,$G$3:$G$105,G5,$B$3:$B$105,B5),),)</f>
        <v>1.1666666666666667</v>
      </c>
      <c r="N5" s="373">
        <f>IFERROR(IF(B5="Funkcna poziadavka",VLOOKUP(G5,MODULY_CBA!$B$3:$E$23,3,0),),)</f>
        <v>1.2049999999999998</v>
      </c>
      <c r="O5" s="373">
        <f>IFERROR(IF(B5="funkcna poziadavka",VLOOKUP(G5,MODULY_CBA!$B$3:$E$23,2,0),),)</f>
        <v>0.99</v>
      </c>
      <c r="P5" s="686">
        <f t="shared" si="4"/>
        <v>13.321274999999998</v>
      </c>
      <c r="Q5" s="686">
        <f>IFERROR(P5*VLOOKUP(G5,MODULY_CBA!$B$3:$F$23,5,0),)</f>
        <v>399.63824999999997</v>
      </c>
      <c r="R5" s="448" t="str">
        <f>IFERROR(VLOOKUP(G5,MODULY_CBA!$B$3:$I$23,6,0),"")</f>
        <v>Inkrement 1</v>
      </c>
      <c r="S5" s="373"/>
      <c r="T5" s="373"/>
      <c r="U5" s="373"/>
      <c r="V5" s="373"/>
      <c r="W5" s="373"/>
      <c r="X5" s="373"/>
      <c r="Y5" s="373"/>
      <c r="Z5" s="373"/>
      <c r="AA5" s="373"/>
      <c r="AB5" s="373"/>
      <c r="AC5" s="373"/>
      <c r="AD5" s="373"/>
      <c r="AE5" s="373"/>
      <c r="AF5" s="373"/>
      <c r="AG5" s="687"/>
      <c r="AH5" s="688"/>
    </row>
    <row r="6" spans="1:34" s="689" customFormat="1" ht="30" hidden="1" x14ac:dyDescent="0.2">
      <c r="A6" s="658" t="s">
        <v>578</v>
      </c>
      <c r="B6" s="661" t="s">
        <v>570</v>
      </c>
      <c r="C6" s="704" t="s">
        <v>571</v>
      </c>
      <c r="D6" s="661" t="s">
        <v>250</v>
      </c>
      <c r="E6" s="661" t="s">
        <v>579</v>
      </c>
      <c r="F6" s="661" t="s">
        <v>573</v>
      </c>
      <c r="G6" s="661" t="s">
        <v>250</v>
      </c>
      <c r="H6" s="661" t="s">
        <v>448</v>
      </c>
      <c r="I6" s="373">
        <v>1</v>
      </c>
      <c r="J6" s="373">
        <v>10</v>
      </c>
      <c r="K6" s="373">
        <f t="shared" si="0"/>
        <v>1</v>
      </c>
      <c r="L6" s="373">
        <f t="shared" si="3"/>
        <v>10</v>
      </c>
      <c r="M6" s="685">
        <f>IFERROR(IF(B6="funkcna poziadavka",VLOOKUP(G6,MODULY_CBA!$B$3:$E$23,4,0)*I6/SUMIFS($I$3:$I$105,$G$3:$G$105,G6,$B$3:$B$105,B6),),)</f>
        <v>1.1666666666666667</v>
      </c>
      <c r="N6" s="373">
        <f>IFERROR(IF(B6="Funkcna poziadavka",VLOOKUP(G6,MODULY_CBA!$B$3:$E$23,3,0),),)</f>
        <v>1.2049999999999998</v>
      </c>
      <c r="O6" s="373">
        <f>IFERROR(IF(B6="funkcna poziadavka",VLOOKUP(G6,MODULY_CBA!$B$3:$E$23,2,0),),)</f>
        <v>0.99</v>
      </c>
      <c r="P6" s="686">
        <f t="shared" si="4"/>
        <v>13.321274999999998</v>
      </c>
      <c r="Q6" s="686">
        <f>IFERROR(P6*VLOOKUP(G6,MODULY_CBA!$B$3:$F$23,5,0),)</f>
        <v>399.63824999999997</v>
      </c>
      <c r="R6" s="448" t="str">
        <f>IFERROR(VLOOKUP(G6,MODULY_CBA!$B$3:$I$23,6,0),"")</f>
        <v>Inkrement 1</v>
      </c>
      <c r="S6" s="373"/>
      <c r="T6" s="373"/>
      <c r="U6" s="373"/>
      <c r="V6" s="373"/>
      <c r="W6" s="373"/>
      <c r="X6" s="373"/>
      <c r="Y6" s="373"/>
      <c r="Z6" s="373"/>
      <c r="AA6" s="373"/>
      <c r="AB6" s="373"/>
      <c r="AC6" s="373"/>
      <c r="AD6" s="373"/>
      <c r="AE6" s="373"/>
      <c r="AF6" s="373"/>
      <c r="AG6" s="687"/>
      <c r="AH6" s="688"/>
    </row>
    <row r="7" spans="1:34" s="689" customFormat="1" ht="30" hidden="1" x14ac:dyDescent="0.2">
      <c r="A7" s="658" t="s">
        <v>580</v>
      </c>
      <c r="B7" s="661" t="s">
        <v>570</v>
      </c>
      <c r="C7" s="704" t="s">
        <v>571</v>
      </c>
      <c r="D7" s="661" t="s">
        <v>250</v>
      </c>
      <c r="E7" s="719" t="s">
        <v>1288</v>
      </c>
      <c r="F7" s="661" t="s">
        <v>573</v>
      </c>
      <c r="G7" s="661" t="s">
        <v>250</v>
      </c>
      <c r="H7" s="661" t="s">
        <v>448</v>
      </c>
      <c r="I7" s="373">
        <v>1</v>
      </c>
      <c r="J7" s="373">
        <v>10</v>
      </c>
      <c r="K7" s="373">
        <f t="shared" si="0"/>
        <v>1</v>
      </c>
      <c r="L7" s="373">
        <f t="shared" si="3"/>
        <v>10</v>
      </c>
      <c r="M7" s="685">
        <f>IFERROR(IF(B7="funkcna poziadavka",VLOOKUP(G7,MODULY_CBA!$B$3:$E$23,4,0)*I7/SUMIFS($I$3:$I$105,$G$3:$G$105,G7,$B$3:$B$105,B7),),)</f>
        <v>1.1666666666666667</v>
      </c>
      <c r="N7" s="373">
        <f>IFERROR(IF(B7="Funkcna poziadavka",VLOOKUP(G7,MODULY_CBA!$B$3:$E$23,3,0),),)</f>
        <v>1.2049999999999998</v>
      </c>
      <c r="O7" s="373">
        <f>IFERROR(IF(B7="funkcna poziadavka",VLOOKUP(G7,MODULY_CBA!$B$3:$E$23,2,0),),)</f>
        <v>0.99</v>
      </c>
      <c r="P7" s="686">
        <f t="shared" si="4"/>
        <v>13.321274999999998</v>
      </c>
      <c r="Q7" s="686">
        <f>IFERROR(P7*VLOOKUP(G7,MODULY_CBA!$B$3:$F$23,5,0),)</f>
        <v>399.63824999999997</v>
      </c>
      <c r="R7" s="448" t="str">
        <f>IFERROR(VLOOKUP(G7,MODULY_CBA!$B$3:$I$23,6,0),"")</f>
        <v>Inkrement 1</v>
      </c>
      <c r="S7" s="373"/>
      <c r="T7" s="373"/>
      <c r="U7" s="373"/>
      <c r="V7" s="373"/>
      <c r="W7" s="373"/>
      <c r="X7" s="373"/>
      <c r="Y7" s="373"/>
      <c r="Z7" s="373"/>
      <c r="AA7" s="373"/>
      <c r="AB7" s="373"/>
      <c r="AC7" s="373"/>
      <c r="AD7" s="373"/>
      <c r="AE7" s="373"/>
      <c r="AF7" s="373"/>
      <c r="AG7" s="687"/>
      <c r="AH7" s="688"/>
    </row>
    <row r="8" spans="1:34" s="689" customFormat="1" ht="114" hidden="1" customHeight="1" x14ac:dyDescent="0.2">
      <c r="A8" s="658" t="s">
        <v>581</v>
      </c>
      <c r="B8" s="661" t="s">
        <v>582</v>
      </c>
      <c r="C8" s="661" t="s">
        <v>583</v>
      </c>
      <c r="D8" s="661" t="s">
        <v>583</v>
      </c>
      <c r="E8" s="690" t="s">
        <v>584</v>
      </c>
      <c r="F8" s="661" t="s">
        <v>573</v>
      </c>
      <c r="G8" s="661"/>
      <c r="H8" s="661"/>
      <c r="I8" s="373">
        <v>1</v>
      </c>
      <c r="J8" s="373">
        <v>5</v>
      </c>
      <c r="K8" s="373">
        <f t="shared" si="0"/>
        <v>1</v>
      </c>
      <c r="L8" s="373">
        <f t="shared" ref="L8:L37" si="5">I8*J8</f>
        <v>5</v>
      </c>
      <c r="M8" s="685">
        <f>IFERROR(IF(B8="funkcna poziadavka",VLOOKUP(G8,MODULY_CBA!$B$3:$E$23,4,0)*I8/SUMIFS($I$3:$I$105,$G$3:$G$105,G8,$B$3:$B$105,B8),),)</f>
        <v>0</v>
      </c>
      <c r="N8" s="373">
        <f>IFERROR(IF(B8="Funkcna poziadavka",VLOOKUP(G8,MODULY_CBA!$B$3:$E$23,3,0),),)</f>
        <v>0</v>
      </c>
      <c r="O8" s="373">
        <f>IFERROR(IF(B8="funkcna poziadavka",VLOOKUP(G8,MODULY_CBA!$B$3:$E$23,2,0),),)</f>
        <v>0</v>
      </c>
      <c r="P8" s="686">
        <f t="shared" ref="P8:P37" si="6">(L8+M8)*N8*O8</f>
        <v>0</v>
      </c>
      <c r="Q8" s="686">
        <f>IFERROR(P8*VLOOKUP(G8,MODULY_CBA!$B$3:$F$23,5,0),)</f>
        <v>0</v>
      </c>
      <c r="R8" s="448" t="str">
        <f>IFERROR(VLOOKUP(G8,MODULY_CBA!$B$3:$I$23,6,0),"")</f>
        <v/>
      </c>
      <c r="S8" s="373"/>
      <c r="T8" s="373"/>
      <c r="U8" s="373"/>
      <c r="V8" s="373"/>
      <c r="W8" s="373"/>
      <c r="X8" s="373"/>
      <c r="Y8" s="373"/>
      <c r="Z8" s="373"/>
      <c r="AA8" s="373"/>
      <c r="AB8" s="373"/>
      <c r="AC8" s="373"/>
      <c r="AD8" s="373"/>
      <c r="AE8" s="373"/>
      <c r="AF8" s="373"/>
      <c r="AG8" s="687"/>
      <c r="AH8" s="688"/>
    </row>
    <row r="9" spans="1:34" s="689" customFormat="1" ht="30" x14ac:dyDescent="0.2">
      <c r="A9" s="658" t="s">
        <v>585</v>
      </c>
      <c r="B9" s="661" t="s">
        <v>570</v>
      </c>
      <c r="C9" s="375" t="s">
        <v>1286</v>
      </c>
      <c r="D9" s="661" t="s">
        <v>586</v>
      </c>
      <c r="E9" s="661" t="s">
        <v>587</v>
      </c>
      <c r="F9" s="661" t="s">
        <v>573</v>
      </c>
      <c r="G9" s="661" t="s">
        <v>254</v>
      </c>
      <c r="H9" s="661" t="s">
        <v>461</v>
      </c>
      <c r="I9" s="373">
        <v>1</v>
      </c>
      <c r="J9" s="373">
        <v>5</v>
      </c>
      <c r="K9" s="373">
        <f t="shared" si="0"/>
        <v>1</v>
      </c>
      <c r="L9" s="373">
        <f t="shared" si="5"/>
        <v>5</v>
      </c>
      <c r="M9" s="685">
        <f>IFERROR(IF(B9="funkcna poziadavka",VLOOKUP(G9,MODULY_CBA!$B$3:$E$23,4,0)*I9/SUMIFS($I$3:$I$105,$G$3:$G$105,G9,$B$3:$B$105,B9),),)</f>
        <v>0.27450980392156865</v>
      </c>
      <c r="N9" s="373">
        <f>IFERROR(IF(B9="Funkcna poziadavka",VLOOKUP(G9,MODULY_CBA!$B$3:$E$23,3,0),),)</f>
        <v>1.2049999999999998</v>
      </c>
      <c r="O9" s="373">
        <f>IFERROR(IF(B9="funkcna poziadavka",VLOOKUP(G9,MODULY_CBA!$B$3:$E$23,2,0),),)</f>
        <v>0.99</v>
      </c>
      <c r="P9" s="686">
        <f t="shared" si="6"/>
        <v>6.2922264705882345</v>
      </c>
      <c r="Q9" s="686">
        <f>IFERROR(P9*VLOOKUP(G9,MODULY_CBA!$B$3:$F$23,5,0),)</f>
        <v>94.383397058823519</v>
      </c>
      <c r="R9" s="448" t="str">
        <f>IFERROR(VLOOKUP(G9,MODULY_CBA!$B$3:$I$23,6,0),"")</f>
        <v>Inkrement 1</v>
      </c>
      <c r="S9" s="373"/>
      <c r="T9" s="373"/>
      <c r="U9" s="373"/>
      <c r="V9" s="373"/>
      <c r="W9" s="373"/>
      <c r="X9" s="373"/>
      <c r="Y9" s="373"/>
      <c r="Z9" s="373"/>
      <c r="AA9" s="373"/>
      <c r="AB9" s="373"/>
      <c r="AC9" s="373"/>
      <c r="AD9" s="373"/>
      <c r="AE9" s="373"/>
      <c r="AF9" s="373"/>
      <c r="AG9" s="687"/>
      <c r="AH9" s="688"/>
    </row>
    <row r="10" spans="1:34" s="689" customFormat="1" ht="30" hidden="1" x14ac:dyDescent="0.2">
      <c r="A10" s="658" t="s">
        <v>588</v>
      </c>
      <c r="B10" s="661" t="s">
        <v>570</v>
      </c>
      <c r="C10" s="661" t="s">
        <v>571</v>
      </c>
      <c r="D10" s="661" t="s">
        <v>589</v>
      </c>
      <c r="E10" s="661" t="s">
        <v>590</v>
      </c>
      <c r="F10" s="661" t="s">
        <v>573</v>
      </c>
      <c r="G10" s="661" t="s">
        <v>256</v>
      </c>
      <c r="H10" s="661" t="s">
        <v>459</v>
      </c>
      <c r="I10" s="373">
        <v>1</v>
      </c>
      <c r="J10" s="373">
        <v>10</v>
      </c>
      <c r="K10" s="373">
        <f t="shared" si="0"/>
        <v>1</v>
      </c>
      <c r="L10" s="373">
        <f t="shared" si="5"/>
        <v>10</v>
      </c>
      <c r="M10" s="685">
        <f>IFERROR(IF(B10="funkcna poziadavka",VLOOKUP(G10,MODULY_CBA!$B$3:$E$23,4,0)*I10/SUMIFS($I$3:$I$105,$G$3:$G$105,G10,$B$3:$B$105,B10),),)</f>
        <v>2.3333333333333335</v>
      </c>
      <c r="N10" s="373">
        <f>IFERROR(IF(B10="Funkcna poziadavka",VLOOKUP(G10,MODULY_CBA!$B$3:$E$23,3,0),),)</f>
        <v>1.2049999999999998</v>
      </c>
      <c r="O10" s="373">
        <f>IFERROR(IF(B10="funkcna poziadavka",VLOOKUP(G10,MODULY_CBA!$B$3:$E$23,2,0),),)</f>
        <v>0.99</v>
      </c>
      <c r="P10" s="686">
        <f t="shared" si="6"/>
        <v>14.713049999999999</v>
      </c>
      <c r="Q10" s="686">
        <f>IFERROR(P10*VLOOKUP(G10,MODULY_CBA!$B$3:$F$23,5,0),)</f>
        <v>294.26099999999997</v>
      </c>
      <c r="R10" s="448" t="str">
        <f>IFERROR(VLOOKUP(G10,MODULY_CBA!$B$3:$I$23,6,0),"")</f>
        <v>Inkrement 1</v>
      </c>
      <c r="S10" s="373"/>
      <c r="T10" s="373"/>
      <c r="U10" s="373"/>
      <c r="V10" s="373"/>
      <c r="W10" s="373"/>
      <c r="X10" s="373"/>
      <c r="Y10" s="373"/>
      <c r="Z10" s="373"/>
      <c r="AA10" s="373"/>
      <c r="AB10" s="373"/>
      <c r="AC10" s="373"/>
      <c r="AD10" s="373"/>
      <c r="AE10" s="373"/>
      <c r="AF10" s="373"/>
      <c r="AG10" s="687"/>
      <c r="AH10" s="688"/>
    </row>
    <row r="11" spans="1:34" s="689" customFormat="1" ht="30" hidden="1" x14ac:dyDescent="0.2">
      <c r="A11" s="658" t="s">
        <v>591</v>
      </c>
      <c r="B11" s="661" t="s">
        <v>570</v>
      </c>
      <c r="C11" s="661" t="s">
        <v>571</v>
      </c>
      <c r="D11" s="661" t="s">
        <v>589</v>
      </c>
      <c r="E11" s="661" t="s">
        <v>592</v>
      </c>
      <c r="F11" s="661" t="s">
        <v>573</v>
      </c>
      <c r="G11" s="661" t="s">
        <v>256</v>
      </c>
      <c r="H11" s="661" t="s">
        <v>461</v>
      </c>
      <c r="I11" s="373">
        <v>1</v>
      </c>
      <c r="J11" s="373">
        <v>10</v>
      </c>
      <c r="K11" s="373"/>
      <c r="L11" s="373">
        <f t="shared" ref="L11" si="7">I11*J11</f>
        <v>10</v>
      </c>
      <c r="M11" s="685">
        <f>IFERROR(IF(B11="funkcna poziadavka",VLOOKUP(G11,MODULY_CBA!$B$3:$E$23,4,0)*I11/SUMIFS($I$3:$I$105,$G$3:$G$105,G11,$B$3:$B$105,B11),),)</f>
        <v>2.3333333333333335</v>
      </c>
      <c r="N11" s="373">
        <f>IFERROR(IF(B11="Funkcna poziadavka",VLOOKUP(G11,MODULY_CBA!$B$3:$E$23,3,0),),)</f>
        <v>1.2049999999999998</v>
      </c>
      <c r="O11" s="373">
        <f>IFERROR(IF(B11="funkcna poziadavka",VLOOKUP(G11,MODULY_CBA!$B$3:$E$23,2,0),),)</f>
        <v>0.99</v>
      </c>
      <c r="P11" s="686">
        <f t="shared" ref="P11" si="8">(L11+M11)*N11*O11</f>
        <v>14.713049999999999</v>
      </c>
      <c r="Q11" s="686">
        <f>IFERROR(P11*VLOOKUP(G11,MODULY_CBA!$B$3:$F$23,5,0),)</f>
        <v>294.26099999999997</v>
      </c>
      <c r="R11" s="448" t="str">
        <f>IFERROR(VLOOKUP(G11,MODULY_CBA!$B$3:$I$23,6,0),"")</f>
        <v>Inkrement 1</v>
      </c>
      <c r="S11" s="373"/>
      <c r="T11" s="373"/>
      <c r="U11" s="373"/>
      <c r="V11" s="373"/>
      <c r="W11" s="373"/>
      <c r="X11" s="373"/>
      <c r="Y11" s="373"/>
      <c r="Z11" s="373"/>
      <c r="AA11" s="373"/>
      <c r="AB11" s="373"/>
      <c r="AC11" s="373"/>
      <c r="AD11" s="373"/>
      <c r="AE11" s="373"/>
      <c r="AF11" s="373"/>
      <c r="AG11" s="687"/>
      <c r="AH11" s="688"/>
    </row>
    <row r="12" spans="1:34" s="689" customFormat="1" ht="30" hidden="1" x14ac:dyDescent="0.2">
      <c r="A12" s="658" t="s">
        <v>593</v>
      </c>
      <c r="B12" s="661" t="s">
        <v>570</v>
      </c>
      <c r="C12" s="661" t="s">
        <v>571</v>
      </c>
      <c r="D12" s="661" t="s">
        <v>594</v>
      </c>
      <c r="E12" s="661" t="s">
        <v>595</v>
      </c>
      <c r="F12" s="661" t="s">
        <v>573</v>
      </c>
      <c r="G12" s="661" t="s">
        <v>247</v>
      </c>
      <c r="H12" s="661" t="s">
        <v>448</v>
      </c>
      <c r="I12" s="373">
        <v>1</v>
      </c>
      <c r="J12" s="373">
        <v>10</v>
      </c>
      <c r="K12" s="373">
        <f t="shared" si="0"/>
        <v>1</v>
      </c>
      <c r="L12" s="373">
        <f t="shared" si="5"/>
        <v>10</v>
      </c>
      <c r="M12" s="685">
        <f>IFERROR(IF(B12="funkcna poziadavka",VLOOKUP(G12,MODULY_CBA!$B$3:$E$23,4,0)*I12/SUMIFS($I$3:$I$105,$G$3:$G$105,G12,$B$3:$B$105,B12),),)</f>
        <v>0.45</v>
      </c>
      <c r="N12" s="373">
        <f>IFERROR(IF(B12="Funkcna poziadavka",VLOOKUP(G12,MODULY_CBA!$B$3:$E$23,3,0),),)</f>
        <v>1.2049999999999998</v>
      </c>
      <c r="O12" s="373">
        <f>IFERROR(IF(B12="funkcna poziadavka",VLOOKUP(G12,MODULY_CBA!$B$3:$E$23,2,0),),)</f>
        <v>0.99</v>
      </c>
      <c r="P12" s="686">
        <f t="shared" si="6"/>
        <v>12.466327499999998</v>
      </c>
      <c r="Q12" s="686">
        <f>IFERROR(P12*VLOOKUP(G12,MODULY_CBA!$B$3:$F$23,5,0),)</f>
        <v>373.98982499999994</v>
      </c>
      <c r="R12" s="448" t="str">
        <f>IFERROR(VLOOKUP(G12,MODULY_CBA!$B$3:$I$23,6,0),"")</f>
        <v>Inkrement 1</v>
      </c>
      <c r="S12" s="373"/>
      <c r="T12" s="373"/>
      <c r="U12" s="373"/>
      <c r="V12" s="373"/>
      <c r="W12" s="373"/>
      <c r="X12" s="373"/>
      <c r="Y12" s="373"/>
      <c r="Z12" s="373"/>
      <c r="AA12" s="373"/>
      <c r="AB12" s="373"/>
      <c r="AC12" s="373"/>
      <c r="AD12" s="373"/>
      <c r="AE12" s="373"/>
      <c r="AF12" s="373"/>
      <c r="AG12" s="687"/>
      <c r="AH12" s="688"/>
    </row>
    <row r="13" spans="1:34" s="689" customFormat="1" ht="30" hidden="1" x14ac:dyDescent="0.2">
      <c r="A13" s="658" t="s">
        <v>596</v>
      </c>
      <c r="B13" s="661" t="s">
        <v>570</v>
      </c>
      <c r="C13" s="661" t="s">
        <v>571</v>
      </c>
      <c r="D13" s="661" t="s">
        <v>597</v>
      </c>
      <c r="E13" s="661" t="s">
        <v>598</v>
      </c>
      <c r="F13" s="661" t="s">
        <v>573</v>
      </c>
      <c r="G13" s="661" t="s">
        <v>250</v>
      </c>
      <c r="H13" s="661" t="s">
        <v>448</v>
      </c>
      <c r="I13" s="373">
        <v>1</v>
      </c>
      <c r="J13" s="373">
        <v>10</v>
      </c>
      <c r="K13" s="373"/>
      <c r="L13" s="373">
        <f t="shared" ref="L13:L20" si="9">I13*J13</f>
        <v>10</v>
      </c>
      <c r="M13" s="685">
        <f>IFERROR(IF(B13="funkcna poziadavka",VLOOKUP(G13,MODULY_CBA!$B$3:$E$23,4,0)*I13/SUMIFS($I$3:$I$105,$G$3:$G$105,G13,$B$3:$B$105,B13),),)</f>
        <v>1.1666666666666667</v>
      </c>
      <c r="N13" s="373">
        <f>IFERROR(IF(B13="Funkcna poziadavka",VLOOKUP(G13,MODULY_CBA!$B$3:$E$23,3,0),),)</f>
        <v>1.2049999999999998</v>
      </c>
      <c r="O13" s="373">
        <f>IFERROR(IF(B13="funkcna poziadavka",VLOOKUP(G13,MODULY_CBA!$B$3:$E$23,2,0),),)</f>
        <v>0.99</v>
      </c>
      <c r="P13" s="686">
        <f t="shared" ref="P13:P20" si="10">(L13+M13)*N13*O13</f>
        <v>13.321274999999998</v>
      </c>
      <c r="Q13" s="686">
        <f>IFERROR(P13*VLOOKUP(G13,MODULY_CBA!$B$3:$F$23,5,0),)</f>
        <v>399.63824999999997</v>
      </c>
      <c r="R13" s="448" t="str">
        <f>IFERROR(VLOOKUP(G13,MODULY_CBA!$B$3:$I$23,6,0),"")</f>
        <v>Inkrement 1</v>
      </c>
      <c r="S13" s="373"/>
      <c r="T13" s="373"/>
      <c r="U13" s="373"/>
      <c r="V13" s="373"/>
      <c r="W13" s="373"/>
      <c r="X13" s="373"/>
      <c r="Y13" s="373"/>
      <c r="Z13" s="373"/>
      <c r="AA13" s="373"/>
      <c r="AB13" s="373"/>
      <c r="AC13" s="373"/>
      <c r="AD13" s="373"/>
      <c r="AE13" s="373"/>
      <c r="AF13" s="373"/>
      <c r="AG13" s="687"/>
      <c r="AH13" s="688"/>
    </row>
    <row r="14" spans="1:34" s="689" customFormat="1" ht="30" hidden="1" x14ac:dyDescent="0.2">
      <c r="A14" s="658" t="s">
        <v>599</v>
      </c>
      <c r="B14" s="661" t="s">
        <v>570</v>
      </c>
      <c r="C14" s="661" t="s">
        <v>571</v>
      </c>
      <c r="D14" s="661" t="s">
        <v>600</v>
      </c>
      <c r="E14" s="661" t="s">
        <v>601</v>
      </c>
      <c r="F14" s="661" t="s">
        <v>573</v>
      </c>
      <c r="G14" s="661" t="s">
        <v>247</v>
      </c>
      <c r="H14" s="661" t="s">
        <v>448</v>
      </c>
      <c r="I14" s="373">
        <v>1</v>
      </c>
      <c r="J14" s="373">
        <v>10</v>
      </c>
      <c r="K14" s="373"/>
      <c r="L14" s="373">
        <f t="shared" si="9"/>
        <v>10</v>
      </c>
      <c r="M14" s="685">
        <f>IFERROR(IF(B14="funkcna poziadavka",VLOOKUP(G14,MODULY_CBA!$B$3:$E$23,4,0)*I14/SUMIFS($I$3:$I$105,$G$3:$G$105,G14,$B$3:$B$105,B14),),)</f>
        <v>0.45</v>
      </c>
      <c r="N14" s="373">
        <f>IFERROR(IF(B14="Funkcna poziadavka",VLOOKUP(G14,MODULY_CBA!$B$3:$E$23,3,0),),)</f>
        <v>1.2049999999999998</v>
      </c>
      <c r="O14" s="373">
        <f>IFERROR(IF(B14="funkcna poziadavka",VLOOKUP(G14,MODULY_CBA!$B$3:$E$23,2,0),),)</f>
        <v>0.99</v>
      </c>
      <c r="P14" s="686">
        <f t="shared" si="10"/>
        <v>12.466327499999998</v>
      </c>
      <c r="Q14" s="686">
        <f>IFERROR(P14*VLOOKUP(G14,MODULY_CBA!$B$3:$F$23,5,0),)</f>
        <v>373.98982499999994</v>
      </c>
      <c r="R14" s="448" t="str">
        <f>IFERROR(VLOOKUP(G14,MODULY_CBA!$B$3:$I$23,6,0),"")</f>
        <v>Inkrement 1</v>
      </c>
      <c r="S14" s="373"/>
      <c r="T14" s="373"/>
      <c r="U14" s="373"/>
      <c r="V14" s="373"/>
      <c r="W14" s="373"/>
      <c r="X14" s="373"/>
      <c r="Y14" s="373"/>
      <c r="Z14" s="373"/>
      <c r="AA14" s="373"/>
      <c r="AB14" s="373"/>
      <c r="AC14" s="373"/>
      <c r="AD14" s="373"/>
      <c r="AE14" s="373"/>
      <c r="AF14" s="373"/>
      <c r="AG14" s="687"/>
      <c r="AH14" s="688"/>
    </row>
    <row r="15" spans="1:34" s="689" customFormat="1" ht="30" hidden="1" x14ac:dyDescent="0.2">
      <c r="A15" s="658" t="s">
        <v>602</v>
      </c>
      <c r="B15" s="661" t="s">
        <v>570</v>
      </c>
      <c r="C15" s="704" t="s">
        <v>571</v>
      </c>
      <c r="D15" s="661" t="s">
        <v>250</v>
      </c>
      <c r="E15" s="661" t="s">
        <v>603</v>
      </c>
      <c r="F15" s="661" t="s">
        <v>573</v>
      </c>
      <c r="G15" s="661" t="s">
        <v>250</v>
      </c>
      <c r="H15" s="661" t="s">
        <v>448</v>
      </c>
      <c r="I15" s="373">
        <v>1</v>
      </c>
      <c r="J15" s="373">
        <v>10</v>
      </c>
      <c r="K15" s="373"/>
      <c r="L15" s="373">
        <f t="shared" si="9"/>
        <v>10</v>
      </c>
      <c r="M15" s="685">
        <f>IFERROR(IF(B15="funkcna poziadavka",VLOOKUP(G15,MODULY_CBA!$B$3:$E$23,4,0)*I15/SUMIFS($I$3:$I$105,$G$3:$G$105,G15,$B$3:$B$105,B15),),)</f>
        <v>1.1666666666666667</v>
      </c>
      <c r="N15" s="373">
        <f>IFERROR(IF(B15="Funkcna poziadavka",VLOOKUP(G15,MODULY_CBA!$B$3:$E$23,3,0),),)</f>
        <v>1.2049999999999998</v>
      </c>
      <c r="O15" s="373">
        <f>IFERROR(IF(B15="funkcna poziadavka",VLOOKUP(G15,MODULY_CBA!$B$3:$E$23,2,0),),)</f>
        <v>0.99</v>
      </c>
      <c r="P15" s="686">
        <f t="shared" si="10"/>
        <v>13.321274999999998</v>
      </c>
      <c r="Q15" s="686">
        <f>IFERROR(P15*VLOOKUP(G15,MODULY_CBA!$B$3:$F$23,5,0),)</f>
        <v>399.63824999999997</v>
      </c>
      <c r="R15" s="448" t="str">
        <f>IFERROR(VLOOKUP(G15,MODULY_CBA!$B$3:$I$23,6,0),"")</f>
        <v>Inkrement 1</v>
      </c>
      <c r="S15" s="373"/>
      <c r="T15" s="373"/>
      <c r="U15" s="373"/>
      <c r="V15" s="373"/>
      <c r="W15" s="373"/>
      <c r="X15" s="373"/>
      <c r="Y15" s="373"/>
      <c r="Z15" s="373"/>
      <c r="AA15" s="373"/>
      <c r="AB15" s="373"/>
      <c r="AC15" s="373"/>
      <c r="AD15" s="373"/>
      <c r="AE15" s="373"/>
      <c r="AF15" s="373"/>
      <c r="AG15" s="687"/>
      <c r="AH15" s="688"/>
    </row>
    <row r="16" spans="1:34" s="689" customFormat="1" ht="30" hidden="1" x14ac:dyDescent="0.2">
      <c r="A16" s="658" t="s">
        <v>604</v>
      </c>
      <c r="B16" s="661" t="s">
        <v>570</v>
      </c>
      <c r="C16" s="704" t="s">
        <v>571</v>
      </c>
      <c r="D16" s="661" t="s">
        <v>250</v>
      </c>
      <c r="E16" s="661" t="s">
        <v>605</v>
      </c>
      <c r="F16" s="661" t="s">
        <v>573</v>
      </c>
      <c r="G16" s="661" t="s">
        <v>250</v>
      </c>
      <c r="H16" s="661" t="s">
        <v>448</v>
      </c>
      <c r="I16" s="373">
        <v>1</v>
      </c>
      <c r="J16" s="373">
        <v>10</v>
      </c>
      <c r="K16" s="373"/>
      <c r="L16" s="373">
        <f t="shared" si="9"/>
        <v>10</v>
      </c>
      <c r="M16" s="685">
        <f>IFERROR(IF(B16="funkcna poziadavka",VLOOKUP(G16,MODULY_CBA!$B$3:$E$23,4,0)*I16/SUMIFS($I$3:$I$105,$G$3:$G$105,G16,$B$3:$B$105,B16),),)</f>
        <v>1.1666666666666667</v>
      </c>
      <c r="N16" s="373">
        <f>IFERROR(IF(B16="Funkcna poziadavka",VLOOKUP(G16,MODULY_CBA!$B$3:$E$23,3,0),),)</f>
        <v>1.2049999999999998</v>
      </c>
      <c r="O16" s="373">
        <f>IFERROR(IF(B16="funkcna poziadavka",VLOOKUP(G16,MODULY_CBA!$B$3:$E$23,2,0),),)</f>
        <v>0.99</v>
      </c>
      <c r="P16" s="686">
        <f t="shared" si="10"/>
        <v>13.321274999999998</v>
      </c>
      <c r="Q16" s="686">
        <f>IFERROR(P16*VLOOKUP(G16,MODULY_CBA!$B$3:$F$23,5,0),)</f>
        <v>399.63824999999997</v>
      </c>
      <c r="R16" s="448" t="str">
        <f>IFERROR(VLOOKUP(G16,MODULY_CBA!$B$3:$I$23,6,0),"")</f>
        <v>Inkrement 1</v>
      </c>
      <c r="S16" s="373"/>
      <c r="T16" s="373"/>
      <c r="U16" s="373"/>
      <c r="V16" s="373"/>
      <c r="W16" s="373"/>
      <c r="X16" s="373"/>
      <c r="Y16" s="373"/>
      <c r="Z16" s="373"/>
      <c r="AA16" s="373"/>
      <c r="AB16" s="373"/>
      <c r="AC16" s="373"/>
      <c r="AD16" s="373"/>
      <c r="AE16" s="373"/>
      <c r="AF16" s="373"/>
      <c r="AG16" s="687"/>
      <c r="AH16" s="688"/>
    </row>
    <row r="17" spans="1:34" s="689" customFormat="1" ht="30" hidden="1" x14ac:dyDescent="0.2">
      <c r="A17" s="658" t="s">
        <v>606</v>
      </c>
      <c r="B17" s="661" t="s">
        <v>570</v>
      </c>
      <c r="C17" s="704" t="s">
        <v>571</v>
      </c>
      <c r="D17" s="661" t="s">
        <v>607</v>
      </c>
      <c r="E17" s="661" t="s">
        <v>608</v>
      </c>
      <c r="F17" s="661" t="s">
        <v>573</v>
      </c>
      <c r="G17" s="661" t="s">
        <v>247</v>
      </c>
      <c r="H17" s="661" t="s">
        <v>448</v>
      </c>
      <c r="I17" s="373">
        <v>1</v>
      </c>
      <c r="J17" s="373">
        <v>10</v>
      </c>
      <c r="K17" s="373"/>
      <c r="L17" s="373">
        <f t="shared" si="9"/>
        <v>10</v>
      </c>
      <c r="M17" s="685">
        <f>IFERROR(IF(B17="funkcna poziadavka",VLOOKUP(G17,MODULY_CBA!$B$3:$E$23,4,0)*I17/SUMIFS($I$3:$I$105,$G$3:$G$105,G17,$B$3:$B$105,B17),),)</f>
        <v>0.45</v>
      </c>
      <c r="N17" s="373">
        <f>IFERROR(IF(B17="Funkcna poziadavka",VLOOKUP(G17,MODULY_CBA!$B$3:$E$23,3,0),),)</f>
        <v>1.2049999999999998</v>
      </c>
      <c r="O17" s="373">
        <f>IFERROR(IF(B17="funkcna poziadavka",VLOOKUP(G17,MODULY_CBA!$B$3:$E$23,2,0),),)</f>
        <v>0.99</v>
      </c>
      <c r="P17" s="686">
        <f t="shared" si="10"/>
        <v>12.466327499999998</v>
      </c>
      <c r="Q17" s="686">
        <f>IFERROR(P17*VLOOKUP(G17,MODULY_CBA!$B$3:$F$23,5,0),)</f>
        <v>373.98982499999994</v>
      </c>
      <c r="R17" s="448" t="str">
        <f>IFERROR(VLOOKUP(G17,MODULY_CBA!$B$3:$I$23,6,0),"")</f>
        <v>Inkrement 1</v>
      </c>
      <c r="S17" s="373"/>
      <c r="T17" s="373"/>
      <c r="U17" s="373"/>
      <c r="V17" s="373"/>
      <c r="W17" s="373"/>
      <c r="X17" s="373"/>
      <c r="Y17" s="373"/>
      <c r="Z17" s="373"/>
      <c r="AA17" s="373"/>
      <c r="AB17" s="373"/>
      <c r="AC17" s="373"/>
      <c r="AD17" s="373"/>
      <c r="AE17" s="373"/>
      <c r="AF17" s="373"/>
      <c r="AG17" s="687"/>
      <c r="AH17" s="688"/>
    </row>
    <row r="18" spans="1:34" s="689" customFormat="1" ht="30" hidden="1" x14ac:dyDescent="0.2">
      <c r="A18" s="658" t="s">
        <v>609</v>
      </c>
      <c r="B18" s="661" t="s">
        <v>570</v>
      </c>
      <c r="C18" s="704" t="s">
        <v>571</v>
      </c>
      <c r="D18" s="661" t="s">
        <v>610</v>
      </c>
      <c r="E18" s="661" t="s">
        <v>611</v>
      </c>
      <c r="F18" s="661" t="s">
        <v>573</v>
      </c>
      <c r="G18" s="661" t="s">
        <v>247</v>
      </c>
      <c r="H18" s="661" t="s">
        <v>448</v>
      </c>
      <c r="I18" s="373">
        <v>1</v>
      </c>
      <c r="J18" s="373">
        <v>10</v>
      </c>
      <c r="K18" s="373"/>
      <c r="L18" s="373">
        <f t="shared" si="9"/>
        <v>10</v>
      </c>
      <c r="M18" s="685">
        <f>IFERROR(IF(B18="funkcna poziadavka",VLOOKUP(G18,MODULY_CBA!$B$3:$E$23,4,0)*I18/SUMIFS($I$3:$I$105,$G$3:$G$105,G18,$B$3:$B$105,B18),),)</f>
        <v>0.45</v>
      </c>
      <c r="N18" s="373">
        <f>IFERROR(IF(B18="Funkcna poziadavka",VLOOKUP(G18,MODULY_CBA!$B$3:$E$23,3,0),),)</f>
        <v>1.2049999999999998</v>
      </c>
      <c r="O18" s="373">
        <f>IFERROR(IF(B18="funkcna poziadavka",VLOOKUP(G18,MODULY_CBA!$B$3:$E$23,2,0),),)</f>
        <v>0.99</v>
      </c>
      <c r="P18" s="686">
        <f t="shared" si="10"/>
        <v>12.466327499999998</v>
      </c>
      <c r="Q18" s="686">
        <f>IFERROR(P18*VLOOKUP(G18,MODULY_CBA!$B$3:$F$23,5,0),)</f>
        <v>373.98982499999994</v>
      </c>
      <c r="R18" s="448" t="str">
        <f>IFERROR(VLOOKUP(G18,MODULY_CBA!$B$3:$I$23,6,0),"")</f>
        <v>Inkrement 1</v>
      </c>
      <c r="S18" s="373"/>
      <c r="T18" s="373"/>
      <c r="U18" s="373"/>
      <c r="V18" s="373"/>
      <c r="W18" s="373"/>
      <c r="X18" s="373"/>
      <c r="Y18" s="373"/>
      <c r="Z18" s="373"/>
      <c r="AA18" s="373"/>
      <c r="AB18" s="373"/>
      <c r="AC18" s="373"/>
      <c r="AD18" s="373"/>
      <c r="AE18" s="373"/>
      <c r="AF18" s="373"/>
      <c r="AG18" s="687"/>
      <c r="AH18" s="688"/>
    </row>
    <row r="19" spans="1:34" s="689" customFormat="1" ht="30" hidden="1" x14ac:dyDescent="0.2">
      <c r="A19" s="658" t="s">
        <v>612</v>
      </c>
      <c r="B19" s="661" t="s">
        <v>570</v>
      </c>
      <c r="C19" s="704" t="s">
        <v>571</v>
      </c>
      <c r="D19" s="661" t="s">
        <v>613</v>
      </c>
      <c r="E19" s="661" t="s">
        <v>614</v>
      </c>
      <c r="F19" s="661" t="s">
        <v>573</v>
      </c>
      <c r="G19" s="661" t="s">
        <v>247</v>
      </c>
      <c r="H19" s="661" t="s">
        <v>448</v>
      </c>
      <c r="I19" s="373">
        <v>1</v>
      </c>
      <c r="J19" s="373">
        <v>10</v>
      </c>
      <c r="K19" s="373"/>
      <c r="L19" s="373">
        <f t="shared" si="9"/>
        <v>10</v>
      </c>
      <c r="M19" s="685">
        <f>IFERROR(IF(B19="funkcna poziadavka",VLOOKUP(G19,MODULY_CBA!$B$3:$E$23,4,0)*I19/SUMIFS($I$3:$I$105,$G$3:$G$105,G19,$B$3:$B$105,B19),),)</f>
        <v>0.45</v>
      </c>
      <c r="N19" s="373">
        <f>IFERROR(IF(B19="Funkcna poziadavka",VLOOKUP(G19,MODULY_CBA!$B$3:$E$23,3,0),),)</f>
        <v>1.2049999999999998</v>
      </c>
      <c r="O19" s="373">
        <f>IFERROR(IF(B19="funkcna poziadavka",VLOOKUP(G19,MODULY_CBA!$B$3:$E$23,2,0),),)</f>
        <v>0.99</v>
      </c>
      <c r="P19" s="686">
        <f t="shared" si="10"/>
        <v>12.466327499999998</v>
      </c>
      <c r="Q19" s="686">
        <f>IFERROR(P19*VLOOKUP(G19,MODULY_CBA!$B$3:$F$23,5,0),)</f>
        <v>373.98982499999994</v>
      </c>
      <c r="R19" s="448" t="str">
        <f>IFERROR(VLOOKUP(G19,MODULY_CBA!$B$3:$I$23,6,0),"")</f>
        <v>Inkrement 1</v>
      </c>
      <c r="S19" s="373"/>
      <c r="T19" s="373"/>
      <c r="U19" s="373"/>
      <c r="V19" s="373"/>
      <c r="W19" s="373"/>
      <c r="X19" s="373"/>
      <c r="Y19" s="373"/>
      <c r="Z19" s="373"/>
      <c r="AA19" s="373"/>
      <c r="AB19" s="373"/>
      <c r="AC19" s="373"/>
      <c r="AD19" s="373"/>
      <c r="AE19" s="373"/>
      <c r="AF19" s="373"/>
      <c r="AG19" s="687"/>
      <c r="AH19" s="688"/>
    </row>
    <row r="20" spans="1:34" s="689" customFormat="1" ht="45" hidden="1" x14ac:dyDescent="0.2">
      <c r="A20" s="658" t="s">
        <v>615</v>
      </c>
      <c r="B20" s="661" t="s">
        <v>570</v>
      </c>
      <c r="C20" s="704" t="s">
        <v>616</v>
      </c>
      <c r="D20" s="661" t="s">
        <v>617</v>
      </c>
      <c r="E20" s="661" t="s">
        <v>618</v>
      </c>
      <c r="F20" s="661" t="s">
        <v>573</v>
      </c>
      <c r="G20" s="661" t="s">
        <v>247</v>
      </c>
      <c r="H20" s="661" t="s">
        <v>448</v>
      </c>
      <c r="I20" s="373">
        <v>1</v>
      </c>
      <c r="J20" s="373">
        <v>10</v>
      </c>
      <c r="K20" s="373"/>
      <c r="L20" s="373">
        <f t="shared" si="9"/>
        <v>10</v>
      </c>
      <c r="M20" s="685">
        <f>IFERROR(IF(B20="funkcna poziadavka",VLOOKUP(G20,MODULY_CBA!$B$3:$E$23,4,0)*I20/SUMIFS($I$3:$I$105,$G$3:$G$105,G20,$B$3:$B$105,B20),),)</f>
        <v>0.45</v>
      </c>
      <c r="N20" s="373">
        <f>IFERROR(IF(B20="Funkcna poziadavka",VLOOKUP(G20,MODULY_CBA!$B$3:$E$23,3,0),),)</f>
        <v>1.2049999999999998</v>
      </c>
      <c r="O20" s="373">
        <f>IFERROR(IF(B20="funkcna poziadavka",VLOOKUP(G20,MODULY_CBA!$B$3:$E$23,2,0),),)</f>
        <v>0.99</v>
      </c>
      <c r="P20" s="686">
        <f t="shared" si="10"/>
        <v>12.466327499999998</v>
      </c>
      <c r="Q20" s="686">
        <f>IFERROR(P20*VLOOKUP(G20,MODULY_CBA!$B$3:$F$23,5,0),)</f>
        <v>373.98982499999994</v>
      </c>
      <c r="R20" s="448" t="str">
        <f>IFERROR(VLOOKUP(G20,MODULY_CBA!$B$3:$I$23,6,0),"")</f>
        <v>Inkrement 1</v>
      </c>
      <c r="S20" s="373"/>
      <c r="T20" s="373"/>
      <c r="U20" s="373"/>
      <c r="V20" s="373"/>
      <c r="W20" s="373"/>
      <c r="X20" s="373"/>
      <c r="Y20" s="373"/>
      <c r="Z20" s="373"/>
      <c r="AA20" s="373"/>
      <c r="AB20" s="373"/>
      <c r="AC20" s="373"/>
      <c r="AD20" s="373"/>
      <c r="AE20" s="373"/>
      <c r="AF20" s="373"/>
      <c r="AG20" s="687"/>
      <c r="AH20" s="688"/>
    </row>
    <row r="21" spans="1:34" s="689" customFormat="1" ht="30" hidden="1" x14ac:dyDescent="0.2">
      <c r="A21" s="658" t="s">
        <v>1277</v>
      </c>
      <c r="B21" s="661" t="s">
        <v>570</v>
      </c>
      <c r="C21" s="704" t="s">
        <v>616</v>
      </c>
      <c r="D21" s="661" t="s">
        <v>620</v>
      </c>
      <c r="E21" s="661" t="s">
        <v>621</v>
      </c>
      <c r="F21" s="661" t="s">
        <v>573</v>
      </c>
      <c r="G21" s="661" t="s">
        <v>247</v>
      </c>
      <c r="H21" s="661" t="s">
        <v>448</v>
      </c>
      <c r="I21" s="373">
        <v>1</v>
      </c>
      <c r="J21" s="373">
        <v>10</v>
      </c>
      <c r="K21" s="373"/>
      <c r="L21" s="373">
        <f t="shared" ref="L21" si="11">I21*J21</f>
        <v>10</v>
      </c>
      <c r="M21" s="685">
        <f>IFERROR(IF(B21="funkcna poziadavka",VLOOKUP(G21,MODULY_CBA!$B$3:$E$23,4,0)*I21/SUMIFS($I$3:$I$105,$G$3:$G$105,G21,$B$3:$B$105,B21),),)</f>
        <v>0.45</v>
      </c>
      <c r="N21" s="373">
        <f>IFERROR(IF(B21="Funkcna poziadavka",VLOOKUP(G21,MODULY_CBA!$B$3:$E$23,3,0),),)</f>
        <v>1.2049999999999998</v>
      </c>
      <c r="O21" s="373">
        <f>IFERROR(IF(B21="funkcna poziadavka",VLOOKUP(G21,MODULY_CBA!$B$3:$E$23,2,0),),)</f>
        <v>0.99</v>
      </c>
      <c r="P21" s="686">
        <f t="shared" ref="P21" si="12">(L21+M21)*N21*O21</f>
        <v>12.466327499999998</v>
      </c>
      <c r="Q21" s="686">
        <f>IFERROR(P21*VLOOKUP(G21,MODULY_CBA!$B$3:$F$23,5,0),)</f>
        <v>373.98982499999994</v>
      </c>
      <c r="R21" s="448" t="str">
        <f>IFERROR(VLOOKUP(G21,MODULY_CBA!$B$3:$I$23,6,0),"")</f>
        <v>Inkrement 1</v>
      </c>
      <c r="S21" s="373"/>
      <c r="T21" s="373"/>
      <c r="U21" s="373"/>
      <c r="V21" s="373"/>
      <c r="W21" s="373"/>
      <c r="X21" s="373"/>
      <c r="Y21" s="373"/>
      <c r="Z21" s="373"/>
      <c r="AA21" s="373"/>
      <c r="AB21" s="373"/>
      <c r="AC21" s="373"/>
      <c r="AD21" s="373"/>
      <c r="AE21" s="373"/>
      <c r="AF21" s="373"/>
      <c r="AG21" s="687"/>
      <c r="AH21" s="688"/>
    </row>
    <row r="22" spans="1:34" s="689" customFormat="1" ht="30" hidden="1" x14ac:dyDescent="0.2">
      <c r="A22" s="658" t="s">
        <v>619</v>
      </c>
      <c r="B22" s="661" t="s">
        <v>570</v>
      </c>
      <c r="C22" s="704" t="s">
        <v>623</v>
      </c>
      <c r="D22" s="661" t="s">
        <v>624</v>
      </c>
      <c r="E22" s="661" t="s">
        <v>625</v>
      </c>
      <c r="F22" s="661" t="s">
        <v>573</v>
      </c>
      <c r="G22" s="661" t="s">
        <v>252</v>
      </c>
      <c r="H22" s="661" t="s">
        <v>453</v>
      </c>
      <c r="I22" s="373">
        <v>1</v>
      </c>
      <c r="J22" s="373">
        <v>5</v>
      </c>
      <c r="K22" s="373"/>
      <c r="L22" s="373">
        <f t="shared" ref="L22" si="13">I22*J22</f>
        <v>5</v>
      </c>
      <c r="M22" s="685">
        <f>IFERROR(IF(B22="funkcna poziadavka",VLOOKUP(G22,MODULY_CBA!$B$3:$E$23,4,0)*I22/SUMIFS($I$3:$I$105,$G$3:$G$105,G22,$B$3:$B$105,B22),),)</f>
        <v>0.60869565217391308</v>
      </c>
      <c r="N22" s="373">
        <f>IFERROR(IF(B22="Funkcna poziadavka",VLOOKUP(G22,MODULY_CBA!$B$3:$E$23,3,0),),)</f>
        <v>1.2049999999999998</v>
      </c>
      <c r="O22" s="373">
        <f>IFERROR(IF(B22="funkcna poziadavka",VLOOKUP(G22,MODULY_CBA!$B$3:$E$23,2,0),),)</f>
        <v>0.99</v>
      </c>
      <c r="P22" s="686">
        <f t="shared" ref="P22" si="14">(L22+M22)*N22*O22</f>
        <v>6.6908934782608691</v>
      </c>
      <c r="Q22" s="686">
        <f>IFERROR(P22*VLOOKUP(G22,MODULY_CBA!$B$3:$F$23,5,0),)</f>
        <v>200.72680434782606</v>
      </c>
      <c r="R22" s="448" t="str">
        <f>IFERROR(VLOOKUP(G22,MODULY_CBA!$B$3:$I$23,6,0),"")</f>
        <v>Inkrement 1</v>
      </c>
      <c r="S22" s="373"/>
      <c r="T22" s="373"/>
      <c r="U22" s="373"/>
      <c r="V22" s="373"/>
      <c r="W22" s="373"/>
      <c r="X22" s="373"/>
      <c r="Y22" s="373"/>
      <c r="Z22" s="373"/>
      <c r="AA22" s="373"/>
      <c r="AB22" s="373"/>
      <c r="AC22" s="373"/>
      <c r="AD22" s="373"/>
      <c r="AE22" s="373"/>
      <c r="AF22" s="373"/>
      <c r="AG22" s="687"/>
      <c r="AH22" s="688"/>
    </row>
    <row r="23" spans="1:34" s="689" customFormat="1" ht="30" hidden="1" x14ac:dyDescent="0.2">
      <c r="A23" s="658" t="s">
        <v>622</v>
      </c>
      <c r="B23" s="661" t="s">
        <v>570</v>
      </c>
      <c r="C23" s="704" t="s">
        <v>623</v>
      </c>
      <c r="D23" s="661" t="s">
        <v>627</v>
      </c>
      <c r="E23" s="661" t="s">
        <v>628</v>
      </c>
      <c r="F23" s="661" t="s">
        <v>573</v>
      </c>
      <c r="G23" s="661" t="s">
        <v>252</v>
      </c>
      <c r="H23" s="661" t="s">
        <v>453</v>
      </c>
      <c r="I23" s="373">
        <v>1</v>
      </c>
      <c r="J23" s="373">
        <v>5</v>
      </c>
      <c r="K23" s="373"/>
      <c r="L23" s="373">
        <f t="shared" ref="L23" si="15">I23*J23</f>
        <v>5</v>
      </c>
      <c r="M23" s="685">
        <f>IFERROR(IF(B23="funkcna poziadavka",VLOOKUP(G23,MODULY_CBA!$B$3:$E$23,4,0)*I23/SUMIFS($I$3:$I$105,$G$3:$G$105,G23,$B$3:$B$105,B23),),)</f>
        <v>0.60869565217391308</v>
      </c>
      <c r="N23" s="373">
        <f>IFERROR(IF(B23="Funkcna poziadavka",VLOOKUP(G23,MODULY_CBA!$B$3:$E$23,3,0),),)</f>
        <v>1.2049999999999998</v>
      </c>
      <c r="O23" s="373">
        <f>IFERROR(IF(B23="funkcna poziadavka",VLOOKUP(G23,MODULY_CBA!$B$3:$E$23,2,0),),)</f>
        <v>0.99</v>
      </c>
      <c r="P23" s="686">
        <f t="shared" ref="P23" si="16">(L23+M23)*N23*O23</f>
        <v>6.6908934782608691</v>
      </c>
      <c r="Q23" s="686">
        <f>IFERROR(P23*VLOOKUP(G23,MODULY_CBA!$B$3:$F$23,5,0),)</f>
        <v>200.72680434782606</v>
      </c>
      <c r="R23" s="448" t="str">
        <f>IFERROR(VLOOKUP(G23,MODULY_CBA!$B$3:$I$23,6,0),"")</f>
        <v>Inkrement 1</v>
      </c>
      <c r="S23" s="373"/>
      <c r="T23" s="373"/>
      <c r="U23" s="373"/>
      <c r="V23" s="373"/>
      <c r="W23" s="373"/>
      <c r="X23" s="373"/>
      <c r="Y23" s="373"/>
      <c r="Z23" s="373"/>
      <c r="AA23" s="373"/>
      <c r="AB23" s="373"/>
      <c r="AC23" s="373"/>
      <c r="AD23" s="373"/>
      <c r="AE23" s="373"/>
      <c r="AF23" s="373"/>
      <c r="AG23" s="687"/>
      <c r="AH23" s="688"/>
    </row>
    <row r="24" spans="1:34" s="689" customFormat="1" ht="45" hidden="1" x14ac:dyDescent="0.2">
      <c r="A24" s="658" t="s">
        <v>626</v>
      </c>
      <c r="B24" s="661" t="s">
        <v>570</v>
      </c>
      <c r="C24" s="704" t="s">
        <v>623</v>
      </c>
      <c r="D24" s="661" t="s">
        <v>630</v>
      </c>
      <c r="E24" s="661" t="s">
        <v>631</v>
      </c>
      <c r="F24" s="661" t="s">
        <v>573</v>
      </c>
      <c r="G24" s="661" t="s">
        <v>252</v>
      </c>
      <c r="H24" s="661" t="s">
        <v>453</v>
      </c>
      <c r="I24" s="373">
        <v>1</v>
      </c>
      <c r="J24" s="373">
        <v>5</v>
      </c>
      <c r="K24" s="373"/>
      <c r="L24" s="373">
        <f t="shared" ref="L24:L25" si="17">I24*J24</f>
        <v>5</v>
      </c>
      <c r="M24" s="685">
        <f>IFERROR(IF(B24="funkcna poziadavka",VLOOKUP(G24,MODULY_CBA!$B$3:$E$23,4,0)*I24/SUMIFS($I$3:$I$105,$G$3:$G$105,G24,$B$3:$B$105,B24),),)</f>
        <v>0.60869565217391308</v>
      </c>
      <c r="N24" s="373">
        <f>IFERROR(IF(B24="Funkcna poziadavka",VLOOKUP(G24,MODULY_CBA!$B$3:$E$23,3,0),),)</f>
        <v>1.2049999999999998</v>
      </c>
      <c r="O24" s="373">
        <f>IFERROR(IF(B24="funkcna poziadavka",VLOOKUP(G24,MODULY_CBA!$B$3:$E$23,2,0),),)</f>
        <v>0.99</v>
      </c>
      <c r="P24" s="686">
        <f t="shared" ref="P24:P25" si="18">(L24+M24)*N24*O24</f>
        <v>6.6908934782608691</v>
      </c>
      <c r="Q24" s="686">
        <f>IFERROR(P24*VLOOKUP(G24,MODULY_CBA!$B$3:$F$23,5,0),)</f>
        <v>200.72680434782606</v>
      </c>
      <c r="R24" s="448" t="str">
        <f>IFERROR(VLOOKUP(G24,MODULY_CBA!$B$3:$I$23,6,0),"")</f>
        <v>Inkrement 1</v>
      </c>
      <c r="S24" s="373"/>
      <c r="T24" s="373"/>
      <c r="U24" s="373"/>
      <c r="V24" s="373"/>
      <c r="W24" s="373"/>
      <c r="X24" s="373"/>
      <c r="Y24" s="373"/>
      <c r="Z24" s="373"/>
      <c r="AA24" s="373"/>
      <c r="AB24" s="373"/>
      <c r="AC24" s="373"/>
      <c r="AD24" s="373"/>
      <c r="AE24" s="373"/>
      <c r="AF24" s="373"/>
      <c r="AG24" s="687"/>
      <c r="AH24" s="688"/>
    </row>
    <row r="25" spans="1:34" s="689" customFormat="1" ht="30" hidden="1" x14ac:dyDescent="0.2">
      <c r="A25" s="658" t="s">
        <v>629</v>
      </c>
      <c r="B25" s="661" t="s">
        <v>570</v>
      </c>
      <c r="C25" s="704" t="s">
        <v>623</v>
      </c>
      <c r="D25" s="661" t="s">
        <v>633</v>
      </c>
      <c r="E25" s="661" t="s">
        <v>634</v>
      </c>
      <c r="F25" s="661" t="s">
        <v>573</v>
      </c>
      <c r="G25" s="661" t="s">
        <v>252</v>
      </c>
      <c r="H25" s="661" t="s">
        <v>453</v>
      </c>
      <c r="I25" s="373">
        <v>1</v>
      </c>
      <c r="J25" s="373">
        <v>5</v>
      </c>
      <c r="K25" s="373"/>
      <c r="L25" s="373">
        <f t="shared" si="17"/>
        <v>5</v>
      </c>
      <c r="M25" s="685">
        <f>IFERROR(IF(B25="funkcna poziadavka",VLOOKUP(G25,MODULY_CBA!$B$3:$E$23,4,0)*I25/SUMIFS($I$3:$I$105,$G$3:$G$105,G25,$B$3:$B$105,B25),),)</f>
        <v>0.60869565217391308</v>
      </c>
      <c r="N25" s="373">
        <f>IFERROR(IF(B25="Funkcna poziadavka",VLOOKUP(G25,MODULY_CBA!$B$3:$E$23,3,0),),)</f>
        <v>1.2049999999999998</v>
      </c>
      <c r="O25" s="373">
        <f>IFERROR(IF(B25="funkcna poziadavka",VLOOKUP(G25,MODULY_CBA!$B$3:$E$23,2,0),),)</f>
        <v>0.99</v>
      </c>
      <c r="P25" s="686">
        <f t="shared" si="18"/>
        <v>6.6908934782608691</v>
      </c>
      <c r="Q25" s="686">
        <f>IFERROR(P25*VLOOKUP(G25,MODULY_CBA!$B$3:$F$23,5,0),)</f>
        <v>200.72680434782606</v>
      </c>
      <c r="R25" s="448" t="str">
        <f>IFERROR(VLOOKUP(G25,MODULY_CBA!$B$3:$I$23,6,0),"")</f>
        <v>Inkrement 1</v>
      </c>
      <c r="S25" s="373"/>
      <c r="T25" s="373"/>
      <c r="U25" s="373"/>
      <c r="V25" s="373"/>
      <c r="W25" s="373"/>
      <c r="X25" s="373"/>
      <c r="Y25" s="373"/>
      <c r="Z25" s="373"/>
      <c r="AA25" s="373"/>
      <c r="AB25" s="373"/>
      <c r="AC25" s="373"/>
      <c r="AD25" s="373"/>
      <c r="AE25" s="373"/>
      <c r="AF25" s="373"/>
      <c r="AG25" s="687"/>
      <c r="AH25" s="688"/>
    </row>
    <row r="26" spans="1:34" s="689" customFormat="1" ht="30" hidden="1" x14ac:dyDescent="0.2">
      <c r="A26" s="658" t="s">
        <v>632</v>
      </c>
      <c r="B26" s="661" t="s">
        <v>570</v>
      </c>
      <c r="C26" s="704" t="s">
        <v>571</v>
      </c>
      <c r="D26" s="661" t="s">
        <v>636</v>
      </c>
      <c r="E26" s="661" t="s">
        <v>637</v>
      </c>
      <c r="F26" s="661" t="s">
        <v>573</v>
      </c>
      <c r="G26" s="661" t="s">
        <v>247</v>
      </c>
      <c r="H26" s="661" t="s">
        <v>448</v>
      </c>
      <c r="I26" s="373">
        <v>1</v>
      </c>
      <c r="J26" s="373">
        <v>10</v>
      </c>
      <c r="K26" s="373"/>
      <c r="L26" s="373">
        <f t="shared" ref="L26" si="19">I26*J26</f>
        <v>10</v>
      </c>
      <c r="M26" s="685">
        <f>IFERROR(IF(B26="funkcna poziadavka",VLOOKUP(G26,MODULY_CBA!$B$3:$E$23,4,0)*I26/SUMIFS($I$3:$I$105,$G$3:$G$105,G26,$B$3:$B$105,B26),),)</f>
        <v>0.45</v>
      </c>
      <c r="N26" s="373">
        <f>IFERROR(IF(B26="Funkcna poziadavka",VLOOKUP(G26,MODULY_CBA!$B$3:$E$23,3,0),),)</f>
        <v>1.2049999999999998</v>
      </c>
      <c r="O26" s="373">
        <f>IFERROR(IF(B26="funkcna poziadavka",VLOOKUP(G26,MODULY_CBA!$B$3:$E$23,2,0),),)</f>
        <v>0.99</v>
      </c>
      <c r="P26" s="686">
        <f t="shared" ref="P26" si="20">(L26+M26)*N26*O26</f>
        <v>12.466327499999998</v>
      </c>
      <c r="Q26" s="686">
        <f>IFERROR(P26*VLOOKUP(G26,MODULY_CBA!$B$3:$F$23,5,0),)</f>
        <v>373.98982499999994</v>
      </c>
      <c r="R26" s="448" t="str">
        <f>IFERROR(VLOOKUP(G26,MODULY_CBA!$B$3:$I$23,6,0),"")</f>
        <v>Inkrement 1</v>
      </c>
      <c r="S26" s="373"/>
      <c r="T26" s="373"/>
      <c r="U26" s="373"/>
      <c r="V26" s="373"/>
      <c r="W26" s="373"/>
      <c r="X26" s="373"/>
      <c r="Y26" s="373"/>
      <c r="Z26" s="373"/>
      <c r="AA26" s="373"/>
      <c r="AB26" s="373"/>
      <c r="AC26" s="373"/>
      <c r="AD26" s="373"/>
      <c r="AE26" s="373"/>
      <c r="AF26" s="373"/>
      <c r="AG26" s="687"/>
      <c r="AH26" s="688"/>
    </row>
    <row r="27" spans="1:34" s="689" customFormat="1" ht="60" hidden="1" x14ac:dyDescent="0.2">
      <c r="A27" s="658" t="s">
        <v>635</v>
      </c>
      <c r="B27" s="661" t="s">
        <v>570</v>
      </c>
      <c r="C27" s="661" t="s">
        <v>639</v>
      </c>
      <c r="D27" s="661" t="s">
        <v>640</v>
      </c>
      <c r="E27" s="691" t="s">
        <v>641</v>
      </c>
      <c r="F27" s="661" t="s">
        <v>573</v>
      </c>
      <c r="G27" s="661" t="s">
        <v>247</v>
      </c>
      <c r="H27" s="661" t="s">
        <v>448</v>
      </c>
      <c r="I27" s="373">
        <v>2</v>
      </c>
      <c r="J27" s="373">
        <v>10</v>
      </c>
      <c r="K27" s="373">
        <f t="shared" ref="K27" si="21">IF(ISNUMBER(I27),I27,)</f>
        <v>2</v>
      </c>
      <c r="L27" s="373">
        <f t="shared" si="5"/>
        <v>20</v>
      </c>
      <c r="M27" s="685">
        <f>IFERROR(IF(B27="funkcna poziadavka",VLOOKUP(G27,MODULY_CBA!$B$3:$E$23,4,0)*I27/SUMIFS($I$3:$I$105,$G$3:$G$105,G27,$B$3:$B$105,B27),),)</f>
        <v>0.9</v>
      </c>
      <c r="N27" s="373">
        <f>IFERROR(IF(B27="Funkcna poziadavka",VLOOKUP(G27,MODULY_CBA!$B$3:$E$23,3,0),),)</f>
        <v>1.2049999999999998</v>
      </c>
      <c r="O27" s="373">
        <f>IFERROR(IF(B27="funkcna poziadavka",VLOOKUP(G27,MODULY_CBA!$B$3:$E$23,2,0),),)</f>
        <v>0.99</v>
      </c>
      <c r="P27" s="686">
        <f t="shared" si="6"/>
        <v>24.932654999999997</v>
      </c>
      <c r="Q27" s="686">
        <f>IFERROR(P27*VLOOKUP(G27,MODULY_CBA!$B$3:$F$23,5,0),)</f>
        <v>747.97964999999988</v>
      </c>
      <c r="R27" s="448" t="str">
        <f>IFERROR(VLOOKUP(G27,MODULY_CBA!$B$3:$I$23,6,0),"")</f>
        <v>Inkrement 1</v>
      </c>
      <c r="S27" s="373"/>
      <c r="T27" s="373"/>
      <c r="U27" s="373"/>
      <c r="V27" s="373"/>
      <c r="W27" s="373"/>
      <c r="X27" s="373"/>
      <c r="Y27" s="373"/>
      <c r="Z27" s="373"/>
      <c r="AA27" s="373"/>
      <c r="AB27" s="373"/>
      <c r="AC27" s="373"/>
      <c r="AD27" s="373"/>
      <c r="AE27" s="373"/>
      <c r="AF27" s="373"/>
      <c r="AG27" s="687"/>
      <c r="AH27" s="688"/>
    </row>
    <row r="28" spans="1:34" s="689" customFormat="1" ht="60" hidden="1" x14ac:dyDescent="0.2">
      <c r="A28" s="658" t="s">
        <v>638</v>
      </c>
      <c r="B28" s="658" t="s">
        <v>570</v>
      </c>
      <c r="C28" s="661" t="s">
        <v>639</v>
      </c>
      <c r="D28" s="660" t="s">
        <v>643</v>
      </c>
      <c r="E28" s="692" t="s">
        <v>644</v>
      </c>
      <c r="F28" s="661" t="s">
        <v>573</v>
      </c>
      <c r="G28" s="661" t="s">
        <v>247</v>
      </c>
      <c r="H28" s="661" t="s">
        <v>448</v>
      </c>
      <c r="I28" s="373">
        <v>2</v>
      </c>
      <c r="J28" s="373">
        <v>15</v>
      </c>
      <c r="K28" s="373">
        <f t="shared" ref="K28:K35" si="22">IF(ISNUMBER(I28),I28,)</f>
        <v>2</v>
      </c>
      <c r="L28" s="373">
        <f t="shared" si="5"/>
        <v>30</v>
      </c>
      <c r="M28" s="685">
        <f>IFERROR(IF(B28="funkcna poziadavka",VLOOKUP(G28,MODULY_CBA!$B$3:$E$23,4,0)*I28/SUMIFS($I$3:$I$105,$G$3:$G$105,G28,$B$3:$B$105,B28),),)</f>
        <v>0.9</v>
      </c>
      <c r="N28" s="373">
        <f>IFERROR(IF(B28="Funkcna poziadavka",VLOOKUP(G28,MODULY_CBA!$B$3:$E$23,3,0),),)</f>
        <v>1.2049999999999998</v>
      </c>
      <c r="O28" s="373">
        <f>IFERROR(IF(B28="funkcna poziadavka",VLOOKUP(G28,MODULY_CBA!$B$3:$E$23,2,0),),)</f>
        <v>0.99</v>
      </c>
      <c r="P28" s="686">
        <f t="shared" si="6"/>
        <v>36.862154999999994</v>
      </c>
      <c r="Q28" s="686">
        <f>IFERROR(P28*VLOOKUP(G28,MODULY_CBA!$B$3:$F$23,5,0),)</f>
        <v>1105.8646499999998</v>
      </c>
      <c r="R28" s="448" t="str">
        <f>IFERROR(VLOOKUP(G28,MODULY_CBA!$B$3:$I$23,6,0),"")</f>
        <v>Inkrement 1</v>
      </c>
      <c r="S28" s="373"/>
      <c r="T28" s="373"/>
      <c r="U28" s="373"/>
      <c r="V28" s="373"/>
      <c r="W28" s="693"/>
      <c r="X28" s="373"/>
      <c r="Y28" s="373"/>
      <c r="Z28" s="373"/>
      <c r="AA28" s="373"/>
      <c r="AB28" s="373"/>
      <c r="AC28" s="373"/>
      <c r="AD28" s="373"/>
      <c r="AE28" s="373"/>
      <c r="AF28" s="373"/>
      <c r="AG28" s="694"/>
      <c r="AH28" s="695"/>
    </row>
    <row r="29" spans="1:34" s="689" customFormat="1" ht="69" hidden="1" customHeight="1" x14ac:dyDescent="0.2">
      <c r="A29" s="658" t="s">
        <v>642</v>
      </c>
      <c r="B29" s="658" t="s">
        <v>570</v>
      </c>
      <c r="C29" s="658" t="s">
        <v>639</v>
      </c>
      <c r="D29" s="696" t="s">
        <v>646</v>
      </c>
      <c r="E29" s="660" t="s">
        <v>647</v>
      </c>
      <c r="F29" s="661" t="s">
        <v>573</v>
      </c>
      <c r="G29" s="661" t="s">
        <v>247</v>
      </c>
      <c r="H29" s="661" t="s">
        <v>448</v>
      </c>
      <c r="I29" s="373">
        <v>2</v>
      </c>
      <c r="J29" s="373">
        <v>10</v>
      </c>
      <c r="K29" s="373">
        <f t="shared" si="22"/>
        <v>2</v>
      </c>
      <c r="L29" s="373">
        <f t="shared" si="5"/>
        <v>20</v>
      </c>
      <c r="M29" s="685">
        <f>IFERROR(IF(B29="funkcna poziadavka",VLOOKUP(G29,MODULY_CBA!$B$3:$E$23,4,0)*I29/SUMIFS($I$3:$I$105,$G$3:$G$105,G29,$B$3:$B$105,B29),),)</f>
        <v>0.9</v>
      </c>
      <c r="N29" s="373">
        <f>IFERROR(IF(B29="Funkcna poziadavka",VLOOKUP(G29,MODULY_CBA!$B$3:$E$23,3,0),),)</f>
        <v>1.2049999999999998</v>
      </c>
      <c r="O29" s="373">
        <f>IFERROR(IF(B29="funkcna poziadavka",VLOOKUP(G29,MODULY_CBA!$B$3:$E$23,2,0),),)</f>
        <v>0.99</v>
      </c>
      <c r="P29" s="686">
        <f t="shared" si="6"/>
        <v>24.932654999999997</v>
      </c>
      <c r="Q29" s="686">
        <f>IFERROR(P29*VLOOKUP(G29,MODULY_CBA!$B$3:$F$23,5,0),)</f>
        <v>747.97964999999988</v>
      </c>
      <c r="R29" s="448" t="str">
        <f>IFERROR(VLOOKUP(G29,MODULY_CBA!$B$3:$I$23,6,0),"")</f>
        <v>Inkrement 1</v>
      </c>
      <c r="S29" s="373"/>
      <c r="T29" s="373"/>
      <c r="U29" s="373"/>
      <c r="V29" s="373"/>
      <c r="W29" s="693"/>
      <c r="X29" s="373"/>
      <c r="Y29" s="373"/>
      <c r="Z29" s="373"/>
      <c r="AA29" s="373"/>
      <c r="AB29" s="373"/>
      <c r="AC29" s="373"/>
      <c r="AD29" s="373"/>
      <c r="AE29" s="373"/>
      <c r="AF29" s="373"/>
      <c r="AG29" s="694"/>
      <c r="AH29" s="695"/>
    </row>
    <row r="30" spans="1:34" s="689" customFormat="1" ht="69" hidden="1" customHeight="1" x14ac:dyDescent="0.2">
      <c r="A30" s="658" t="s">
        <v>645</v>
      </c>
      <c r="B30" s="658" t="s">
        <v>570</v>
      </c>
      <c r="C30" s="658" t="s">
        <v>639</v>
      </c>
      <c r="D30" s="660" t="s">
        <v>646</v>
      </c>
      <c r="E30" s="660" t="s">
        <v>649</v>
      </c>
      <c r="F30" s="661" t="s">
        <v>573</v>
      </c>
      <c r="G30" s="661" t="s">
        <v>247</v>
      </c>
      <c r="H30" s="661" t="s">
        <v>448</v>
      </c>
      <c r="I30" s="373">
        <v>2</v>
      </c>
      <c r="J30" s="373">
        <v>15</v>
      </c>
      <c r="K30" s="373">
        <f t="shared" si="22"/>
        <v>2</v>
      </c>
      <c r="L30" s="373">
        <f t="shared" si="5"/>
        <v>30</v>
      </c>
      <c r="M30" s="685">
        <f>IFERROR(IF(B30="funkcna poziadavka",VLOOKUP(G30,MODULY_CBA!$B$3:$E$23,4,0)*I30/SUMIFS($I$3:$I$105,$G$3:$G$105,G30,$B$3:$B$105,B30),),)</f>
        <v>0.9</v>
      </c>
      <c r="N30" s="373">
        <f>IFERROR(IF(B30="Funkcna poziadavka",VLOOKUP(G30,MODULY_CBA!$B$3:$E$23,3,0),),)</f>
        <v>1.2049999999999998</v>
      </c>
      <c r="O30" s="373">
        <f>IFERROR(IF(B30="funkcna poziadavka",VLOOKUP(G30,MODULY_CBA!$B$3:$E$23,2,0),),)</f>
        <v>0.99</v>
      </c>
      <c r="P30" s="686">
        <f t="shared" si="6"/>
        <v>36.862154999999994</v>
      </c>
      <c r="Q30" s="686">
        <f>IFERROR(P30*VLOOKUP(G30,MODULY_CBA!$B$3:$F$23,5,0),)</f>
        <v>1105.8646499999998</v>
      </c>
      <c r="R30" s="448" t="str">
        <f>IFERROR(VLOOKUP(G30,MODULY_CBA!$B$3:$I$23,6,0),"")</f>
        <v>Inkrement 1</v>
      </c>
      <c r="S30" s="373"/>
      <c r="T30" s="373"/>
      <c r="U30" s="373"/>
      <c r="V30" s="373"/>
      <c r="W30" s="693"/>
      <c r="X30" s="373"/>
      <c r="Y30" s="373"/>
      <c r="Z30" s="373"/>
      <c r="AA30" s="373"/>
      <c r="AB30" s="373"/>
      <c r="AC30" s="373"/>
      <c r="AD30" s="373"/>
      <c r="AE30" s="373"/>
      <c r="AF30" s="373"/>
      <c r="AG30" s="694"/>
      <c r="AH30" s="695"/>
    </row>
    <row r="31" spans="1:34" s="698" customFormat="1" ht="69" hidden="1" customHeight="1" x14ac:dyDescent="0.2">
      <c r="A31" s="658" t="s">
        <v>648</v>
      </c>
      <c r="B31" s="375" t="s">
        <v>570</v>
      </c>
      <c r="C31" s="375" t="s">
        <v>639</v>
      </c>
      <c r="D31" s="696" t="s">
        <v>646</v>
      </c>
      <c r="E31" s="697" t="s">
        <v>651</v>
      </c>
      <c r="F31" s="661" t="s">
        <v>573</v>
      </c>
      <c r="G31" s="661" t="s">
        <v>247</v>
      </c>
      <c r="H31" s="661" t="s">
        <v>448</v>
      </c>
      <c r="I31" s="373">
        <v>2</v>
      </c>
      <c r="J31" s="373">
        <v>15</v>
      </c>
      <c r="K31" s="373">
        <f t="shared" si="22"/>
        <v>2</v>
      </c>
      <c r="L31" s="373">
        <f t="shared" si="5"/>
        <v>30</v>
      </c>
      <c r="M31" s="685">
        <f>IFERROR(IF(B31="funkcna poziadavka",VLOOKUP(G31,MODULY_CBA!$B$3:$E$23,4,0)*I31/SUMIFS($I$3:$I$105,$G$3:$G$105,G31,$B$3:$B$105,B31),),)</f>
        <v>0.9</v>
      </c>
      <c r="N31" s="373">
        <f>IFERROR(IF(B31="Funkcna poziadavka",VLOOKUP(G31,MODULY_CBA!$B$3:$E$23,3,0),),)</f>
        <v>1.2049999999999998</v>
      </c>
      <c r="O31" s="373">
        <f>IFERROR(IF(B31="funkcna poziadavka",VLOOKUP(G31,MODULY_CBA!$B$3:$E$23,2,0),),)</f>
        <v>0.99</v>
      </c>
      <c r="P31" s="686">
        <f t="shared" si="6"/>
        <v>36.862154999999994</v>
      </c>
      <c r="Q31" s="686">
        <f>IFERROR(P31*VLOOKUP(G31,MODULY_CBA!$B$3:$F$23,5,0),)</f>
        <v>1105.8646499999998</v>
      </c>
      <c r="R31" s="448" t="str">
        <f>IFERROR(VLOOKUP(G31,MODULY_CBA!$B$3:$I$23,6,0),"")</f>
        <v>Inkrement 1</v>
      </c>
      <c r="S31" s="373"/>
      <c r="T31" s="373"/>
      <c r="U31" s="373"/>
      <c r="V31" s="373"/>
      <c r="W31" s="693"/>
      <c r="X31" s="373"/>
      <c r="Y31" s="373"/>
      <c r="Z31" s="373"/>
      <c r="AA31" s="373"/>
      <c r="AB31" s="373"/>
      <c r="AC31" s="373"/>
      <c r="AD31" s="373"/>
      <c r="AE31" s="373"/>
      <c r="AF31" s="373"/>
      <c r="AG31" s="694"/>
      <c r="AH31" s="695"/>
    </row>
    <row r="32" spans="1:34" s="689" customFormat="1" ht="69" hidden="1" customHeight="1" x14ac:dyDescent="0.2">
      <c r="A32" s="658" t="s">
        <v>650</v>
      </c>
      <c r="B32" s="658" t="s">
        <v>570</v>
      </c>
      <c r="C32" s="658" t="s">
        <v>639</v>
      </c>
      <c r="D32" s="660" t="s">
        <v>653</v>
      </c>
      <c r="E32" s="660" t="s">
        <v>654</v>
      </c>
      <c r="F32" s="661" t="s">
        <v>573</v>
      </c>
      <c r="G32" s="661" t="s">
        <v>247</v>
      </c>
      <c r="H32" s="661" t="s">
        <v>448</v>
      </c>
      <c r="I32" s="373">
        <v>2</v>
      </c>
      <c r="J32" s="373">
        <v>10</v>
      </c>
      <c r="K32" s="373">
        <f t="shared" si="22"/>
        <v>2</v>
      </c>
      <c r="L32" s="373">
        <f t="shared" si="5"/>
        <v>20</v>
      </c>
      <c r="M32" s="685">
        <f>IFERROR(IF(B32="funkcna poziadavka",VLOOKUP(G32,MODULY_CBA!$B$3:$E$23,4,0)*I32/SUMIFS($I$3:$I$105,$G$3:$G$105,G32,$B$3:$B$105,B32),),)</f>
        <v>0.9</v>
      </c>
      <c r="N32" s="373">
        <f>IFERROR(IF(B32="Funkcna poziadavka",VLOOKUP(G32,MODULY_CBA!$B$3:$E$23,3,0),),)</f>
        <v>1.2049999999999998</v>
      </c>
      <c r="O32" s="373">
        <f>IFERROR(IF(B32="funkcna poziadavka",VLOOKUP(G32,MODULY_CBA!$B$3:$E$23,2,0),),)</f>
        <v>0.99</v>
      </c>
      <c r="P32" s="686">
        <f t="shared" si="6"/>
        <v>24.932654999999997</v>
      </c>
      <c r="Q32" s="686">
        <f>IFERROR(P32*VLOOKUP(G32,MODULY_CBA!$B$3:$F$23,5,0),)</f>
        <v>747.97964999999988</v>
      </c>
      <c r="R32" s="448" t="str">
        <f>IFERROR(VLOOKUP(G32,MODULY_CBA!$B$3:$I$23,6,0),"")</f>
        <v>Inkrement 1</v>
      </c>
      <c r="S32" s="373"/>
      <c r="T32" s="373"/>
      <c r="U32" s="373"/>
      <c r="V32" s="373"/>
      <c r="W32" s="693"/>
      <c r="X32" s="373"/>
      <c r="Y32" s="373"/>
      <c r="Z32" s="373"/>
      <c r="AA32" s="373"/>
      <c r="AB32" s="373"/>
      <c r="AC32" s="373"/>
      <c r="AD32" s="373"/>
      <c r="AE32" s="373"/>
      <c r="AF32" s="373"/>
      <c r="AG32" s="694"/>
      <c r="AH32" s="695"/>
    </row>
    <row r="33" spans="1:34" s="689" customFormat="1" ht="69" hidden="1" customHeight="1" x14ac:dyDescent="0.2">
      <c r="A33" s="658" t="s">
        <v>652</v>
      </c>
      <c r="B33" s="658" t="s">
        <v>570</v>
      </c>
      <c r="C33" s="658" t="s">
        <v>639</v>
      </c>
      <c r="D33" s="660" t="s">
        <v>646</v>
      </c>
      <c r="E33" s="660" t="s">
        <v>656</v>
      </c>
      <c r="F33" s="661" t="s">
        <v>573</v>
      </c>
      <c r="G33" s="661" t="s">
        <v>247</v>
      </c>
      <c r="H33" s="661" t="s">
        <v>448</v>
      </c>
      <c r="I33" s="373">
        <v>2</v>
      </c>
      <c r="J33" s="373">
        <v>10</v>
      </c>
      <c r="K33" s="373">
        <f t="shared" si="22"/>
        <v>2</v>
      </c>
      <c r="L33" s="373">
        <f t="shared" si="5"/>
        <v>20</v>
      </c>
      <c r="M33" s="685">
        <f>IFERROR(IF(B33="funkcna poziadavka",VLOOKUP(G33,MODULY_CBA!$B$3:$E$23,4,0)*I33/SUMIFS($I$3:$I$105,$G$3:$G$105,G33,$B$3:$B$105,B33),),)</f>
        <v>0.9</v>
      </c>
      <c r="N33" s="373">
        <f>IFERROR(IF(B33="Funkcna poziadavka",VLOOKUP(G33,MODULY_CBA!$B$3:$E$23,3,0),),)</f>
        <v>1.2049999999999998</v>
      </c>
      <c r="O33" s="373">
        <f>IFERROR(IF(B33="funkcna poziadavka",VLOOKUP(G33,MODULY_CBA!$B$3:$E$23,2,0),),)</f>
        <v>0.99</v>
      </c>
      <c r="P33" s="686">
        <f t="shared" si="6"/>
        <v>24.932654999999997</v>
      </c>
      <c r="Q33" s="686">
        <f>IFERROR(P33*VLOOKUP(G33,MODULY_CBA!$B$3:$F$23,5,0),)</f>
        <v>747.97964999999988</v>
      </c>
      <c r="R33" s="448" t="str">
        <f>IFERROR(VLOOKUP(G33,MODULY_CBA!$B$3:$I$23,6,0),"")</f>
        <v>Inkrement 1</v>
      </c>
      <c r="S33" s="373"/>
      <c r="T33" s="373"/>
      <c r="U33" s="373"/>
      <c r="V33" s="373"/>
      <c r="W33" s="693"/>
      <c r="X33" s="373"/>
      <c r="Y33" s="373"/>
      <c r="Z33" s="373"/>
      <c r="AA33" s="373"/>
      <c r="AB33" s="373"/>
      <c r="AC33" s="373"/>
      <c r="AD33" s="373"/>
      <c r="AE33" s="373"/>
      <c r="AF33" s="373"/>
      <c r="AG33" s="694"/>
      <c r="AH33" s="695"/>
    </row>
    <row r="34" spans="1:34" s="689" customFormat="1" ht="69" hidden="1" customHeight="1" x14ac:dyDescent="0.2">
      <c r="A34" s="658" t="s">
        <v>655</v>
      </c>
      <c r="B34" s="658" t="s">
        <v>570</v>
      </c>
      <c r="C34" s="658" t="s">
        <v>639</v>
      </c>
      <c r="D34" s="660" t="s">
        <v>646</v>
      </c>
      <c r="E34" s="660" t="s">
        <v>658</v>
      </c>
      <c r="F34" s="661" t="s">
        <v>573</v>
      </c>
      <c r="G34" s="661" t="s">
        <v>247</v>
      </c>
      <c r="H34" s="661" t="s">
        <v>448</v>
      </c>
      <c r="I34" s="373">
        <v>2</v>
      </c>
      <c r="J34" s="373">
        <v>10</v>
      </c>
      <c r="K34" s="373">
        <f t="shared" si="22"/>
        <v>2</v>
      </c>
      <c r="L34" s="373">
        <f t="shared" si="5"/>
        <v>20</v>
      </c>
      <c r="M34" s="685">
        <f>IFERROR(IF(B34="funkcna poziadavka",VLOOKUP(G34,MODULY_CBA!$B$3:$E$23,4,0)*I34/SUMIFS($I$3:$I$105,$G$3:$G$105,G34,$B$3:$B$105,B34),),)</f>
        <v>0.9</v>
      </c>
      <c r="N34" s="373">
        <f>IFERROR(IF(B34="Funkcna poziadavka",VLOOKUP(G34,MODULY_CBA!$B$3:$E$23,3,0),),)</f>
        <v>1.2049999999999998</v>
      </c>
      <c r="O34" s="373">
        <f>IFERROR(IF(B34="funkcna poziadavka",VLOOKUP(G34,MODULY_CBA!$B$3:$E$23,2,0),),)</f>
        <v>0.99</v>
      </c>
      <c r="P34" s="686">
        <f t="shared" si="6"/>
        <v>24.932654999999997</v>
      </c>
      <c r="Q34" s="686">
        <f>IFERROR(P34*VLOOKUP(G34,MODULY_CBA!$B$3:$F$23,5,0),)</f>
        <v>747.97964999999988</v>
      </c>
      <c r="R34" s="448" t="str">
        <f>IFERROR(VLOOKUP(G34,MODULY_CBA!$B$3:$I$23,6,0),"")</f>
        <v>Inkrement 1</v>
      </c>
      <c r="S34" s="373"/>
      <c r="T34" s="373"/>
      <c r="U34" s="373"/>
      <c r="V34" s="373"/>
      <c r="W34" s="693"/>
      <c r="X34" s="373"/>
      <c r="Y34" s="373"/>
      <c r="Z34" s="373"/>
      <c r="AA34" s="373"/>
      <c r="AB34" s="373"/>
      <c r="AC34" s="373"/>
      <c r="AD34" s="373"/>
      <c r="AE34" s="373"/>
      <c r="AF34" s="373"/>
      <c r="AG34" s="694"/>
      <c r="AH34" s="695"/>
    </row>
    <row r="35" spans="1:34" s="699" customFormat="1" ht="69" hidden="1" customHeight="1" x14ac:dyDescent="0.2">
      <c r="A35" s="658" t="s">
        <v>657</v>
      </c>
      <c r="B35" s="658" t="s">
        <v>570</v>
      </c>
      <c r="C35" s="658" t="s">
        <v>639</v>
      </c>
      <c r="D35" s="660" t="s">
        <v>646</v>
      </c>
      <c r="E35" s="660" t="s">
        <v>660</v>
      </c>
      <c r="F35" s="661" t="s">
        <v>573</v>
      </c>
      <c r="G35" s="661" t="s">
        <v>247</v>
      </c>
      <c r="H35" s="661" t="s">
        <v>448</v>
      </c>
      <c r="I35" s="373">
        <v>2</v>
      </c>
      <c r="J35" s="373">
        <v>10</v>
      </c>
      <c r="K35" s="373">
        <f t="shared" si="22"/>
        <v>2</v>
      </c>
      <c r="L35" s="373">
        <f t="shared" si="5"/>
        <v>20</v>
      </c>
      <c r="M35" s="685">
        <f>IFERROR(IF(B35="funkcna poziadavka",VLOOKUP(G35,MODULY_CBA!$B$3:$E$23,4,0)*I35/SUMIFS($I$3:$I$105,$G$3:$G$105,G35,$B$3:$B$105,B35),),)</f>
        <v>0.9</v>
      </c>
      <c r="N35" s="373">
        <f>IFERROR(IF(B35="Funkcna poziadavka",VLOOKUP(G35,MODULY_CBA!$B$3:$E$23,3,0),),)</f>
        <v>1.2049999999999998</v>
      </c>
      <c r="O35" s="373">
        <f>IFERROR(IF(B35="funkcna poziadavka",VLOOKUP(G35,MODULY_CBA!$B$3:$E$23,2,0),),)</f>
        <v>0.99</v>
      </c>
      <c r="P35" s="686">
        <f t="shared" si="6"/>
        <v>24.932654999999997</v>
      </c>
      <c r="Q35" s="686">
        <f>IFERROR(P35*VLOOKUP(G35,MODULY_CBA!$B$3:$F$23,5,0),)</f>
        <v>747.97964999999988</v>
      </c>
      <c r="R35" s="448" t="str">
        <f>IFERROR(VLOOKUP(G35,MODULY_CBA!$B$3:$I$23,6,0),"")</f>
        <v>Inkrement 1</v>
      </c>
      <c r="S35" s="373"/>
      <c r="T35" s="373"/>
      <c r="U35" s="373"/>
      <c r="V35" s="373"/>
      <c r="W35" s="693"/>
      <c r="X35" s="373"/>
      <c r="Y35" s="373"/>
      <c r="Z35" s="373"/>
      <c r="AA35" s="373"/>
      <c r="AB35" s="373"/>
      <c r="AC35" s="373"/>
      <c r="AD35" s="373"/>
      <c r="AE35" s="373"/>
      <c r="AF35" s="373"/>
      <c r="AG35" s="694"/>
      <c r="AH35" s="695"/>
    </row>
    <row r="36" spans="1:34" s="689" customFormat="1" ht="30" hidden="1" x14ac:dyDescent="0.2">
      <c r="A36" s="658" t="s">
        <v>659</v>
      </c>
      <c r="B36" s="375" t="s">
        <v>570</v>
      </c>
      <c r="C36" s="658" t="s">
        <v>662</v>
      </c>
      <c r="D36" s="697" t="s">
        <v>663</v>
      </c>
      <c r="E36" s="658" t="s">
        <v>664</v>
      </c>
      <c r="F36" s="661" t="s">
        <v>573</v>
      </c>
      <c r="G36" s="661" t="s">
        <v>247</v>
      </c>
      <c r="H36" s="658" t="s">
        <v>450</v>
      </c>
      <c r="I36" s="373">
        <v>1</v>
      </c>
      <c r="J36" s="373">
        <v>15</v>
      </c>
      <c r="K36" s="373"/>
      <c r="L36" s="373">
        <f t="shared" si="5"/>
        <v>15</v>
      </c>
      <c r="M36" s="685">
        <f>IFERROR(IF(B36="funkcna poziadavka",VLOOKUP(G36,MODULY_CBA!$B$3:$E$23,4,0)*I36/SUMIFS($I$3:$I$105,$G$3:$G$105,G36,$B$3:$B$105,B36),),)</f>
        <v>0.45</v>
      </c>
      <c r="N36" s="373">
        <f>IFERROR(IF(B36="Funkcna poziadavka",VLOOKUP(G36,MODULY_CBA!$B$3:$E$23,3,0),),)</f>
        <v>1.2049999999999998</v>
      </c>
      <c r="O36" s="373">
        <f>IFERROR(IF(B36="funkcna poziadavka",VLOOKUP(G36,MODULY_CBA!$B$3:$E$23,2,0),),)</f>
        <v>0.99</v>
      </c>
      <c r="P36" s="686">
        <f t="shared" si="6"/>
        <v>18.431077499999997</v>
      </c>
      <c r="Q36" s="686">
        <f>IFERROR(P36*VLOOKUP(G36,MODULY_CBA!$B$3:$F$23,5,0),)</f>
        <v>552.93232499999988</v>
      </c>
      <c r="R36" s="448" t="str">
        <f>IFERROR(VLOOKUP(G36,MODULY_CBA!$B$3:$I$23,6,0),"")</f>
        <v>Inkrement 1</v>
      </c>
      <c r="S36" s="373"/>
      <c r="T36" s="373"/>
      <c r="U36" s="373"/>
      <c r="V36" s="373"/>
      <c r="W36" s="373"/>
      <c r="X36" s="373"/>
      <c r="Y36" s="373"/>
      <c r="Z36" s="373"/>
      <c r="AA36" s="373"/>
      <c r="AB36" s="373"/>
      <c r="AC36" s="373"/>
      <c r="AD36" s="373"/>
      <c r="AE36" s="373"/>
      <c r="AF36" s="373"/>
      <c r="AG36" s="694"/>
      <c r="AH36" s="695"/>
    </row>
    <row r="37" spans="1:34" s="689" customFormat="1" ht="30" hidden="1" x14ac:dyDescent="0.2">
      <c r="A37" s="658" t="s">
        <v>661</v>
      </c>
      <c r="B37" s="375" t="s">
        <v>570</v>
      </c>
      <c r="C37" s="658" t="s">
        <v>662</v>
      </c>
      <c r="D37" s="697" t="s">
        <v>666</v>
      </c>
      <c r="E37" s="658" t="s">
        <v>667</v>
      </c>
      <c r="F37" s="661" t="s">
        <v>573</v>
      </c>
      <c r="G37" s="658" t="s">
        <v>247</v>
      </c>
      <c r="H37" s="658" t="s">
        <v>450</v>
      </c>
      <c r="I37" s="373">
        <v>1</v>
      </c>
      <c r="J37" s="373">
        <v>10</v>
      </c>
      <c r="K37" s="373"/>
      <c r="L37" s="373">
        <f t="shared" si="5"/>
        <v>10</v>
      </c>
      <c r="M37" s="685">
        <f>IFERROR(IF(B37="funkcna poziadavka",VLOOKUP(G37,MODULY_CBA!$B$3:$E$23,4,0)*I37/SUMIFS($I$3:$I$105,$G$3:$G$105,G37,$B$3:$B$105,B37),),)</f>
        <v>0.45</v>
      </c>
      <c r="N37" s="373">
        <f>IFERROR(IF(B37="Funkcna poziadavka",VLOOKUP(G37,MODULY_CBA!$B$3:$E$23,3,0),),)</f>
        <v>1.2049999999999998</v>
      </c>
      <c r="O37" s="373">
        <f>IFERROR(IF(B37="funkcna poziadavka",VLOOKUP(G37,MODULY_CBA!$B$3:$E$23,2,0),),)</f>
        <v>0.99</v>
      </c>
      <c r="P37" s="686">
        <f t="shared" si="6"/>
        <v>12.466327499999998</v>
      </c>
      <c r="Q37" s="686">
        <f>IFERROR(P37*VLOOKUP(G37,MODULY_CBA!$B$3:$F$23,5,0),)</f>
        <v>373.98982499999994</v>
      </c>
      <c r="R37" s="448" t="str">
        <f>IFERROR(VLOOKUP(G37,MODULY_CBA!$B$3:$I$23,6,0),"")</f>
        <v>Inkrement 1</v>
      </c>
      <c r="S37" s="373"/>
      <c r="T37" s="373"/>
      <c r="U37" s="373"/>
      <c r="V37" s="373"/>
      <c r="W37" s="373"/>
      <c r="X37" s="373"/>
      <c r="Y37" s="373"/>
      <c r="Z37" s="373"/>
      <c r="AA37" s="373"/>
      <c r="AB37" s="373"/>
      <c r="AC37" s="373"/>
      <c r="AD37" s="373"/>
      <c r="AE37" s="373"/>
      <c r="AF37" s="373"/>
      <c r="AG37" s="694"/>
      <c r="AH37" s="695"/>
    </row>
    <row r="38" spans="1:34" s="689" customFormat="1" ht="60" hidden="1" x14ac:dyDescent="0.2">
      <c r="A38" s="658" t="s">
        <v>665</v>
      </c>
      <c r="B38" s="375" t="s">
        <v>582</v>
      </c>
      <c r="C38" s="658" t="s">
        <v>662</v>
      </c>
      <c r="D38" s="697" t="s">
        <v>669</v>
      </c>
      <c r="E38" s="658" t="s">
        <v>670</v>
      </c>
      <c r="F38" s="661" t="s">
        <v>573</v>
      </c>
      <c r="G38" s="658" t="s">
        <v>247</v>
      </c>
      <c r="H38" s="658" t="s">
        <v>450</v>
      </c>
      <c r="I38" s="373">
        <v>1</v>
      </c>
      <c r="J38" s="373">
        <v>5</v>
      </c>
      <c r="K38" s="373"/>
      <c r="L38" s="373">
        <f t="shared" ref="L38:L71" si="23">I38*J38</f>
        <v>5</v>
      </c>
      <c r="M38" s="685">
        <f>IFERROR(IF(B38="funkcna poziadavka",VLOOKUP(G38,MODULY_CBA!$B$3:$E$23,4,0)*I38/SUMIFS($I$3:$I$105,$G$3:$G$105,G38,$B$3:$B$105,B38),),)</f>
        <v>0</v>
      </c>
      <c r="N38" s="373">
        <f>IFERROR(IF(B38="Funkcna poziadavka",VLOOKUP(G38,MODULY_CBA!$B$3:$E$23,3,0),),)</f>
        <v>0</v>
      </c>
      <c r="O38" s="373">
        <f>IFERROR(IF(B38="funkcna poziadavka",VLOOKUP(G38,MODULY_CBA!$B$3:$E$23,2,0),),)</f>
        <v>0</v>
      </c>
      <c r="P38" s="686">
        <f t="shared" ref="P38:P71" si="24">(L38+M38)*N38*O38</f>
        <v>0</v>
      </c>
      <c r="Q38" s="686">
        <f>IFERROR(P38*VLOOKUP(G38,MODULY_CBA!$B$3:$F$23,5,0),)</f>
        <v>0</v>
      </c>
      <c r="R38" s="448" t="str">
        <f>IFERROR(VLOOKUP(G38,MODULY_CBA!$B$3:$I$23,6,0),"")</f>
        <v>Inkrement 1</v>
      </c>
      <c r="S38" s="373"/>
      <c r="T38" s="373"/>
      <c r="U38" s="373"/>
      <c r="V38" s="373"/>
      <c r="W38" s="373"/>
      <c r="X38" s="373"/>
      <c r="Y38" s="373"/>
      <c r="Z38" s="373"/>
      <c r="AA38" s="373"/>
      <c r="AB38" s="373"/>
      <c r="AC38" s="373"/>
      <c r="AD38" s="373"/>
      <c r="AE38" s="373"/>
      <c r="AF38" s="373"/>
      <c r="AG38" s="694"/>
      <c r="AH38" s="695"/>
    </row>
    <row r="39" spans="1:34" s="689" customFormat="1" ht="30" hidden="1" x14ac:dyDescent="0.2">
      <c r="A39" s="658" t="s">
        <v>668</v>
      </c>
      <c r="B39" s="375" t="s">
        <v>570</v>
      </c>
      <c r="C39" s="660" t="s">
        <v>623</v>
      </c>
      <c r="D39" s="697" t="s">
        <v>672</v>
      </c>
      <c r="E39" s="660" t="s">
        <v>673</v>
      </c>
      <c r="F39" s="661" t="s">
        <v>573</v>
      </c>
      <c r="G39" s="661" t="s">
        <v>256</v>
      </c>
      <c r="H39" s="658" t="s">
        <v>448</v>
      </c>
      <c r="I39" s="373">
        <v>1</v>
      </c>
      <c r="J39" s="373">
        <v>10</v>
      </c>
      <c r="K39" s="373">
        <f t="shared" ref="K39:K46" si="25">IF(ISNUMBER(I39),I39,)</f>
        <v>1</v>
      </c>
      <c r="L39" s="373">
        <f t="shared" si="23"/>
        <v>10</v>
      </c>
      <c r="M39" s="685">
        <f>IFERROR(IF(B39="funkcna poziadavka",VLOOKUP(G39,MODULY_CBA!$B$3:$E$23,4,0)*I39/SUMIFS($I$3:$I$105,$G$3:$G$105,G39,$B$3:$B$105,B39),),)</f>
        <v>2.3333333333333335</v>
      </c>
      <c r="N39" s="373">
        <f>IFERROR(IF(B39="Funkcna poziadavka",VLOOKUP(G39,MODULY_CBA!$B$3:$E$23,3,0),),)</f>
        <v>1.2049999999999998</v>
      </c>
      <c r="O39" s="373">
        <f>IFERROR(IF(B39="funkcna poziadavka",VLOOKUP(G39,MODULY_CBA!$B$3:$E$23,2,0),),)</f>
        <v>0.99</v>
      </c>
      <c r="P39" s="686">
        <f t="shared" si="24"/>
        <v>14.713049999999999</v>
      </c>
      <c r="Q39" s="686">
        <f>IFERROR(P39*VLOOKUP(G39,MODULY_CBA!$B$3:$F$23,5,0),)</f>
        <v>294.26099999999997</v>
      </c>
      <c r="R39" s="448" t="str">
        <f>IFERROR(VLOOKUP(G39,MODULY_CBA!$B$3:$I$23,6,0),"")</f>
        <v>Inkrement 1</v>
      </c>
      <c r="S39" s="374"/>
      <c r="T39" s="374"/>
      <c r="U39" s="374"/>
      <c r="V39" s="374"/>
      <c r="W39" s="374"/>
      <c r="X39" s="374"/>
      <c r="Y39" s="374"/>
      <c r="Z39" s="374"/>
      <c r="AA39" s="374"/>
      <c r="AB39" s="374"/>
      <c r="AC39" s="374"/>
      <c r="AD39" s="374"/>
      <c r="AE39" s="374"/>
      <c r="AF39" s="374"/>
      <c r="AG39" s="694"/>
      <c r="AH39" s="695"/>
    </row>
    <row r="40" spans="1:34" s="689" customFormat="1" ht="30" hidden="1" x14ac:dyDescent="0.2">
      <c r="A40" s="658" t="s">
        <v>671</v>
      </c>
      <c r="B40" s="375" t="s">
        <v>570</v>
      </c>
      <c r="C40" s="658" t="s">
        <v>675</v>
      </c>
      <c r="D40" s="697" t="s">
        <v>675</v>
      </c>
      <c r="E40" s="714" t="s">
        <v>676</v>
      </c>
      <c r="F40" s="661" t="s">
        <v>573</v>
      </c>
      <c r="G40" s="658" t="s">
        <v>254</v>
      </c>
      <c r="H40" s="658" t="s">
        <v>450</v>
      </c>
      <c r="I40" s="373">
        <v>1</v>
      </c>
      <c r="J40" s="373">
        <v>15</v>
      </c>
      <c r="K40" s="373">
        <f t="shared" si="25"/>
        <v>1</v>
      </c>
      <c r="L40" s="373">
        <f t="shared" si="23"/>
        <v>15</v>
      </c>
      <c r="M40" s="685">
        <f>IFERROR(IF(B40="funkcna poziadavka",VLOOKUP(G40,MODULY_CBA!$B$3:$E$23,4,0)*I40/SUMIFS($I$3:$I$105,$G$3:$G$105,G40,$B$3:$B$105,B40),),)</f>
        <v>0.27450980392156865</v>
      </c>
      <c r="N40" s="373">
        <f>IFERROR(IF(B40="Funkcna poziadavka",VLOOKUP(G40,MODULY_CBA!$B$3:$E$23,3,0),),)</f>
        <v>1.2049999999999998</v>
      </c>
      <c r="O40" s="373">
        <f>IFERROR(IF(B40="funkcna poziadavka",VLOOKUP(G40,MODULY_CBA!$B$3:$E$23,2,0),),)</f>
        <v>0.99</v>
      </c>
      <c r="P40" s="686">
        <f t="shared" si="24"/>
        <v>18.221726470588237</v>
      </c>
      <c r="Q40" s="686">
        <f>IFERROR(P40*VLOOKUP(G40,MODULY_CBA!$B$3:$F$23,5,0),)</f>
        <v>273.32589705882356</v>
      </c>
      <c r="R40" s="448" t="str">
        <f>IFERROR(VLOOKUP(G40,MODULY_CBA!$B$3:$I$23,6,0),"")</f>
        <v>Inkrement 1</v>
      </c>
      <c r="S40" s="373" t="s">
        <v>118</v>
      </c>
      <c r="T40" s="373" t="s">
        <v>118</v>
      </c>
      <c r="U40" s="373" t="s">
        <v>118</v>
      </c>
      <c r="V40" s="373" t="s">
        <v>118</v>
      </c>
      <c r="W40" s="373" t="s">
        <v>118</v>
      </c>
      <c r="X40" s="373" t="s">
        <v>118</v>
      </c>
      <c r="Y40" s="373" t="s">
        <v>118</v>
      </c>
      <c r="Z40" s="373" t="s">
        <v>118</v>
      </c>
      <c r="AA40" s="373" t="s">
        <v>118</v>
      </c>
      <c r="AB40" s="373" t="s">
        <v>118</v>
      </c>
      <c r="AC40" s="373" t="s">
        <v>118</v>
      </c>
      <c r="AD40" s="373" t="s">
        <v>118</v>
      </c>
      <c r="AE40" s="373" t="s">
        <v>118</v>
      </c>
      <c r="AF40" s="373" t="s">
        <v>118</v>
      </c>
      <c r="AG40" s="694"/>
      <c r="AH40" s="695"/>
    </row>
    <row r="41" spans="1:34" s="689" customFormat="1" ht="30" hidden="1" x14ac:dyDescent="0.2">
      <c r="A41" s="658" t="s">
        <v>674</v>
      </c>
      <c r="B41" s="375" t="s">
        <v>570</v>
      </c>
      <c r="C41" s="375" t="s">
        <v>675</v>
      </c>
      <c r="D41" s="697" t="s">
        <v>678</v>
      </c>
      <c r="E41" s="659" t="s">
        <v>679</v>
      </c>
      <c r="F41" s="661" t="s">
        <v>573</v>
      </c>
      <c r="G41" s="658" t="s">
        <v>254</v>
      </c>
      <c r="H41" s="375" t="s">
        <v>450</v>
      </c>
      <c r="I41" s="373">
        <v>1</v>
      </c>
      <c r="J41" s="373">
        <v>15</v>
      </c>
      <c r="K41" s="373">
        <f t="shared" si="25"/>
        <v>1</v>
      </c>
      <c r="L41" s="373">
        <f t="shared" si="23"/>
        <v>15</v>
      </c>
      <c r="M41" s="685">
        <f>IFERROR(IF(B41="funkcna poziadavka",VLOOKUP(G41,MODULY_CBA!$B$3:$E$23,4,0)*I41/SUMIFS($I$3:$I$105,$G$3:$G$105,G41,$B$3:$B$105,B41),),)</f>
        <v>0.27450980392156865</v>
      </c>
      <c r="N41" s="373">
        <f>IFERROR(IF(B41="Funkcna poziadavka",VLOOKUP(G41,MODULY_CBA!$B$3:$E$23,3,0),),)</f>
        <v>1.2049999999999998</v>
      </c>
      <c r="O41" s="373">
        <f>IFERROR(IF(B41="funkcna poziadavka",VLOOKUP(G41,MODULY_CBA!$B$3:$E$23,2,0),),)</f>
        <v>0.99</v>
      </c>
      <c r="P41" s="686">
        <f t="shared" si="24"/>
        <v>18.221726470588237</v>
      </c>
      <c r="Q41" s="686">
        <f>IFERROR(P41*VLOOKUP(G41,MODULY_CBA!$B$3:$F$23,5,0),)</f>
        <v>273.32589705882356</v>
      </c>
      <c r="R41" s="448" t="str">
        <f>IFERROR(VLOOKUP(G41,MODULY_CBA!$B$3:$I$23,6,0),"")</f>
        <v>Inkrement 1</v>
      </c>
      <c r="S41" s="373"/>
      <c r="T41" s="373"/>
      <c r="U41" s="373"/>
      <c r="V41" s="373"/>
      <c r="W41" s="373"/>
      <c r="X41" s="373"/>
      <c r="Y41" s="373"/>
      <c r="Z41" s="373"/>
      <c r="AA41" s="373"/>
      <c r="AB41" s="373"/>
      <c r="AC41" s="373"/>
      <c r="AD41" s="373"/>
      <c r="AE41" s="373"/>
      <c r="AF41" s="373"/>
      <c r="AG41" s="694"/>
      <c r="AH41" s="695"/>
    </row>
    <row r="42" spans="1:34" s="689" customFormat="1" ht="30" hidden="1" x14ac:dyDescent="0.2">
      <c r="A42" s="658" t="s">
        <v>677</v>
      </c>
      <c r="B42" s="375" t="s">
        <v>570</v>
      </c>
      <c r="C42" s="375" t="s">
        <v>675</v>
      </c>
      <c r="D42" s="697" t="s">
        <v>678</v>
      </c>
      <c r="E42" s="659" t="s">
        <v>681</v>
      </c>
      <c r="F42" s="661" t="s">
        <v>573</v>
      </c>
      <c r="G42" s="658" t="s">
        <v>247</v>
      </c>
      <c r="H42" s="375" t="s">
        <v>448</v>
      </c>
      <c r="I42" s="373">
        <v>1</v>
      </c>
      <c r="J42" s="373">
        <v>10</v>
      </c>
      <c r="K42" s="373">
        <f t="shared" si="25"/>
        <v>1</v>
      </c>
      <c r="L42" s="373">
        <f t="shared" si="23"/>
        <v>10</v>
      </c>
      <c r="M42" s="685">
        <f>IFERROR(IF(B42="funkcna poziadavka",VLOOKUP(G42,MODULY_CBA!$B$3:$E$23,4,0)*I42/SUMIFS($I$3:$I$105,$G$3:$G$105,G42,$B$3:$B$105,B42),),)</f>
        <v>0.45</v>
      </c>
      <c r="N42" s="373">
        <f>IFERROR(IF(B42="Funkcna poziadavka",VLOOKUP(G42,MODULY_CBA!$B$3:$E$23,3,0),),)</f>
        <v>1.2049999999999998</v>
      </c>
      <c r="O42" s="373">
        <f>IFERROR(IF(B42="funkcna poziadavka",VLOOKUP(G42,MODULY_CBA!$B$3:$E$23,2,0),),)</f>
        <v>0.99</v>
      </c>
      <c r="P42" s="686">
        <f t="shared" si="24"/>
        <v>12.466327499999998</v>
      </c>
      <c r="Q42" s="686">
        <f>IFERROR(P42*VLOOKUP(G42,MODULY_CBA!$B$3:$F$23,5,0),)</f>
        <v>373.98982499999994</v>
      </c>
      <c r="R42" s="448" t="str">
        <f>IFERROR(VLOOKUP(G42,MODULY_CBA!$B$3:$I$23,6,0),"")</f>
        <v>Inkrement 1</v>
      </c>
      <c r="S42" s="373"/>
      <c r="T42" s="373"/>
      <c r="U42" s="373"/>
      <c r="V42" s="373"/>
      <c r="W42" s="373"/>
      <c r="X42" s="373"/>
      <c r="Y42" s="373"/>
      <c r="Z42" s="373"/>
      <c r="AA42" s="373"/>
      <c r="AB42" s="373"/>
      <c r="AC42" s="373"/>
      <c r="AD42" s="373"/>
      <c r="AE42" s="373"/>
      <c r="AF42" s="373"/>
      <c r="AG42" s="694"/>
      <c r="AH42" s="695"/>
    </row>
    <row r="43" spans="1:34" s="689" customFormat="1" ht="30" hidden="1" x14ac:dyDescent="0.2">
      <c r="A43" s="658" t="s">
        <v>680</v>
      </c>
      <c r="B43" s="375" t="s">
        <v>570</v>
      </c>
      <c r="C43" s="375" t="s">
        <v>675</v>
      </c>
      <c r="D43" s="697" t="s">
        <v>678</v>
      </c>
      <c r="E43" s="664" t="s">
        <v>683</v>
      </c>
      <c r="F43" s="661" t="s">
        <v>573</v>
      </c>
      <c r="G43" s="658" t="s">
        <v>254</v>
      </c>
      <c r="H43" s="375" t="s">
        <v>450</v>
      </c>
      <c r="I43" s="373">
        <v>1</v>
      </c>
      <c r="J43" s="373">
        <v>10</v>
      </c>
      <c r="K43" s="373" t="e">
        <f>H43*I43</f>
        <v>#VALUE!</v>
      </c>
      <c r="L43" s="373">
        <f t="shared" si="23"/>
        <v>10</v>
      </c>
      <c r="M43" s="685">
        <f>IFERROR(IF(B43="funkcna poziadavka",VLOOKUP(G43,MODULY_CBA!$B$3:$E$23,4,0)*I43/SUMIFS($I$3:$I$105,$G$3:$G$105,G43,$B$3:$B$105,B43),),)</f>
        <v>0.27450980392156865</v>
      </c>
      <c r="N43" s="373">
        <f>IFERROR(IF(B43="Funkcna poziadavka",VLOOKUP(G43,MODULY_CBA!$B$3:$E$23,3,0),),)</f>
        <v>1.2049999999999998</v>
      </c>
      <c r="O43" s="373">
        <f>IFERROR(IF(B43="funkcna poziadavka",VLOOKUP(G43,MODULY_CBA!$B$3:$E$23,2,0),),)</f>
        <v>0.99</v>
      </c>
      <c r="P43" s="686">
        <f t="shared" si="24"/>
        <v>12.256976470588235</v>
      </c>
      <c r="Q43" s="686">
        <f>IFERROR(P43*VLOOKUP(G43,MODULY_CBA!$B$3:$F$23,5,0),)</f>
        <v>183.85464705882353</v>
      </c>
      <c r="R43" s="448" t="str">
        <f>IFERROR(VLOOKUP(G43,MODULY_CBA!$B$3:$I$23,6,0),"")</f>
        <v>Inkrement 1</v>
      </c>
      <c r="S43" s="373"/>
      <c r="T43" s="373"/>
      <c r="U43" s="373"/>
      <c r="V43" s="373"/>
      <c r="W43" s="373"/>
      <c r="X43" s="373"/>
      <c r="Y43" s="373"/>
      <c r="Z43" s="373"/>
      <c r="AA43" s="373"/>
      <c r="AB43" s="373"/>
      <c r="AC43" s="373"/>
      <c r="AD43" s="373"/>
      <c r="AE43" s="373"/>
      <c r="AF43" s="694"/>
      <c r="AG43" s="695"/>
      <c r="AH43" s="695"/>
    </row>
    <row r="44" spans="1:34" s="689" customFormat="1" ht="45" hidden="1" x14ac:dyDescent="0.2">
      <c r="A44" s="658" t="s">
        <v>682</v>
      </c>
      <c r="B44" s="375" t="s">
        <v>582</v>
      </c>
      <c r="C44" s="375" t="s">
        <v>675</v>
      </c>
      <c r="D44" s="697" t="s">
        <v>685</v>
      </c>
      <c r="E44" s="659" t="s">
        <v>686</v>
      </c>
      <c r="F44" s="661" t="s">
        <v>573</v>
      </c>
      <c r="G44" s="658" t="s">
        <v>254</v>
      </c>
      <c r="H44" s="375" t="s">
        <v>450</v>
      </c>
      <c r="I44" s="373">
        <v>1</v>
      </c>
      <c r="J44" s="373">
        <v>5</v>
      </c>
      <c r="K44" s="373">
        <f t="shared" si="25"/>
        <v>1</v>
      </c>
      <c r="L44" s="373">
        <f t="shared" si="23"/>
        <v>5</v>
      </c>
      <c r="M44" s="685">
        <f>IFERROR(IF(B44="funkcna poziadavka",VLOOKUP(G44,MODULY_CBA!$B$3:$E$23,4,0)*I44/SUMIFS($I$3:$I$105,$G$3:$G$105,G44,$B$3:$B$105,B44),),)</f>
        <v>0</v>
      </c>
      <c r="N44" s="373">
        <f>IFERROR(IF(B44="Funkcna poziadavka",VLOOKUP(G44,MODULY_CBA!$B$3:$E$23,3,0),),)</f>
        <v>0</v>
      </c>
      <c r="O44" s="373">
        <f>IFERROR(IF(B44="funkcna poziadavka",VLOOKUP(G44,MODULY_CBA!$B$3:$E$23,2,0),),)</f>
        <v>0</v>
      </c>
      <c r="P44" s="686">
        <f t="shared" si="24"/>
        <v>0</v>
      </c>
      <c r="Q44" s="686">
        <f>IFERROR(P44*VLOOKUP(G44,MODULY_CBA!$B$3:$F$23,5,0),)</f>
        <v>0</v>
      </c>
      <c r="R44" s="448" t="str">
        <f>IFERROR(VLOOKUP(G44,MODULY_CBA!$B$3:$I$23,6,0),"")</f>
        <v>Inkrement 1</v>
      </c>
      <c r="S44" s="373"/>
      <c r="T44" s="373"/>
      <c r="U44" s="373"/>
      <c r="V44" s="373"/>
      <c r="W44" s="373"/>
      <c r="X44" s="373"/>
      <c r="Y44" s="373"/>
      <c r="Z44" s="373"/>
      <c r="AA44" s="373"/>
      <c r="AB44" s="373"/>
      <c r="AC44" s="373"/>
      <c r="AD44" s="373"/>
      <c r="AE44" s="373"/>
      <c r="AF44" s="373"/>
      <c r="AG44" s="694"/>
      <c r="AH44" s="695"/>
    </row>
    <row r="45" spans="1:34" s="689" customFormat="1" ht="30" hidden="1" x14ac:dyDescent="0.2">
      <c r="A45" s="658" t="s">
        <v>684</v>
      </c>
      <c r="B45" s="375" t="s">
        <v>570</v>
      </c>
      <c r="C45" s="375" t="s">
        <v>675</v>
      </c>
      <c r="D45" s="697" t="s">
        <v>688</v>
      </c>
      <c r="E45" s="658" t="s">
        <v>689</v>
      </c>
      <c r="F45" s="661" t="s">
        <v>573</v>
      </c>
      <c r="G45" s="658" t="s">
        <v>254</v>
      </c>
      <c r="H45" s="375" t="s">
        <v>450</v>
      </c>
      <c r="I45" s="373">
        <v>1</v>
      </c>
      <c r="J45" s="373">
        <v>5</v>
      </c>
      <c r="K45" s="373">
        <f t="shared" si="25"/>
        <v>1</v>
      </c>
      <c r="L45" s="373">
        <f t="shared" si="23"/>
        <v>5</v>
      </c>
      <c r="M45" s="685">
        <f>IFERROR(IF(B45="funkcna poziadavka",VLOOKUP(G45,MODULY_CBA!$B$3:$E$23,4,0)*I45/SUMIFS($I$3:$I$105,$G$3:$G$105,G45,$B$3:$B$105,B45),),)</f>
        <v>0.27450980392156865</v>
      </c>
      <c r="N45" s="373">
        <f>IFERROR(IF(B45="Funkcna poziadavka",VLOOKUP(G45,MODULY_CBA!$B$3:$E$23,3,0),),)</f>
        <v>1.2049999999999998</v>
      </c>
      <c r="O45" s="373">
        <f>IFERROR(IF(B45="funkcna poziadavka",VLOOKUP(G45,MODULY_CBA!$B$3:$E$23,2,0),),)</f>
        <v>0.99</v>
      </c>
      <c r="P45" s="686">
        <f t="shared" si="24"/>
        <v>6.2922264705882345</v>
      </c>
      <c r="Q45" s="686">
        <f>IFERROR(P45*VLOOKUP(G45,MODULY_CBA!$B$3:$F$23,5,0),)</f>
        <v>94.383397058823519</v>
      </c>
      <c r="R45" s="448" t="str">
        <f>IFERROR(VLOOKUP(G45,MODULY_CBA!$B$3:$I$23,6,0),"")</f>
        <v>Inkrement 1</v>
      </c>
      <c r="S45" s="373"/>
      <c r="T45" s="373"/>
      <c r="U45" s="373"/>
      <c r="V45" s="373"/>
      <c r="W45" s="373"/>
      <c r="X45" s="373"/>
      <c r="Y45" s="373"/>
      <c r="Z45" s="373"/>
      <c r="AA45" s="373"/>
      <c r="AB45" s="373"/>
      <c r="AC45" s="373"/>
      <c r="AD45" s="373"/>
      <c r="AE45" s="373"/>
      <c r="AF45" s="373"/>
      <c r="AG45" s="694"/>
      <c r="AH45" s="695"/>
    </row>
    <row r="46" spans="1:34" s="689" customFormat="1" ht="30" hidden="1" x14ac:dyDescent="0.2">
      <c r="A46" s="658" t="s">
        <v>687</v>
      </c>
      <c r="B46" s="375" t="s">
        <v>570</v>
      </c>
      <c r="C46" s="375" t="s">
        <v>675</v>
      </c>
      <c r="D46" s="658" t="s">
        <v>691</v>
      </c>
      <c r="E46" s="658" t="s">
        <v>692</v>
      </c>
      <c r="F46" s="661" t="s">
        <v>573</v>
      </c>
      <c r="G46" s="658" t="s">
        <v>254</v>
      </c>
      <c r="H46" s="375" t="s">
        <v>448</v>
      </c>
      <c r="I46" s="373">
        <v>1</v>
      </c>
      <c r="J46" s="373">
        <v>10</v>
      </c>
      <c r="K46" s="373">
        <f t="shared" si="25"/>
        <v>1</v>
      </c>
      <c r="L46" s="373">
        <f t="shared" si="23"/>
        <v>10</v>
      </c>
      <c r="M46" s="685">
        <f>IFERROR(IF(B46="funkcna poziadavka",VLOOKUP(G46,MODULY_CBA!$B$3:$E$23,4,0)*I46/SUMIFS($I$3:$I$105,$G$3:$G$105,G46,$B$3:$B$105,B46),),)</f>
        <v>0.27450980392156865</v>
      </c>
      <c r="N46" s="373">
        <f>IFERROR(IF(B46="Funkcna poziadavka",VLOOKUP(G46,MODULY_CBA!$B$3:$E$23,3,0),),)</f>
        <v>1.2049999999999998</v>
      </c>
      <c r="O46" s="373">
        <f>IFERROR(IF(B46="funkcna poziadavka",VLOOKUP(G46,MODULY_CBA!$B$3:$E$23,2,0),),)</f>
        <v>0.99</v>
      </c>
      <c r="P46" s="686">
        <f t="shared" si="24"/>
        <v>12.256976470588235</v>
      </c>
      <c r="Q46" s="686">
        <f>IFERROR(P46*VLOOKUP(G46,MODULY_CBA!$B$3:$F$23,5,0),)</f>
        <v>183.85464705882353</v>
      </c>
      <c r="R46" s="448" t="str">
        <f>IFERROR(VLOOKUP(G46,MODULY_CBA!$B$3:$I$23,6,0),"")</f>
        <v>Inkrement 1</v>
      </c>
      <c r="S46" s="373"/>
      <c r="T46" s="373"/>
      <c r="U46" s="373"/>
      <c r="V46" s="373"/>
      <c r="W46" s="373"/>
      <c r="X46" s="373"/>
      <c r="Y46" s="373"/>
      <c r="Z46" s="373"/>
      <c r="AA46" s="373"/>
      <c r="AB46" s="373"/>
      <c r="AC46" s="373"/>
      <c r="AD46" s="373"/>
      <c r="AE46" s="373"/>
      <c r="AF46" s="373"/>
      <c r="AG46" s="694"/>
      <c r="AH46" s="695"/>
    </row>
    <row r="47" spans="1:34" s="689" customFormat="1" ht="60" hidden="1" x14ac:dyDescent="0.2">
      <c r="A47" s="658" t="s">
        <v>690</v>
      </c>
      <c r="B47" s="375" t="s">
        <v>570</v>
      </c>
      <c r="C47" s="659" t="s">
        <v>675</v>
      </c>
      <c r="D47" s="658" t="s">
        <v>694</v>
      </c>
      <c r="E47" s="658" t="s">
        <v>695</v>
      </c>
      <c r="F47" s="661" t="s">
        <v>573</v>
      </c>
      <c r="G47" s="658" t="s">
        <v>247</v>
      </c>
      <c r="H47" s="375" t="s">
        <v>448</v>
      </c>
      <c r="I47" s="373">
        <v>1</v>
      </c>
      <c r="J47" s="373">
        <v>10</v>
      </c>
      <c r="K47" s="373"/>
      <c r="L47" s="373">
        <f t="shared" si="23"/>
        <v>10</v>
      </c>
      <c r="M47" s="685">
        <f>IFERROR(IF(B47="funkcna poziadavka",VLOOKUP(G47,MODULY_CBA!$B$3:$E$23,4,0)*I47/SUMIFS($I$3:$I$105,$G$3:$G$105,G47,$B$3:$B$105,B47),),)</f>
        <v>0.45</v>
      </c>
      <c r="N47" s="373">
        <f>IFERROR(IF(B47="Funkcna poziadavka",VLOOKUP(G47,MODULY_CBA!$B$3:$E$23,3,0),),)</f>
        <v>1.2049999999999998</v>
      </c>
      <c r="O47" s="373">
        <f>IFERROR(IF(B47="funkcna poziadavka",VLOOKUP(G47,MODULY_CBA!$B$3:$E$23,2,0),),)</f>
        <v>0.99</v>
      </c>
      <c r="P47" s="686">
        <f t="shared" si="24"/>
        <v>12.466327499999998</v>
      </c>
      <c r="Q47" s="686">
        <f>IFERROR(P47*VLOOKUP(G47,MODULY_CBA!$B$3:$F$23,5,0),)</f>
        <v>373.98982499999994</v>
      </c>
      <c r="R47" s="448" t="str">
        <f>IFERROR(VLOOKUP(G47,MODULY_CBA!$B$3:$I$23,6,0),"")</f>
        <v>Inkrement 1</v>
      </c>
      <c r="S47" s="373"/>
      <c r="T47" s="373"/>
      <c r="U47" s="373"/>
      <c r="V47" s="373"/>
      <c r="W47" s="373"/>
      <c r="X47" s="373"/>
      <c r="Y47" s="373"/>
      <c r="Z47" s="373"/>
      <c r="AA47" s="373"/>
      <c r="AB47" s="373"/>
      <c r="AC47" s="373"/>
      <c r="AD47" s="373"/>
      <c r="AE47" s="373"/>
      <c r="AF47" s="373"/>
      <c r="AG47" s="694"/>
      <c r="AH47" s="695"/>
    </row>
    <row r="48" spans="1:34" ht="75" hidden="1" x14ac:dyDescent="0.2">
      <c r="A48" s="658" t="s">
        <v>693</v>
      </c>
      <c r="B48" s="375" t="s">
        <v>570</v>
      </c>
      <c r="C48" s="660" t="s">
        <v>616</v>
      </c>
      <c r="D48" s="660" t="s">
        <v>678</v>
      </c>
      <c r="E48" s="660" t="s">
        <v>697</v>
      </c>
      <c r="F48" s="661" t="s">
        <v>573</v>
      </c>
      <c r="G48" s="661" t="s">
        <v>254</v>
      </c>
      <c r="H48" s="375" t="s">
        <v>448</v>
      </c>
      <c r="I48" s="373">
        <v>1</v>
      </c>
      <c r="J48" s="373">
        <v>10</v>
      </c>
      <c r="K48" s="373">
        <f t="shared" ref="K48:K55" si="26">IF(ISNUMBER(I48),I48,)</f>
        <v>1</v>
      </c>
      <c r="L48" s="373">
        <f t="shared" si="23"/>
        <v>10</v>
      </c>
      <c r="M48" s="685">
        <f>IFERROR(IF(B48="funkcna poziadavka",VLOOKUP(G48,MODULY_CBA!$B$3:$E$23,4,0)*I48/SUMIFS($I$3:$I$105,$G$3:$G$105,G48,$B$3:$B$105,B48),),)</f>
        <v>0.27450980392156865</v>
      </c>
      <c r="N48" s="373">
        <f>IFERROR(IF(B48="Funkcna poziadavka",VLOOKUP(G48,MODULY_CBA!$B$3:$E$23,3,0),),)</f>
        <v>1.2049999999999998</v>
      </c>
      <c r="O48" s="373">
        <f>IFERROR(IF(B48="funkcna poziadavka",VLOOKUP(G48,MODULY_CBA!$B$3:$E$23,2,0),),)</f>
        <v>0.99</v>
      </c>
      <c r="P48" s="686">
        <f t="shared" si="24"/>
        <v>12.256976470588235</v>
      </c>
      <c r="Q48" s="686">
        <f>IFERROR(P48*VLOOKUP(G48,MODULY_CBA!$B$3:$F$23,5,0),)</f>
        <v>183.85464705882353</v>
      </c>
      <c r="R48" s="448" t="str">
        <f>IFERROR(VLOOKUP(G48,MODULY_CBA!$B$3:$I$23,6,0),"")</f>
        <v>Inkrement 1</v>
      </c>
      <c r="S48" s="374"/>
      <c r="T48" s="374"/>
      <c r="U48" s="374"/>
      <c r="V48" s="374"/>
      <c r="W48" s="374"/>
      <c r="X48" s="374"/>
      <c r="Y48" s="374"/>
      <c r="Z48" s="374"/>
      <c r="AA48" s="374"/>
      <c r="AB48" s="374"/>
      <c r="AC48" s="374"/>
      <c r="AD48" s="374"/>
      <c r="AE48" s="374"/>
      <c r="AF48" s="374"/>
      <c r="AG48" s="700"/>
      <c r="AH48" s="374"/>
    </row>
    <row r="49" spans="1:34" ht="60" hidden="1" x14ac:dyDescent="0.2">
      <c r="A49" s="658" t="s">
        <v>696</v>
      </c>
      <c r="B49" s="375" t="s">
        <v>570</v>
      </c>
      <c r="C49" s="658" t="s">
        <v>662</v>
      </c>
      <c r="D49" s="658" t="s">
        <v>699</v>
      </c>
      <c r="E49" s="658" t="s">
        <v>700</v>
      </c>
      <c r="F49" s="661" t="s">
        <v>573</v>
      </c>
      <c r="G49" s="661" t="s">
        <v>254</v>
      </c>
      <c r="H49" s="375" t="s">
        <v>450</v>
      </c>
      <c r="I49" s="373">
        <v>1</v>
      </c>
      <c r="J49" s="373">
        <v>10</v>
      </c>
      <c r="K49" s="373">
        <f t="shared" si="26"/>
        <v>1</v>
      </c>
      <c r="L49" s="373">
        <f t="shared" si="23"/>
        <v>10</v>
      </c>
      <c r="M49" s="685">
        <f>IFERROR(IF(B49="funkcna poziadavka",VLOOKUP(G49,MODULY_CBA!$B$3:$E$23,4,0)*I49/SUMIFS($I$3:$I$105,$G$3:$G$105,G49,$B$3:$B$105,B49),),)</f>
        <v>0.27450980392156865</v>
      </c>
      <c r="N49" s="373">
        <f>IFERROR(IF(B49="Funkcna poziadavka",VLOOKUP(G49,MODULY_CBA!$B$3:$E$23,3,0),),)</f>
        <v>1.2049999999999998</v>
      </c>
      <c r="O49" s="373">
        <f>IFERROR(IF(B49="funkcna poziadavka",VLOOKUP(G49,MODULY_CBA!$B$3:$E$23,2,0),),)</f>
        <v>0.99</v>
      </c>
      <c r="P49" s="686">
        <f t="shared" si="24"/>
        <v>12.256976470588235</v>
      </c>
      <c r="Q49" s="686">
        <f>IFERROR(P49*VLOOKUP(G49,MODULY_CBA!$B$3:$F$23,5,0),)</f>
        <v>183.85464705882353</v>
      </c>
      <c r="R49" s="448" t="str">
        <f>IFERROR(VLOOKUP(G49,MODULY_CBA!$B$3:$I$23,6,0),"")</f>
        <v>Inkrement 1</v>
      </c>
      <c r="S49" s="373"/>
      <c r="T49" s="373"/>
      <c r="U49" s="373"/>
      <c r="V49" s="373"/>
      <c r="W49" s="373"/>
      <c r="X49" s="373"/>
      <c r="Y49" s="373"/>
      <c r="Z49" s="373"/>
      <c r="AA49" s="373"/>
      <c r="AB49" s="373"/>
      <c r="AC49" s="373"/>
      <c r="AD49" s="373"/>
      <c r="AE49" s="373"/>
      <c r="AF49" s="373"/>
      <c r="AG49" s="700"/>
      <c r="AH49" s="374"/>
    </row>
    <row r="50" spans="1:34" ht="45" hidden="1" x14ac:dyDescent="0.2">
      <c r="A50" s="658" t="s">
        <v>698</v>
      </c>
      <c r="B50" s="375" t="s">
        <v>570</v>
      </c>
      <c r="C50" s="375" t="s">
        <v>702</v>
      </c>
      <c r="D50" s="375" t="s">
        <v>703</v>
      </c>
      <c r="E50" s="658" t="s">
        <v>704</v>
      </c>
      <c r="F50" s="661" t="s">
        <v>573</v>
      </c>
      <c r="G50" s="658" t="s">
        <v>247</v>
      </c>
      <c r="H50" s="375" t="s">
        <v>452</v>
      </c>
      <c r="I50" s="373">
        <v>1</v>
      </c>
      <c r="J50" s="373">
        <v>10</v>
      </c>
      <c r="K50" s="373">
        <f t="shared" si="26"/>
        <v>1</v>
      </c>
      <c r="L50" s="373">
        <f t="shared" si="23"/>
        <v>10</v>
      </c>
      <c r="M50" s="685">
        <f>IFERROR(IF(B50="funkcna poziadavka",VLOOKUP(G50,MODULY_CBA!$B$3:$E$23,4,0)*I50/SUMIFS($I$3:$I$105,$G$3:$G$105,G50,$B$3:$B$105,B50),),)</f>
        <v>0.45</v>
      </c>
      <c r="N50" s="373">
        <f>IFERROR(IF(B50="Funkcna poziadavka",VLOOKUP(G50,MODULY_CBA!$B$3:$E$23,3,0),),)</f>
        <v>1.2049999999999998</v>
      </c>
      <c r="O50" s="373">
        <f>IFERROR(IF(B50="funkcna poziadavka",VLOOKUP(G50,MODULY_CBA!$B$3:$E$23,2,0),),)</f>
        <v>0.99</v>
      </c>
      <c r="P50" s="686">
        <f t="shared" si="24"/>
        <v>12.466327499999998</v>
      </c>
      <c r="Q50" s="686">
        <f>IFERROR(P50*VLOOKUP(G50,MODULY_CBA!$B$3:$F$23,5,0),)</f>
        <v>373.98982499999994</v>
      </c>
      <c r="R50" s="448" t="str">
        <f>IFERROR(VLOOKUP(G50,MODULY_CBA!$B$3:$I$23,6,0),"")</f>
        <v>Inkrement 1</v>
      </c>
      <c r="S50" s="373"/>
      <c r="T50" s="373"/>
      <c r="U50" s="373"/>
      <c r="V50" s="373"/>
      <c r="W50" s="373"/>
      <c r="X50" s="373"/>
      <c r="Y50" s="373"/>
      <c r="Z50" s="373"/>
      <c r="AA50" s="373"/>
      <c r="AB50" s="373"/>
      <c r="AC50" s="373"/>
      <c r="AD50" s="373"/>
      <c r="AE50" s="373"/>
      <c r="AF50" s="373"/>
      <c r="AG50" s="700"/>
      <c r="AH50" s="374"/>
    </row>
    <row r="51" spans="1:34" ht="30" hidden="1" x14ac:dyDescent="0.2">
      <c r="A51" s="658" t="s">
        <v>701</v>
      </c>
      <c r="B51" s="375" t="s">
        <v>570</v>
      </c>
      <c r="C51" s="375" t="s">
        <v>702</v>
      </c>
      <c r="D51" s="375" t="s">
        <v>703</v>
      </c>
      <c r="E51" s="658" t="s">
        <v>706</v>
      </c>
      <c r="F51" s="661" t="s">
        <v>573</v>
      </c>
      <c r="G51" s="658" t="s">
        <v>247</v>
      </c>
      <c r="H51" s="375" t="s">
        <v>452</v>
      </c>
      <c r="I51" s="373">
        <v>1</v>
      </c>
      <c r="J51" s="373">
        <v>5</v>
      </c>
      <c r="K51" s="373">
        <f t="shared" si="26"/>
        <v>1</v>
      </c>
      <c r="L51" s="373">
        <f t="shared" si="23"/>
        <v>5</v>
      </c>
      <c r="M51" s="685">
        <f>IFERROR(IF(B51="funkcna poziadavka",VLOOKUP(G51,MODULY_CBA!$B$3:$E$23,4,0)*I51/SUMIFS($I$3:$I$105,$G$3:$G$105,G51,$B$3:$B$105,B51),),)</f>
        <v>0.45</v>
      </c>
      <c r="N51" s="373">
        <f>IFERROR(IF(B51="Funkcna poziadavka",VLOOKUP(G51,MODULY_CBA!$B$3:$E$23,3,0),),)</f>
        <v>1.2049999999999998</v>
      </c>
      <c r="O51" s="373">
        <f>IFERROR(IF(B51="funkcna poziadavka",VLOOKUP(G51,MODULY_CBA!$B$3:$E$23,2,0),),)</f>
        <v>0.99</v>
      </c>
      <c r="P51" s="686">
        <f t="shared" si="24"/>
        <v>6.5015774999999998</v>
      </c>
      <c r="Q51" s="686">
        <f>IFERROR(P51*VLOOKUP(G51,MODULY_CBA!$B$3:$F$23,5,0),)</f>
        <v>195.047325</v>
      </c>
      <c r="R51" s="448" t="str">
        <f>IFERROR(VLOOKUP(G51,MODULY_CBA!$B$3:$I$23,6,0),"")</f>
        <v>Inkrement 1</v>
      </c>
      <c r="S51" s="373"/>
      <c r="T51" s="373"/>
      <c r="U51" s="373"/>
      <c r="V51" s="373"/>
      <c r="W51" s="373"/>
      <c r="X51" s="373"/>
      <c r="Y51" s="373"/>
      <c r="Z51" s="373"/>
      <c r="AA51" s="373"/>
      <c r="AB51" s="373"/>
      <c r="AC51" s="373"/>
      <c r="AD51" s="373"/>
      <c r="AE51" s="373"/>
      <c r="AF51" s="373"/>
      <c r="AG51" s="700"/>
      <c r="AH51" s="374"/>
    </row>
    <row r="52" spans="1:34" ht="30" hidden="1" x14ac:dyDescent="0.2">
      <c r="A52" s="658" t="s">
        <v>705</v>
      </c>
      <c r="B52" s="375" t="s">
        <v>570</v>
      </c>
      <c r="C52" s="375" t="s">
        <v>702</v>
      </c>
      <c r="D52" s="375" t="s">
        <v>703</v>
      </c>
      <c r="E52" s="658" t="s">
        <v>708</v>
      </c>
      <c r="F52" s="661" t="s">
        <v>573</v>
      </c>
      <c r="G52" s="658" t="s">
        <v>247</v>
      </c>
      <c r="H52" s="375" t="s">
        <v>452</v>
      </c>
      <c r="I52" s="373">
        <v>1</v>
      </c>
      <c r="J52" s="373">
        <v>10</v>
      </c>
      <c r="K52" s="373"/>
      <c r="L52" s="373">
        <f t="shared" si="23"/>
        <v>10</v>
      </c>
      <c r="M52" s="685">
        <f>IFERROR(IF(B52="funkcna poziadavka",VLOOKUP(G52,MODULY_CBA!$B$3:$E$23,4,0)*I52/SUMIFS($I$3:$I$105,$G$3:$G$105,G52,$B$3:$B$105,B52),),)</f>
        <v>0.45</v>
      </c>
      <c r="N52" s="373">
        <f>IFERROR(IF(B52="Funkcna poziadavka",VLOOKUP(G52,MODULY_CBA!$B$3:$E$23,3,0),),)</f>
        <v>1.2049999999999998</v>
      </c>
      <c r="O52" s="373">
        <f>IFERROR(IF(B52="funkcna poziadavka",VLOOKUP(G52,MODULY_CBA!$B$3:$E$23,2,0),),)</f>
        <v>0.99</v>
      </c>
      <c r="P52" s="686">
        <f t="shared" si="24"/>
        <v>12.466327499999998</v>
      </c>
      <c r="Q52" s="686">
        <f>IFERROR(P52*VLOOKUP(G52,MODULY_CBA!$B$3:$F$23,5,0),)</f>
        <v>373.98982499999994</v>
      </c>
      <c r="R52" s="448" t="str">
        <f>IFERROR(VLOOKUP(G52,MODULY_CBA!$B$3:$I$23,6,0),"")</f>
        <v>Inkrement 1</v>
      </c>
      <c r="S52" s="373"/>
      <c r="T52" s="373"/>
      <c r="U52" s="373"/>
      <c r="V52" s="373"/>
      <c r="W52" s="373"/>
      <c r="X52" s="373"/>
      <c r="Y52" s="373"/>
      <c r="Z52" s="373"/>
      <c r="AA52" s="373"/>
      <c r="AB52" s="373"/>
      <c r="AC52" s="373"/>
      <c r="AD52" s="373"/>
      <c r="AE52" s="373"/>
      <c r="AF52" s="373"/>
      <c r="AG52" s="700"/>
      <c r="AH52" s="374"/>
    </row>
    <row r="53" spans="1:34" ht="30" hidden="1" x14ac:dyDescent="0.2">
      <c r="A53" s="658" t="s">
        <v>707</v>
      </c>
      <c r="B53" s="375" t="s">
        <v>570</v>
      </c>
      <c r="C53" s="375" t="s">
        <v>702</v>
      </c>
      <c r="D53" s="375" t="s">
        <v>703</v>
      </c>
      <c r="E53" s="658" t="s">
        <v>710</v>
      </c>
      <c r="F53" s="661" t="s">
        <v>573</v>
      </c>
      <c r="G53" s="658" t="s">
        <v>247</v>
      </c>
      <c r="H53" s="375" t="s">
        <v>452</v>
      </c>
      <c r="I53" s="373">
        <v>1</v>
      </c>
      <c r="J53" s="373">
        <v>5</v>
      </c>
      <c r="K53" s="373" t="e">
        <f>H53*I53</f>
        <v>#VALUE!</v>
      </c>
      <c r="L53" s="373">
        <f t="shared" si="23"/>
        <v>5</v>
      </c>
      <c r="M53" s="685">
        <f>IFERROR(IF(B53="funkcna poziadavka",VLOOKUP(G53,MODULY_CBA!$B$3:$E$23,4,0)*I53/SUMIFS($I$3:$I$105,$G$3:$G$105,G53,$B$3:$B$105,B53),),)</f>
        <v>0.45</v>
      </c>
      <c r="N53" s="373">
        <f>IFERROR(IF(B53="Funkcna poziadavka",VLOOKUP(G53,MODULY_CBA!$B$3:$E$23,3,0),),)</f>
        <v>1.2049999999999998</v>
      </c>
      <c r="O53" s="373">
        <f>IFERROR(IF(B53="funkcna poziadavka",VLOOKUP(G53,MODULY_CBA!$B$3:$E$23,2,0),),)</f>
        <v>0.99</v>
      </c>
      <c r="P53" s="686">
        <f t="shared" si="24"/>
        <v>6.5015774999999998</v>
      </c>
      <c r="Q53" s="686">
        <f>IFERROR(P53*VLOOKUP(G53,MODULY_CBA!$B$3:$F$23,5,0),)</f>
        <v>195.047325</v>
      </c>
      <c r="R53" s="448" t="str">
        <f>IFERROR(VLOOKUP(G53,MODULY_CBA!$B$3:$I$23,6,0),"")</f>
        <v>Inkrement 1</v>
      </c>
      <c r="S53" s="373"/>
      <c r="T53" s="373"/>
      <c r="U53" s="373"/>
      <c r="V53" s="373"/>
      <c r="W53" s="373"/>
      <c r="X53" s="373"/>
      <c r="Y53" s="373"/>
      <c r="Z53" s="373"/>
      <c r="AA53" s="373"/>
      <c r="AB53" s="373"/>
      <c r="AC53" s="373"/>
      <c r="AD53" s="373"/>
      <c r="AE53" s="373"/>
      <c r="AF53" s="700"/>
      <c r="AG53" s="374"/>
      <c r="AH53" s="374"/>
    </row>
    <row r="54" spans="1:34" ht="60" hidden="1" x14ac:dyDescent="0.2">
      <c r="A54" s="658" t="s">
        <v>709</v>
      </c>
      <c r="B54" s="375" t="s">
        <v>570</v>
      </c>
      <c r="C54" s="375" t="s">
        <v>702</v>
      </c>
      <c r="D54" s="375" t="s">
        <v>703</v>
      </c>
      <c r="E54" s="658" t="s">
        <v>712</v>
      </c>
      <c r="F54" s="661" t="s">
        <v>573</v>
      </c>
      <c r="G54" s="661" t="s">
        <v>247</v>
      </c>
      <c r="H54" s="658" t="s">
        <v>452</v>
      </c>
      <c r="I54" s="373">
        <v>1</v>
      </c>
      <c r="J54" s="373">
        <v>5</v>
      </c>
      <c r="K54" s="373">
        <f t="shared" si="26"/>
        <v>1</v>
      </c>
      <c r="L54" s="373">
        <f t="shared" si="23"/>
        <v>5</v>
      </c>
      <c r="M54" s="685">
        <f>IFERROR(IF(B54="funkcna poziadavka",VLOOKUP(G54,MODULY_CBA!$B$3:$E$23,4,0)*I54/SUMIFS($I$3:$I$105,$G$3:$G$105,G54,$B$3:$B$105,B54),),)</f>
        <v>0.45</v>
      </c>
      <c r="N54" s="373">
        <f>IFERROR(IF(B54="Funkcna poziadavka",VLOOKUP(G54,MODULY_CBA!$B$3:$E$23,3,0),),)</f>
        <v>1.2049999999999998</v>
      </c>
      <c r="O54" s="373">
        <f>IFERROR(IF(B54="funkcna poziadavka",VLOOKUP(G54,MODULY_CBA!$B$3:$E$23,2,0),),)</f>
        <v>0.99</v>
      </c>
      <c r="P54" s="686">
        <f t="shared" si="24"/>
        <v>6.5015774999999998</v>
      </c>
      <c r="Q54" s="686">
        <f>IFERROR(P54*VLOOKUP(G54,MODULY_CBA!$B$3:$F$23,5,0),)</f>
        <v>195.047325</v>
      </c>
      <c r="R54" s="448" t="str">
        <f>IFERROR(VLOOKUP(G54,MODULY_CBA!$B$3:$I$23,6,0),"")</f>
        <v>Inkrement 1</v>
      </c>
      <c r="S54" s="373"/>
      <c r="T54" s="373"/>
      <c r="U54" s="373"/>
      <c r="V54" s="373"/>
      <c r="W54" s="373"/>
      <c r="X54" s="373"/>
      <c r="Y54" s="373"/>
      <c r="Z54" s="373"/>
      <c r="AA54" s="373"/>
      <c r="AB54" s="373"/>
      <c r="AC54" s="373"/>
      <c r="AD54" s="373"/>
      <c r="AE54" s="373"/>
      <c r="AF54" s="373"/>
      <c r="AG54" s="700"/>
      <c r="AH54" s="374"/>
    </row>
    <row r="55" spans="1:34" ht="30" hidden="1" x14ac:dyDescent="0.2">
      <c r="A55" s="658" t="s">
        <v>711</v>
      </c>
      <c r="B55" s="375" t="s">
        <v>570</v>
      </c>
      <c r="C55" s="375" t="s">
        <v>714</v>
      </c>
      <c r="D55" s="658" t="s">
        <v>715</v>
      </c>
      <c r="E55" s="658" t="s">
        <v>715</v>
      </c>
      <c r="F55" s="661" t="s">
        <v>573</v>
      </c>
      <c r="G55" s="661" t="s">
        <v>254</v>
      </c>
      <c r="H55" s="375" t="s">
        <v>461</v>
      </c>
      <c r="I55" s="373">
        <v>1</v>
      </c>
      <c r="J55" s="701">
        <v>5</v>
      </c>
      <c r="K55" s="373">
        <f t="shared" si="26"/>
        <v>1</v>
      </c>
      <c r="L55" s="373">
        <f t="shared" si="23"/>
        <v>5</v>
      </c>
      <c r="M55" s="685">
        <f>IFERROR(IF(B55="funkcna poziadavka",VLOOKUP(G55,MODULY_CBA!$B$3:$E$23,4,0)*I55/SUMIFS($I$3:$I$105,$G$3:$G$105,G55,$B$3:$B$105,B55),),)</f>
        <v>0.27450980392156865</v>
      </c>
      <c r="N55" s="373">
        <f>IFERROR(IF(B55="Funkcna poziadavka",VLOOKUP(G55,MODULY_CBA!$B$3:$E$23,3,0),),)</f>
        <v>1.2049999999999998</v>
      </c>
      <c r="O55" s="373">
        <f>IFERROR(IF(B55="funkcna poziadavka",VLOOKUP(G55,MODULY_CBA!$B$3:$E$23,2,0),),)</f>
        <v>0.99</v>
      </c>
      <c r="P55" s="686">
        <f t="shared" si="24"/>
        <v>6.2922264705882345</v>
      </c>
      <c r="Q55" s="686">
        <f>IFERROR(P55*VLOOKUP(G55,MODULY_CBA!$B$3:$F$23,5,0),)</f>
        <v>94.383397058823519</v>
      </c>
      <c r="R55" s="448" t="str">
        <f>IFERROR(VLOOKUP(G55,MODULY_CBA!$B$3:$I$23,6,0),"")</f>
        <v>Inkrement 1</v>
      </c>
      <c r="S55" s="373"/>
      <c r="T55" s="373"/>
      <c r="U55" s="373"/>
      <c r="V55" s="373"/>
      <c r="W55" s="373"/>
      <c r="X55" s="373"/>
      <c r="Y55" s="373"/>
      <c r="Z55" s="373"/>
      <c r="AA55" s="373"/>
      <c r="AB55" s="373"/>
      <c r="AC55" s="373"/>
      <c r="AD55" s="373"/>
      <c r="AE55" s="373"/>
      <c r="AF55" s="373"/>
      <c r="AG55" s="700"/>
      <c r="AH55" s="374"/>
    </row>
    <row r="56" spans="1:34" ht="30" hidden="1" x14ac:dyDescent="0.2">
      <c r="A56" s="658" t="s">
        <v>713</v>
      </c>
      <c r="B56" s="375" t="s">
        <v>570</v>
      </c>
      <c r="C56" s="658" t="s">
        <v>623</v>
      </c>
      <c r="D56" s="375" t="s">
        <v>717</v>
      </c>
      <c r="E56" s="375" t="s">
        <v>718</v>
      </c>
      <c r="F56" s="661" t="s">
        <v>573</v>
      </c>
      <c r="G56" s="375" t="s">
        <v>252</v>
      </c>
      <c r="H56" s="375" t="s">
        <v>448</v>
      </c>
      <c r="I56" s="373">
        <v>1</v>
      </c>
      <c r="J56" s="373">
        <v>10</v>
      </c>
      <c r="K56" s="373"/>
      <c r="L56" s="373">
        <f t="shared" si="23"/>
        <v>10</v>
      </c>
      <c r="M56" s="685">
        <f>IFERROR(IF(B56="funkcna poziadavka",VLOOKUP(G56,MODULY_CBA!$B$3:$E$23,4,0)*I56/SUMIFS($I$3:$I$105,$G$3:$G$105,G56,$B$3:$B$105,B56),),)</f>
        <v>0.60869565217391308</v>
      </c>
      <c r="N56" s="373">
        <f>IFERROR(IF(B56="Funkcna poziadavka",VLOOKUP(G56,MODULY_CBA!$B$3:$E$23,3,0),),)</f>
        <v>1.2049999999999998</v>
      </c>
      <c r="O56" s="373">
        <f>IFERROR(IF(B56="funkcna poziadavka",VLOOKUP(G56,MODULY_CBA!$B$3:$E$23,2,0),),)</f>
        <v>0.99</v>
      </c>
      <c r="P56" s="686">
        <f t="shared" si="24"/>
        <v>12.655643478260869</v>
      </c>
      <c r="Q56" s="686">
        <f>IFERROR(P56*VLOOKUP(G56,MODULY_CBA!$B$3:$F$23,5,0),)</f>
        <v>379.66930434782608</v>
      </c>
      <c r="R56" s="448" t="str">
        <f>IFERROR(VLOOKUP(G56,MODULY_CBA!$B$3:$I$23,6,0),"")</f>
        <v>Inkrement 1</v>
      </c>
      <c r="S56" s="373"/>
      <c r="T56" s="373"/>
      <c r="U56" s="373"/>
      <c r="V56" s="373"/>
      <c r="W56" s="373"/>
      <c r="X56" s="373"/>
      <c r="Y56" s="373"/>
      <c r="Z56" s="373"/>
      <c r="AA56" s="373"/>
      <c r="AB56" s="373"/>
      <c r="AC56" s="373"/>
      <c r="AD56" s="373"/>
      <c r="AE56" s="373"/>
      <c r="AF56" s="373"/>
      <c r="AG56" s="700"/>
      <c r="AH56" s="374"/>
    </row>
    <row r="57" spans="1:34" ht="255" hidden="1" x14ac:dyDescent="0.2">
      <c r="A57" s="658" t="s">
        <v>716</v>
      </c>
      <c r="B57" s="375" t="s">
        <v>570</v>
      </c>
      <c r="C57" s="375" t="s">
        <v>623</v>
      </c>
      <c r="D57" s="660" t="s">
        <v>720</v>
      </c>
      <c r="E57" s="660" t="s">
        <v>721</v>
      </c>
      <c r="F57" s="661" t="s">
        <v>573</v>
      </c>
      <c r="G57" s="661" t="s">
        <v>258</v>
      </c>
      <c r="H57" s="658" t="s">
        <v>453</v>
      </c>
      <c r="I57" s="373">
        <v>1</v>
      </c>
      <c r="J57" s="373">
        <v>5</v>
      </c>
      <c r="K57" s="373">
        <f>IF(ISNUMBER(I57),I57,)</f>
        <v>1</v>
      </c>
      <c r="L57" s="373">
        <f t="shared" si="23"/>
        <v>5</v>
      </c>
      <c r="M57" s="685">
        <f>IFERROR(IF(B57="funkcna poziadavka",VLOOKUP(G57,MODULY_CBA!$B$3:$E$23,4,0)*I57/SUMIFS($I$3:$I$105,$G$3:$G$105,G57,$B$3:$B$105,B57),),)</f>
        <v>4.666666666666667</v>
      </c>
      <c r="N57" s="373">
        <f>IFERROR(IF(B57="Funkcna poziadavka",VLOOKUP(G57,MODULY_CBA!$B$3:$E$23,3,0),),)</f>
        <v>1.2049999999999998</v>
      </c>
      <c r="O57" s="373">
        <f>IFERROR(IF(B57="funkcna poziadavka",VLOOKUP(G57,MODULY_CBA!$B$3:$E$23,2,0),),)</f>
        <v>0.99</v>
      </c>
      <c r="P57" s="686">
        <f t="shared" si="24"/>
        <v>11.53185</v>
      </c>
      <c r="Q57" s="686">
        <f>IFERROR(P57*VLOOKUP(G57,MODULY_CBA!$B$3:$F$23,5,0),)</f>
        <v>172.97775000000001</v>
      </c>
      <c r="R57" s="448" t="str">
        <f>IFERROR(VLOOKUP(G57,MODULY_CBA!$B$3:$I$23,6,0),"")</f>
        <v>Inkrement 1</v>
      </c>
      <c r="S57" s="373" t="s">
        <v>118</v>
      </c>
      <c r="T57" s="373" t="s">
        <v>118</v>
      </c>
      <c r="U57" s="373" t="s">
        <v>118</v>
      </c>
      <c r="V57" s="373" t="s">
        <v>118</v>
      </c>
      <c r="W57" s="373" t="s">
        <v>118</v>
      </c>
      <c r="X57" s="373" t="s">
        <v>118</v>
      </c>
      <c r="Y57" s="373" t="s">
        <v>118</v>
      </c>
      <c r="Z57" s="373" t="s">
        <v>118</v>
      </c>
      <c r="AA57" s="373" t="s">
        <v>118</v>
      </c>
      <c r="AB57" s="373" t="s">
        <v>118</v>
      </c>
      <c r="AC57" s="373" t="s">
        <v>118</v>
      </c>
      <c r="AD57" s="373" t="s">
        <v>118</v>
      </c>
      <c r="AE57" s="373" t="s">
        <v>118</v>
      </c>
      <c r="AF57" s="373" t="s">
        <v>118</v>
      </c>
      <c r="AG57" s="700"/>
      <c r="AH57" s="374"/>
    </row>
    <row r="58" spans="1:34" ht="60" hidden="1" x14ac:dyDescent="0.2">
      <c r="A58" s="658" t="s">
        <v>719</v>
      </c>
      <c r="B58" s="375" t="s">
        <v>570</v>
      </c>
      <c r="C58" s="375" t="s">
        <v>623</v>
      </c>
      <c r="D58" s="660" t="s">
        <v>723</v>
      </c>
      <c r="E58" s="660" t="s">
        <v>724</v>
      </c>
      <c r="F58" s="661" t="s">
        <v>573</v>
      </c>
      <c r="G58" s="661" t="s">
        <v>258</v>
      </c>
      <c r="H58" s="658" t="s">
        <v>453</v>
      </c>
      <c r="I58" s="373">
        <v>1</v>
      </c>
      <c r="J58" s="373">
        <v>5</v>
      </c>
      <c r="K58" s="373">
        <f>IF(ISNUMBER(I58),I58,)</f>
        <v>1</v>
      </c>
      <c r="L58" s="373">
        <f t="shared" si="23"/>
        <v>5</v>
      </c>
      <c r="M58" s="685">
        <f>IFERROR(IF(B58="funkcna poziadavka",VLOOKUP(G58,MODULY_CBA!$B$3:$E$23,4,0)*I58/SUMIFS($I$3:$I$105,$G$3:$G$105,G58,$B$3:$B$105,B58),),)</f>
        <v>4.666666666666667</v>
      </c>
      <c r="N58" s="373">
        <f>IFERROR(IF(B58="Funkcna poziadavka",VLOOKUP(G58,MODULY_CBA!$B$3:$E$23,3,0),),)</f>
        <v>1.2049999999999998</v>
      </c>
      <c r="O58" s="373">
        <f>IFERROR(IF(B58="funkcna poziadavka",VLOOKUP(G58,MODULY_CBA!$B$3:$E$23,2,0),),)</f>
        <v>0.99</v>
      </c>
      <c r="P58" s="686">
        <f t="shared" si="24"/>
        <v>11.53185</v>
      </c>
      <c r="Q58" s="686">
        <f>IFERROR(P58*VLOOKUP(G58,MODULY_CBA!$B$3:$F$23,5,0),)</f>
        <v>172.97775000000001</v>
      </c>
      <c r="R58" s="448" t="str">
        <f>IFERROR(VLOOKUP(G58,MODULY_CBA!$B$3:$I$23,6,0),"")</f>
        <v>Inkrement 1</v>
      </c>
      <c r="S58" s="373"/>
      <c r="T58" s="373"/>
      <c r="U58" s="373"/>
      <c r="V58" s="373"/>
      <c r="W58" s="373"/>
      <c r="X58" s="373"/>
      <c r="Y58" s="373"/>
      <c r="Z58" s="373"/>
      <c r="AA58" s="373"/>
      <c r="AB58" s="373"/>
      <c r="AC58" s="373"/>
      <c r="AD58" s="373"/>
      <c r="AE58" s="373"/>
      <c r="AF58" s="373"/>
      <c r="AG58" s="700"/>
      <c r="AH58" s="374"/>
    </row>
    <row r="59" spans="1:34" ht="45" hidden="1" x14ac:dyDescent="0.2">
      <c r="A59" s="658" t="s">
        <v>722</v>
      </c>
      <c r="B59" s="375" t="s">
        <v>570</v>
      </c>
      <c r="C59" s="375" t="s">
        <v>623</v>
      </c>
      <c r="D59" s="375" t="s">
        <v>726</v>
      </c>
      <c r="E59" s="660" t="s">
        <v>1297</v>
      </c>
      <c r="F59" s="661" t="s">
        <v>573</v>
      </c>
      <c r="G59" s="375" t="s">
        <v>252</v>
      </c>
      <c r="H59" s="375" t="s">
        <v>453</v>
      </c>
      <c r="I59" s="373">
        <v>1</v>
      </c>
      <c r="J59" s="373">
        <v>10</v>
      </c>
      <c r="K59" s="373">
        <f>IF(ISNUMBER(I59),I59,)</f>
        <v>1</v>
      </c>
      <c r="L59" s="373">
        <f t="shared" si="23"/>
        <v>10</v>
      </c>
      <c r="M59" s="685">
        <f>IFERROR(IF(B59="funkcna poziadavka",VLOOKUP(G59,MODULY_CBA!$B$3:$E$23,4,0)*I59/SUMIFS($I$3:$I$105,$G$3:$G$105,G59,$B$3:$B$105,B59),),)</f>
        <v>0.60869565217391308</v>
      </c>
      <c r="N59" s="373">
        <f>IFERROR(IF(B59="Funkcna poziadavka",VLOOKUP(G59,MODULY_CBA!$B$3:$E$23,3,0),),)</f>
        <v>1.2049999999999998</v>
      </c>
      <c r="O59" s="373">
        <f>IFERROR(IF(B59="funkcna poziadavka",VLOOKUP(G59,MODULY_CBA!$B$3:$E$23,2,0),),)</f>
        <v>0.99</v>
      </c>
      <c r="P59" s="686">
        <f t="shared" si="24"/>
        <v>12.655643478260869</v>
      </c>
      <c r="Q59" s="686">
        <f>IFERROR(P59*VLOOKUP(G59,MODULY_CBA!$B$3:$F$23,5,0),)</f>
        <v>379.66930434782608</v>
      </c>
      <c r="R59" s="448" t="str">
        <f>IFERROR(VLOOKUP(G59,MODULY_CBA!$B$3:$I$23,6,0),"")</f>
        <v>Inkrement 1</v>
      </c>
      <c r="S59" s="373"/>
      <c r="T59" s="373"/>
      <c r="U59" s="373"/>
      <c r="V59" s="373"/>
      <c r="W59" s="373"/>
      <c r="X59" s="373"/>
      <c r="Y59" s="373"/>
      <c r="Z59" s="373"/>
      <c r="AA59" s="373"/>
      <c r="AB59" s="373"/>
      <c r="AC59" s="373"/>
      <c r="AD59" s="373"/>
      <c r="AE59" s="373"/>
      <c r="AF59" s="373"/>
      <c r="AG59" s="700"/>
      <c r="AH59" s="374"/>
    </row>
    <row r="60" spans="1:34" ht="30" hidden="1" x14ac:dyDescent="0.2">
      <c r="A60" s="658" t="s">
        <v>725</v>
      </c>
      <c r="B60" s="375" t="s">
        <v>570</v>
      </c>
      <c r="C60" s="375" t="s">
        <v>616</v>
      </c>
      <c r="D60" s="375" t="s">
        <v>728</v>
      </c>
      <c r="E60" s="705" t="s">
        <v>729</v>
      </c>
      <c r="F60" s="661" t="s">
        <v>573</v>
      </c>
      <c r="G60" s="375" t="s">
        <v>247</v>
      </c>
      <c r="H60" s="375" t="s">
        <v>448</v>
      </c>
      <c r="I60" s="373">
        <v>1</v>
      </c>
      <c r="J60" s="373">
        <v>10</v>
      </c>
      <c r="K60" s="373"/>
      <c r="L60" s="373">
        <f t="shared" si="23"/>
        <v>10</v>
      </c>
      <c r="M60" s="685">
        <f>IFERROR(IF(B60="funkcna poziadavka",VLOOKUP(G60,MODULY_CBA!$B$3:$E$23,4,0)*I60/SUMIFS($I$3:$I$105,$G$3:$G$105,G60,$B$3:$B$105,B60),),)</f>
        <v>0.45</v>
      </c>
      <c r="N60" s="373">
        <f>IFERROR(IF(B60="Funkcna poziadavka",VLOOKUP(G60,MODULY_CBA!$B$3:$E$23,3,0),),)</f>
        <v>1.2049999999999998</v>
      </c>
      <c r="O60" s="373">
        <f>IFERROR(IF(B60="funkcna poziadavka",VLOOKUP(G60,MODULY_CBA!$B$3:$E$23,2,0),),)</f>
        <v>0.99</v>
      </c>
      <c r="P60" s="686">
        <f t="shared" si="24"/>
        <v>12.466327499999998</v>
      </c>
      <c r="Q60" s="686">
        <f>IFERROR(P60*VLOOKUP(G60,MODULY_CBA!$B$3:$F$23,5,0),)</f>
        <v>373.98982499999994</v>
      </c>
      <c r="R60" s="448" t="str">
        <f>IFERROR(VLOOKUP(G60,MODULY_CBA!$B$3:$I$23,6,0),"")</f>
        <v>Inkrement 1</v>
      </c>
      <c r="S60" s="373"/>
      <c r="T60" s="373"/>
      <c r="U60" s="373"/>
      <c r="V60" s="373"/>
      <c r="W60" s="373"/>
      <c r="X60" s="373"/>
      <c r="Y60" s="373"/>
      <c r="Z60" s="373"/>
      <c r="AA60" s="373"/>
      <c r="AB60" s="373"/>
      <c r="AC60" s="373"/>
      <c r="AD60" s="373"/>
      <c r="AE60" s="373"/>
      <c r="AF60" s="373"/>
      <c r="AG60" s="700"/>
      <c r="AH60" s="374"/>
    </row>
    <row r="61" spans="1:34" ht="30" hidden="1" x14ac:dyDescent="0.2">
      <c r="A61" s="658" t="s">
        <v>727</v>
      </c>
      <c r="B61" s="375" t="s">
        <v>570</v>
      </c>
      <c r="C61" s="375" t="s">
        <v>731</v>
      </c>
      <c r="D61" s="705" t="s">
        <v>732</v>
      </c>
      <c r="E61" s="705" t="s">
        <v>1276</v>
      </c>
      <c r="F61" s="661" t="s">
        <v>573</v>
      </c>
      <c r="G61" s="375" t="s">
        <v>247</v>
      </c>
      <c r="H61" s="375" t="s">
        <v>448</v>
      </c>
      <c r="I61" s="373">
        <v>1</v>
      </c>
      <c r="J61" s="373">
        <v>10</v>
      </c>
      <c r="K61" s="373"/>
      <c r="L61" s="373">
        <f t="shared" si="23"/>
        <v>10</v>
      </c>
      <c r="M61" s="685">
        <f>IFERROR(IF(B61="funkcna poziadavka",VLOOKUP(G61,MODULY_CBA!$B$3:$E$23,4,0)*I61/SUMIFS($I$3:$I$105,$G$3:$G$105,G61,$B$3:$B$105,B61),),)</f>
        <v>0.45</v>
      </c>
      <c r="N61" s="373">
        <f>IFERROR(IF(B61="Funkcna poziadavka",VLOOKUP(G61,MODULY_CBA!$B$3:$E$23,3,0),),)</f>
        <v>1.2049999999999998</v>
      </c>
      <c r="O61" s="373">
        <f>IFERROR(IF(B61="funkcna poziadavka",VLOOKUP(G61,MODULY_CBA!$B$3:$E$23,2,0),),)</f>
        <v>0.99</v>
      </c>
      <c r="P61" s="686">
        <f t="shared" si="24"/>
        <v>12.466327499999998</v>
      </c>
      <c r="Q61" s="686">
        <f>IFERROR(P61*VLOOKUP(G61,MODULY_CBA!$B$3:$F$23,5,0),)</f>
        <v>373.98982499999994</v>
      </c>
      <c r="R61" s="448" t="str">
        <f>IFERROR(VLOOKUP(G61,MODULY_CBA!$B$3:$I$23,6,0),"")</f>
        <v>Inkrement 1</v>
      </c>
      <c r="S61" s="373"/>
      <c r="T61" s="373"/>
      <c r="U61" s="373"/>
      <c r="V61" s="373"/>
      <c r="W61" s="373"/>
      <c r="X61" s="373"/>
      <c r="Y61" s="373"/>
      <c r="Z61" s="373"/>
      <c r="AA61" s="373"/>
      <c r="AB61" s="373"/>
      <c r="AC61" s="373"/>
      <c r="AD61" s="373"/>
      <c r="AE61" s="373"/>
      <c r="AF61" s="373"/>
      <c r="AG61" s="700"/>
      <c r="AH61" s="374"/>
    </row>
    <row r="62" spans="1:34" ht="45" hidden="1" x14ac:dyDescent="0.2">
      <c r="A62" s="658" t="s">
        <v>730</v>
      </c>
      <c r="B62" s="375" t="s">
        <v>570</v>
      </c>
      <c r="C62" s="375" t="s">
        <v>623</v>
      </c>
      <c r="D62" s="665" t="s">
        <v>734</v>
      </c>
      <c r="E62" s="666" t="s">
        <v>735</v>
      </c>
      <c r="F62" s="661" t="s">
        <v>573</v>
      </c>
      <c r="G62" s="375" t="s">
        <v>252</v>
      </c>
      <c r="H62" s="375" t="s">
        <v>448</v>
      </c>
      <c r="I62" s="373">
        <v>1</v>
      </c>
      <c r="J62" s="373">
        <v>10</v>
      </c>
      <c r="K62" s="373">
        <f t="shared" ref="K62:K67" si="27">IF(ISNUMBER(I62),I62,)</f>
        <v>1</v>
      </c>
      <c r="L62" s="373">
        <f t="shared" si="23"/>
        <v>10</v>
      </c>
      <c r="M62" s="685">
        <f>IFERROR(IF(B62="funkcna poziadavka",VLOOKUP(G62,MODULY_CBA!$B$3:$E$23,4,0)*I62/SUMIFS($I$3:$I$105,$G$3:$G$105,G62,$B$3:$B$105,B62),),)</f>
        <v>0.60869565217391308</v>
      </c>
      <c r="N62" s="373">
        <f>IFERROR(IF(B62="Funkcna poziadavka",VLOOKUP(G62,MODULY_CBA!$B$3:$E$23,3,0),),)</f>
        <v>1.2049999999999998</v>
      </c>
      <c r="O62" s="373">
        <f>IFERROR(IF(B62="funkcna poziadavka",VLOOKUP(G62,MODULY_CBA!$B$3:$E$23,2,0),),)</f>
        <v>0.99</v>
      </c>
      <c r="P62" s="686">
        <f t="shared" si="24"/>
        <v>12.655643478260869</v>
      </c>
      <c r="Q62" s="686">
        <f>IFERROR(P62*VLOOKUP(G62,MODULY_CBA!$B$3:$F$23,5,0),)</f>
        <v>379.66930434782608</v>
      </c>
      <c r="R62" s="448" t="str">
        <f>IFERROR(VLOOKUP(G62,MODULY_CBA!$B$3:$I$23,6,0),"")</f>
        <v>Inkrement 1</v>
      </c>
      <c r="S62" s="373"/>
      <c r="T62" s="373"/>
      <c r="U62" s="373"/>
      <c r="V62" s="373"/>
      <c r="W62" s="373"/>
      <c r="X62" s="373"/>
      <c r="Y62" s="373"/>
      <c r="Z62" s="373"/>
      <c r="AA62" s="373"/>
      <c r="AB62" s="373"/>
      <c r="AC62" s="373"/>
      <c r="AD62" s="373"/>
      <c r="AE62" s="373"/>
      <c r="AF62" s="373"/>
      <c r="AG62" s="700"/>
      <c r="AH62" s="374"/>
    </row>
    <row r="63" spans="1:34" ht="30" hidden="1" x14ac:dyDescent="0.2">
      <c r="A63" s="658" t="s">
        <v>733</v>
      </c>
      <c r="B63" s="375" t="s">
        <v>570</v>
      </c>
      <c r="C63" s="664" t="s">
        <v>623</v>
      </c>
      <c r="D63" s="664" t="s">
        <v>737</v>
      </c>
      <c r="E63" s="658" t="s">
        <v>738</v>
      </c>
      <c r="F63" s="661" t="s">
        <v>573</v>
      </c>
      <c r="G63" s="375" t="s">
        <v>252</v>
      </c>
      <c r="H63" s="375" t="s">
        <v>453</v>
      </c>
      <c r="I63" s="373">
        <v>1</v>
      </c>
      <c r="J63" s="373">
        <v>10</v>
      </c>
      <c r="K63" s="373"/>
      <c r="L63" s="373">
        <f t="shared" si="23"/>
        <v>10</v>
      </c>
      <c r="M63" s="685">
        <f>IFERROR(IF(B63="funkcna poziadavka",VLOOKUP(G63,MODULY_CBA!$B$3:$E$23,4,0)*I63/SUMIFS($I$3:$I$105,$G$3:$G$105,G63,$B$3:$B$105,B63),),)</f>
        <v>0.60869565217391308</v>
      </c>
      <c r="N63" s="373">
        <f>IFERROR(IF(B63="Funkcna poziadavka",VLOOKUP(G63,MODULY_CBA!$B$3:$E$23,3,0),),)</f>
        <v>1.2049999999999998</v>
      </c>
      <c r="O63" s="373">
        <f>IFERROR(IF(B63="funkcna poziadavka",VLOOKUP(G63,MODULY_CBA!$B$3:$E$23,2,0),),)</f>
        <v>0.99</v>
      </c>
      <c r="P63" s="686">
        <f t="shared" si="24"/>
        <v>12.655643478260869</v>
      </c>
      <c r="Q63" s="686">
        <f>IFERROR(P63*VLOOKUP(G63,MODULY_CBA!$B$3:$F$23,5,0),)</f>
        <v>379.66930434782608</v>
      </c>
      <c r="R63" s="448" t="str">
        <f>IFERROR(VLOOKUP(G63,MODULY_CBA!$B$3:$I$23,6,0),"")</f>
        <v>Inkrement 1</v>
      </c>
      <c r="S63" s="374"/>
      <c r="T63" s="374"/>
      <c r="U63" s="374"/>
      <c r="V63" s="374"/>
      <c r="W63" s="374"/>
      <c r="X63" s="374"/>
      <c r="Y63" s="374"/>
      <c r="Z63" s="374"/>
      <c r="AA63" s="374"/>
      <c r="AB63" s="374"/>
      <c r="AC63" s="374"/>
      <c r="AD63" s="374"/>
      <c r="AE63" s="374"/>
      <c r="AF63" s="374"/>
    </row>
    <row r="64" spans="1:34" ht="30" hidden="1" x14ac:dyDescent="0.2">
      <c r="A64" s="658" t="s">
        <v>736</v>
      </c>
      <c r="B64" s="375" t="s">
        <v>570</v>
      </c>
      <c r="C64" s="659" t="s">
        <v>623</v>
      </c>
      <c r="D64" s="664" t="s">
        <v>740</v>
      </c>
      <c r="E64" s="665" t="s">
        <v>741</v>
      </c>
      <c r="F64" s="661" t="s">
        <v>573</v>
      </c>
      <c r="G64" s="375" t="s">
        <v>252</v>
      </c>
      <c r="H64" s="375" t="s">
        <v>453</v>
      </c>
      <c r="I64" s="373">
        <v>1</v>
      </c>
      <c r="J64" s="373">
        <v>10</v>
      </c>
      <c r="K64" s="373">
        <f t="shared" si="27"/>
        <v>1</v>
      </c>
      <c r="L64" s="373">
        <f t="shared" si="23"/>
        <v>10</v>
      </c>
      <c r="M64" s="685">
        <f>IFERROR(IF(B64="funkcna poziadavka",VLOOKUP(G64,MODULY_CBA!$B$3:$E$23,4,0)*I64/SUMIFS($I$3:$I$105,$G$3:$G$105,G64,$B$3:$B$105,B64),),)</f>
        <v>0.60869565217391308</v>
      </c>
      <c r="N64" s="373">
        <f>IFERROR(IF(B64="Funkcna poziadavka",VLOOKUP(G64,MODULY_CBA!$B$3:$E$23,3,0),),)</f>
        <v>1.2049999999999998</v>
      </c>
      <c r="O64" s="373">
        <f>IFERROR(IF(B64="funkcna poziadavka",VLOOKUP(G64,MODULY_CBA!$B$3:$E$23,2,0),),)</f>
        <v>0.99</v>
      </c>
      <c r="P64" s="686">
        <f t="shared" si="24"/>
        <v>12.655643478260869</v>
      </c>
      <c r="Q64" s="686">
        <f>IFERROR(P64*VLOOKUP(G64,MODULY_CBA!$B$3:$F$23,5,0),)</f>
        <v>379.66930434782608</v>
      </c>
      <c r="R64" s="448" t="str">
        <f>IFERROR(VLOOKUP(G64,MODULY_CBA!$B$3:$I$23,6,0),"")</f>
        <v>Inkrement 1</v>
      </c>
      <c r="S64" s="373" t="s">
        <v>118</v>
      </c>
      <c r="T64" s="373" t="s">
        <v>118</v>
      </c>
      <c r="U64" s="373" t="s">
        <v>118</v>
      </c>
      <c r="V64" s="373" t="s">
        <v>118</v>
      </c>
      <c r="W64" s="373" t="s">
        <v>118</v>
      </c>
      <c r="X64" s="373" t="s">
        <v>118</v>
      </c>
      <c r="Y64" s="373" t="s">
        <v>118</v>
      </c>
      <c r="Z64" s="373" t="s">
        <v>118</v>
      </c>
      <c r="AA64" s="373" t="s">
        <v>118</v>
      </c>
      <c r="AB64" s="373" t="s">
        <v>118</v>
      </c>
      <c r="AC64" s="373" t="s">
        <v>118</v>
      </c>
      <c r="AD64" s="373" t="s">
        <v>118</v>
      </c>
      <c r="AE64" s="373" t="s">
        <v>118</v>
      </c>
      <c r="AF64" s="373" t="s">
        <v>118</v>
      </c>
    </row>
    <row r="65" spans="1:32" ht="30" hidden="1" x14ac:dyDescent="0.2">
      <c r="A65" s="658" t="s">
        <v>1278</v>
      </c>
      <c r="B65" s="375" t="s">
        <v>570</v>
      </c>
      <c r="C65" s="658" t="s">
        <v>623</v>
      </c>
      <c r="D65" s="664" t="s">
        <v>743</v>
      </c>
      <c r="E65" s="664" t="s">
        <v>744</v>
      </c>
      <c r="F65" s="661" t="s">
        <v>573</v>
      </c>
      <c r="G65" s="661" t="s">
        <v>258</v>
      </c>
      <c r="H65" s="375" t="s">
        <v>453</v>
      </c>
      <c r="I65" s="373">
        <v>1</v>
      </c>
      <c r="J65" s="373">
        <v>10</v>
      </c>
      <c r="K65" s="373">
        <f t="shared" si="27"/>
        <v>1</v>
      </c>
      <c r="L65" s="373">
        <f t="shared" si="23"/>
        <v>10</v>
      </c>
      <c r="M65" s="685">
        <f>IFERROR(IF(B65="funkcna poziadavka",VLOOKUP(G65,MODULY_CBA!$B$3:$E$23,4,0)*I65/SUMIFS($I$3:$I$105,$G$3:$G$105,G65,$B$3:$B$105,B65),),)</f>
        <v>4.666666666666667</v>
      </c>
      <c r="N65" s="373">
        <f>IFERROR(IF(B65="Funkcna poziadavka",VLOOKUP(G65,MODULY_CBA!$B$3:$E$23,3,0),),)</f>
        <v>1.2049999999999998</v>
      </c>
      <c r="O65" s="373">
        <f>IFERROR(IF(B65="funkcna poziadavka",VLOOKUP(G65,MODULY_CBA!$B$3:$E$23,2,0),),)</f>
        <v>0.99</v>
      </c>
      <c r="P65" s="686">
        <f t="shared" si="24"/>
        <v>17.496599999999997</v>
      </c>
      <c r="Q65" s="686">
        <f>IFERROR(P65*VLOOKUP(G65,MODULY_CBA!$B$3:$F$23,5,0),)</f>
        <v>262.44899999999996</v>
      </c>
      <c r="R65" s="448" t="str">
        <f>IFERROR(VLOOKUP(G65,MODULY_CBA!$B$3:$I$23,6,0),"")</f>
        <v>Inkrement 1</v>
      </c>
      <c r="S65" s="373"/>
      <c r="T65" s="373"/>
      <c r="U65" s="373"/>
      <c r="V65" s="373"/>
      <c r="W65" s="373"/>
      <c r="X65" s="373"/>
      <c r="Y65" s="373"/>
      <c r="Z65" s="373"/>
      <c r="AA65" s="373"/>
      <c r="AB65" s="373"/>
      <c r="AC65" s="373"/>
      <c r="AD65" s="373"/>
      <c r="AE65" s="373"/>
      <c r="AF65" s="373"/>
    </row>
    <row r="66" spans="1:32" ht="30" hidden="1" x14ac:dyDescent="0.2">
      <c r="A66" s="658" t="s">
        <v>1279</v>
      </c>
      <c r="B66" s="375" t="s">
        <v>570</v>
      </c>
      <c r="C66" s="659" t="s">
        <v>623</v>
      </c>
      <c r="D66" s="665" t="s">
        <v>746</v>
      </c>
      <c r="E66" s="662" t="s">
        <v>747</v>
      </c>
      <c r="F66" s="661" t="s">
        <v>573</v>
      </c>
      <c r="G66" s="375" t="s">
        <v>252</v>
      </c>
      <c r="H66" s="375" t="s">
        <v>453</v>
      </c>
      <c r="I66" s="373">
        <v>1</v>
      </c>
      <c r="J66" s="373">
        <v>10</v>
      </c>
      <c r="K66" s="373">
        <f t="shared" si="27"/>
        <v>1</v>
      </c>
      <c r="L66" s="373">
        <f t="shared" si="23"/>
        <v>10</v>
      </c>
      <c r="M66" s="685">
        <f>IFERROR(IF(B66="funkcna poziadavka",VLOOKUP(G66,MODULY_CBA!$B$3:$E$23,4,0)*I66/SUMIFS($I$3:$I$105,$G$3:$G$105,G66,$B$3:$B$105,B66),),)</f>
        <v>0.60869565217391308</v>
      </c>
      <c r="N66" s="373">
        <f>IFERROR(IF(B66="Funkcna poziadavka",VLOOKUP(G66,MODULY_CBA!$B$3:$E$23,3,0),),)</f>
        <v>1.2049999999999998</v>
      </c>
      <c r="O66" s="373">
        <f>IFERROR(IF(B66="funkcna poziadavka",VLOOKUP(G66,MODULY_CBA!$B$3:$E$23,2,0),),)</f>
        <v>0.99</v>
      </c>
      <c r="P66" s="686">
        <f t="shared" si="24"/>
        <v>12.655643478260869</v>
      </c>
      <c r="Q66" s="686">
        <f>IFERROR(P66*VLOOKUP(G66,MODULY_CBA!$B$3:$F$23,5,0),)</f>
        <v>379.66930434782608</v>
      </c>
      <c r="R66" s="448" t="str">
        <f>IFERROR(VLOOKUP(G66,MODULY_CBA!$B$3:$I$23,6,0),"")</f>
        <v>Inkrement 1</v>
      </c>
      <c r="S66" s="373" t="s">
        <v>118</v>
      </c>
      <c r="T66" s="373" t="s">
        <v>118</v>
      </c>
      <c r="U66" s="373" t="s">
        <v>118</v>
      </c>
      <c r="V66" s="373" t="s">
        <v>118</v>
      </c>
      <c r="W66" s="373" t="s">
        <v>118</v>
      </c>
      <c r="X66" s="373" t="s">
        <v>118</v>
      </c>
      <c r="Y66" s="373" t="s">
        <v>118</v>
      </c>
      <c r="Z66" s="373" t="s">
        <v>118</v>
      </c>
      <c r="AA66" s="373" t="s">
        <v>118</v>
      </c>
      <c r="AB66" s="373" t="s">
        <v>118</v>
      </c>
      <c r="AC66" s="373" t="s">
        <v>118</v>
      </c>
      <c r="AD66" s="373" t="s">
        <v>118</v>
      </c>
      <c r="AE66" s="373" t="s">
        <v>118</v>
      </c>
      <c r="AF66" s="373" t="s">
        <v>118</v>
      </c>
    </row>
    <row r="67" spans="1:32" ht="45" hidden="1" x14ac:dyDescent="0.2">
      <c r="A67" s="658" t="s">
        <v>739</v>
      </c>
      <c r="B67" s="375" t="s">
        <v>570</v>
      </c>
      <c r="C67" s="664" t="s">
        <v>623</v>
      </c>
      <c r="D67" s="665" t="s">
        <v>749</v>
      </c>
      <c r="E67" s="666" t="s">
        <v>750</v>
      </c>
      <c r="F67" s="661" t="s">
        <v>573</v>
      </c>
      <c r="G67" s="375" t="s">
        <v>252</v>
      </c>
      <c r="H67" s="375" t="s">
        <v>453</v>
      </c>
      <c r="I67" s="373">
        <v>1</v>
      </c>
      <c r="J67" s="373">
        <v>5</v>
      </c>
      <c r="K67" s="373">
        <f t="shared" si="27"/>
        <v>1</v>
      </c>
      <c r="L67" s="373">
        <f t="shared" si="23"/>
        <v>5</v>
      </c>
      <c r="M67" s="685">
        <f>IFERROR(IF(B67="funkcna poziadavka",VLOOKUP(G67,MODULY_CBA!$B$3:$E$23,4,0)*I67/SUMIFS($I$3:$I$105,$G$3:$G$105,G67,$B$3:$B$105,B67),),)</f>
        <v>0.60869565217391308</v>
      </c>
      <c r="N67" s="373">
        <f>IFERROR(IF(B67="Funkcna poziadavka",VLOOKUP(G67,MODULY_CBA!$B$3:$E$23,3,0),),)</f>
        <v>1.2049999999999998</v>
      </c>
      <c r="O67" s="373">
        <f>IFERROR(IF(B67="funkcna poziadavka",VLOOKUP(G67,MODULY_CBA!$B$3:$E$23,2,0),),)</f>
        <v>0.99</v>
      </c>
      <c r="P67" s="686">
        <f t="shared" si="24"/>
        <v>6.6908934782608691</v>
      </c>
      <c r="Q67" s="686">
        <f>IFERROR(P67*VLOOKUP(G67,MODULY_CBA!$B$3:$F$23,5,0),)</f>
        <v>200.72680434782606</v>
      </c>
      <c r="R67" s="448" t="str">
        <f>IFERROR(VLOOKUP(G67,MODULY_CBA!$B$3:$I$23,6,0),"")</f>
        <v>Inkrement 1</v>
      </c>
      <c r="S67" s="373" t="s">
        <v>118</v>
      </c>
      <c r="T67" s="373" t="s">
        <v>118</v>
      </c>
      <c r="U67" s="373" t="s">
        <v>118</v>
      </c>
      <c r="V67" s="373" t="s">
        <v>118</v>
      </c>
      <c r="W67" s="373" t="s">
        <v>118</v>
      </c>
      <c r="X67" s="373" t="s">
        <v>118</v>
      </c>
      <c r="Y67" s="373" t="s">
        <v>118</v>
      </c>
      <c r="Z67" s="373" t="s">
        <v>118</v>
      </c>
      <c r="AA67" s="373" t="s">
        <v>118</v>
      </c>
      <c r="AB67" s="373" t="s">
        <v>118</v>
      </c>
      <c r="AC67" s="373" t="s">
        <v>118</v>
      </c>
      <c r="AD67" s="373" t="s">
        <v>118</v>
      </c>
      <c r="AE67" s="373" t="s">
        <v>118</v>
      </c>
      <c r="AF67" s="373" t="s">
        <v>118</v>
      </c>
    </row>
    <row r="68" spans="1:32" ht="15" hidden="1" x14ac:dyDescent="0.2">
      <c r="A68" s="658" t="s">
        <v>742</v>
      </c>
      <c r="B68" s="375" t="s">
        <v>570</v>
      </c>
      <c r="C68" s="375" t="s">
        <v>623</v>
      </c>
      <c r="D68" s="375" t="s">
        <v>752</v>
      </c>
      <c r="E68" s="661" t="s">
        <v>753</v>
      </c>
      <c r="F68" s="661" t="s">
        <v>573</v>
      </c>
      <c r="G68" s="375" t="s">
        <v>250</v>
      </c>
      <c r="H68" s="375" t="s">
        <v>448</v>
      </c>
      <c r="I68" s="373">
        <v>1</v>
      </c>
      <c r="J68" s="373">
        <v>10</v>
      </c>
      <c r="K68" s="373"/>
      <c r="L68" s="373">
        <f t="shared" si="23"/>
        <v>10</v>
      </c>
      <c r="M68" s="685">
        <f>IFERROR(IF(B68="funkcna poziadavka",VLOOKUP(G68,MODULY_CBA!$B$3:$E$23,4,0)*I68/SUMIFS($I$3:$I$105,$G$3:$G$105,G68,$B$3:$B$105,B68),),)</f>
        <v>1.1666666666666667</v>
      </c>
      <c r="N68" s="373">
        <f>IFERROR(IF(B68="Funkcna poziadavka",VLOOKUP(G68,MODULY_CBA!$B$3:$E$23,3,0),),)</f>
        <v>1.2049999999999998</v>
      </c>
      <c r="O68" s="373">
        <f>IFERROR(IF(B68="funkcna poziadavka",VLOOKUP(G68,MODULY_CBA!$B$3:$E$23,2,0),),)</f>
        <v>0.99</v>
      </c>
      <c r="P68" s="686">
        <f t="shared" si="24"/>
        <v>13.321274999999998</v>
      </c>
      <c r="Q68" s="686">
        <f>IFERROR(P68*VLOOKUP(G68,MODULY_CBA!$B$3:$F$23,5,0),)</f>
        <v>399.63824999999997</v>
      </c>
      <c r="R68" s="448" t="str">
        <f>IFERROR(VLOOKUP(G68,MODULY_CBA!$B$3:$I$23,6,0),"")</f>
        <v>Inkrement 1</v>
      </c>
      <c r="S68" s="373"/>
      <c r="T68" s="373"/>
      <c r="U68" s="373"/>
      <c r="V68" s="373"/>
      <c r="W68" s="693"/>
      <c r="X68" s="373"/>
      <c r="Y68" s="373"/>
      <c r="Z68" s="373"/>
      <c r="AA68" s="373"/>
      <c r="AB68" s="373"/>
      <c r="AC68" s="373"/>
      <c r="AD68" s="373"/>
      <c r="AE68" s="373"/>
      <c r="AF68" s="373"/>
    </row>
    <row r="69" spans="1:32" ht="120" hidden="1" x14ac:dyDescent="0.2">
      <c r="A69" s="658" t="s">
        <v>745</v>
      </c>
      <c r="B69" s="375" t="s">
        <v>570</v>
      </c>
      <c r="C69" s="375" t="s">
        <v>623</v>
      </c>
      <c r="D69" s="660" t="s">
        <v>755</v>
      </c>
      <c r="E69" s="660" t="s">
        <v>756</v>
      </c>
      <c r="F69" s="661" t="s">
        <v>573</v>
      </c>
      <c r="G69" s="661" t="s">
        <v>252</v>
      </c>
      <c r="H69" s="375" t="s">
        <v>453</v>
      </c>
      <c r="I69" s="373">
        <v>1</v>
      </c>
      <c r="J69" s="373">
        <v>10</v>
      </c>
      <c r="K69" s="373">
        <f>IF(ISNUMBER(I69),I69,)</f>
        <v>1</v>
      </c>
      <c r="L69" s="373">
        <f t="shared" si="23"/>
        <v>10</v>
      </c>
      <c r="M69" s="685">
        <f>IFERROR(IF(B69="funkcna poziadavka",VLOOKUP(G69,MODULY_CBA!$B$3:$E$23,4,0)*I69/SUMIFS($I$3:$I$105,$G$3:$G$105,G69,$B$3:$B$105,B69),),)</f>
        <v>0.60869565217391308</v>
      </c>
      <c r="N69" s="373">
        <f>IFERROR(IF(B69="Funkcna poziadavka",VLOOKUP(G69,MODULY_CBA!$B$3:$E$23,3,0),),)</f>
        <v>1.2049999999999998</v>
      </c>
      <c r="O69" s="373">
        <f>IFERROR(IF(B69="funkcna poziadavka",VLOOKUP(G69,MODULY_CBA!$B$3:$E$23,2,0),),)</f>
        <v>0.99</v>
      </c>
      <c r="P69" s="686">
        <f t="shared" si="24"/>
        <v>12.655643478260869</v>
      </c>
      <c r="Q69" s="686">
        <f>IFERROR(P69*VLOOKUP(G69,MODULY_CBA!$B$3:$F$23,5,0),)</f>
        <v>379.66930434782608</v>
      </c>
      <c r="R69" s="448" t="str">
        <f>IFERROR(VLOOKUP(G69,MODULY_CBA!$B$3:$I$23,6,0),"")</f>
        <v>Inkrement 1</v>
      </c>
      <c r="S69" s="373"/>
      <c r="T69" s="373"/>
      <c r="U69" s="373"/>
      <c r="V69" s="373"/>
      <c r="W69" s="373"/>
      <c r="X69" s="373"/>
      <c r="Y69" s="373"/>
      <c r="Z69" s="373"/>
      <c r="AA69" s="373"/>
      <c r="AB69" s="373"/>
      <c r="AC69" s="373"/>
      <c r="AD69" s="373"/>
      <c r="AE69" s="373"/>
      <c r="AF69" s="373"/>
    </row>
    <row r="70" spans="1:32" ht="60" hidden="1" x14ac:dyDescent="0.2">
      <c r="A70" s="658" t="s">
        <v>748</v>
      </c>
      <c r="B70" s="375" t="s">
        <v>570</v>
      </c>
      <c r="C70" s="664" t="s">
        <v>623</v>
      </c>
      <c r="D70" s="375" t="s">
        <v>758</v>
      </c>
      <c r="E70" s="663" t="s">
        <v>759</v>
      </c>
      <c r="F70" s="661" t="s">
        <v>573</v>
      </c>
      <c r="G70" s="661" t="s">
        <v>260</v>
      </c>
      <c r="H70" s="375" t="s">
        <v>453</v>
      </c>
      <c r="I70" s="373">
        <v>1</v>
      </c>
      <c r="J70" s="373">
        <v>10</v>
      </c>
      <c r="K70" s="373">
        <f>IF(ISNUMBER(I70),I70,)</f>
        <v>1</v>
      </c>
      <c r="L70" s="373">
        <f t="shared" si="23"/>
        <v>10</v>
      </c>
      <c r="M70" s="685">
        <f>IFERROR(IF(B70="funkcna poziadavka",VLOOKUP(G70,MODULY_CBA!$B$3:$E$23,4,0)*I70/SUMIFS($I$3:$I$105,$G$3:$G$105,G70,$B$3:$B$105,B70),),)</f>
        <v>2.3333333333333335</v>
      </c>
      <c r="N70" s="373">
        <f>IFERROR(IF(B70="Funkcna poziadavka",VLOOKUP(G70,MODULY_CBA!$B$3:$E$23,3,0),),)</f>
        <v>1.2049999999999998</v>
      </c>
      <c r="O70" s="373">
        <f>IFERROR(IF(B70="funkcna poziadavka",VLOOKUP(G70,MODULY_CBA!$B$3:$E$23,2,0),),)</f>
        <v>0.99</v>
      </c>
      <c r="P70" s="686">
        <f t="shared" si="24"/>
        <v>14.713049999999999</v>
      </c>
      <c r="Q70" s="686">
        <f>IFERROR(P70*VLOOKUP(G70,MODULY_CBA!$B$3:$F$23,5,0),)</f>
        <v>220.69574999999998</v>
      </c>
      <c r="R70" s="448" t="str">
        <f>IFERROR(VLOOKUP(G70,MODULY_CBA!$B$3:$I$23,6,0),"")</f>
        <v>Inkrement 1</v>
      </c>
      <c r="S70" s="373"/>
      <c r="T70" s="373"/>
      <c r="U70" s="373"/>
      <c r="V70" s="373"/>
      <c r="W70" s="373"/>
      <c r="X70" s="373"/>
      <c r="Y70" s="373"/>
      <c r="Z70" s="373"/>
      <c r="AA70" s="373"/>
      <c r="AB70" s="373"/>
      <c r="AC70" s="373"/>
      <c r="AD70" s="373"/>
      <c r="AE70" s="373"/>
      <c r="AF70" s="373"/>
    </row>
    <row r="71" spans="1:32" ht="30" hidden="1" x14ac:dyDescent="0.2">
      <c r="A71" s="658" t="s">
        <v>751</v>
      </c>
      <c r="B71" s="375" t="s">
        <v>570</v>
      </c>
      <c r="C71" s="659" t="s">
        <v>623</v>
      </c>
      <c r="D71" s="375" t="s">
        <v>761</v>
      </c>
      <c r="E71" s="375" t="s">
        <v>762</v>
      </c>
      <c r="F71" s="661" t="s">
        <v>573</v>
      </c>
      <c r="G71" s="661" t="s">
        <v>252</v>
      </c>
      <c r="H71" s="375" t="s">
        <v>453</v>
      </c>
      <c r="I71" s="373">
        <v>1</v>
      </c>
      <c r="J71" s="373">
        <v>5</v>
      </c>
      <c r="K71" s="373"/>
      <c r="L71" s="373">
        <f t="shared" si="23"/>
        <v>5</v>
      </c>
      <c r="M71" s="685">
        <f>IFERROR(IF(B71="funkcna poziadavka",VLOOKUP(G71,MODULY_CBA!$B$3:$E$23,4,0)*I71/SUMIFS($I$3:$I$105,$G$3:$G$105,G71,$B$3:$B$105,B71),),)</f>
        <v>0.60869565217391308</v>
      </c>
      <c r="N71" s="373">
        <f>IFERROR(IF(B71="Funkcna poziadavka",VLOOKUP(G71,MODULY_CBA!$B$3:$E$23,3,0),),)</f>
        <v>1.2049999999999998</v>
      </c>
      <c r="O71" s="373">
        <f>IFERROR(IF(B71="funkcna poziadavka",VLOOKUP(G71,MODULY_CBA!$B$3:$E$23,2,0),),)</f>
        <v>0.99</v>
      </c>
      <c r="P71" s="686">
        <f t="shared" si="24"/>
        <v>6.6908934782608691</v>
      </c>
      <c r="Q71" s="686">
        <f>IFERROR(P71*VLOOKUP(G71,MODULY_CBA!$B$3:$F$23,5,0),)</f>
        <v>200.72680434782606</v>
      </c>
      <c r="R71" s="448" t="str">
        <f>IFERROR(VLOOKUP(G71,MODULY_CBA!$B$3:$I$23,6,0),"")</f>
        <v>Inkrement 1</v>
      </c>
      <c r="S71" s="373"/>
      <c r="T71" s="373"/>
      <c r="U71" s="373"/>
      <c r="V71" s="373"/>
      <c r="W71" s="373"/>
      <c r="X71" s="373"/>
      <c r="Y71" s="373"/>
      <c r="Z71" s="373"/>
      <c r="AA71" s="373"/>
      <c r="AB71" s="373"/>
      <c r="AC71" s="373"/>
      <c r="AD71" s="373"/>
      <c r="AE71" s="373"/>
      <c r="AF71" s="373"/>
    </row>
    <row r="72" spans="1:32" ht="30" hidden="1" x14ac:dyDescent="0.2">
      <c r="A72" s="658" t="s">
        <v>754</v>
      </c>
      <c r="B72" s="375" t="s">
        <v>570</v>
      </c>
      <c r="C72" s="375" t="s">
        <v>764</v>
      </c>
      <c r="D72" s="375" t="s">
        <v>765</v>
      </c>
      <c r="E72" s="665" t="s">
        <v>492</v>
      </c>
      <c r="F72" s="661" t="s">
        <v>573</v>
      </c>
      <c r="G72" s="661" t="s">
        <v>254</v>
      </c>
      <c r="H72" s="375" t="s">
        <v>455</v>
      </c>
      <c r="I72" s="373">
        <v>1</v>
      </c>
      <c r="J72" s="373">
        <v>10</v>
      </c>
      <c r="K72" s="373"/>
      <c r="L72" s="373"/>
      <c r="M72" s="685"/>
      <c r="N72" s="373"/>
      <c r="O72" s="373"/>
      <c r="P72" s="686"/>
      <c r="Q72" s="686"/>
      <c r="R72" s="448"/>
      <c r="S72" s="373"/>
      <c r="T72" s="373"/>
      <c r="U72" s="373"/>
      <c r="V72" s="373"/>
      <c r="W72" s="373"/>
      <c r="X72" s="373"/>
      <c r="Y72" s="373"/>
      <c r="Z72" s="373"/>
      <c r="AA72" s="373"/>
      <c r="AB72" s="373"/>
      <c r="AC72" s="373"/>
      <c r="AD72" s="373"/>
      <c r="AE72" s="373"/>
      <c r="AF72" s="373"/>
    </row>
    <row r="73" spans="1:32" ht="409" hidden="1" customHeight="1" x14ac:dyDescent="0.2">
      <c r="A73" s="658" t="s">
        <v>757</v>
      </c>
      <c r="B73" s="375" t="s">
        <v>570</v>
      </c>
      <c r="C73" s="375" t="s">
        <v>764</v>
      </c>
      <c r="D73" s="375" t="s">
        <v>765</v>
      </c>
      <c r="E73" s="665" t="s">
        <v>767</v>
      </c>
      <c r="F73" s="661" t="s">
        <v>573</v>
      </c>
      <c r="G73" s="661" t="s">
        <v>254</v>
      </c>
      <c r="H73" s="375" t="s">
        <v>455</v>
      </c>
      <c r="I73" s="373">
        <v>37</v>
      </c>
      <c r="J73" s="373">
        <v>5</v>
      </c>
      <c r="K73" s="373"/>
      <c r="L73" s="373">
        <f t="shared" ref="L73" si="28">I73*J73</f>
        <v>185</v>
      </c>
      <c r="M73" s="685">
        <f>IFERROR(IF(B73="funkcna poziadavka",VLOOKUP(G73,MODULY_CBA!$B$3:$E$23,4,0)*I73/SUMIFS($I$3:$I$105,$G$3:$G$105,G73,$B$3:$B$105,B73),),)</f>
        <v>10.156862745098039</v>
      </c>
      <c r="N73" s="373">
        <f>IFERROR(IF(B73="Funkcna poziadavka",VLOOKUP(G73,MODULY_CBA!$B$3:$E$23,3,0),),)</f>
        <v>1.2049999999999998</v>
      </c>
      <c r="O73" s="373">
        <f>IFERROR(IF(B73="funkcna poziadavka",VLOOKUP(G73,MODULY_CBA!$B$3:$E$23,2,0),),)</f>
        <v>0.99</v>
      </c>
      <c r="P73" s="686">
        <f t="shared" ref="P73" si="29">(L73+M73)*N73*O73</f>
        <v>232.81237941176468</v>
      </c>
      <c r="Q73" s="686">
        <f>IFERROR(P73*VLOOKUP(G73,MODULY_CBA!$B$3:$F$23,5,0),)</f>
        <v>3492.1856911764703</v>
      </c>
      <c r="R73" s="448" t="str">
        <f>IFERROR(VLOOKUP(G73,MODULY_CBA!$B$3:$I$23,6,0),"")</f>
        <v>Inkrement 1</v>
      </c>
      <c r="S73" s="373"/>
      <c r="T73" s="373"/>
      <c r="U73" s="373"/>
      <c r="V73" s="373"/>
      <c r="W73" s="373"/>
      <c r="X73" s="373"/>
      <c r="Y73" s="373"/>
      <c r="Z73" s="373"/>
      <c r="AA73" s="373"/>
      <c r="AB73" s="373"/>
      <c r="AC73" s="373"/>
      <c r="AD73" s="373"/>
      <c r="AE73" s="373"/>
      <c r="AF73" s="373"/>
    </row>
    <row r="74" spans="1:32" ht="30" hidden="1" x14ac:dyDescent="0.2">
      <c r="A74" s="658" t="s">
        <v>760</v>
      </c>
      <c r="B74" s="375" t="s">
        <v>570</v>
      </c>
      <c r="C74" s="660" t="s">
        <v>731</v>
      </c>
      <c r="D74" s="660" t="s">
        <v>769</v>
      </c>
      <c r="E74" s="660" t="s">
        <v>770</v>
      </c>
      <c r="F74" s="661" t="s">
        <v>573</v>
      </c>
      <c r="G74" s="661" t="s">
        <v>254</v>
      </c>
      <c r="H74" s="658" t="s">
        <v>448</v>
      </c>
      <c r="I74" s="373">
        <v>1</v>
      </c>
      <c r="J74" s="373">
        <v>10</v>
      </c>
      <c r="K74" s="373">
        <f>IF(ISNUMBER(I74),I74,)</f>
        <v>1</v>
      </c>
      <c r="L74" s="373">
        <f t="shared" ref="L74:L113" si="30">I74*J74</f>
        <v>10</v>
      </c>
      <c r="M74" s="685">
        <f>IFERROR(IF(B74="funkcna poziadavka",VLOOKUP(G74,MODULY_CBA!$B$3:$E$23,4,0)*I74/SUMIFS($I$3:$I$105,$G$3:$G$105,G74,$B$3:$B$105,B74),),)</f>
        <v>0.27450980392156865</v>
      </c>
      <c r="N74" s="373">
        <f>IFERROR(IF(B74="Funkcna poziadavka",VLOOKUP(G74,MODULY_CBA!$B$3:$E$23,3,0),),)</f>
        <v>1.2049999999999998</v>
      </c>
      <c r="O74" s="373">
        <f>IFERROR(IF(B74="funkcna poziadavka",VLOOKUP(G74,MODULY_CBA!$B$3:$E$23,2,0),),)</f>
        <v>0.99</v>
      </c>
      <c r="P74" s="686">
        <f t="shared" ref="P74:P113" si="31">(L74+M74)*N74*O74</f>
        <v>12.256976470588235</v>
      </c>
      <c r="Q74" s="686">
        <f>IFERROR(P74*VLOOKUP(G74,MODULY_CBA!$B$3:$F$23,5,0),)</f>
        <v>183.85464705882353</v>
      </c>
      <c r="R74" s="448" t="str">
        <f>IFERROR(VLOOKUP(G74,MODULY_CBA!$B$3:$I$23,6,0),"")</f>
        <v>Inkrement 1</v>
      </c>
      <c r="S74" s="373"/>
      <c r="T74" s="373"/>
      <c r="U74" s="373"/>
      <c r="V74" s="373"/>
      <c r="W74" s="373"/>
      <c r="X74" s="373"/>
      <c r="Y74" s="373"/>
      <c r="Z74" s="373"/>
      <c r="AA74" s="373"/>
      <c r="AB74" s="373"/>
      <c r="AC74" s="373"/>
      <c r="AD74" s="373"/>
      <c r="AE74" s="373"/>
      <c r="AF74" s="373"/>
    </row>
    <row r="75" spans="1:32" ht="45" hidden="1" x14ac:dyDescent="0.2">
      <c r="A75" s="658" t="s">
        <v>763</v>
      </c>
      <c r="B75" s="375" t="s">
        <v>570</v>
      </c>
      <c r="C75" s="660" t="s">
        <v>571</v>
      </c>
      <c r="D75" s="660" t="s">
        <v>772</v>
      </c>
      <c r="E75" s="660" t="s">
        <v>773</v>
      </c>
      <c r="F75" s="661" t="s">
        <v>573</v>
      </c>
      <c r="G75" s="661" t="s">
        <v>256</v>
      </c>
      <c r="H75" s="375" t="s">
        <v>453</v>
      </c>
      <c r="I75" s="373">
        <v>1</v>
      </c>
      <c r="J75" s="373">
        <v>10</v>
      </c>
      <c r="K75" s="373">
        <f>IF(ISNUMBER(I75),I75,)</f>
        <v>1</v>
      </c>
      <c r="L75" s="373">
        <f t="shared" si="30"/>
        <v>10</v>
      </c>
      <c r="M75" s="685">
        <f>IFERROR(IF(B75="funkcna poziadavka",VLOOKUP(G75,MODULY_CBA!$B$3:$E$23,4,0)*I75/SUMIFS($I$3:$I$105,$G$3:$G$105,G75,$B$3:$B$105,B75),),)</f>
        <v>2.3333333333333335</v>
      </c>
      <c r="N75" s="373">
        <f>IFERROR(IF(B75="Funkcna poziadavka",VLOOKUP(G75,MODULY_CBA!$B$3:$E$23,3,0),),)</f>
        <v>1.2049999999999998</v>
      </c>
      <c r="O75" s="373">
        <f>IFERROR(IF(B75="funkcna poziadavka",VLOOKUP(G75,MODULY_CBA!$B$3:$E$23,2,0),),)</f>
        <v>0.99</v>
      </c>
      <c r="P75" s="686">
        <f t="shared" si="31"/>
        <v>14.713049999999999</v>
      </c>
      <c r="Q75" s="686">
        <f>IFERROR(P75*VLOOKUP(G75,MODULY_CBA!$B$3:$F$23,5,0),)</f>
        <v>294.26099999999997</v>
      </c>
      <c r="R75" s="448" t="str">
        <f>IFERROR(VLOOKUP(G75,MODULY_CBA!$B$3:$I$23,6,0),"")</f>
        <v>Inkrement 1</v>
      </c>
      <c r="S75" s="373"/>
      <c r="T75" s="373"/>
      <c r="U75" s="373"/>
      <c r="V75" s="373"/>
      <c r="W75" s="373"/>
      <c r="X75" s="373"/>
      <c r="Y75" s="373"/>
      <c r="Z75" s="373"/>
      <c r="AA75" s="373"/>
      <c r="AB75" s="373"/>
      <c r="AC75" s="373"/>
      <c r="AD75" s="373"/>
      <c r="AE75" s="373"/>
      <c r="AF75" s="373"/>
    </row>
    <row r="76" spans="1:32" ht="30" hidden="1" x14ac:dyDescent="0.2">
      <c r="A76" s="658" t="s">
        <v>766</v>
      </c>
      <c r="B76" s="375" t="s">
        <v>570</v>
      </c>
      <c r="C76" s="660" t="s">
        <v>571</v>
      </c>
      <c r="D76" s="660" t="s">
        <v>775</v>
      </c>
      <c r="E76" s="660" t="s">
        <v>776</v>
      </c>
      <c r="F76" s="661" t="s">
        <v>573</v>
      </c>
      <c r="G76" s="661" t="s">
        <v>260</v>
      </c>
      <c r="H76" s="375" t="s">
        <v>453</v>
      </c>
      <c r="I76" s="373">
        <v>1</v>
      </c>
      <c r="J76" s="373">
        <v>5</v>
      </c>
      <c r="K76" s="373">
        <f>IF(ISNUMBER(I76),I76,)</f>
        <v>1</v>
      </c>
      <c r="L76" s="373">
        <f t="shared" si="30"/>
        <v>5</v>
      </c>
      <c r="M76" s="685">
        <f>IFERROR(IF(B76="funkcna poziadavka",VLOOKUP(G76,MODULY_CBA!$B$3:$E$23,4,0)*I76/SUMIFS($I$3:$I$105,$G$3:$G$105,G76,$B$3:$B$105,B76),),)</f>
        <v>2.3333333333333335</v>
      </c>
      <c r="N76" s="373">
        <f>IFERROR(IF(B76="Funkcna poziadavka",VLOOKUP(G76,MODULY_CBA!$B$3:$E$23,3,0),),)</f>
        <v>1.2049999999999998</v>
      </c>
      <c r="O76" s="373">
        <f>IFERROR(IF(B76="funkcna poziadavka",VLOOKUP(G76,MODULY_CBA!$B$3:$E$23,2,0),),)</f>
        <v>0.99</v>
      </c>
      <c r="P76" s="686">
        <f t="shared" si="31"/>
        <v>8.7482999999999986</v>
      </c>
      <c r="Q76" s="686">
        <f>IFERROR(P76*VLOOKUP(G76,MODULY_CBA!$B$3:$F$23,5,0),)</f>
        <v>131.22449999999998</v>
      </c>
      <c r="R76" s="448" t="str">
        <f>IFERROR(VLOOKUP(G76,MODULY_CBA!$B$3:$I$23,6,0),"")</f>
        <v>Inkrement 1</v>
      </c>
      <c r="S76" s="373"/>
      <c r="T76" s="373"/>
      <c r="U76" s="373"/>
      <c r="V76" s="373"/>
      <c r="W76" s="373"/>
      <c r="X76" s="373"/>
      <c r="Y76" s="373"/>
      <c r="Z76" s="373"/>
      <c r="AA76" s="373"/>
      <c r="AB76" s="373"/>
      <c r="AC76" s="373"/>
      <c r="AD76" s="373"/>
      <c r="AE76" s="373"/>
      <c r="AF76" s="373"/>
    </row>
    <row r="77" spans="1:32" ht="30" hidden="1" x14ac:dyDescent="0.2">
      <c r="A77" s="658" t="s">
        <v>768</v>
      </c>
      <c r="B77" s="375" t="s">
        <v>570</v>
      </c>
      <c r="C77" s="375" t="s">
        <v>778</v>
      </c>
      <c r="D77" s="375" t="s">
        <v>779</v>
      </c>
      <c r="E77" s="702" t="s">
        <v>780</v>
      </c>
      <c r="F77" s="661" t="s">
        <v>573</v>
      </c>
      <c r="G77" s="375" t="s">
        <v>260</v>
      </c>
      <c r="H77" s="375" t="s">
        <v>456</v>
      </c>
      <c r="I77" s="373">
        <v>1</v>
      </c>
      <c r="J77" s="373">
        <v>5</v>
      </c>
      <c r="K77" s="373">
        <f>IF(ISNUMBER(I77),I77,)</f>
        <v>1</v>
      </c>
      <c r="L77" s="373">
        <f t="shared" si="30"/>
        <v>5</v>
      </c>
      <c r="M77" s="685">
        <f>IFERROR(IF(B77="funkcna poziadavka",VLOOKUP(G77,MODULY_CBA!$B$3:$E$23,4,0)*I77/SUMIFS($I$3:$I$105,$G$3:$G$105,G77,$B$3:$B$105,B77),),)</f>
        <v>2.3333333333333335</v>
      </c>
      <c r="N77" s="373">
        <f>IFERROR(IF(B77="Funkcna poziadavka",VLOOKUP(G77,MODULY_CBA!$B$3:$E$23,3,0),),)</f>
        <v>1.2049999999999998</v>
      </c>
      <c r="O77" s="373">
        <f>IFERROR(IF(B77="funkcna poziadavka",VLOOKUP(G77,MODULY_CBA!$B$3:$E$23,2,0),),)</f>
        <v>0.99</v>
      </c>
      <c r="P77" s="686">
        <f t="shared" si="31"/>
        <v>8.7482999999999986</v>
      </c>
      <c r="Q77" s="686">
        <f>IFERROR(P77*VLOOKUP(G77,MODULY_CBA!$B$3:$F$23,5,0),)</f>
        <v>131.22449999999998</v>
      </c>
      <c r="R77" s="448" t="str">
        <f>IFERROR(VLOOKUP(G77,MODULY_CBA!$B$3:$I$23,6,0),"")</f>
        <v>Inkrement 1</v>
      </c>
      <c r="S77" s="373"/>
      <c r="T77" s="373"/>
      <c r="U77" s="373"/>
      <c r="V77" s="373"/>
      <c r="W77" s="373"/>
      <c r="X77" s="373"/>
      <c r="Y77" s="373"/>
      <c r="Z77" s="373"/>
      <c r="AA77" s="373"/>
      <c r="AB77" s="373"/>
      <c r="AC77" s="373"/>
      <c r="AD77" s="373"/>
      <c r="AE77" s="373"/>
      <c r="AF77" s="373"/>
    </row>
    <row r="78" spans="1:32" ht="30" hidden="1" x14ac:dyDescent="0.2">
      <c r="A78" s="658" t="s">
        <v>771</v>
      </c>
      <c r="B78" s="375" t="s">
        <v>570</v>
      </c>
      <c r="C78" s="375" t="s">
        <v>778</v>
      </c>
      <c r="D78" s="375" t="s">
        <v>779</v>
      </c>
      <c r="E78" s="702" t="s">
        <v>782</v>
      </c>
      <c r="F78" s="661" t="s">
        <v>573</v>
      </c>
      <c r="G78" s="375" t="s">
        <v>260</v>
      </c>
      <c r="H78" s="375" t="s">
        <v>456</v>
      </c>
      <c r="I78" s="373">
        <v>1</v>
      </c>
      <c r="J78" s="373">
        <v>5</v>
      </c>
      <c r="K78" s="373"/>
      <c r="L78" s="373">
        <f t="shared" si="30"/>
        <v>5</v>
      </c>
      <c r="M78" s="685">
        <f>IFERROR(IF(B78="funkcna poziadavka",VLOOKUP(G78,MODULY_CBA!$B$3:$E$23,4,0)*I78/SUMIFS($I$3:$I$105,$G$3:$G$105,G78,$B$3:$B$105,B78),),)</f>
        <v>2.3333333333333335</v>
      </c>
      <c r="N78" s="373">
        <f>IFERROR(IF(B78="Funkcna poziadavka",VLOOKUP(G78,MODULY_CBA!$B$3:$E$23,3,0),),)</f>
        <v>1.2049999999999998</v>
      </c>
      <c r="O78" s="373">
        <f>IFERROR(IF(B78="funkcna poziadavka",VLOOKUP(G78,MODULY_CBA!$B$3:$E$23,2,0),),)</f>
        <v>0.99</v>
      </c>
      <c r="P78" s="686">
        <f t="shared" si="31"/>
        <v>8.7482999999999986</v>
      </c>
      <c r="Q78" s="686">
        <f>IFERROR(P78*VLOOKUP(G78,MODULY_CBA!$B$3:$F$23,5,0),)</f>
        <v>131.22449999999998</v>
      </c>
      <c r="R78" s="448" t="str">
        <f>IFERROR(VLOOKUP(G78,MODULY_CBA!$B$3:$I$23,6,0),"")</f>
        <v>Inkrement 1</v>
      </c>
      <c r="S78" s="373"/>
      <c r="T78" s="373"/>
      <c r="U78" s="373"/>
      <c r="V78" s="373"/>
      <c r="W78" s="373"/>
      <c r="X78" s="373"/>
      <c r="Y78" s="373"/>
      <c r="Z78" s="373"/>
      <c r="AA78" s="373"/>
      <c r="AB78" s="373"/>
      <c r="AC78" s="373"/>
      <c r="AD78" s="373"/>
      <c r="AE78" s="373"/>
      <c r="AF78" s="373"/>
    </row>
    <row r="79" spans="1:32" ht="135" hidden="1" x14ac:dyDescent="0.2">
      <c r="A79" s="658" t="s">
        <v>774</v>
      </c>
      <c r="B79" s="375" t="s">
        <v>570</v>
      </c>
      <c r="C79" s="375" t="s">
        <v>778</v>
      </c>
      <c r="D79" s="375" t="s">
        <v>784</v>
      </c>
      <c r="E79" s="661" t="s">
        <v>785</v>
      </c>
      <c r="F79" s="661" t="s">
        <v>573</v>
      </c>
      <c r="G79" s="375" t="s">
        <v>260</v>
      </c>
      <c r="H79" s="375" t="s">
        <v>456</v>
      </c>
      <c r="I79" s="373">
        <v>1</v>
      </c>
      <c r="J79" s="373">
        <v>5</v>
      </c>
      <c r="K79" s="373"/>
      <c r="L79" s="373">
        <f t="shared" si="30"/>
        <v>5</v>
      </c>
      <c r="M79" s="685">
        <f>IFERROR(IF(B79="funkcna poziadavka",VLOOKUP(G79,MODULY_CBA!$B$3:$E$23,4,0)*I79/SUMIFS($I$3:$I$105,$G$3:$G$105,G79,$B$3:$B$105,B79),),)</f>
        <v>2.3333333333333335</v>
      </c>
      <c r="N79" s="373">
        <f>IFERROR(IF(B79="Funkcna poziadavka",VLOOKUP(G79,MODULY_CBA!$B$3:$E$23,3,0),),)</f>
        <v>1.2049999999999998</v>
      </c>
      <c r="O79" s="373">
        <f>IFERROR(IF(B79="funkcna poziadavka",VLOOKUP(G79,MODULY_CBA!$B$3:$E$23,2,0),),)</f>
        <v>0.99</v>
      </c>
      <c r="P79" s="686">
        <f t="shared" si="31"/>
        <v>8.7482999999999986</v>
      </c>
      <c r="Q79" s="686">
        <f>IFERROR(P79*VLOOKUP(G79,MODULY_CBA!$B$3:$F$23,5,0),)</f>
        <v>131.22449999999998</v>
      </c>
      <c r="R79" s="448" t="str">
        <f>IFERROR(VLOOKUP(G79,MODULY_CBA!$B$3:$I$23,6,0),"")</f>
        <v>Inkrement 1</v>
      </c>
      <c r="S79" s="373"/>
      <c r="T79" s="373"/>
      <c r="U79" s="373"/>
      <c r="V79" s="373"/>
      <c r="W79" s="373"/>
      <c r="X79" s="373"/>
      <c r="Y79" s="373"/>
      <c r="Z79" s="373"/>
      <c r="AA79" s="373"/>
      <c r="AB79" s="373"/>
      <c r="AC79" s="373"/>
      <c r="AD79" s="373"/>
      <c r="AE79" s="373"/>
      <c r="AF79" s="373"/>
    </row>
    <row r="80" spans="1:32" ht="30" hidden="1" x14ac:dyDescent="0.2">
      <c r="A80" s="658" t="s">
        <v>777</v>
      </c>
      <c r="B80" s="661" t="s">
        <v>570</v>
      </c>
      <c r="C80" s="661" t="s">
        <v>623</v>
      </c>
      <c r="D80" s="661" t="s">
        <v>787</v>
      </c>
      <c r="E80" s="661" t="s">
        <v>788</v>
      </c>
      <c r="F80" s="661" t="s">
        <v>573</v>
      </c>
      <c r="G80" s="661" t="s">
        <v>252</v>
      </c>
      <c r="H80" s="375" t="s">
        <v>448</v>
      </c>
      <c r="I80" s="373">
        <v>1</v>
      </c>
      <c r="J80" s="373">
        <v>15</v>
      </c>
      <c r="K80" s="373"/>
      <c r="L80" s="373">
        <f t="shared" si="30"/>
        <v>15</v>
      </c>
      <c r="M80" s="685">
        <f>IFERROR(IF(B80="funkcna poziadavka",VLOOKUP(G80,MODULY_CBA!$B$3:$E$23,4,0)*I80/SUMIFS($I$3:$I$105,$G$3:$G$105,G80,$B$3:$B$105,B80),),)</f>
        <v>0.60869565217391308</v>
      </c>
      <c r="N80" s="373">
        <f>IFERROR(IF(B80="Funkcna poziadavka",VLOOKUP(G80,MODULY_CBA!$B$3:$E$23,3,0),),)</f>
        <v>1.2049999999999998</v>
      </c>
      <c r="O80" s="373">
        <f>IFERROR(IF(B80="funkcna poziadavka",VLOOKUP(G80,MODULY_CBA!$B$3:$E$23,2,0),),)</f>
        <v>0.99</v>
      </c>
      <c r="P80" s="686">
        <f t="shared" si="31"/>
        <v>18.620393478260869</v>
      </c>
      <c r="Q80" s="686">
        <f>IFERROR(P80*VLOOKUP(G80,MODULY_CBA!$B$3:$F$23,5,0),)</f>
        <v>558.61180434782602</v>
      </c>
      <c r="R80" s="448" t="str">
        <f>IFERROR(VLOOKUP(G80,MODULY_CBA!$B$3:$I$23,6,0),"")</f>
        <v>Inkrement 1</v>
      </c>
      <c r="S80" s="374"/>
      <c r="T80" s="374"/>
      <c r="U80" s="374"/>
      <c r="V80" s="374"/>
      <c r="W80" s="374"/>
      <c r="X80" s="374"/>
      <c r="Y80" s="374"/>
      <c r="Z80" s="374"/>
      <c r="AA80" s="374"/>
      <c r="AB80" s="374"/>
      <c r="AC80" s="374"/>
      <c r="AD80" s="374"/>
      <c r="AE80" s="374"/>
      <c r="AF80" s="374"/>
    </row>
    <row r="81" spans="1:32" ht="30" hidden="1" x14ac:dyDescent="0.2">
      <c r="A81" s="658" t="s">
        <v>781</v>
      </c>
      <c r="B81" s="661" t="s">
        <v>570</v>
      </c>
      <c r="C81" s="661" t="s">
        <v>623</v>
      </c>
      <c r="D81" s="661" t="s">
        <v>790</v>
      </c>
      <c r="E81" s="661" t="s">
        <v>791</v>
      </c>
      <c r="F81" s="661" t="s">
        <v>573</v>
      </c>
      <c r="G81" s="661" t="s">
        <v>252</v>
      </c>
      <c r="H81" s="375" t="s">
        <v>448</v>
      </c>
      <c r="I81" s="373">
        <v>1</v>
      </c>
      <c r="J81" s="373">
        <v>10</v>
      </c>
      <c r="K81" s="373"/>
      <c r="L81" s="373">
        <f t="shared" si="30"/>
        <v>10</v>
      </c>
      <c r="M81" s="685">
        <f>IFERROR(IF(B81="funkcna poziadavka",VLOOKUP(G81,MODULY_CBA!$B$3:$E$23,4,0)*I81/SUMIFS($I$3:$I$105,$G$3:$G$105,G81,$B$3:$B$105,B81),),)</f>
        <v>0.60869565217391308</v>
      </c>
      <c r="N81" s="373">
        <f>IFERROR(IF(B81="Funkcna poziadavka",VLOOKUP(G81,MODULY_CBA!$B$3:$E$23,3,0),),)</f>
        <v>1.2049999999999998</v>
      </c>
      <c r="O81" s="373">
        <f>IFERROR(IF(B81="funkcna poziadavka",VLOOKUP(G81,MODULY_CBA!$B$3:$E$23,2,0),),)</f>
        <v>0.99</v>
      </c>
      <c r="P81" s="686">
        <f t="shared" si="31"/>
        <v>12.655643478260869</v>
      </c>
      <c r="Q81" s="686">
        <f>IFERROR(P81*VLOOKUP(G81,MODULY_CBA!$B$3:$F$23,5,0),)</f>
        <v>379.66930434782608</v>
      </c>
      <c r="R81" s="448" t="str">
        <f>IFERROR(VLOOKUP(G81,MODULY_CBA!$B$3:$I$23,6,0),"")</f>
        <v>Inkrement 1</v>
      </c>
      <c r="S81" s="374"/>
      <c r="T81" s="374"/>
      <c r="U81" s="374"/>
      <c r="V81" s="374"/>
      <c r="W81" s="374"/>
      <c r="X81" s="374"/>
      <c r="Y81" s="374"/>
      <c r="Z81" s="374"/>
      <c r="AA81" s="374"/>
      <c r="AB81" s="374"/>
      <c r="AC81" s="374"/>
      <c r="AD81" s="374"/>
      <c r="AE81" s="374"/>
      <c r="AF81" s="374"/>
    </row>
    <row r="82" spans="1:32" ht="30" hidden="1" x14ac:dyDescent="0.2">
      <c r="A82" s="658" t="s">
        <v>783</v>
      </c>
      <c r="B82" s="661" t="s">
        <v>570</v>
      </c>
      <c r="C82" s="661" t="s">
        <v>623</v>
      </c>
      <c r="D82" s="661" t="s">
        <v>790</v>
      </c>
      <c r="E82" s="720" t="s">
        <v>1289</v>
      </c>
      <c r="F82" s="661" t="s">
        <v>573</v>
      </c>
      <c r="G82" s="375" t="s">
        <v>250</v>
      </c>
      <c r="H82" s="661" t="s">
        <v>448</v>
      </c>
      <c r="I82" s="373">
        <v>1</v>
      </c>
      <c r="J82" s="373">
        <v>15</v>
      </c>
      <c r="K82" s="373"/>
      <c r="L82" s="373">
        <f t="shared" si="30"/>
        <v>15</v>
      </c>
      <c r="M82" s="685">
        <f>IFERROR(IF(B82="funkcna poziadavka",VLOOKUP(G82,MODULY_CBA!$B$3:$E$23,4,0)*I82/SUMIFS($I$3:$I$105,$G$3:$G$105,G82,$B$3:$B$105,B82),),)</f>
        <v>1.1666666666666667</v>
      </c>
      <c r="N82" s="373">
        <f>IFERROR(IF(B82="Funkcna poziadavka",VLOOKUP(G82,MODULY_CBA!$B$3:$E$23,3,0),),)</f>
        <v>1.2049999999999998</v>
      </c>
      <c r="O82" s="373">
        <f>IFERROR(IF(B82="funkcna poziadavka",VLOOKUP(G82,MODULY_CBA!$B$3:$E$23,2,0),),)</f>
        <v>0.99</v>
      </c>
      <c r="P82" s="686">
        <f t="shared" si="31"/>
        <v>19.286024999999999</v>
      </c>
      <c r="Q82" s="686">
        <f>IFERROR(P82*VLOOKUP(G82,MODULY_CBA!$B$3:$F$23,5,0),)</f>
        <v>578.58074999999997</v>
      </c>
      <c r="R82" s="448" t="str">
        <f>IFERROR(VLOOKUP(G82,MODULY_CBA!$B$3:$I$23,6,0),"")</f>
        <v>Inkrement 1</v>
      </c>
      <c r="S82" s="374"/>
      <c r="T82" s="374"/>
      <c r="U82" s="374"/>
      <c r="V82" s="374"/>
      <c r="W82" s="374"/>
      <c r="X82" s="374"/>
      <c r="Y82" s="374"/>
      <c r="Z82" s="374"/>
      <c r="AA82" s="374"/>
      <c r="AB82" s="374"/>
      <c r="AC82" s="374"/>
      <c r="AD82" s="374"/>
      <c r="AE82" s="374"/>
      <c r="AF82" s="374"/>
    </row>
    <row r="83" spans="1:32" ht="30" hidden="1" x14ac:dyDescent="0.2">
      <c r="A83" s="658" t="s">
        <v>786</v>
      </c>
      <c r="B83" s="661" t="s">
        <v>570</v>
      </c>
      <c r="C83" s="661" t="s">
        <v>623</v>
      </c>
      <c r="D83" s="661" t="s">
        <v>790</v>
      </c>
      <c r="E83" s="720" t="s">
        <v>1290</v>
      </c>
      <c r="F83" s="661" t="s">
        <v>573</v>
      </c>
      <c r="G83" s="375" t="s">
        <v>250</v>
      </c>
      <c r="H83" s="661" t="s">
        <v>448</v>
      </c>
      <c r="I83" s="373">
        <v>1</v>
      </c>
      <c r="J83" s="373">
        <v>10</v>
      </c>
      <c r="K83" s="373"/>
      <c r="L83" s="373">
        <f t="shared" si="30"/>
        <v>10</v>
      </c>
      <c r="M83" s="685">
        <f>IFERROR(IF(B83="funkcna poziadavka",VLOOKUP(G83,MODULY_CBA!$B$3:$E$23,4,0)*I83/SUMIFS($I$3:$I$105,$G$3:$G$105,G83,$B$3:$B$105,B83),),)</f>
        <v>1.1666666666666667</v>
      </c>
      <c r="N83" s="373">
        <f>IFERROR(IF(B83="Funkcna poziadavka",VLOOKUP(G83,MODULY_CBA!$B$3:$E$23,3,0),),)</f>
        <v>1.2049999999999998</v>
      </c>
      <c r="O83" s="373">
        <f>IFERROR(IF(B83="funkcna poziadavka",VLOOKUP(G83,MODULY_CBA!$B$3:$E$23,2,0),),)</f>
        <v>0.99</v>
      </c>
      <c r="P83" s="686">
        <f t="shared" si="31"/>
        <v>13.321274999999998</v>
      </c>
      <c r="Q83" s="686">
        <f>IFERROR(P83*VLOOKUP(G83,MODULY_CBA!$B$3:$F$23,5,0),)</f>
        <v>399.63824999999997</v>
      </c>
      <c r="R83" s="448" t="str">
        <f>IFERROR(VLOOKUP(G83,MODULY_CBA!$B$3:$I$23,6,0),"")</f>
        <v>Inkrement 1</v>
      </c>
      <c r="S83" s="374"/>
      <c r="T83" s="374"/>
      <c r="U83" s="374"/>
      <c r="V83" s="374"/>
      <c r="W83" s="374"/>
      <c r="X83" s="374"/>
      <c r="Y83" s="374"/>
      <c r="Z83" s="374"/>
      <c r="AA83" s="374"/>
      <c r="AB83" s="374"/>
      <c r="AC83" s="374"/>
      <c r="AD83" s="374"/>
      <c r="AE83" s="374"/>
      <c r="AF83" s="374"/>
    </row>
    <row r="84" spans="1:32" ht="30" hidden="1" x14ac:dyDescent="0.2">
      <c r="A84" s="658" t="s">
        <v>1280</v>
      </c>
      <c r="B84" s="375" t="s">
        <v>570</v>
      </c>
      <c r="C84" s="375" t="s">
        <v>764</v>
      </c>
      <c r="D84" s="375" t="s">
        <v>795</v>
      </c>
      <c r="E84" s="661" t="s">
        <v>796</v>
      </c>
      <c r="F84" s="661" t="s">
        <v>573</v>
      </c>
      <c r="G84" s="661" t="s">
        <v>254</v>
      </c>
      <c r="H84" s="375" t="s">
        <v>454</v>
      </c>
      <c r="I84" s="373">
        <v>1</v>
      </c>
      <c r="J84" s="373">
        <v>5</v>
      </c>
      <c r="K84" s="373">
        <f t="shared" ref="K84:K90" si="32">IF(ISNUMBER(I84),I84,)</f>
        <v>1</v>
      </c>
      <c r="L84" s="373">
        <f t="shared" si="30"/>
        <v>5</v>
      </c>
      <c r="M84" s="685">
        <f>IFERROR(IF(B84="funkcna poziadavka",VLOOKUP(G84,MODULY_CBA!$B$3:$E$23,4,0)*I84/SUMIFS($I$3:$I$105,$G$3:$G$105,G84,$B$3:$B$105,B84),),)</f>
        <v>0.27450980392156865</v>
      </c>
      <c r="N84" s="373">
        <f>IFERROR(IF(B84="Funkcna poziadavka",VLOOKUP(G84,MODULY_CBA!$B$3:$E$23,3,0),),)</f>
        <v>1.2049999999999998</v>
      </c>
      <c r="O84" s="373">
        <f>IFERROR(IF(B84="funkcna poziadavka",VLOOKUP(G84,MODULY_CBA!$B$3:$E$23,2,0),),)</f>
        <v>0.99</v>
      </c>
      <c r="P84" s="686">
        <f t="shared" si="31"/>
        <v>6.2922264705882345</v>
      </c>
      <c r="Q84" s="686">
        <f>IFERROR(P84*VLOOKUP(G84,MODULY_CBA!$B$3:$F$23,5,0),)</f>
        <v>94.383397058823519</v>
      </c>
      <c r="R84" s="448" t="str">
        <f>IFERROR(VLOOKUP(G84,MODULY_CBA!$B$3:$I$23,6,0),"")</f>
        <v>Inkrement 1</v>
      </c>
      <c r="S84" s="373"/>
      <c r="T84" s="373"/>
      <c r="U84" s="373"/>
      <c r="V84" s="373"/>
      <c r="W84" s="373"/>
      <c r="X84" s="373"/>
      <c r="Y84" s="373"/>
      <c r="Z84" s="373"/>
      <c r="AA84" s="373"/>
      <c r="AB84" s="373"/>
      <c r="AC84" s="373"/>
      <c r="AD84" s="373"/>
      <c r="AE84" s="373"/>
      <c r="AF84" s="373"/>
    </row>
    <row r="85" spans="1:32" ht="30" hidden="1" x14ac:dyDescent="0.2">
      <c r="A85" s="658" t="s">
        <v>789</v>
      </c>
      <c r="B85" s="375" t="s">
        <v>570</v>
      </c>
      <c r="C85" s="375" t="s">
        <v>764</v>
      </c>
      <c r="D85" s="375" t="s">
        <v>795</v>
      </c>
      <c r="E85" s="661" t="s">
        <v>798</v>
      </c>
      <c r="F85" s="661" t="s">
        <v>573</v>
      </c>
      <c r="G85" s="661" t="s">
        <v>254</v>
      </c>
      <c r="H85" s="375" t="s">
        <v>454</v>
      </c>
      <c r="I85" s="373">
        <v>1</v>
      </c>
      <c r="J85" s="373">
        <v>5</v>
      </c>
      <c r="K85" s="373">
        <f t="shared" si="32"/>
        <v>1</v>
      </c>
      <c r="L85" s="373">
        <f t="shared" si="30"/>
        <v>5</v>
      </c>
      <c r="M85" s="685">
        <f>IFERROR(IF(B85="funkcna poziadavka",VLOOKUP(G85,MODULY_CBA!$B$3:$E$23,4,0)*I85/SUMIFS($I$3:$I$105,$G$3:$G$105,G85,$B$3:$B$105,B85),),)</f>
        <v>0.27450980392156865</v>
      </c>
      <c r="N85" s="373">
        <f>IFERROR(IF(B85="Funkcna poziadavka",VLOOKUP(G85,MODULY_CBA!$B$3:$E$23,3,0),),)</f>
        <v>1.2049999999999998</v>
      </c>
      <c r="O85" s="373">
        <f>IFERROR(IF(B85="funkcna poziadavka",VLOOKUP(G85,MODULY_CBA!$B$3:$E$23,2,0),),)</f>
        <v>0.99</v>
      </c>
      <c r="P85" s="686">
        <f t="shared" si="31"/>
        <v>6.2922264705882345</v>
      </c>
      <c r="Q85" s="686">
        <f>IFERROR(P85*VLOOKUP(G85,MODULY_CBA!$B$3:$F$23,5,0),)</f>
        <v>94.383397058823519</v>
      </c>
      <c r="R85" s="448" t="str">
        <f>IFERROR(VLOOKUP(G85,MODULY_CBA!$B$3:$I$23,6,0),"")</f>
        <v>Inkrement 1</v>
      </c>
      <c r="S85" s="374"/>
      <c r="T85" s="374"/>
      <c r="U85" s="374"/>
      <c r="V85" s="374"/>
      <c r="W85" s="374"/>
      <c r="X85" s="374"/>
      <c r="Y85" s="374"/>
      <c r="Z85" s="374"/>
      <c r="AA85" s="374"/>
      <c r="AB85" s="374"/>
      <c r="AC85" s="374"/>
      <c r="AD85" s="374"/>
      <c r="AE85" s="374"/>
      <c r="AF85" s="374"/>
    </row>
    <row r="86" spans="1:32" ht="30" hidden="1" x14ac:dyDescent="0.2">
      <c r="A86" s="658" t="s">
        <v>792</v>
      </c>
      <c r="B86" s="375" t="s">
        <v>570</v>
      </c>
      <c r="C86" s="375" t="s">
        <v>764</v>
      </c>
      <c r="D86" s="375" t="s">
        <v>795</v>
      </c>
      <c r="E86" s="661" t="s">
        <v>800</v>
      </c>
      <c r="F86" s="661" t="s">
        <v>573</v>
      </c>
      <c r="G86" s="661" t="s">
        <v>254</v>
      </c>
      <c r="H86" s="375" t="s">
        <v>454</v>
      </c>
      <c r="I86" s="373">
        <v>0</v>
      </c>
      <c r="J86" s="373">
        <v>5</v>
      </c>
      <c r="K86" s="373"/>
      <c r="L86" s="373">
        <f t="shared" ref="L86:L87" si="33">I86*J86</f>
        <v>0</v>
      </c>
      <c r="M86" s="685">
        <f>IFERROR(IF(B86="funkcna poziadavka",VLOOKUP(G86,MODULY_CBA!$B$3:$E$23,4,0)*I86/SUMIFS($I$3:$I$105,$G$3:$G$105,G86,$B$3:$B$105,B86),),)</f>
        <v>0</v>
      </c>
      <c r="N86" s="373">
        <f>IFERROR(IF(B86="Funkcna poziadavka",VLOOKUP(G86,MODULY_CBA!$B$3:$E$23,3,0),),)</f>
        <v>1.2049999999999998</v>
      </c>
      <c r="O86" s="373">
        <f>IFERROR(IF(B86="funkcna poziadavka",VLOOKUP(G86,MODULY_CBA!$B$3:$E$23,2,0),),)</f>
        <v>0.99</v>
      </c>
      <c r="P86" s="686">
        <f t="shared" ref="P86:P87" si="34">(L86+M86)*N86*O86</f>
        <v>0</v>
      </c>
      <c r="Q86" s="686">
        <f>IFERROR(P86*VLOOKUP(G86,MODULY_CBA!$B$3:$F$23,5,0),)</f>
        <v>0</v>
      </c>
      <c r="R86" s="448" t="str">
        <f>IFERROR(VLOOKUP(G86,MODULY_CBA!$B$3:$I$23,6,0),"")</f>
        <v>Inkrement 1</v>
      </c>
      <c r="S86" s="373"/>
      <c r="T86" s="373"/>
      <c r="U86" s="373"/>
      <c r="V86" s="373"/>
      <c r="W86" s="373"/>
      <c r="X86" s="373"/>
      <c r="Y86" s="373"/>
      <c r="Z86" s="373"/>
      <c r="AA86" s="373"/>
      <c r="AB86" s="373"/>
      <c r="AC86" s="373"/>
      <c r="AD86" s="373"/>
      <c r="AE86" s="373"/>
      <c r="AF86" s="373"/>
    </row>
    <row r="87" spans="1:32" ht="30" hidden="1" x14ac:dyDescent="0.2">
      <c r="A87" s="658" t="s">
        <v>793</v>
      </c>
      <c r="B87" s="375" t="s">
        <v>570</v>
      </c>
      <c r="C87" s="375" t="s">
        <v>764</v>
      </c>
      <c r="D87" s="375" t="s">
        <v>795</v>
      </c>
      <c r="E87" s="661" t="s">
        <v>802</v>
      </c>
      <c r="F87" s="661" t="s">
        <v>573</v>
      </c>
      <c r="G87" s="661" t="s">
        <v>254</v>
      </c>
      <c r="H87" s="375" t="s">
        <v>454</v>
      </c>
      <c r="I87" s="373">
        <v>0</v>
      </c>
      <c r="J87" s="373">
        <v>5</v>
      </c>
      <c r="K87" s="373"/>
      <c r="L87" s="373">
        <f t="shared" si="33"/>
        <v>0</v>
      </c>
      <c r="M87" s="685">
        <f>IFERROR(IF(B87="funkcna poziadavka",VLOOKUP(G87,MODULY_CBA!$B$3:$E$23,4,0)*I87/SUMIFS($I$3:$I$105,$G$3:$G$105,G87,$B$3:$B$105,B87),),)</f>
        <v>0</v>
      </c>
      <c r="N87" s="373">
        <f>IFERROR(IF(B87="Funkcna poziadavka",VLOOKUP(G87,MODULY_CBA!$B$3:$E$23,3,0),),)</f>
        <v>1.2049999999999998</v>
      </c>
      <c r="O87" s="373">
        <f>IFERROR(IF(B87="funkcna poziadavka",VLOOKUP(G87,MODULY_CBA!$B$3:$E$23,2,0),),)</f>
        <v>0.99</v>
      </c>
      <c r="P87" s="686">
        <f t="shared" si="34"/>
        <v>0</v>
      </c>
      <c r="Q87" s="686">
        <f>IFERROR(P87*VLOOKUP(G87,MODULY_CBA!$B$3:$F$23,5,0),)</f>
        <v>0</v>
      </c>
      <c r="R87" s="448" t="str">
        <f>IFERROR(VLOOKUP(G87,MODULY_CBA!$B$3:$I$23,6,0),"")</f>
        <v>Inkrement 1</v>
      </c>
      <c r="S87" s="373"/>
      <c r="T87" s="373"/>
      <c r="U87" s="373"/>
      <c r="V87" s="373"/>
      <c r="W87" s="373"/>
      <c r="X87" s="373"/>
      <c r="Y87" s="373"/>
      <c r="Z87" s="373"/>
      <c r="AA87" s="373"/>
      <c r="AB87" s="373"/>
      <c r="AC87" s="373"/>
      <c r="AD87" s="373"/>
      <c r="AE87" s="373"/>
      <c r="AF87" s="373"/>
    </row>
    <row r="88" spans="1:32" ht="30" hidden="1" x14ac:dyDescent="0.2">
      <c r="A88" s="658" t="s">
        <v>1281</v>
      </c>
      <c r="B88" s="375" t="s">
        <v>570</v>
      </c>
      <c r="C88" s="375" t="s">
        <v>764</v>
      </c>
      <c r="D88" s="375" t="s">
        <v>795</v>
      </c>
      <c r="E88" s="661" t="s">
        <v>804</v>
      </c>
      <c r="F88" s="661" t="s">
        <v>573</v>
      </c>
      <c r="G88" s="661" t="s">
        <v>254</v>
      </c>
      <c r="H88" s="375" t="s">
        <v>454</v>
      </c>
      <c r="I88" s="373">
        <v>1</v>
      </c>
      <c r="J88" s="373">
        <v>10</v>
      </c>
      <c r="K88" s="373">
        <f t="shared" si="32"/>
        <v>1</v>
      </c>
      <c r="L88" s="373">
        <f t="shared" si="30"/>
        <v>10</v>
      </c>
      <c r="M88" s="685">
        <f>IFERROR(IF(B88="funkcna poziadavka",VLOOKUP(G88,MODULY_CBA!$B$3:$E$23,4,0)*I88/SUMIFS($I$3:$I$105,$G$3:$G$105,G88,$B$3:$B$105,B88),),)</f>
        <v>0.27450980392156865</v>
      </c>
      <c r="N88" s="373">
        <f>IFERROR(IF(B88="Funkcna poziadavka",VLOOKUP(G88,MODULY_CBA!$B$3:$E$23,3,0),),)</f>
        <v>1.2049999999999998</v>
      </c>
      <c r="O88" s="373">
        <f>IFERROR(IF(B88="funkcna poziadavka",VLOOKUP(G88,MODULY_CBA!$B$3:$E$23,2,0),),)</f>
        <v>0.99</v>
      </c>
      <c r="P88" s="686">
        <f t="shared" si="31"/>
        <v>12.256976470588235</v>
      </c>
      <c r="Q88" s="686">
        <f>IFERROR(P88*VLOOKUP(G88,MODULY_CBA!$B$3:$F$23,5,0),)</f>
        <v>183.85464705882353</v>
      </c>
      <c r="R88" s="448" t="str">
        <f>IFERROR(VLOOKUP(G88,MODULY_CBA!$B$3:$I$23,6,0),"")</f>
        <v>Inkrement 1</v>
      </c>
      <c r="S88" s="374"/>
      <c r="T88" s="374"/>
      <c r="U88" s="374"/>
      <c r="V88" s="374"/>
      <c r="W88" s="374"/>
      <c r="X88" s="374"/>
      <c r="Y88" s="374"/>
      <c r="Z88" s="374"/>
      <c r="AA88" s="374"/>
      <c r="AB88" s="374"/>
      <c r="AC88" s="374"/>
      <c r="AD88" s="374"/>
      <c r="AE88" s="374"/>
      <c r="AF88" s="374"/>
    </row>
    <row r="89" spans="1:32" ht="30" hidden="1" x14ac:dyDescent="0.2">
      <c r="A89" s="658" t="s">
        <v>1282</v>
      </c>
      <c r="B89" s="375" t="s">
        <v>570</v>
      </c>
      <c r="C89" s="375" t="s">
        <v>764</v>
      </c>
      <c r="D89" s="375" t="s">
        <v>795</v>
      </c>
      <c r="E89" s="661" t="s">
        <v>806</v>
      </c>
      <c r="F89" s="661" t="s">
        <v>573</v>
      </c>
      <c r="G89" s="661" t="s">
        <v>254</v>
      </c>
      <c r="H89" s="375" t="s">
        <v>454</v>
      </c>
      <c r="I89" s="373">
        <v>0</v>
      </c>
      <c r="J89" s="373">
        <v>10</v>
      </c>
      <c r="K89" s="373">
        <f t="shared" si="32"/>
        <v>0</v>
      </c>
      <c r="L89" s="373">
        <f t="shared" si="30"/>
        <v>0</v>
      </c>
      <c r="M89" s="685">
        <f>IFERROR(IF(B89="funkcna poziadavka",VLOOKUP(G89,MODULY_CBA!$B$3:$E$23,4,0)*I89/SUMIFS($I$3:$I$105,$G$3:$G$105,G89,$B$3:$B$105,B89),),)</f>
        <v>0</v>
      </c>
      <c r="N89" s="373">
        <f>IFERROR(IF(B89="Funkcna poziadavka",VLOOKUP(G89,MODULY_CBA!$B$3:$E$23,3,0),),)</f>
        <v>1.2049999999999998</v>
      </c>
      <c r="O89" s="373">
        <f>IFERROR(IF(B89="funkcna poziadavka",VLOOKUP(G89,MODULY_CBA!$B$3:$E$23,2,0),),)</f>
        <v>0.99</v>
      </c>
      <c r="P89" s="686">
        <f t="shared" si="31"/>
        <v>0</v>
      </c>
      <c r="Q89" s="686">
        <f>IFERROR(P89*VLOOKUP(G89,MODULY_CBA!$B$3:$F$23,5,0),)</f>
        <v>0</v>
      </c>
      <c r="R89" s="448" t="str">
        <f>IFERROR(VLOOKUP(G89,MODULY_CBA!$B$3:$I$23,6,0),"")</f>
        <v>Inkrement 1</v>
      </c>
      <c r="S89" s="373"/>
      <c r="T89" s="373"/>
      <c r="U89" s="373"/>
      <c r="V89" s="373"/>
      <c r="W89" s="373"/>
      <c r="X89" s="373"/>
      <c r="Y89" s="373"/>
      <c r="Z89" s="373"/>
      <c r="AA89" s="373"/>
      <c r="AB89" s="373"/>
      <c r="AC89" s="373"/>
      <c r="AD89" s="373"/>
      <c r="AE89" s="373"/>
      <c r="AF89" s="373"/>
    </row>
    <row r="90" spans="1:32" ht="30" hidden="1" x14ac:dyDescent="0.2">
      <c r="A90" s="658" t="s">
        <v>794</v>
      </c>
      <c r="B90" s="375" t="s">
        <v>570</v>
      </c>
      <c r="C90" s="375" t="s">
        <v>764</v>
      </c>
      <c r="D90" s="375" t="s">
        <v>795</v>
      </c>
      <c r="E90" s="661" t="s">
        <v>808</v>
      </c>
      <c r="F90" s="661" t="s">
        <v>573</v>
      </c>
      <c r="G90" s="661" t="s">
        <v>254</v>
      </c>
      <c r="H90" s="375" t="s">
        <v>454</v>
      </c>
      <c r="I90" s="373">
        <v>0</v>
      </c>
      <c r="J90" s="373">
        <v>10</v>
      </c>
      <c r="K90" s="373">
        <f t="shared" si="32"/>
        <v>0</v>
      </c>
      <c r="L90" s="373">
        <f t="shared" si="30"/>
        <v>0</v>
      </c>
      <c r="M90" s="685">
        <f>IFERROR(IF(B90="funkcna poziadavka",VLOOKUP(G90,MODULY_CBA!$B$3:$E$23,4,0)*I90/SUMIFS($I$3:$I$105,$G$3:$G$105,G90,$B$3:$B$105,B90),),)</f>
        <v>0</v>
      </c>
      <c r="N90" s="373">
        <f>IFERROR(IF(B90="Funkcna poziadavka",VLOOKUP(G90,MODULY_CBA!$B$3:$E$23,3,0),),)</f>
        <v>1.2049999999999998</v>
      </c>
      <c r="O90" s="373">
        <f>IFERROR(IF(B90="funkcna poziadavka",VLOOKUP(G90,MODULY_CBA!$B$3:$E$23,2,0),),)</f>
        <v>0.99</v>
      </c>
      <c r="P90" s="686">
        <f t="shared" si="31"/>
        <v>0</v>
      </c>
      <c r="Q90" s="686">
        <f>IFERROR(P90*VLOOKUP(G90,MODULY_CBA!$B$3:$F$23,5,0),)</f>
        <v>0</v>
      </c>
      <c r="R90" s="448" t="str">
        <f>IFERROR(VLOOKUP(G90,MODULY_CBA!$B$3:$I$23,6,0),"")</f>
        <v>Inkrement 1</v>
      </c>
      <c r="S90" s="374"/>
      <c r="T90" s="374"/>
      <c r="U90" s="374"/>
      <c r="V90" s="374"/>
      <c r="W90" s="374"/>
      <c r="X90" s="374"/>
      <c r="Y90" s="374"/>
      <c r="Z90" s="374"/>
      <c r="AA90" s="374"/>
      <c r="AB90" s="374"/>
      <c r="AC90" s="374"/>
      <c r="AD90" s="374"/>
      <c r="AE90" s="374"/>
      <c r="AF90" s="374"/>
    </row>
    <row r="91" spans="1:32" ht="30" hidden="1" x14ac:dyDescent="0.2">
      <c r="A91" s="658" t="s">
        <v>797</v>
      </c>
      <c r="B91" s="375" t="s">
        <v>570</v>
      </c>
      <c r="C91" s="658" t="s">
        <v>810</v>
      </c>
      <c r="D91" s="375" t="s">
        <v>811</v>
      </c>
      <c r="E91" s="661" t="s">
        <v>812</v>
      </c>
      <c r="F91" s="661" t="s">
        <v>573</v>
      </c>
      <c r="G91" s="658" t="s">
        <v>252</v>
      </c>
      <c r="H91" s="375" t="s">
        <v>459</v>
      </c>
      <c r="I91" s="373">
        <v>1</v>
      </c>
      <c r="J91" s="373">
        <v>5</v>
      </c>
      <c r="K91" s="373"/>
      <c r="L91" s="373">
        <f t="shared" si="30"/>
        <v>5</v>
      </c>
      <c r="M91" s="685">
        <f>IFERROR(IF(B91="funkcna poziadavka",VLOOKUP(G91,MODULY_CBA!$B$3:$E$23,4,0)*I91/SUMIFS($I$3:$I$105,$G$3:$G$105,G91,$B$3:$B$105,B91),),)</f>
        <v>0.60869565217391308</v>
      </c>
      <c r="N91" s="373">
        <f>IFERROR(IF(B91="Funkcna poziadavka",VLOOKUP(G91,MODULY_CBA!$B$3:$E$23,3,0),),)</f>
        <v>1.2049999999999998</v>
      </c>
      <c r="O91" s="373">
        <f>IFERROR(IF(B91="funkcna poziadavka",VLOOKUP(G91,MODULY_CBA!$B$3:$E$23,2,0),),)</f>
        <v>0.99</v>
      </c>
      <c r="P91" s="686">
        <f t="shared" si="31"/>
        <v>6.6908934782608691</v>
      </c>
      <c r="Q91" s="686">
        <f>IFERROR(P91*VLOOKUP(G91,MODULY_CBA!$B$3:$F$23,5,0),)</f>
        <v>200.72680434782606</v>
      </c>
      <c r="R91" s="448" t="str">
        <f>IFERROR(VLOOKUP(G91,MODULY_CBA!$B$3:$I$23,6,0),"")</f>
        <v>Inkrement 1</v>
      </c>
      <c r="S91" s="373"/>
      <c r="T91" s="373"/>
      <c r="U91" s="373"/>
      <c r="V91" s="373"/>
      <c r="W91" s="373"/>
      <c r="X91" s="373"/>
      <c r="Y91" s="373"/>
      <c r="Z91" s="373"/>
      <c r="AA91" s="373"/>
      <c r="AB91" s="373"/>
      <c r="AC91" s="373"/>
      <c r="AD91" s="373"/>
      <c r="AE91" s="373"/>
      <c r="AF91" s="373"/>
    </row>
    <row r="92" spans="1:32" ht="30" hidden="1" x14ac:dyDescent="0.2">
      <c r="A92" s="658" t="s">
        <v>1283</v>
      </c>
      <c r="B92" s="375" t="s">
        <v>570</v>
      </c>
      <c r="C92" s="658" t="s">
        <v>810</v>
      </c>
      <c r="D92" s="375" t="s">
        <v>814</v>
      </c>
      <c r="E92" s="661" t="s">
        <v>815</v>
      </c>
      <c r="F92" s="661" t="s">
        <v>573</v>
      </c>
      <c r="G92" s="661" t="s">
        <v>260</v>
      </c>
      <c r="H92" s="375" t="s">
        <v>459</v>
      </c>
      <c r="I92" s="373">
        <v>1</v>
      </c>
      <c r="J92" s="373">
        <v>5</v>
      </c>
      <c r="K92" s="373"/>
      <c r="L92" s="373">
        <f t="shared" si="30"/>
        <v>5</v>
      </c>
      <c r="M92" s="685">
        <f>IFERROR(IF(B92="funkcna poziadavka",VLOOKUP(G92,MODULY_CBA!$B$3:$E$23,4,0)*I92/SUMIFS($I$3:$I$105,$G$3:$G$105,G92,$B$3:$B$105,B92),),)</f>
        <v>2.3333333333333335</v>
      </c>
      <c r="N92" s="373">
        <f>IFERROR(IF(B92="Funkcna poziadavka",VLOOKUP(G92,MODULY_CBA!$B$3:$E$23,3,0),),)</f>
        <v>1.2049999999999998</v>
      </c>
      <c r="O92" s="373">
        <f>IFERROR(IF(B92="funkcna poziadavka",VLOOKUP(G92,MODULY_CBA!$B$3:$E$23,2,0),),)</f>
        <v>0.99</v>
      </c>
      <c r="P92" s="686">
        <f t="shared" si="31"/>
        <v>8.7482999999999986</v>
      </c>
      <c r="Q92" s="686">
        <f>IFERROR(P92*VLOOKUP(G92,MODULY_CBA!$B$3:$F$23,5,0),)</f>
        <v>131.22449999999998</v>
      </c>
      <c r="R92" s="448" t="str">
        <f>IFERROR(VLOOKUP(G92,MODULY_CBA!$B$3:$I$23,6,0),"")</f>
        <v>Inkrement 1</v>
      </c>
      <c r="S92" s="373"/>
      <c r="T92" s="373"/>
      <c r="U92" s="373"/>
      <c r="V92" s="373"/>
      <c r="W92" s="373"/>
      <c r="X92" s="373"/>
      <c r="Y92" s="373"/>
      <c r="Z92" s="373"/>
      <c r="AA92" s="373"/>
      <c r="AB92" s="373"/>
      <c r="AC92" s="373"/>
      <c r="AD92" s="373"/>
      <c r="AE92" s="373"/>
      <c r="AF92" s="373"/>
    </row>
    <row r="93" spans="1:32" ht="30" hidden="1" x14ac:dyDescent="0.2">
      <c r="A93" s="658" t="s">
        <v>799</v>
      </c>
      <c r="B93" s="375" t="s">
        <v>570</v>
      </c>
      <c r="C93" s="658" t="s">
        <v>810</v>
      </c>
      <c r="D93" s="375" t="s">
        <v>817</v>
      </c>
      <c r="E93" s="661" t="s">
        <v>818</v>
      </c>
      <c r="F93" s="661" t="s">
        <v>573</v>
      </c>
      <c r="G93" s="658" t="s">
        <v>256</v>
      </c>
      <c r="H93" s="375" t="s">
        <v>459</v>
      </c>
      <c r="I93" s="373">
        <v>1</v>
      </c>
      <c r="J93" s="373">
        <v>5</v>
      </c>
      <c r="K93" s="373"/>
      <c r="L93" s="373">
        <f t="shared" si="30"/>
        <v>5</v>
      </c>
      <c r="M93" s="685">
        <f>IFERROR(IF(B93="funkcna poziadavka",VLOOKUP(G93,MODULY_CBA!$B$3:$E$23,4,0)*I93/SUMIFS($I$3:$I$105,$G$3:$G$105,G93,$B$3:$B$105,B93),),)</f>
        <v>2.3333333333333335</v>
      </c>
      <c r="N93" s="373">
        <f>IFERROR(IF(B93="Funkcna poziadavka",VLOOKUP(G93,MODULY_CBA!$B$3:$E$23,3,0),),)</f>
        <v>1.2049999999999998</v>
      </c>
      <c r="O93" s="373">
        <f>IFERROR(IF(B93="funkcna poziadavka",VLOOKUP(G93,MODULY_CBA!$B$3:$E$23,2,0),),)</f>
        <v>0.99</v>
      </c>
      <c r="P93" s="686">
        <f t="shared" si="31"/>
        <v>8.7482999999999986</v>
      </c>
      <c r="Q93" s="686">
        <f>IFERROR(P93*VLOOKUP(G93,MODULY_CBA!$B$3:$F$23,5,0),)</f>
        <v>174.96599999999998</v>
      </c>
      <c r="R93" s="448" t="str">
        <f>IFERROR(VLOOKUP(G93,MODULY_CBA!$B$3:$I$23,6,0),"")</f>
        <v>Inkrement 1</v>
      </c>
      <c r="S93" s="373"/>
      <c r="T93" s="373"/>
      <c r="U93" s="373"/>
      <c r="V93" s="373"/>
      <c r="W93" s="693"/>
      <c r="X93" s="373"/>
      <c r="Y93" s="373"/>
      <c r="Z93" s="373"/>
      <c r="AA93" s="373"/>
      <c r="AB93" s="373"/>
      <c r="AC93" s="373"/>
      <c r="AD93" s="373"/>
      <c r="AE93" s="373"/>
      <c r="AF93" s="373"/>
    </row>
    <row r="94" spans="1:32" ht="30" hidden="1" x14ac:dyDescent="0.2">
      <c r="A94" s="658" t="s">
        <v>801</v>
      </c>
      <c r="B94" s="661" t="s">
        <v>570</v>
      </c>
      <c r="C94" s="658" t="s">
        <v>810</v>
      </c>
      <c r="D94" s="661" t="s">
        <v>820</v>
      </c>
      <c r="E94" s="661" t="s">
        <v>821</v>
      </c>
      <c r="F94" s="661" t="s">
        <v>573</v>
      </c>
      <c r="G94" s="658" t="s">
        <v>247</v>
      </c>
      <c r="H94" s="375" t="s">
        <v>459</v>
      </c>
      <c r="I94" s="373">
        <v>1</v>
      </c>
      <c r="J94" s="373">
        <v>10</v>
      </c>
      <c r="K94" s="373"/>
      <c r="L94" s="373">
        <f t="shared" si="30"/>
        <v>10</v>
      </c>
      <c r="M94" s="685">
        <f>IFERROR(IF(B94="funkcna poziadavka",VLOOKUP(G94,MODULY_CBA!$B$3:$E$23,4,0)*I94/SUMIFS($I$3:$I$105,$G$3:$G$105,G94,$B$3:$B$105,B94),),)</f>
        <v>0.45</v>
      </c>
      <c r="N94" s="373">
        <f>IFERROR(IF(B94="Funkcna poziadavka",VLOOKUP(G94,MODULY_CBA!$B$3:$E$23,3,0),),)</f>
        <v>1.2049999999999998</v>
      </c>
      <c r="O94" s="373">
        <f>IFERROR(IF(B94="funkcna poziadavka",VLOOKUP(G94,MODULY_CBA!$B$3:$E$23,2,0),),)</f>
        <v>0.99</v>
      </c>
      <c r="P94" s="686">
        <f t="shared" si="31"/>
        <v>12.466327499999998</v>
      </c>
      <c r="Q94" s="686">
        <f>IFERROR(P94*VLOOKUP(G94,MODULY_CBA!$B$3:$F$23,5,0),)</f>
        <v>373.98982499999994</v>
      </c>
      <c r="R94" s="448" t="str">
        <f>IFERROR(VLOOKUP(G94,MODULY_CBA!$B$3:$I$23,6,0),"")</f>
        <v>Inkrement 1</v>
      </c>
      <c r="S94" s="374"/>
      <c r="T94" s="374"/>
      <c r="U94" s="374"/>
      <c r="V94" s="374"/>
      <c r="W94" s="374"/>
      <c r="X94" s="374"/>
      <c r="Y94" s="374"/>
      <c r="Z94" s="374"/>
      <c r="AA94" s="374"/>
      <c r="AB94" s="374"/>
      <c r="AC94" s="374"/>
      <c r="AD94" s="374"/>
      <c r="AE94" s="374"/>
      <c r="AF94" s="374"/>
    </row>
    <row r="95" spans="1:32" ht="30" hidden="1" x14ac:dyDescent="0.2">
      <c r="A95" s="658" t="s">
        <v>803</v>
      </c>
      <c r="B95" s="661" t="s">
        <v>570</v>
      </c>
      <c r="C95" s="658" t="s">
        <v>810</v>
      </c>
      <c r="D95" s="661" t="s">
        <v>820</v>
      </c>
      <c r="E95" s="661" t="s">
        <v>823</v>
      </c>
      <c r="F95" s="661" t="s">
        <v>573</v>
      </c>
      <c r="G95" s="658" t="s">
        <v>247</v>
      </c>
      <c r="H95" s="375" t="s">
        <v>459</v>
      </c>
      <c r="I95" s="373">
        <v>1</v>
      </c>
      <c r="J95" s="373">
        <v>10</v>
      </c>
      <c r="K95" s="373"/>
      <c r="L95" s="373">
        <f t="shared" si="30"/>
        <v>10</v>
      </c>
      <c r="M95" s="685">
        <f>IFERROR(IF(B95="funkcna poziadavka",VLOOKUP(G95,MODULY_CBA!$B$3:$E$23,4,0)*I95/SUMIFS($I$3:$I$105,$G$3:$G$105,G95,$B$3:$B$105,B95),),)</f>
        <v>0.45</v>
      </c>
      <c r="N95" s="373">
        <f>IFERROR(IF(B95="Funkcna poziadavka",VLOOKUP(G95,MODULY_CBA!$B$3:$E$23,3,0),),)</f>
        <v>1.2049999999999998</v>
      </c>
      <c r="O95" s="373">
        <f>IFERROR(IF(B95="funkcna poziadavka",VLOOKUP(G95,MODULY_CBA!$B$3:$E$23,2,0),),)</f>
        <v>0.99</v>
      </c>
      <c r="P95" s="686">
        <f t="shared" si="31"/>
        <v>12.466327499999998</v>
      </c>
      <c r="Q95" s="686">
        <f>IFERROR(P95*VLOOKUP(G95,MODULY_CBA!$B$3:$F$23,5,0),)</f>
        <v>373.98982499999994</v>
      </c>
      <c r="R95" s="448" t="str">
        <f>IFERROR(VLOOKUP(G95,MODULY_CBA!$B$3:$I$23,6,0),"")</f>
        <v>Inkrement 1</v>
      </c>
      <c r="S95" s="374"/>
      <c r="T95" s="374"/>
      <c r="U95" s="374"/>
      <c r="V95" s="374"/>
      <c r="W95" s="374"/>
      <c r="X95" s="374"/>
      <c r="Y95" s="374"/>
      <c r="Z95" s="374"/>
      <c r="AA95" s="374"/>
      <c r="AB95" s="374"/>
      <c r="AC95" s="374"/>
      <c r="AD95" s="374"/>
      <c r="AE95" s="374"/>
      <c r="AF95" s="374"/>
    </row>
    <row r="96" spans="1:32" ht="30" hidden="1" x14ac:dyDescent="0.2">
      <c r="A96" s="658" t="s">
        <v>805</v>
      </c>
      <c r="B96" s="661" t="s">
        <v>570</v>
      </c>
      <c r="C96" s="658" t="s">
        <v>810</v>
      </c>
      <c r="D96" s="661" t="s">
        <v>820</v>
      </c>
      <c r="E96" s="661" t="s">
        <v>825</v>
      </c>
      <c r="F96" s="661" t="s">
        <v>573</v>
      </c>
      <c r="G96" s="658" t="s">
        <v>247</v>
      </c>
      <c r="H96" s="375" t="s">
        <v>459</v>
      </c>
      <c r="I96" s="373">
        <v>1</v>
      </c>
      <c r="J96" s="373">
        <v>5</v>
      </c>
      <c r="K96" s="373"/>
      <c r="L96" s="373">
        <f t="shared" si="30"/>
        <v>5</v>
      </c>
      <c r="M96" s="685">
        <f>IFERROR(IF(B96="funkcna poziadavka",VLOOKUP(G96,MODULY_CBA!$B$3:$E$23,4,0)*I96/SUMIFS($I$3:$I$105,$G$3:$G$105,G96,$B$3:$B$105,B96),),)</f>
        <v>0.45</v>
      </c>
      <c r="N96" s="373">
        <f>IFERROR(IF(B96="Funkcna poziadavka",VLOOKUP(G96,MODULY_CBA!$B$3:$E$23,3,0),),)</f>
        <v>1.2049999999999998</v>
      </c>
      <c r="O96" s="373">
        <f>IFERROR(IF(B96="funkcna poziadavka",VLOOKUP(G96,MODULY_CBA!$B$3:$E$23,2,0),),)</f>
        <v>0.99</v>
      </c>
      <c r="P96" s="686">
        <f t="shared" si="31"/>
        <v>6.5015774999999998</v>
      </c>
      <c r="Q96" s="686">
        <f>IFERROR(P96*VLOOKUP(G96,MODULY_CBA!$B$3:$F$23,5,0),)</f>
        <v>195.047325</v>
      </c>
      <c r="R96" s="448" t="str">
        <f>IFERROR(VLOOKUP(G96,MODULY_CBA!$B$3:$I$23,6,0),"")</f>
        <v>Inkrement 1</v>
      </c>
      <c r="S96" s="374"/>
      <c r="T96" s="374"/>
      <c r="U96" s="374"/>
      <c r="V96" s="374"/>
      <c r="W96" s="374"/>
      <c r="X96" s="374"/>
      <c r="Y96" s="374"/>
      <c r="Z96" s="374"/>
      <c r="AA96" s="374"/>
      <c r="AB96" s="374"/>
      <c r="AC96" s="374"/>
      <c r="AD96" s="374"/>
      <c r="AE96" s="374"/>
      <c r="AF96" s="374"/>
    </row>
    <row r="97" spans="1:32" ht="30" hidden="1" x14ac:dyDescent="0.2">
      <c r="A97" s="658" t="s">
        <v>1284</v>
      </c>
      <c r="B97" s="661" t="s">
        <v>570</v>
      </c>
      <c r="C97" s="661" t="s">
        <v>623</v>
      </c>
      <c r="D97" s="661" t="s">
        <v>820</v>
      </c>
      <c r="E97" s="661" t="s">
        <v>827</v>
      </c>
      <c r="F97" s="661" t="s">
        <v>573</v>
      </c>
      <c r="G97" s="658" t="s">
        <v>252</v>
      </c>
      <c r="H97" s="661" t="s">
        <v>448</v>
      </c>
      <c r="I97" s="373">
        <v>1</v>
      </c>
      <c r="J97" s="373">
        <v>10</v>
      </c>
      <c r="K97" s="373"/>
      <c r="L97" s="373">
        <f t="shared" si="30"/>
        <v>10</v>
      </c>
      <c r="M97" s="685">
        <f>IFERROR(IF(B97="funkcna poziadavka",VLOOKUP(G97,MODULY_CBA!$B$3:$E$23,4,0)*I97/SUMIFS($I$3:$I$105,$G$3:$G$105,G97,$B$3:$B$105,B97),),)</f>
        <v>0.60869565217391308</v>
      </c>
      <c r="N97" s="373">
        <f>IFERROR(IF(B97="Funkcna poziadavka",VLOOKUP(G97,MODULY_CBA!$B$3:$E$23,3,0),),)</f>
        <v>1.2049999999999998</v>
      </c>
      <c r="O97" s="373">
        <f>IFERROR(IF(B97="funkcna poziadavka",VLOOKUP(G97,MODULY_CBA!$B$3:$E$23,2,0),),)</f>
        <v>0.99</v>
      </c>
      <c r="P97" s="686">
        <f t="shared" si="31"/>
        <v>12.655643478260869</v>
      </c>
      <c r="Q97" s="686">
        <f>IFERROR(P97*VLOOKUP(G97,MODULY_CBA!$B$3:$F$23,5,0),)</f>
        <v>379.66930434782608</v>
      </c>
      <c r="R97" s="448" t="str">
        <f>IFERROR(VLOOKUP(G97,MODULY_CBA!$B$3:$I$23,6,0),"")</f>
        <v>Inkrement 1</v>
      </c>
      <c r="S97" s="374"/>
      <c r="T97" s="374"/>
      <c r="U97" s="374"/>
      <c r="V97" s="374"/>
      <c r="W97" s="374"/>
      <c r="X97" s="374"/>
      <c r="Y97" s="374"/>
      <c r="Z97" s="374"/>
      <c r="AA97" s="374"/>
      <c r="AB97" s="374"/>
      <c r="AC97" s="374"/>
      <c r="AD97" s="374"/>
      <c r="AE97" s="374"/>
      <c r="AF97" s="374"/>
    </row>
    <row r="98" spans="1:32" ht="30" hidden="1" x14ac:dyDescent="0.2">
      <c r="A98" s="658" t="s">
        <v>807</v>
      </c>
      <c r="B98" s="661" t="s">
        <v>570</v>
      </c>
      <c r="C98" s="658" t="s">
        <v>810</v>
      </c>
      <c r="D98" s="661" t="s">
        <v>820</v>
      </c>
      <c r="E98" s="661" t="s">
        <v>829</v>
      </c>
      <c r="F98" s="661" t="s">
        <v>573</v>
      </c>
      <c r="G98" s="658" t="s">
        <v>250</v>
      </c>
      <c r="H98" s="375" t="s">
        <v>459</v>
      </c>
      <c r="I98" s="373">
        <v>1</v>
      </c>
      <c r="J98" s="373">
        <v>5</v>
      </c>
      <c r="K98" s="373"/>
      <c r="L98" s="373">
        <f t="shared" si="30"/>
        <v>5</v>
      </c>
      <c r="M98" s="685">
        <f>IFERROR(IF(B98="funkcna poziadavka",VLOOKUP(G98,MODULY_CBA!$B$3:$E$23,4,0)*I98/SUMIFS($I$3:$I$105,$G$3:$G$105,G98,$B$3:$B$105,B98),),)</f>
        <v>1.1666666666666667</v>
      </c>
      <c r="N98" s="373">
        <f>IFERROR(IF(B98="Funkcna poziadavka",VLOOKUP(G98,MODULY_CBA!$B$3:$E$23,3,0),),)</f>
        <v>1.2049999999999998</v>
      </c>
      <c r="O98" s="373">
        <f>IFERROR(IF(B98="funkcna poziadavka",VLOOKUP(G98,MODULY_CBA!$B$3:$E$23,2,0),),)</f>
        <v>0.99</v>
      </c>
      <c r="P98" s="686">
        <f t="shared" si="31"/>
        <v>7.3565249999999995</v>
      </c>
      <c r="Q98" s="686">
        <f>IFERROR(P98*VLOOKUP(G98,MODULY_CBA!$B$3:$F$23,5,0),)</f>
        <v>220.69574999999998</v>
      </c>
      <c r="R98" s="448" t="str">
        <f>IFERROR(VLOOKUP(G98,MODULY_CBA!$B$3:$I$23,6,0),"")</f>
        <v>Inkrement 1</v>
      </c>
      <c r="S98" s="374"/>
      <c r="T98" s="374"/>
      <c r="U98" s="374"/>
      <c r="V98" s="374"/>
      <c r="W98" s="374"/>
      <c r="X98" s="374"/>
      <c r="Y98" s="374"/>
      <c r="Z98" s="374"/>
      <c r="AA98" s="374"/>
      <c r="AB98" s="374"/>
      <c r="AC98" s="374"/>
      <c r="AD98" s="374"/>
      <c r="AE98" s="374"/>
      <c r="AF98" s="374"/>
    </row>
    <row r="99" spans="1:32" ht="30" hidden="1" x14ac:dyDescent="0.2">
      <c r="A99" s="658" t="s">
        <v>809</v>
      </c>
      <c r="B99" s="661" t="s">
        <v>570</v>
      </c>
      <c r="C99" s="658" t="s">
        <v>810</v>
      </c>
      <c r="D99" s="661" t="s">
        <v>820</v>
      </c>
      <c r="E99" s="661" t="s">
        <v>831</v>
      </c>
      <c r="F99" s="661" t="s">
        <v>573</v>
      </c>
      <c r="G99" s="658" t="s">
        <v>252</v>
      </c>
      <c r="H99" s="375" t="s">
        <v>459</v>
      </c>
      <c r="I99" s="373">
        <v>1</v>
      </c>
      <c r="J99" s="373">
        <v>5</v>
      </c>
      <c r="K99" s="373"/>
      <c r="L99" s="373">
        <f t="shared" si="30"/>
        <v>5</v>
      </c>
      <c r="M99" s="685">
        <f>IFERROR(IF(B99="funkcna poziadavka",VLOOKUP(G99,MODULY_CBA!$B$3:$E$23,4,0)*I99/SUMIFS($I$3:$I$105,$G$3:$G$105,G99,$B$3:$B$105,B99),),)</f>
        <v>0.60869565217391308</v>
      </c>
      <c r="N99" s="373">
        <f>IFERROR(IF(B99="Funkcna poziadavka",VLOOKUP(G99,MODULY_CBA!$B$3:$E$23,3,0),),)</f>
        <v>1.2049999999999998</v>
      </c>
      <c r="O99" s="373">
        <f>IFERROR(IF(B99="funkcna poziadavka",VLOOKUP(G99,MODULY_CBA!$B$3:$E$23,2,0),),)</f>
        <v>0.99</v>
      </c>
      <c r="P99" s="686">
        <f t="shared" si="31"/>
        <v>6.6908934782608691</v>
      </c>
      <c r="Q99" s="686">
        <f>IFERROR(P99*VLOOKUP(G99,MODULY_CBA!$B$3:$F$23,5,0),)</f>
        <v>200.72680434782606</v>
      </c>
      <c r="R99" s="448" t="str">
        <f>IFERROR(VLOOKUP(G99,MODULY_CBA!$B$3:$I$23,6,0),"")</f>
        <v>Inkrement 1</v>
      </c>
      <c r="S99" s="374"/>
      <c r="T99" s="374"/>
      <c r="U99" s="374"/>
      <c r="V99" s="374"/>
      <c r="W99" s="374"/>
      <c r="X99" s="374"/>
      <c r="Y99" s="374"/>
      <c r="Z99" s="374"/>
      <c r="AA99" s="374"/>
      <c r="AB99" s="374"/>
      <c r="AC99" s="374"/>
      <c r="AD99" s="374"/>
      <c r="AE99" s="374"/>
      <c r="AF99" s="374"/>
    </row>
    <row r="100" spans="1:32" ht="30" hidden="1" x14ac:dyDescent="0.2">
      <c r="A100" s="658" t="s">
        <v>813</v>
      </c>
      <c r="B100" s="661" t="s">
        <v>570</v>
      </c>
      <c r="C100" s="661" t="s">
        <v>623</v>
      </c>
      <c r="D100" s="661" t="s">
        <v>833</v>
      </c>
      <c r="E100" s="661" t="s">
        <v>834</v>
      </c>
      <c r="F100" s="661" t="s">
        <v>573</v>
      </c>
      <c r="G100" s="658" t="s">
        <v>252</v>
      </c>
      <c r="H100" s="661" t="s">
        <v>448</v>
      </c>
      <c r="I100" s="373">
        <v>1</v>
      </c>
      <c r="J100" s="373">
        <v>10</v>
      </c>
      <c r="K100" s="373"/>
      <c r="L100" s="373">
        <f t="shared" si="30"/>
        <v>10</v>
      </c>
      <c r="M100" s="685">
        <f>IFERROR(IF(B100="funkcna poziadavka",VLOOKUP(G100,MODULY_CBA!$B$3:$E$23,4,0)*I100/SUMIFS($I$3:$I$105,$G$3:$G$105,G100,$B$3:$B$105,B100),),)</f>
        <v>0.60869565217391308</v>
      </c>
      <c r="N100" s="373">
        <f>IFERROR(IF(B100="Funkcna poziadavka",VLOOKUP(G100,MODULY_CBA!$B$3:$E$23,3,0),),)</f>
        <v>1.2049999999999998</v>
      </c>
      <c r="O100" s="373">
        <f>IFERROR(IF(B100="funkcna poziadavka",VLOOKUP(G100,MODULY_CBA!$B$3:$E$23,2,0),),)</f>
        <v>0.99</v>
      </c>
      <c r="P100" s="686">
        <f t="shared" si="31"/>
        <v>12.655643478260869</v>
      </c>
      <c r="Q100" s="686">
        <f>IFERROR(P100*VLOOKUP(G100,MODULY_CBA!$B$3:$F$23,5,0),)</f>
        <v>379.66930434782608</v>
      </c>
      <c r="R100" s="448" t="str">
        <f>IFERROR(VLOOKUP(G100,MODULY_CBA!$B$3:$I$23,6,0),"")</f>
        <v>Inkrement 1</v>
      </c>
      <c r="S100" s="374"/>
      <c r="T100" s="374"/>
      <c r="U100" s="374"/>
      <c r="V100" s="374"/>
      <c r="W100" s="374"/>
      <c r="X100" s="374"/>
      <c r="Y100" s="374"/>
      <c r="Z100" s="374"/>
      <c r="AA100" s="374"/>
      <c r="AB100" s="374"/>
      <c r="AC100" s="374"/>
      <c r="AD100" s="374"/>
      <c r="AE100" s="374"/>
      <c r="AF100" s="374"/>
    </row>
    <row r="101" spans="1:32" ht="30" hidden="1" x14ac:dyDescent="0.2">
      <c r="A101" s="658" t="s">
        <v>816</v>
      </c>
      <c r="B101" s="661" t="s">
        <v>570</v>
      </c>
      <c r="C101" s="661" t="s">
        <v>623</v>
      </c>
      <c r="D101" s="661" t="s">
        <v>833</v>
      </c>
      <c r="E101" s="661" t="s">
        <v>836</v>
      </c>
      <c r="F101" s="661" t="s">
        <v>573</v>
      </c>
      <c r="G101" s="658" t="s">
        <v>252</v>
      </c>
      <c r="H101" s="661" t="s">
        <v>448</v>
      </c>
      <c r="I101" s="373">
        <v>1</v>
      </c>
      <c r="J101" s="373">
        <v>10</v>
      </c>
      <c r="K101" s="373"/>
      <c r="L101" s="373">
        <f t="shared" si="30"/>
        <v>10</v>
      </c>
      <c r="M101" s="685">
        <f>IFERROR(IF(B101="funkcna poziadavka",VLOOKUP(G101,MODULY_CBA!$B$3:$E$23,4,0)*I101/SUMIFS($I$3:$I$105,$G$3:$G$105,G101,$B$3:$B$105,B101),),)</f>
        <v>0.60869565217391308</v>
      </c>
      <c r="N101" s="373">
        <f>IFERROR(IF(B101="Funkcna poziadavka",VLOOKUP(G101,MODULY_CBA!$B$3:$E$23,3,0),),)</f>
        <v>1.2049999999999998</v>
      </c>
      <c r="O101" s="373">
        <f>IFERROR(IF(B101="funkcna poziadavka",VLOOKUP(G101,MODULY_CBA!$B$3:$E$23,2,0),),)</f>
        <v>0.99</v>
      </c>
      <c r="P101" s="686">
        <f t="shared" si="31"/>
        <v>12.655643478260869</v>
      </c>
      <c r="Q101" s="686">
        <f>IFERROR(P101*VLOOKUP(G101,MODULY_CBA!$B$3:$F$23,5,0),)</f>
        <v>379.66930434782608</v>
      </c>
      <c r="R101" s="448" t="str">
        <f>IFERROR(VLOOKUP(G101,MODULY_CBA!$B$3:$I$23,6,0),"")</f>
        <v>Inkrement 1</v>
      </c>
      <c r="S101" s="374"/>
      <c r="T101" s="374"/>
      <c r="U101" s="374"/>
      <c r="V101" s="374"/>
      <c r="W101" s="374"/>
      <c r="X101" s="374"/>
      <c r="Y101" s="374"/>
      <c r="Z101" s="374"/>
      <c r="AA101" s="374"/>
      <c r="AB101" s="374"/>
      <c r="AC101" s="374"/>
      <c r="AD101" s="374"/>
      <c r="AE101" s="374"/>
      <c r="AF101" s="374"/>
    </row>
    <row r="102" spans="1:32" ht="30" hidden="1" x14ac:dyDescent="0.2">
      <c r="A102" s="658" t="s">
        <v>819</v>
      </c>
      <c r="B102" s="661" t="s">
        <v>570</v>
      </c>
      <c r="C102" s="661" t="s">
        <v>623</v>
      </c>
      <c r="D102" s="661" t="s">
        <v>833</v>
      </c>
      <c r="E102" s="661" t="s">
        <v>838</v>
      </c>
      <c r="F102" s="661" t="s">
        <v>573</v>
      </c>
      <c r="G102" s="658" t="s">
        <v>252</v>
      </c>
      <c r="H102" s="661" t="s">
        <v>448</v>
      </c>
      <c r="I102" s="373">
        <v>1</v>
      </c>
      <c r="J102" s="373">
        <v>10</v>
      </c>
      <c r="K102" s="373"/>
      <c r="L102" s="373">
        <f t="shared" si="30"/>
        <v>10</v>
      </c>
      <c r="M102" s="685">
        <f>IFERROR(IF(B102="funkcna poziadavka",VLOOKUP(G102,MODULY_CBA!$B$3:$E$23,4,0)*I102/SUMIFS($I$3:$I$105,$G$3:$G$105,G102,$B$3:$B$105,B102),),)</f>
        <v>0.60869565217391308</v>
      </c>
      <c r="N102" s="373">
        <f>IFERROR(IF(B102="Funkcna poziadavka",VLOOKUP(G102,MODULY_CBA!$B$3:$E$23,3,0),),)</f>
        <v>1.2049999999999998</v>
      </c>
      <c r="O102" s="373">
        <f>IFERROR(IF(B102="funkcna poziadavka",VLOOKUP(G102,MODULY_CBA!$B$3:$E$23,2,0),),)</f>
        <v>0.99</v>
      </c>
      <c r="P102" s="686">
        <f t="shared" si="31"/>
        <v>12.655643478260869</v>
      </c>
      <c r="Q102" s="686">
        <f>IFERROR(P102*VLOOKUP(G102,MODULY_CBA!$B$3:$F$23,5,0),)</f>
        <v>379.66930434782608</v>
      </c>
      <c r="R102" s="448" t="str">
        <f>IFERROR(VLOOKUP(G102,MODULY_CBA!$B$3:$I$23,6,0),"")</f>
        <v>Inkrement 1</v>
      </c>
      <c r="S102" s="374"/>
      <c r="T102" s="374"/>
      <c r="U102" s="374"/>
      <c r="V102" s="374"/>
      <c r="W102" s="374"/>
      <c r="X102" s="374"/>
      <c r="Y102" s="374"/>
      <c r="Z102" s="374"/>
      <c r="AA102" s="374"/>
      <c r="AB102" s="374"/>
      <c r="AC102" s="374"/>
      <c r="AD102" s="374"/>
      <c r="AE102" s="374"/>
      <c r="AF102" s="374"/>
    </row>
    <row r="103" spans="1:32" ht="165" hidden="1" x14ac:dyDescent="0.2">
      <c r="A103" s="658" t="s">
        <v>822</v>
      </c>
      <c r="B103" s="375" t="s">
        <v>570</v>
      </c>
      <c r="C103" s="375" t="s">
        <v>623</v>
      </c>
      <c r="D103" s="660" t="s">
        <v>840</v>
      </c>
      <c r="E103" s="660" t="s">
        <v>841</v>
      </c>
      <c r="F103" s="661" t="s">
        <v>573</v>
      </c>
      <c r="G103" s="661" t="s">
        <v>252</v>
      </c>
      <c r="H103" s="375" t="s">
        <v>453</v>
      </c>
      <c r="I103" s="373">
        <v>1</v>
      </c>
      <c r="J103" s="701">
        <v>10</v>
      </c>
      <c r="K103" s="373">
        <f t="shared" ref="K103:K107" si="35">IF(ISNUMBER(I103),I103,)</f>
        <v>1</v>
      </c>
      <c r="L103" s="373">
        <f t="shared" si="30"/>
        <v>10</v>
      </c>
      <c r="M103" s="685">
        <f>IFERROR(IF(B103="funkcna poziadavka",VLOOKUP(G103,MODULY_CBA!$B$3:$E$23,4,0)*I103/SUMIFS($I$3:$I$105,$G$3:$G$105,G103,$B$3:$B$105,B103),),)</f>
        <v>0.60869565217391308</v>
      </c>
      <c r="N103" s="373">
        <f>IFERROR(IF(B103="Funkcna poziadavka",VLOOKUP(G103,MODULY_CBA!$B$3:$E$23,3,0),),)</f>
        <v>1.2049999999999998</v>
      </c>
      <c r="O103" s="373">
        <f>IFERROR(IF(B103="funkcna poziadavka",VLOOKUP(G103,MODULY_CBA!$B$3:$E$23,2,0),),)</f>
        <v>0.99</v>
      </c>
      <c r="P103" s="686">
        <f t="shared" si="31"/>
        <v>12.655643478260869</v>
      </c>
      <c r="Q103" s="686">
        <f>IFERROR(P103*VLOOKUP(G103,MODULY_CBA!$B$3:$F$23,5,0),)</f>
        <v>379.66930434782608</v>
      </c>
      <c r="R103" s="448" t="str">
        <f>IFERROR(VLOOKUP(G103,MODULY_CBA!$B$3:$I$23,6,0),"")</f>
        <v>Inkrement 1</v>
      </c>
      <c r="S103" s="373"/>
      <c r="T103" s="373"/>
      <c r="U103" s="373"/>
      <c r="V103" s="373"/>
      <c r="W103" s="373"/>
      <c r="X103" s="373"/>
      <c r="Y103" s="373"/>
      <c r="Z103" s="373"/>
      <c r="AA103" s="373"/>
      <c r="AB103" s="373"/>
      <c r="AC103" s="373"/>
      <c r="AD103" s="373"/>
      <c r="AE103" s="373"/>
      <c r="AF103" s="373"/>
    </row>
    <row r="104" spans="1:32" ht="30" hidden="1" x14ac:dyDescent="0.2">
      <c r="A104" s="658" t="s">
        <v>824</v>
      </c>
      <c r="B104" s="375" t="s">
        <v>570</v>
      </c>
      <c r="C104" s="375" t="s">
        <v>764</v>
      </c>
      <c r="D104" s="660" t="s">
        <v>843</v>
      </c>
      <c r="E104" s="660" t="s">
        <v>844</v>
      </c>
      <c r="F104" s="661" t="s">
        <v>573</v>
      </c>
      <c r="G104" s="661" t="s">
        <v>256</v>
      </c>
      <c r="H104" s="658" t="s">
        <v>461</v>
      </c>
      <c r="I104" s="373">
        <v>1</v>
      </c>
      <c r="J104" s="701">
        <v>5</v>
      </c>
      <c r="K104" s="373">
        <f t="shared" si="35"/>
        <v>1</v>
      </c>
      <c r="L104" s="373">
        <f t="shared" si="30"/>
        <v>5</v>
      </c>
      <c r="M104" s="685">
        <f>IFERROR(IF(B104="funkcna poziadavka",VLOOKUP(G104,MODULY_CBA!$B$3:$E$23,4,0)*I104/SUMIFS($I$3:$I$105,$G$3:$G$105,G104,$B$3:$B$105,B104),),)</f>
        <v>2.3333333333333335</v>
      </c>
      <c r="N104" s="373">
        <f>IFERROR(IF(B104="Funkcna poziadavka",VLOOKUP(G104,MODULY_CBA!$B$3:$E$23,3,0),),)</f>
        <v>1.2049999999999998</v>
      </c>
      <c r="O104" s="373">
        <f>IFERROR(IF(B104="funkcna poziadavka",VLOOKUP(G104,MODULY_CBA!$B$3:$E$23,2,0),),)</f>
        <v>0.99</v>
      </c>
      <c r="P104" s="686">
        <f t="shared" si="31"/>
        <v>8.7482999999999986</v>
      </c>
      <c r="Q104" s="686">
        <f>IFERROR(P104*VLOOKUP(G104,MODULY_CBA!$B$3:$F$23,5,0),)</f>
        <v>174.96599999999998</v>
      </c>
      <c r="R104" s="448" t="str">
        <f>IFERROR(VLOOKUP(G104,MODULY_CBA!$B$3:$I$23,6,0),"")</f>
        <v>Inkrement 1</v>
      </c>
      <c r="S104" s="373"/>
      <c r="T104" s="373"/>
      <c r="U104" s="373"/>
      <c r="V104" s="373"/>
      <c r="W104" s="373"/>
      <c r="X104" s="373"/>
      <c r="Y104" s="373"/>
      <c r="Z104" s="373"/>
      <c r="AA104" s="373"/>
      <c r="AB104" s="373"/>
      <c r="AC104" s="373"/>
      <c r="AD104" s="373"/>
      <c r="AE104" s="373"/>
      <c r="AF104" s="373"/>
    </row>
    <row r="105" spans="1:32" ht="45" hidden="1" x14ac:dyDescent="0.2">
      <c r="A105" s="658" t="s">
        <v>826</v>
      </c>
      <c r="B105" s="375" t="s">
        <v>570</v>
      </c>
      <c r="C105" s="375" t="s">
        <v>764</v>
      </c>
      <c r="D105" s="660" t="s">
        <v>846</v>
      </c>
      <c r="E105" s="660" t="s">
        <v>847</v>
      </c>
      <c r="F105" s="661" t="s">
        <v>573</v>
      </c>
      <c r="G105" s="661" t="s">
        <v>252</v>
      </c>
      <c r="H105" s="375" t="s">
        <v>453</v>
      </c>
      <c r="I105" s="373">
        <v>1</v>
      </c>
      <c r="J105" s="701">
        <v>10</v>
      </c>
      <c r="K105" s="373">
        <f t="shared" si="35"/>
        <v>1</v>
      </c>
      <c r="L105" s="373">
        <f t="shared" si="30"/>
        <v>10</v>
      </c>
      <c r="M105" s="685">
        <f>IFERROR(IF(B105="funkcna poziadavka",VLOOKUP(G105,MODULY_CBA!$B$3:$E$23,4,0)*I105/SUMIFS($I$3:$I$105,$G$3:$G$105,G105,$B$3:$B$105,B105),),)</f>
        <v>0.60869565217391308</v>
      </c>
      <c r="N105" s="373">
        <f>IFERROR(IF(B105="Funkcna poziadavka",VLOOKUP(G105,MODULY_CBA!$B$3:$E$23,3,0),),)</f>
        <v>1.2049999999999998</v>
      </c>
      <c r="O105" s="373">
        <f>IFERROR(IF(B105="funkcna poziadavka",VLOOKUP(G105,MODULY_CBA!$B$3:$E$23,2,0),),)</f>
        <v>0.99</v>
      </c>
      <c r="P105" s="686">
        <f t="shared" si="31"/>
        <v>12.655643478260869</v>
      </c>
      <c r="Q105" s="686">
        <f>IFERROR(P105*VLOOKUP(G105,MODULY_CBA!$B$3:$F$23,5,0),)</f>
        <v>379.66930434782608</v>
      </c>
      <c r="R105" s="448" t="str">
        <f>IFERROR(VLOOKUP(G105,MODULY_CBA!$B$3:$I$23,6,0),"")</f>
        <v>Inkrement 1</v>
      </c>
      <c r="S105" s="373"/>
      <c r="T105" s="373"/>
      <c r="U105" s="373"/>
      <c r="V105" s="373"/>
      <c r="W105" s="373"/>
      <c r="X105" s="373"/>
      <c r="Y105" s="373"/>
      <c r="Z105" s="373"/>
      <c r="AA105" s="373"/>
      <c r="AB105" s="373"/>
      <c r="AC105" s="373"/>
      <c r="AD105" s="373"/>
      <c r="AE105" s="373"/>
      <c r="AF105" s="373"/>
    </row>
    <row r="106" spans="1:32" ht="30" hidden="1" x14ac:dyDescent="0.2">
      <c r="A106" s="658" t="s">
        <v>828</v>
      </c>
      <c r="B106" s="375" t="s">
        <v>570</v>
      </c>
      <c r="C106" s="375" t="s">
        <v>764</v>
      </c>
      <c r="D106" s="697" t="s">
        <v>678</v>
      </c>
      <c r="E106" s="706" t="s">
        <v>849</v>
      </c>
      <c r="F106" s="661" t="s">
        <v>573</v>
      </c>
      <c r="G106" s="661" t="s">
        <v>254</v>
      </c>
      <c r="H106" s="375" t="s">
        <v>448</v>
      </c>
      <c r="I106" s="373">
        <v>1</v>
      </c>
      <c r="J106" s="373">
        <v>10</v>
      </c>
      <c r="K106" s="373">
        <f t="shared" si="35"/>
        <v>1</v>
      </c>
      <c r="L106" s="373">
        <f t="shared" si="30"/>
        <v>10</v>
      </c>
      <c r="M106" s="685">
        <f>IFERROR(IF(B106="funkcna poziadavka",VLOOKUP(G106,MODULY_CBA!$B$3:$E$23,4,0)*I106/SUMIFS($I$3:$I$105,$G$3:$G$105,G106,$B$3:$B$105,B106),),)</f>
        <v>0.27450980392156865</v>
      </c>
      <c r="N106" s="373">
        <f>IFERROR(IF(B106="Funkcna poziadavka",VLOOKUP(G106,MODULY_CBA!$B$3:$E$23,3,0),),)</f>
        <v>1.2049999999999998</v>
      </c>
      <c r="O106" s="373">
        <f>IFERROR(IF(B106="funkcna poziadavka",VLOOKUP(G106,MODULY_CBA!$B$3:$E$23,2,0),),)</f>
        <v>0.99</v>
      </c>
      <c r="P106" s="686">
        <f t="shared" si="31"/>
        <v>12.256976470588235</v>
      </c>
      <c r="Q106" s="686">
        <f>IFERROR(P106*VLOOKUP(G106,MODULY_CBA!$B$3:$F$23,5,0),)</f>
        <v>183.85464705882353</v>
      </c>
      <c r="R106" s="448" t="str">
        <f>IFERROR(VLOOKUP(G106,MODULY_CBA!$B$3:$I$23,6,0),"")</f>
        <v>Inkrement 1</v>
      </c>
      <c r="S106" s="373"/>
      <c r="T106" s="373"/>
      <c r="U106" s="373"/>
      <c r="V106" s="373"/>
      <c r="W106" s="373"/>
      <c r="X106" s="373"/>
      <c r="Y106" s="373"/>
      <c r="Z106" s="373"/>
      <c r="AA106" s="373"/>
      <c r="AB106" s="373"/>
      <c r="AC106" s="373"/>
      <c r="AD106" s="373"/>
      <c r="AE106" s="373"/>
      <c r="AF106" s="373"/>
    </row>
    <row r="107" spans="1:32" ht="30" hidden="1" x14ac:dyDescent="0.2">
      <c r="A107" s="658" t="s">
        <v>830</v>
      </c>
      <c r="B107" s="375" t="s">
        <v>570</v>
      </c>
      <c r="C107" s="375" t="s">
        <v>764</v>
      </c>
      <c r="D107" s="697" t="s">
        <v>678</v>
      </c>
      <c r="E107" s="706" t="s">
        <v>1287</v>
      </c>
      <c r="F107" s="661" t="s">
        <v>573</v>
      </c>
      <c r="G107" s="661" t="s">
        <v>254</v>
      </c>
      <c r="H107" s="375" t="s">
        <v>448</v>
      </c>
      <c r="I107" s="373">
        <v>1</v>
      </c>
      <c r="J107" s="373">
        <v>10</v>
      </c>
      <c r="K107" s="373">
        <f t="shared" si="35"/>
        <v>1</v>
      </c>
      <c r="L107" s="373">
        <f t="shared" si="30"/>
        <v>10</v>
      </c>
      <c r="M107" s="685">
        <f>IFERROR(IF(B107="funkcna poziadavka",VLOOKUP(G107,MODULY_CBA!$B$3:$E$23,4,0)*I107/SUMIFS($I$3:$I$105,$G$3:$G$105,G107,$B$3:$B$105,B107),),)</f>
        <v>0.27450980392156865</v>
      </c>
      <c r="N107" s="373">
        <f>IFERROR(IF(B107="Funkcna poziadavka",VLOOKUP(G107,MODULY_CBA!$B$3:$E$23,3,0),),)</f>
        <v>1.2049999999999998</v>
      </c>
      <c r="O107" s="373">
        <f>IFERROR(IF(B107="funkcna poziadavka",VLOOKUP(G107,MODULY_CBA!$B$3:$E$23,2,0),),)</f>
        <v>0.99</v>
      </c>
      <c r="P107" s="686">
        <f t="shared" si="31"/>
        <v>12.256976470588235</v>
      </c>
      <c r="Q107" s="686">
        <f>IFERROR(P107*VLOOKUP(G107,MODULY_CBA!$B$3:$F$23,5,0),)</f>
        <v>183.85464705882353</v>
      </c>
      <c r="R107" s="448" t="str">
        <f>IFERROR(VLOOKUP(G107,MODULY_CBA!$B$3:$I$23,6,0),"")</f>
        <v>Inkrement 1</v>
      </c>
      <c r="S107" s="373"/>
      <c r="T107" s="373"/>
      <c r="U107" s="373"/>
      <c r="V107" s="373"/>
      <c r="W107" s="373"/>
      <c r="X107" s="373"/>
      <c r="Y107" s="373"/>
      <c r="Z107" s="373"/>
      <c r="AA107" s="373"/>
      <c r="AB107" s="373"/>
      <c r="AC107" s="373"/>
      <c r="AD107" s="373"/>
      <c r="AE107" s="373"/>
      <c r="AF107" s="373"/>
    </row>
    <row r="108" spans="1:32" ht="30" hidden="1" x14ac:dyDescent="0.2">
      <c r="A108" s="658" t="s">
        <v>832</v>
      </c>
      <c r="B108" s="375" t="s">
        <v>570</v>
      </c>
      <c r="C108" s="660" t="s">
        <v>616</v>
      </c>
      <c r="D108" s="706" t="s">
        <v>586</v>
      </c>
      <c r="E108" s="706" t="s">
        <v>852</v>
      </c>
      <c r="F108" s="661" t="s">
        <v>573</v>
      </c>
      <c r="G108" s="661" t="s">
        <v>254</v>
      </c>
      <c r="H108" s="375" t="s">
        <v>448</v>
      </c>
      <c r="I108" s="373">
        <v>1</v>
      </c>
      <c r="J108" s="373">
        <v>10</v>
      </c>
      <c r="K108" s="373"/>
      <c r="L108" s="373">
        <f t="shared" si="30"/>
        <v>10</v>
      </c>
      <c r="M108" s="685">
        <f>IFERROR(IF(B108="funkcna poziadavka",VLOOKUP(G108,MODULY_CBA!$B$3:$E$23,4,0)*I108/SUMIFS($I$3:$I$105,$G$3:$G$105,G108,$B$3:$B$105,B108),),)</f>
        <v>0.27450980392156865</v>
      </c>
      <c r="N108" s="373">
        <f>IFERROR(IF(B108="Funkcna poziadavka",VLOOKUP(G108,MODULY_CBA!$B$3:$E$23,3,0),),)</f>
        <v>1.2049999999999998</v>
      </c>
      <c r="O108" s="373">
        <f>IFERROR(IF(B108="funkcna poziadavka",VLOOKUP(G108,MODULY_CBA!$B$3:$E$23,2,0),),)</f>
        <v>0.99</v>
      </c>
      <c r="P108" s="686">
        <f t="shared" si="31"/>
        <v>12.256976470588235</v>
      </c>
      <c r="Q108" s="686">
        <f>IFERROR(P108*VLOOKUP(G108,MODULY_CBA!$B$3:$F$23,5,0),)</f>
        <v>183.85464705882353</v>
      </c>
      <c r="R108" s="448" t="str">
        <f>IFERROR(VLOOKUP(G108,MODULY_CBA!$B$3:$I$23,6,0),"")</f>
        <v>Inkrement 1</v>
      </c>
      <c r="S108" s="373"/>
      <c r="T108" s="373"/>
      <c r="U108" s="373"/>
      <c r="V108" s="373"/>
      <c r="W108" s="373"/>
      <c r="X108" s="373"/>
      <c r="Y108" s="373"/>
      <c r="Z108" s="373"/>
      <c r="AA108" s="373"/>
      <c r="AB108" s="373"/>
      <c r="AC108" s="373"/>
      <c r="AD108" s="373"/>
      <c r="AE108" s="373"/>
      <c r="AF108" s="373"/>
    </row>
    <row r="109" spans="1:32" ht="45" hidden="1" x14ac:dyDescent="0.2">
      <c r="A109" s="658" t="s">
        <v>835</v>
      </c>
      <c r="B109" s="375" t="s">
        <v>570</v>
      </c>
      <c r="C109" s="704" t="s">
        <v>571</v>
      </c>
      <c r="D109" s="706" t="s">
        <v>854</v>
      </c>
      <c r="E109" s="706" t="s">
        <v>855</v>
      </c>
      <c r="F109" s="661" t="s">
        <v>573</v>
      </c>
      <c r="G109" s="661" t="s">
        <v>256</v>
      </c>
      <c r="H109" s="375" t="s">
        <v>448</v>
      </c>
      <c r="I109" s="373">
        <v>1</v>
      </c>
      <c r="J109" s="373">
        <v>10</v>
      </c>
      <c r="K109" s="373"/>
      <c r="L109" s="373">
        <f t="shared" si="30"/>
        <v>10</v>
      </c>
      <c r="M109" s="685">
        <f>IFERROR(IF(B109="funkcna poziadavka",VLOOKUP(G109,MODULY_CBA!$B$3:$E$23,4,0)*I109/SUMIFS($I$3:$I$105,$G$3:$G$105,G109,$B$3:$B$105,B109),),)</f>
        <v>2.3333333333333335</v>
      </c>
      <c r="N109" s="373">
        <f>IFERROR(IF(B109="Funkcna poziadavka",VLOOKUP(G109,MODULY_CBA!$B$3:$E$23,3,0),),)</f>
        <v>1.2049999999999998</v>
      </c>
      <c r="O109" s="373">
        <f>IFERROR(IF(B109="funkcna poziadavka",VLOOKUP(G109,MODULY_CBA!$B$3:$E$23,2,0),),)</f>
        <v>0.99</v>
      </c>
      <c r="P109" s="686">
        <f t="shared" si="31"/>
        <v>14.713049999999999</v>
      </c>
      <c r="Q109" s="686">
        <f>IFERROR(P109*VLOOKUP(G109,MODULY_CBA!$B$3:$F$23,5,0),)</f>
        <v>294.26099999999997</v>
      </c>
      <c r="R109" s="448" t="str">
        <f>IFERROR(VLOOKUP(G109,MODULY_CBA!$B$3:$I$23,6,0),"")</f>
        <v>Inkrement 1</v>
      </c>
      <c r="S109" s="373"/>
      <c r="T109" s="373"/>
      <c r="U109" s="373"/>
      <c r="V109" s="373"/>
      <c r="W109" s="373"/>
      <c r="X109" s="373"/>
      <c r="Y109" s="373"/>
      <c r="Z109" s="373"/>
      <c r="AA109" s="373"/>
      <c r="AB109" s="373"/>
      <c r="AC109" s="373"/>
      <c r="AD109" s="373"/>
      <c r="AE109" s="373"/>
      <c r="AF109" s="373"/>
    </row>
    <row r="110" spans="1:32" ht="45" hidden="1" x14ac:dyDescent="0.2">
      <c r="A110" s="658" t="s">
        <v>837</v>
      </c>
      <c r="B110" s="375" t="s">
        <v>570</v>
      </c>
      <c r="C110" s="704" t="s">
        <v>857</v>
      </c>
      <c r="D110" s="706" t="s">
        <v>858</v>
      </c>
      <c r="E110" s="706" t="s">
        <v>859</v>
      </c>
      <c r="F110" s="661" t="s">
        <v>573</v>
      </c>
      <c r="G110" s="661" t="s">
        <v>254</v>
      </c>
      <c r="H110" s="375" t="s">
        <v>448</v>
      </c>
      <c r="I110" s="373">
        <v>1</v>
      </c>
      <c r="J110" s="373">
        <v>10</v>
      </c>
      <c r="K110" s="373"/>
      <c r="L110" s="373">
        <f t="shared" si="30"/>
        <v>10</v>
      </c>
      <c r="M110" s="685">
        <f>IFERROR(IF(B110="funkcna poziadavka",VLOOKUP(G110,MODULY_CBA!$B$3:$E$23,4,0)*I110/SUMIFS($I$3:$I$105,$G$3:$G$105,G110,$B$3:$B$105,B110),),)</f>
        <v>0.27450980392156865</v>
      </c>
      <c r="N110" s="373">
        <f>IFERROR(IF(B110="Funkcna poziadavka",VLOOKUP(G110,MODULY_CBA!$B$3:$E$23,3,0),),)</f>
        <v>1.2049999999999998</v>
      </c>
      <c r="O110" s="373">
        <f>IFERROR(IF(B110="funkcna poziadavka",VLOOKUP(G110,MODULY_CBA!$B$3:$E$23,2,0),),)</f>
        <v>0.99</v>
      </c>
      <c r="P110" s="686">
        <f t="shared" si="31"/>
        <v>12.256976470588235</v>
      </c>
      <c r="Q110" s="686">
        <f>IFERROR(P110*VLOOKUP(G110,MODULY_CBA!$B$3:$F$23,5,0),)</f>
        <v>183.85464705882353</v>
      </c>
      <c r="R110" s="448" t="str">
        <f>IFERROR(VLOOKUP(G110,MODULY_CBA!$B$3:$I$23,6,0),"")</f>
        <v>Inkrement 1</v>
      </c>
      <c r="S110" s="373"/>
      <c r="T110" s="373"/>
      <c r="U110" s="373"/>
      <c r="V110" s="373"/>
      <c r="W110" s="373"/>
      <c r="X110" s="373"/>
      <c r="Y110" s="373"/>
      <c r="Z110" s="373"/>
      <c r="AA110" s="373"/>
      <c r="AB110" s="373"/>
      <c r="AC110" s="373"/>
      <c r="AD110" s="373"/>
      <c r="AE110" s="373"/>
      <c r="AF110" s="373"/>
    </row>
    <row r="111" spans="1:32" ht="30" hidden="1" x14ac:dyDescent="0.2">
      <c r="A111" s="658" t="s">
        <v>1285</v>
      </c>
      <c r="B111" s="375" t="s">
        <v>570</v>
      </c>
      <c r="C111" s="707" t="s">
        <v>857</v>
      </c>
      <c r="D111" s="708" t="s">
        <v>861</v>
      </c>
      <c r="E111" s="708" t="s">
        <v>862</v>
      </c>
      <c r="F111" s="661" t="s">
        <v>573</v>
      </c>
      <c r="G111" s="661" t="s">
        <v>254</v>
      </c>
      <c r="H111" s="375" t="s">
        <v>448</v>
      </c>
      <c r="I111" s="373">
        <v>1</v>
      </c>
      <c r="J111" s="373">
        <v>10</v>
      </c>
      <c r="K111" s="373"/>
      <c r="L111" s="373">
        <f t="shared" si="30"/>
        <v>10</v>
      </c>
      <c r="M111" s="685">
        <f>IFERROR(IF(B111="funkcna poziadavka",VLOOKUP(G111,MODULY_CBA!$B$3:$E$23,4,0)*I111/SUMIFS($I$3:$I$105,$G$3:$G$105,G111,$B$3:$B$105,B111),),)</f>
        <v>0.27450980392156865</v>
      </c>
      <c r="N111" s="373">
        <f>IFERROR(IF(B111="Funkcna poziadavka",VLOOKUP(G111,MODULY_CBA!$B$3:$E$23,3,0),),)</f>
        <v>1.2049999999999998</v>
      </c>
      <c r="O111" s="373">
        <f>IFERROR(IF(B111="funkcna poziadavka",VLOOKUP(G111,MODULY_CBA!$B$3:$E$23,2,0),),)</f>
        <v>0.99</v>
      </c>
      <c r="P111" s="686">
        <f t="shared" si="31"/>
        <v>12.256976470588235</v>
      </c>
      <c r="Q111" s="686">
        <f>IFERROR(P111*VLOOKUP(G111,MODULY_CBA!$B$3:$F$23,5,0),)</f>
        <v>183.85464705882353</v>
      </c>
      <c r="R111" s="448" t="str">
        <f>IFERROR(VLOOKUP(G111,MODULY_CBA!$B$3:$I$23,6,0),"")</f>
        <v>Inkrement 1</v>
      </c>
      <c r="S111" s="373"/>
      <c r="T111" s="373"/>
      <c r="U111" s="373"/>
      <c r="V111" s="373"/>
      <c r="W111" s="373"/>
      <c r="X111" s="373"/>
      <c r="Y111" s="373"/>
      <c r="Z111" s="373"/>
      <c r="AA111" s="373"/>
      <c r="AB111" s="373"/>
      <c r="AC111" s="373"/>
      <c r="AD111" s="373"/>
      <c r="AE111" s="373"/>
      <c r="AF111" s="373"/>
    </row>
    <row r="112" spans="1:32" ht="30" hidden="1" x14ac:dyDescent="0.2">
      <c r="A112" s="658" t="s">
        <v>839</v>
      </c>
      <c r="B112" s="375" t="s">
        <v>570</v>
      </c>
      <c r="C112" s="707" t="s">
        <v>857</v>
      </c>
      <c r="D112" s="708" t="s">
        <v>864</v>
      </c>
      <c r="E112" s="708" t="s">
        <v>865</v>
      </c>
      <c r="F112" s="661" t="s">
        <v>573</v>
      </c>
      <c r="G112" s="661" t="s">
        <v>254</v>
      </c>
      <c r="H112" s="375" t="s">
        <v>448</v>
      </c>
      <c r="I112" s="373">
        <v>1</v>
      </c>
      <c r="J112" s="373">
        <v>10</v>
      </c>
      <c r="K112" s="373"/>
      <c r="L112" s="373">
        <f t="shared" si="30"/>
        <v>10</v>
      </c>
      <c r="M112" s="685">
        <f>IFERROR(IF(B112="funkcna poziadavka",VLOOKUP(G112,MODULY_CBA!$B$3:$E$23,4,0)*I112/SUMIFS($I$3:$I$105,$G$3:$G$105,G112,$B$3:$B$105,B112),),)</f>
        <v>0.27450980392156865</v>
      </c>
      <c r="N112" s="373">
        <f>IFERROR(IF(B112="Funkcna poziadavka",VLOOKUP(G112,MODULY_CBA!$B$3:$E$23,3,0),),)</f>
        <v>1.2049999999999998</v>
      </c>
      <c r="O112" s="373">
        <f>IFERROR(IF(B112="funkcna poziadavka",VLOOKUP(G112,MODULY_CBA!$B$3:$E$23,2,0),),)</f>
        <v>0.99</v>
      </c>
      <c r="P112" s="686">
        <f t="shared" si="31"/>
        <v>12.256976470588235</v>
      </c>
      <c r="Q112" s="686">
        <f>IFERROR(P112*VLOOKUP(G112,MODULY_CBA!$B$3:$F$23,5,0),)</f>
        <v>183.85464705882353</v>
      </c>
      <c r="R112" s="448" t="str">
        <f>IFERROR(VLOOKUP(G112,MODULY_CBA!$B$3:$I$23,6,0),"")</f>
        <v>Inkrement 1</v>
      </c>
      <c r="S112" s="373"/>
      <c r="T112" s="373"/>
      <c r="U112" s="373"/>
      <c r="V112" s="373"/>
      <c r="W112" s="373"/>
      <c r="X112" s="373"/>
      <c r="Y112" s="373"/>
      <c r="Z112" s="373"/>
      <c r="AA112" s="373"/>
      <c r="AB112" s="373"/>
      <c r="AC112" s="373"/>
      <c r="AD112" s="373"/>
      <c r="AE112" s="373"/>
      <c r="AF112" s="373"/>
    </row>
    <row r="113" spans="1:32" ht="45" hidden="1" x14ac:dyDescent="0.2">
      <c r="A113" s="658" t="s">
        <v>842</v>
      </c>
      <c r="B113" s="375" t="s">
        <v>570</v>
      </c>
      <c r="C113" s="375" t="s">
        <v>764</v>
      </c>
      <c r="D113" s="375" t="s">
        <v>867</v>
      </c>
      <c r="E113" s="661" t="s">
        <v>868</v>
      </c>
      <c r="F113" s="661" t="s">
        <v>573</v>
      </c>
      <c r="G113" s="661" t="s">
        <v>254</v>
      </c>
      <c r="H113" s="375" t="s">
        <v>461</v>
      </c>
      <c r="I113" s="373">
        <v>1</v>
      </c>
      <c r="J113" s="701">
        <v>5</v>
      </c>
      <c r="K113" s="373">
        <f>IF(ISNUMBER(I113),I113,)</f>
        <v>1</v>
      </c>
      <c r="L113" s="373">
        <f t="shared" si="30"/>
        <v>5</v>
      </c>
      <c r="M113" s="685">
        <f>IFERROR(IF(B113="funkcna poziadavka",VLOOKUP(G113,MODULY_CBA!$B$3:$E$23,4,0)*I113/SUMIFS($I$3:$I$105,$G$3:$G$105,G113,$B$3:$B$105,B113),),)</f>
        <v>0.27450980392156865</v>
      </c>
      <c r="N113" s="373">
        <f>IFERROR(IF(B113="Funkcna poziadavka",VLOOKUP(G113,MODULY_CBA!$B$3:$E$23,3,0),),)</f>
        <v>1.2049999999999998</v>
      </c>
      <c r="O113" s="373">
        <f>IFERROR(IF(B113="funkcna poziadavka",VLOOKUP(G113,MODULY_CBA!$B$3:$E$23,2,0),),)</f>
        <v>0.99</v>
      </c>
      <c r="P113" s="686">
        <f t="shared" si="31"/>
        <v>6.2922264705882345</v>
      </c>
      <c r="Q113" s="686">
        <f>IFERROR(P113*VLOOKUP(G113,MODULY_CBA!$B$3:$F$23,5,0),)</f>
        <v>94.383397058823519</v>
      </c>
      <c r="R113" s="448" t="str">
        <f>IFERROR(VLOOKUP(G113,MODULY_CBA!$B$3:$I$23,6,0),"")</f>
        <v>Inkrement 1</v>
      </c>
      <c r="S113" s="373"/>
      <c r="T113" s="373"/>
      <c r="U113" s="373"/>
      <c r="V113" s="373"/>
      <c r="W113" s="373"/>
      <c r="X113" s="373"/>
      <c r="Y113" s="373"/>
      <c r="Z113" s="373"/>
      <c r="AA113" s="373"/>
      <c r="AB113" s="373"/>
      <c r="AC113" s="373"/>
      <c r="AD113" s="373"/>
      <c r="AE113" s="373"/>
      <c r="AF113" s="373"/>
    </row>
    <row r="114" spans="1:32" ht="60" hidden="1" x14ac:dyDescent="0.2">
      <c r="A114" s="658" t="s">
        <v>845</v>
      </c>
      <c r="B114" s="375" t="s">
        <v>570</v>
      </c>
      <c r="C114" s="375" t="s">
        <v>764</v>
      </c>
      <c r="D114" s="375" t="s">
        <v>870</v>
      </c>
      <c r="E114" s="661" t="s">
        <v>871</v>
      </c>
      <c r="F114" s="661" t="s">
        <v>573</v>
      </c>
      <c r="G114" s="661" t="s">
        <v>254</v>
      </c>
      <c r="H114" s="661" t="s">
        <v>448</v>
      </c>
      <c r="I114" s="373">
        <v>1</v>
      </c>
      <c r="J114" s="373">
        <v>15</v>
      </c>
      <c r="K114" s="373">
        <f>IF(ISNUMBER(I114),I114,)</f>
        <v>1</v>
      </c>
      <c r="L114" s="373">
        <f t="shared" ref="L114:L149" si="36">I114*J114</f>
        <v>15</v>
      </c>
      <c r="M114" s="685">
        <f>IFERROR(IF(B114="funkcna poziadavka",VLOOKUP(G114,MODULY_CBA!$B$3:$E$23,4,0)*I114/SUMIFS($I$3:$I$105,$G$3:$G$105,G114,$B$3:$B$105,B114),),)</f>
        <v>0.27450980392156865</v>
      </c>
      <c r="N114" s="373">
        <f>IFERROR(IF(B114="Funkcna poziadavka",VLOOKUP(G114,MODULY_CBA!$B$3:$E$23,3,0),),)</f>
        <v>1.2049999999999998</v>
      </c>
      <c r="O114" s="373">
        <f>IFERROR(IF(B114="funkcna poziadavka",VLOOKUP(G114,MODULY_CBA!$B$3:$E$23,2,0),),)</f>
        <v>0.99</v>
      </c>
      <c r="P114" s="686">
        <f t="shared" ref="P114:P149" si="37">(L114+M114)*N114*O114</f>
        <v>18.221726470588237</v>
      </c>
      <c r="Q114" s="686">
        <f>IFERROR(P114*VLOOKUP(G114,MODULY_CBA!$B$3:$F$23,5,0),)</f>
        <v>273.32589705882356</v>
      </c>
      <c r="R114" s="448" t="str">
        <f>IFERROR(VLOOKUP(G114,MODULY_CBA!$B$3:$I$23,6,0),"")</f>
        <v>Inkrement 1</v>
      </c>
      <c r="S114" s="373"/>
      <c r="T114" s="373"/>
      <c r="U114" s="373"/>
      <c r="V114" s="373"/>
      <c r="W114" s="373"/>
      <c r="X114" s="373"/>
      <c r="Y114" s="373"/>
      <c r="Z114" s="373"/>
      <c r="AA114" s="373"/>
      <c r="AB114" s="373"/>
      <c r="AC114" s="373"/>
      <c r="AD114" s="373"/>
      <c r="AE114" s="373"/>
      <c r="AF114" s="373"/>
    </row>
    <row r="115" spans="1:32" ht="45" hidden="1" x14ac:dyDescent="0.2">
      <c r="A115" s="658" t="s">
        <v>848</v>
      </c>
      <c r="B115" s="375" t="s">
        <v>570</v>
      </c>
      <c r="C115" s="375" t="s">
        <v>623</v>
      </c>
      <c r="D115" s="375" t="s">
        <v>874</v>
      </c>
      <c r="E115" s="661" t="s">
        <v>875</v>
      </c>
      <c r="F115" s="661" t="s">
        <v>573</v>
      </c>
      <c r="G115" s="375" t="s">
        <v>260</v>
      </c>
      <c r="H115" s="375" t="s">
        <v>456</v>
      </c>
      <c r="I115" s="373">
        <v>1</v>
      </c>
      <c r="J115" s="373">
        <v>5</v>
      </c>
      <c r="K115" s="373"/>
      <c r="L115" s="373">
        <f t="shared" si="36"/>
        <v>5</v>
      </c>
      <c r="M115" s="685">
        <f>IFERROR(IF(B115="funkcna poziadavka",VLOOKUP(G115,MODULY_CBA!$B$3:$E$23,4,0)*I115/SUMIFS($I$3:$I$105,$G$3:$G$105,G115,$B$3:$B$105,B115),),)</f>
        <v>2.3333333333333335</v>
      </c>
      <c r="N115" s="373">
        <f>IFERROR(IF(B115="Funkcna poziadavka",VLOOKUP(G115,MODULY_CBA!$B$3:$E$23,3,0),),)</f>
        <v>1.2049999999999998</v>
      </c>
      <c r="O115" s="373">
        <f>IFERROR(IF(B115="funkcna poziadavka",VLOOKUP(G115,MODULY_CBA!$B$3:$E$23,2,0),),)</f>
        <v>0.99</v>
      </c>
      <c r="P115" s="686">
        <f t="shared" si="37"/>
        <v>8.7482999999999986</v>
      </c>
      <c r="Q115" s="686">
        <f>IFERROR(P115*VLOOKUP(G115,MODULY_CBA!$B$3:$F$23,5,0),)</f>
        <v>131.22449999999998</v>
      </c>
      <c r="R115" s="448" t="str">
        <f>IFERROR(VLOOKUP(G115,MODULY_CBA!$B$3:$I$23,6,0),"")</f>
        <v>Inkrement 1</v>
      </c>
      <c r="S115" s="373"/>
      <c r="T115" s="373"/>
      <c r="U115" s="373"/>
      <c r="V115" s="373"/>
      <c r="W115" s="693"/>
      <c r="X115" s="373"/>
      <c r="Y115" s="373"/>
      <c r="Z115" s="373"/>
      <c r="AA115" s="373"/>
      <c r="AB115" s="373"/>
      <c r="AC115" s="373"/>
      <c r="AD115" s="373"/>
      <c r="AE115" s="373"/>
      <c r="AF115" s="373"/>
    </row>
    <row r="116" spans="1:32" ht="65.25" hidden="1" customHeight="1" x14ac:dyDescent="0.2">
      <c r="A116" s="658" t="s">
        <v>850</v>
      </c>
      <c r="B116" s="375" t="s">
        <v>570</v>
      </c>
      <c r="C116" s="375" t="s">
        <v>623</v>
      </c>
      <c r="D116" s="375" t="s">
        <v>877</v>
      </c>
      <c r="E116" s="661" t="s">
        <v>878</v>
      </c>
      <c r="F116" s="661" t="s">
        <v>573</v>
      </c>
      <c r="G116" s="661" t="s">
        <v>256</v>
      </c>
      <c r="H116" s="661" t="s">
        <v>448</v>
      </c>
      <c r="I116" s="373">
        <v>1</v>
      </c>
      <c r="J116" s="373">
        <v>10</v>
      </c>
      <c r="K116" s="373">
        <f t="shared" ref="K116:K121" si="38">IF(ISNUMBER(I116),I116,)</f>
        <v>1</v>
      </c>
      <c r="L116" s="373">
        <f t="shared" si="36"/>
        <v>10</v>
      </c>
      <c r="M116" s="685">
        <f>IFERROR(IF(B116="funkcna poziadavka",VLOOKUP(G116,MODULY_CBA!$B$3:$E$23,4,0)*I116/SUMIFS($I$3:$I$105,$G$3:$G$105,G116,$B$3:$B$105,B116),),)</f>
        <v>2.3333333333333335</v>
      </c>
      <c r="N116" s="373">
        <f>IFERROR(IF(B116="Funkcna poziadavka",VLOOKUP(G116,MODULY_CBA!$B$3:$E$23,3,0),),)</f>
        <v>1.2049999999999998</v>
      </c>
      <c r="O116" s="373">
        <f>IFERROR(IF(B116="funkcna poziadavka",VLOOKUP(G116,MODULY_CBA!$B$3:$E$23,2,0),),)</f>
        <v>0.99</v>
      </c>
      <c r="P116" s="686">
        <f t="shared" si="37"/>
        <v>14.713049999999999</v>
      </c>
      <c r="Q116" s="686">
        <f>IFERROR(P116*VLOOKUP(G116,MODULY_CBA!$B$3:$F$23,5,0),)</f>
        <v>294.26099999999997</v>
      </c>
      <c r="R116" s="448" t="str">
        <f>IFERROR(VLOOKUP(G116,MODULY_CBA!$B$3:$I$23,6,0),"")</f>
        <v>Inkrement 1</v>
      </c>
      <c r="S116" s="373"/>
      <c r="T116" s="373"/>
      <c r="U116" s="373"/>
      <c r="V116" s="373"/>
      <c r="W116" s="373"/>
      <c r="X116" s="373"/>
      <c r="Y116" s="373"/>
      <c r="Z116" s="373"/>
      <c r="AA116" s="373"/>
      <c r="AB116" s="373"/>
      <c r="AC116" s="373"/>
      <c r="AD116" s="373"/>
      <c r="AE116" s="373"/>
      <c r="AF116" s="373"/>
    </row>
    <row r="117" spans="1:32" ht="30" hidden="1" x14ac:dyDescent="0.2">
      <c r="A117" s="658" t="s">
        <v>851</v>
      </c>
      <c r="B117" s="375" t="s">
        <v>570</v>
      </c>
      <c r="C117" s="375" t="s">
        <v>1286</v>
      </c>
      <c r="D117" s="660" t="s">
        <v>880</v>
      </c>
      <c r="E117" s="661" t="s">
        <v>881</v>
      </c>
      <c r="F117" s="661" t="s">
        <v>573</v>
      </c>
      <c r="G117" s="661" t="s">
        <v>256</v>
      </c>
      <c r="H117" s="658" t="s">
        <v>453</v>
      </c>
      <c r="I117" s="373">
        <v>1</v>
      </c>
      <c r="J117" s="701">
        <v>10</v>
      </c>
      <c r="K117" s="373">
        <f t="shared" si="38"/>
        <v>1</v>
      </c>
      <c r="L117" s="373">
        <f t="shared" si="36"/>
        <v>10</v>
      </c>
      <c r="M117" s="685">
        <f>IFERROR(IF(B117="funkcna poziadavka",VLOOKUP(G117,MODULY_CBA!$B$3:$E$23,4,0)*I117/SUMIFS($I$3:$I$105,$G$3:$G$105,G117,$B$3:$B$105,B117),),)</f>
        <v>2.3333333333333335</v>
      </c>
      <c r="N117" s="373">
        <f>IFERROR(IF(B117="Funkcna poziadavka",VLOOKUP(G117,MODULY_CBA!$B$3:$E$23,3,0),),)</f>
        <v>1.2049999999999998</v>
      </c>
      <c r="O117" s="373">
        <f>IFERROR(IF(B117="funkcna poziadavka",VLOOKUP(G117,MODULY_CBA!$B$3:$E$23,2,0),),)</f>
        <v>0.99</v>
      </c>
      <c r="P117" s="686">
        <f t="shared" si="37"/>
        <v>14.713049999999999</v>
      </c>
      <c r="Q117" s="686">
        <f>IFERROR(P117*VLOOKUP(G117,MODULY_CBA!$B$3:$F$23,5,0),)</f>
        <v>294.26099999999997</v>
      </c>
      <c r="R117" s="448" t="str">
        <f>IFERROR(VLOOKUP(G117,MODULY_CBA!$B$3:$I$23,6,0),"")</f>
        <v>Inkrement 1</v>
      </c>
      <c r="S117" s="373"/>
      <c r="T117" s="373"/>
      <c r="U117" s="373"/>
      <c r="V117" s="373"/>
      <c r="W117" s="373"/>
      <c r="X117" s="373"/>
      <c r="Y117" s="373"/>
      <c r="Z117" s="373"/>
      <c r="AA117" s="373"/>
      <c r="AB117" s="373"/>
      <c r="AC117" s="373"/>
      <c r="AD117" s="373"/>
      <c r="AE117" s="373"/>
      <c r="AF117" s="373"/>
    </row>
    <row r="118" spans="1:32" ht="30" hidden="1" x14ac:dyDescent="0.2">
      <c r="A118" s="658" t="s">
        <v>853</v>
      </c>
      <c r="B118" s="375" t="s">
        <v>570</v>
      </c>
      <c r="C118" s="375" t="s">
        <v>1286</v>
      </c>
      <c r="D118" s="660" t="s">
        <v>882</v>
      </c>
      <c r="E118" s="661" t="s">
        <v>883</v>
      </c>
      <c r="F118" s="661" t="s">
        <v>573</v>
      </c>
      <c r="G118" s="661" t="s">
        <v>256</v>
      </c>
      <c r="H118" s="658" t="s">
        <v>459</v>
      </c>
      <c r="I118" s="373">
        <v>1</v>
      </c>
      <c r="J118" s="701">
        <v>10</v>
      </c>
      <c r="K118" s="373"/>
      <c r="L118" s="373">
        <f t="shared" ref="L118:L119" si="39">I118*J118</f>
        <v>10</v>
      </c>
      <c r="M118" s="685">
        <f>IFERROR(IF(B118="funkcna poziadavka",VLOOKUP(G118,MODULY_CBA!$B$3:$E$23,4,0)*I118/SUMIFS($I$3:$I$105,$G$3:$G$105,G118,$B$3:$B$105,B118),),)</f>
        <v>2.3333333333333335</v>
      </c>
      <c r="N118" s="373">
        <f>IFERROR(IF(B118="Funkcna poziadavka",VLOOKUP(G118,MODULY_CBA!$B$3:$E$23,3,0),),)</f>
        <v>1.2049999999999998</v>
      </c>
      <c r="O118" s="373">
        <f>IFERROR(IF(B118="funkcna poziadavka",VLOOKUP(G118,MODULY_CBA!$B$3:$E$23,2,0),),)</f>
        <v>0.99</v>
      </c>
      <c r="P118" s="686">
        <f t="shared" ref="P118" si="40">(L118+M118)*N118*O118</f>
        <v>14.713049999999999</v>
      </c>
      <c r="Q118" s="686">
        <f>IFERROR(P118*VLOOKUP(G118,MODULY_CBA!$B$3:$F$23,5,0),)</f>
        <v>294.26099999999997</v>
      </c>
      <c r="R118" s="448" t="str">
        <f>IFERROR(VLOOKUP(G118,MODULY_CBA!$B$3:$I$23,6,0),"")</f>
        <v>Inkrement 1</v>
      </c>
      <c r="S118" s="373"/>
      <c r="T118" s="373"/>
      <c r="U118" s="373"/>
      <c r="V118" s="373"/>
      <c r="W118" s="373"/>
      <c r="X118" s="373"/>
      <c r="Y118" s="373"/>
      <c r="Z118" s="373"/>
      <c r="AA118" s="373"/>
      <c r="AB118" s="373"/>
      <c r="AC118" s="373"/>
      <c r="AD118" s="373"/>
      <c r="AE118" s="373"/>
      <c r="AF118" s="373"/>
    </row>
    <row r="119" spans="1:32" ht="60" hidden="1" x14ac:dyDescent="0.2">
      <c r="A119" s="658" t="s">
        <v>856</v>
      </c>
      <c r="B119" s="375" t="s">
        <v>570</v>
      </c>
      <c r="C119" s="375" t="s">
        <v>1286</v>
      </c>
      <c r="D119" s="660" t="s">
        <v>884</v>
      </c>
      <c r="E119" s="661" t="s">
        <v>885</v>
      </c>
      <c r="F119" s="661" t="s">
        <v>573</v>
      </c>
      <c r="G119" s="661" t="s">
        <v>256</v>
      </c>
      <c r="H119" s="658" t="s">
        <v>459</v>
      </c>
      <c r="I119" s="373">
        <v>1</v>
      </c>
      <c r="J119" s="701">
        <v>10</v>
      </c>
      <c r="K119" s="373" t="e">
        <f t="shared" ref="K119" si="41">H119*I119</f>
        <v>#VALUE!</v>
      </c>
      <c r="L119" s="373">
        <f t="shared" si="39"/>
        <v>10</v>
      </c>
      <c r="M119" s="685">
        <f>IFERROR(IF(B119="funkcna poziadavka",VLOOKUP(G119,MODULY_CBA!$B$3:$E$23,4,0)*I119/SUMIFS($I$3:$I$105,$G$3:$G$105,G119,$B$3:$B$105,B119),),)</f>
        <v>2.3333333333333335</v>
      </c>
      <c r="N119" s="373">
        <f>IFERROR(IF(B119="Funkcna poziadavka",VLOOKUP(G119,MODULY_CBA!$B$3:$E$23,3,0),),)</f>
        <v>1.2049999999999998</v>
      </c>
      <c r="O119" s="373">
        <f>IFERROR(IF(B119="funkcna poziadavka",VLOOKUP(G119,MODULY_CBA!$B$3:$E$23,2,0),),)</f>
        <v>0.99</v>
      </c>
      <c r="P119" s="686">
        <f t="shared" ref="P119" si="42">(L119+M119)*N119*O119</f>
        <v>14.713049999999999</v>
      </c>
      <c r="Q119" s="686">
        <f>IFERROR(P119*VLOOKUP(G119,MODULY_CBA!$B$3:$F$23,5,0),)</f>
        <v>294.26099999999997</v>
      </c>
      <c r="R119" s="448" t="str">
        <f>IFERROR(VLOOKUP(G119,MODULY_CBA!$B$3:$I$23,6,0),"")</f>
        <v>Inkrement 1</v>
      </c>
      <c r="S119" s="373"/>
      <c r="T119" s="373"/>
      <c r="U119" s="373"/>
      <c r="V119" s="373"/>
      <c r="W119" s="373"/>
      <c r="X119" s="373"/>
      <c r="Y119" s="373"/>
      <c r="Z119" s="373"/>
      <c r="AA119" s="373"/>
      <c r="AB119" s="373"/>
      <c r="AC119" s="373"/>
      <c r="AD119" s="373"/>
      <c r="AE119" s="373"/>
    </row>
    <row r="120" spans="1:32" ht="30" x14ac:dyDescent="0.2">
      <c r="A120" s="658" t="s">
        <v>860</v>
      </c>
      <c r="B120" s="375" t="s">
        <v>570</v>
      </c>
      <c r="C120" s="375" t="s">
        <v>1286</v>
      </c>
      <c r="D120" s="660" t="s">
        <v>886</v>
      </c>
      <c r="E120" s="661" t="s">
        <v>887</v>
      </c>
      <c r="F120" s="661" t="s">
        <v>573</v>
      </c>
      <c r="G120" s="661" t="s">
        <v>254</v>
      </c>
      <c r="H120" s="658" t="s">
        <v>461</v>
      </c>
      <c r="I120" s="373">
        <v>1</v>
      </c>
      <c r="J120" s="701">
        <v>5</v>
      </c>
      <c r="K120" s="373">
        <f t="shared" si="38"/>
        <v>1</v>
      </c>
      <c r="L120" s="373">
        <f t="shared" si="36"/>
        <v>5</v>
      </c>
      <c r="M120" s="685">
        <f>IFERROR(IF(B120="funkcna poziadavka",VLOOKUP(G120,MODULY_CBA!$B$3:$E$23,4,0)*I120/SUMIFS($I$3:$I$105,$G$3:$G$105,G120,$B$3:$B$105,B120),),)</f>
        <v>0.27450980392156865</v>
      </c>
      <c r="N120" s="373">
        <f>IFERROR(IF(B120="Funkcna poziadavka",VLOOKUP(G120,MODULY_CBA!$B$3:$E$23,3,0),),)</f>
        <v>1.2049999999999998</v>
      </c>
      <c r="O120" s="373">
        <f>IFERROR(IF(B120="funkcna poziadavka",VLOOKUP(G120,MODULY_CBA!$B$3:$E$23,2,0),),)</f>
        <v>0.99</v>
      </c>
      <c r="P120" s="686">
        <f t="shared" si="37"/>
        <v>6.2922264705882345</v>
      </c>
      <c r="Q120" s="686">
        <f>IFERROR(P120*VLOOKUP(G120,MODULY_CBA!$B$3:$F$23,5,0),)</f>
        <v>94.383397058823519</v>
      </c>
      <c r="R120" s="448" t="str">
        <f>IFERROR(VLOOKUP(G120,MODULY_CBA!$B$3:$I$23,6,0),"")</f>
        <v>Inkrement 1</v>
      </c>
      <c r="S120" s="373"/>
      <c r="T120" s="373"/>
      <c r="U120" s="373"/>
      <c r="V120" s="373"/>
      <c r="W120" s="373"/>
      <c r="X120" s="373"/>
      <c r="Y120" s="373"/>
      <c r="Z120" s="373"/>
      <c r="AA120" s="373"/>
      <c r="AB120" s="373"/>
      <c r="AC120" s="373"/>
      <c r="AD120" s="373"/>
      <c r="AE120" s="373"/>
      <c r="AF120" s="373"/>
    </row>
    <row r="121" spans="1:32" ht="30" x14ac:dyDescent="0.2">
      <c r="A121" s="658" t="s">
        <v>863</v>
      </c>
      <c r="B121" s="375" t="s">
        <v>570</v>
      </c>
      <c r="C121" s="375" t="s">
        <v>1286</v>
      </c>
      <c r="D121" s="660" t="s">
        <v>889</v>
      </c>
      <c r="E121" s="661" t="s">
        <v>890</v>
      </c>
      <c r="F121" s="661" t="s">
        <v>573</v>
      </c>
      <c r="G121" s="661" t="s">
        <v>256</v>
      </c>
      <c r="H121" s="658" t="s">
        <v>461</v>
      </c>
      <c r="I121" s="373">
        <v>1</v>
      </c>
      <c r="J121" s="701">
        <v>5</v>
      </c>
      <c r="K121" s="373">
        <f t="shared" si="38"/>
        <v>1</v>
      </c>
      <c r="L121" s="373">
        <f t="shared" si="36"/>
        <v>5</v>
      </c>
      <c r="M121" s="685">
        <f>IFERROR(IF(B121="funkcna poziadavka",VLOOKUP(G121,MODULY_CBA!$B$3:$E$23,4,0)*I121/SUMIFS($I$3:$I$105,$G$3:$G$105,G121,$B$3:$B$105,B121),),)</f>
        <v>2.3333333333333335</v>
      </c>
      <c r="N121" s="373">
        <f>IFERROR(IF(B121="Funkcna poziadavka",VLOOKUP(G121,MODULY_CBA!$B$3:$E$23,3,0),),)</f>
        <v>1.2049999999999998</v>
      </c>
      <c r="O121" s="373">
        <f>IFERROR(IF(B121="funkcna poziadavka",VLOOKUP(G121,MODULY_CBA!$B$3:$E$23,2,0),),)</f>
        <v>0.99</v>
      </c>
      <c r="P121" s="686">
        <f t="shared" si="37"/>
        <v>8.7482999999999986</v>
      </c>
      <c r="Q121" s="686">
        <f>IFERROR(P121*VLOOKUP(G121,MODULY_CBA!$B$3:$F$23,5,0),)</f>
        <v>174.96599999999998</v>
      </c>
      <c r="R121" s="448" t="str">
        <f>IFERROR(VLOOKUP(G121,MODULY_CBA!$B$3:$I$23,6,0),"")</f>
        <v>Inkrement 1</v>
      </c>
      <c r="S121" s="373"/>
      <c r="T121" s="373"/>
      <c r="U121" s="373"/>
      <c r="V121" s="373"/>
      <c r="W121" s="373"/>
      <c r="X121" s="373"/>
      <c r="Y121" s="373"/>
      <c r="Z121" s="373"/>
      <c r="AA121" s="373"/>
      <c r="AB121" s="373"/>
      <c r="AC121" s="373"/>
      <c r="AD121" s="373"/>
      <c r="AE121" s="373"/>
      <c r="AF121" s="373"/>
    </row>
    <row r="122" spans="1:32" ht="60" x14ac:dyDescent="0.2">
      <c r="A122" s="658" t="s">
        <v>866</v>
      </c>
      <c r="B122" s="375" t="s">
        <v>570</v>
      </c>
      <c r="C122" s="375" t="s">
        <v>1286</v>
      </c>
      <c r="D122" s="705" t="s">
        <v>891</v>
      </c>
      <c r="E122" s="660" t="s">
        <v>892</v>
      </c>
      <c r="F122" s="661" t="s">
        <v>573</v>
      </c>
      <c r="G122" s="661" t="s">
        <v>254</v>
      </c>
      <c r="H122" s="658" t="s">
        <v>461</v>
      </c>
      <c r="I122" s="373">
        <v>1</v>
      </c>
      <c r="J122" s="701">
        <v>5</v>
      </c>
      <c r="K122" s="373"/>
      <c r="L122" s="373">
        <f t="shared" si="36"/>
        <v>5</v>
      </c>
      <c r="M122" s="685">
        <f>IFERROR(IF(B122="funkcna poziadavka",VLOOKUP(G122,MODULY_CBA!$B$3:$E$23,4,0)*I122/SUMIFS($I$3:$I$105,$G$3:$G$105,G122,$B$3:$B$105,B122),),)</f>
        <v>0.27450980392156865</v>
      </c>
      <c r="N122" s="373">
        <f>IFERROR(IF(B122="Funkcna poziadavka",VLOOKUP(G122,MODULY_CBA!$B$3:$E$23,3,0),),)</f>
        <v>1.2049999999999998</v>
      </c>
      <c r="O122" s="373">
        <f>IFERROR(IF(B122="funkcna poziadavka",VLOOKUP(G122,MODULY_CBA!$B$3:$E$23,2,0),),)</f>
        <v>0.99</v>
      </c>
      <c r="P122" s="686">
        <f t="shared" si="37"/>
        <v>6.2922264705882345</v>
      </c>
      <c r="Q122" s="686">
        <f>IFERROR(P122*VLOOKUP(G122,MODULY_CBA!$B$3:$F$23,5,0),)</f>
        <v>94.383397058823519</v>
      </c>
      <c r="R122" s="448" t="str">
        <f>IFERROR(VLOOKUP(G122,MODULY_CBA!$B$3:$I$23,6,0),"")</f>
        <v>Inkrement 1</v>
      </c>
      <c r="S122" s="373"/>
      <c r="T122" s="373"/>
      <c r="U122" s="373"/>
      <c r="V122" s="373"/>
      <c r="W122" s="373"/>
      <c r="X122" s="373"/>
      <c r="Y122" s="373"/>
      <c r="Z122" s="373"/>
      <c r="AA122" s="373"/>
      <c r="AB122" s="373"/>
      <c r="AC122" s="373"/>
      <c r="AD122" s="373"/>
      <c r="AE122" s="373"/>
      <c r="AF122" s="373"/>
    </row>
    <row r="123" spans="1:32" ht="45" x14ac:dyDescent="0.2">
      <c r="A123" s="658" t="s">
        <v>869</v>
      </c>
      <c r="B123" s="375" t="s">
        <v>570</v>
      </c>
      <c r="C123" s="375" t="s">
        <v>1286</v>
      </c>
      <c r="D123" s="660" t="s">
        <v>894</v>
      </c>
      <c r="E123" s="660" t="s">
        <v>895</v>
      </c>
      <c r="F123" s="661" t="s">
        <v>573</v>
      </c>
      <c r="G123" s="661" t="s">
        <v>254</v>
      </c>
      <c r="H123" s="658" t="s">
        <v>461</v>
      </c>
      <c r="I123" s="373">
        <v>1</v>
      </c>
      <c r="J123" s="701">
        <v>5</v>
      </c>
      <c r="K123" s="373"/>
      <c r="L123" s="373">
        <f t="shared" si="36"/>
        <v>5</v>
      </c>
      <c r="M123" s="685">
        <f>IFERROR(IF(B123="funkcna poziadavka",VLOOKUP(G123,MODULY_CBA!$B$3:$E$23,4,0)*I123/SUMIFS($I$3:$I$105,$G$3:$G$105,G123,$B$3:$B$105,B123),),)</f>
        <v>0.27450980392156865</v>
      </c>
      <c r="N123" s="373">
        <f>IFERROR(IF(B123="Funkcna poziadavka",VLOOKUP(G123,MODULY_CBA!$B$3:$E$23,3,0),),)</f>
        <v>1.2049999999999998</v>
      </c>
      <c r="O123" s="373">
        <f>IFERROR(IF(B123="funkcna poziadavka",VLOOKUP(G123,MODULY_CBA!$B$3:$E$23,2,0),),)</f>
        <v>0.99</v>
      </c>
      <c r="P123" s="686">
        <f t="shared" si="37"/>
        <v>6.2922264705882345</v>
      </c>
      <c r="Q123" s="686">
        <f>IFERROR(P123*VLOOKUP(G123,MODULY_CBA!$B$3:$F$23,5,0),)</f>
        <v>94.383397058823519</v>
      </c>
      <c r="R123" s="448" t="str">
        <f>IFERROR(VLOOKUP(G123,MODULY_CBA!$B$3:$I$23,6,0),"")</f>
        <v>Inkrement 1</v>
      </c>
      <c r="S123" s="373"/>
      <c r="T123" s="373"/>
      <c r="U123" s="373"/>
      <c r="V123" s="373"/>
      <c r="W123" s="373"/>
      <c r="X123" s="373"/>
      <c r="Y123" s="373"/>
      <c r="Z123" s="373"/>
      <c r="AA123" s="373"/>
      <c r="AB123" s="373"/>
      <c r="AC123" s="373"/>
      <c r="AD123" s="373"/>
      <c r="AE123" s="373"/>
      <c r="AF123" s="373"/>
    </row>
    <row r="124" spans="1:32" ht="45" x14ac:dyDescent="0.2">
      <c r="A124" s="658" t="s">
        <v>872</v>
      </c>
      <c r="B124" s="375" t="s">
        <v>570</v>
      </c>
      <c r="C124" s="375" t="s">
        <v>1286</v>
      </c>
      <c r="D124" s="660" t="s">
        <v>897</v>
      </c>
      <c r="E124" s="660" t="s">
        <v>898</v>
      </c>
      <c r="F124" s="661" t="s">
        <v>573</v>
      </c>
      <c r="G124" s="661" t="s">
        <v>254</v>
      </c>
      <c r="H124" s="658" t="s">
        <v>461</v>
      </c>
      <c r="I124" s="373">
        <v>1</v>
      </c>
      <c r="J124" s="701">
        <v>5</v>
      </c>
      <c r="K124" s="373"/>
      <c r="L124" s="373">
        <f t="shared" si="36"/>
        <v>5</v>
      </c>
      <c r="M124" s="685">
        <f>IFERROR(IF(B124="funkcna poziadavka",VLOOKUP(G124,MODULY_CBA!$B$3:$E$23,4,0)*I124/SUMIFS($I$3:$I$105,$G$3:$G$105,G124,$B$3:$B$105,B124),),)</f>
        <v>0.27450980392156865</v>
      </c>
      <c r="N124" s="373">
        <f>IFERROR(IF(B124="Funkcna poziadavka",VLOOKUP(G124,MODULY_CBA!$B$3:$E$23,3,0),),)</f>
        <v>1.2049999999999998</v>
      </c>
      <c r="O124" s="373">
        <f>IFERROR(IF(B124="funkcna poziadavka",VLOOKUP(G124,MODULY_CBA!$B$3:$E$23,2,0),),)</f>
        <v>0.99</v>
      </c>
      <c r="P124" s="686">
        <f t="shared" si="37"/>
        <v>6.2922264705882345</v>
      </c>
      <c r="Q124" s="686">
        <f>IFERROR(P124*VLOOKUP(G124,MODULY_CBA!$B$3:$F$23,5,0),)</f>
        <v>94.383397058823519</v>
      </c>
      <c r="R124" s="448" t="str">
        <f>IFERROR(VLOOKUP(G124,MODULY_CBA!$B$3:$I$23,6,0),"")</f>
        <v>Inkrement 1</v>
      </c>
      <c r="S124" s="373"/>
      <c r="T124" s="373"/>
      <c r="U124" s="373"/>
      <c r="V124" s="373"/>
      <c r="W124" s="373"/>
      <c r="X124" s="373"/>
      <c r="Y124" s="373"/>
      <c r="Z124" s="373"/>
      <c r="AA124" s="373"/>
      <c r="AB124" s="373"/>
      <c r="AC124" s="373"/>
      <c r="AD124" s="373"/>
      <c r="AE124" s="373"/>
      <c r="AF124" s="373"/>
    </row>
    <row r="125" spans="1:32" ht="30" x14ac:dyDescent="0.2">
      <c r="A125" s="658" t="s">
        <v>873</v>
      </c>
      <c r="B125" s="375" t="s">
        <v>570</v>
      </c>
      <c r="C125" s="375" t="s">
        <v>1286</v>
      </c>
      <c r="D125" s="660" t="s">
        <v>900</v>
      </c>
      <c r="E125" s="660" t="s">
        <v>901</v>
      </c>
      <c r="F125" s="661" t="s">
        <v>573</v>
      </c>
      <c r="G125" s="661" t="s">
        <v>254</v>
      </c>
      <c r="H125" s="658" t="s">
        <v>461</v>
      </c>
      <c r="I125" s="373">
        <v>1</v>
      </c>
      <c r="J125" s="701">
        <v>5</v>
      </c>
      <c r="K125" s="373"/>
      <c r="L125" s="373">
        <f t="shared" si="36"/>
        <v>5</v>
      </c>
      <c r="M125" s="685">
        <f>IFERROR(IF(B125="funkcna poziadavka",VLOOKUP(G125,MODULY_CBA!$B$3:$E$23,4,0)*I125/SUMIFS($I$3:$I$105,$G$3:$G$105,G125,$B$3:$B$105,B125),),)</f>
        <v>0.27450980392156865</v>
      </c>
      <c r="N125" s="373">
        <f>IFERROR(IF(B125="Funkcna poziadavka",VLOOKUP(G125,MODULY_CBA!$B$3:$E$23,3,0),),)</f>
        <v>1.2049999999999998</v>
      </c>
      <c r="O125" s="373">
        <f>IFERROR(IF(B125="funkcna poziadavka",VLOOKUP(G125,MODULY_CBA!$B$3:$E$23,2,0),),)</f>
        <v>0.99</v>
      </c>
      <c r="P125" s="686">
        <f t="shared" si="37"/>
        <v>6.2922264705882345</v>
      </c>
      <c r="Q125" s="686">
        <f>IFERROR(P125*VLOOKUP(G125,MODULY_CBA!$B$3:$F$23,5,0),)</f>
        <v>94.383397058823519</v>
      </c>
      <c r="R125" s="448" t="str">
        <f>IFERROR(VLOOKUP(G125,MODULY_CBA!$B$3:$I$23,6,0),"")</f>
        <v>Inkrement 1</v>
      </c>
      <c r="S125" s="373"/>
      <c r="T125" s="373"/>
      <c r="U125" s="373"/>
      <c r="V125" s="373"/>
      <c r="W125" s="373"/>
      <c r="X125" s="373"/>
      <c r="Y125" s="373"/>
      <c r="Z125" s="373"/>
      <c r="AA125" s="373"/>
      <c r="AB125" s="373"/>
      <c r="AC125" s="373"/>
      <c r="AD125" s="373"/>
      <c r="AE125" s="373"/>
      <c r="AF125" s="373"/>
    </row>
    <row r="126" spans="1:32" ht="45" x14ac:dyDescent="0.2">
      <c r="A126" s="658" t="s">
        <v>876</v>
      </c>
      <c r="B126" s="375" t="s">
        <v>570</v>
      </c>
      <c r="C126" s="375" t="s">
        <v>1286</v>
      </c>
      <c r="D126" s="660" t="s">
        <v>903</v>
      </c>
      <c r="E126" s="660" t="s">
        <v>904</v>
      </c>
      <c r="F126" s="661" t="s">
        <v>573</v>
      </c>
      <c r="G126" s="661" t="s">
        <v>254</v>
      </c>
      <c r="H126" s="658" t="s">
        <v>461</v>
      </c>
      <c r="I126" s="373">
        <v>1</v>
      </c>
      <c r="J126" s="701">
        <v>5</v>
      </c>
      <c r="K126" s="373"/>
      <c r="L126" s="373">
        <f t="shared" si="36"/>
        <v>5</v>
      </c>
      <c r="M126" s="685">
        <f>IFERROR(IF(B126="funkcna poziadavka",VLOOKUP(G126,MODULY_CBA!$B$3:$E$23,4,0)*I126/SUMIFS($I$3:$I$105,$G$3:$G$105,G126,$B$3:$B$105,B126),),)</f>
        <v>0.27450980392156865</v>
      </c>
      <c r="N126" s="373">
        <f>IFERROR(IF(B126="Funkcna poziadavka",VLOOKUP(G126,MODULY_CBA!$B$3:$E$23,3,0),),)</f>
        <v>1.2049999999999998</v>
      </c>
      <c r="O126" s="373">
        <f>IFERROR(IF(B126="funkcna poziadavka",VLOOKUP(G126,MODULY_CBA!$B$3:$E$23,2,0),),)</f>
        <v>0.99</v>
      </c>
      <c r="P126" s="686">
        <f t="shared" si="37"/>
        <v>6.2922264705882345</v>
      </c>
      <c r="Q126" s="686">
        <f>IFERROR(P126*VLOOKUP(G126,MODULY_CBA!$B$3:$F$23,5,0),)</f>
        <v>94.383397058823519</v>
      </c>
      <c r="R126" s="448" t="str">
        <f>IFERROR(VLOOKUP(G126,MODULY_CBA!$B$3:$I$23,6,0),"")</f>
        <v>Inkrement 1</v>
      </c>
      <c r="S126" s="373"/>
      <c r="T126" s="373"/>
      <c r="U126" s="373"/>
      <c r="V126" s="373"/>
      <c r="W126" s="373"/>
      <c r="X126" s="373"/>
      <c r="Y126" s="373"/>
      <c r="Z126" s="373"/>
      <c r="AA126" s="373"/>
      <c r="AB126" s="373"/>
      <c r="AC126" s="373"/>
      <c r="AD126" s="373"/>
      <c r="AE126" s="373"/>
      <c r="AF126" s="373"/>
    </row>
    <row r="127" spans="1:32" ht="45" x14ac:dyDescent="0.2">
      <c r="A127" s="658" t="s">
        <v>879</v>
      </c>
      <c r="B127" s="375" t="s">
        <v>570</v>
      </c>
      <c r="C127" s="375" t="s">
        <v>1286</v>
      </c>
      <c r="D127" s="660" t="s">
        <v>906</v>
      </c>
      <c r="E127" s="660" t="s">
        <v>907</v>
      </c>
      <c r="F127" s="661" t="s">
        <v>573</v>
      </c>
      <c r="G127" s="661" t="s">
        <v>254</v>
      </c>
      <c r="H127" s="658" t="s">
        <v>461</v>
      </c>
      <c r="I127" s="373">
        <v>1</v>
      </c>
      <c r="J127" s="701">
        <v>5</v>
      </c>
      <c r="K127" s="373"/>
      <c r="L127" s="373">
        <f t="shared" si="36"/>
        <v>5</v>
      </c>
      <c r="M127" s="685">
        <f>IFERROR(IF(B127="funkcna poziadavka",VLOOKUP(G127,MODULY_CBA!$B$3:$E$23,4,0)*I127/SUMIFS($I$3:$I$105,$G$3:$G$105,G127,$B$3:$B$105,B127),),)</f>
        <v>0.27450980392156865</v>
      </c>
      <c r="N127" s="373">
        <f>IFERROR(IF(B127="Funkcna poziadavka",VLOOKUP(G127,MODULY_CBA!$B$3:$E$23,3,0),),)</f>
        <v>1.2049999999999998</v>
      </c>
      <c r="O127" s="373">
        <f>IFERROR(IF(B127="funkcna poziadavka",VLOOKUP(G127,MODULY_CBA!$B$3:$E$23,2,0),),)</f>
        <v>0.99</v>
      </c>
      <c r="P127" s="686">
        <f t="shared" si="37"/>
        <v>6.2922264705882345</v>
      </c>
      <c r="Q127" s="686">
        <f>IFERROR(P127*VLOOKUP(G127,MODULY_CBA!$B$3:$F$23,5,0),)</f>
        <v>94.383397058823519</v>
      </c>
      <c r="R127" s="448" t="str">
        <f>IFERROR(VLOOKUP(G127,MODULY_CBA!$B$3:$I$23,6,0),"")</f>
        <v>Inkrement 1</v>
      </c>
      <c r="S127" s="373"/>
      <c r="T127" s="373"/>
      <c r="U127" s="373"/>
      <c r="V127" s="373"/>
      <c r="W127" s="373"/>
      <c r="X127" s="373"/>
      <c r="Y127" s="373"/>
      <c r="Z127" s="373"/>
      <c r="AA127" s="373"/>
      <c r="AB127" s="373"/>
      <c r="AC127" s="373"/>
      <c r="AD127" s="373"/>
      <c r="AE127" s="373"/>
      <c r="AF127" s="373"/>
    </row>
    <row r="128" spans="1:32" ht="30" x14ac:dyDescent="0.2">
      <c r="A128" s="658" t="s">
        <v>888</v>
      </c>
      <c r="B128" s="375" t="s">
        <v>570</v>
      </c>
      <c r="C128" s="375" t="s">
        <v>1286</v>
      </c>
      <c r="D128" s="660" t="s">
        <v>764</v>
      </c>
      <c r="E128" s="660" t="s">
        <v>912</v>
      </c>
      <c r="F128" s="661" t="s">
        <v>573</v>
      </c>
      <c r="G128" s="661" t="s">
        <v>254</v>
      </c>
      <c r="H128" s="658" t="s">
        <v>461</v>
      </c>
      <c r="I128" s="373">
        <v>1</v>
      </c>
      <c r="J128" s="701">
        <v>5</v>
      </c>
      <c r="K128" s="373"/>
      <c r="L128" s="373">
        <f t="shared" si="36"/>
        <v>5</v>
      </c>
      <c r="M128" s="685">
        <f>IFERROR(IF(B128="funkcna poziadavka",VLOOKUP(G128,MODULY_CBA!$B$3:$E$23,4,0)*I128/SUMIFS($I$3:$I$105,$G$3:$G$105,G128,$B$3:$B$105,B128),),)</f>
        <v>0.27450980392156865</v>
      </c>
      <c r="N128" s="373">
        <f>IFERROR(IF(B128="Funkcna poziadavka",VLOOKUP(G128,MODULY_CBA!$B$3:$E$23,3,0),),)</f>
        <v>1.2049999999999998</v>
      </c>
      <c r="O128" s="373">
        <f>IFERROR(IF(B128="funkcna poziadavka",VLOOKUP(G128,MODULY_CBA!$B$3:$E$23,2,0),),)</f>
        <v>0.99</v>
      </c>
      <c r="P128" s="686">
        <f t="shared" si="37"/>
        <v>6.2922264705882345</v>
      </c>
      <c r="Q128" s="686">
        <f>IFERROR(P128*VLOOKUP(G128,MODULY_CBA!$B$3:$F$23,5,0),)</f>
        <v>94.383397058823519</v>
      </c>
      <c r="R128" s="448" t="str">
        <f>IFERROR(VLOOKUP(G128,MODULY_CBA!$B$3:$I$23,6,0),"")</f>
        <v>Inkrement 1</v>
      </c>
      <c r="S128" s="373"/>
      <c r="T128" s="373"/>
      <c r="U128" s="373"/>
      <c r="V128" s="373"/>
      <c r="W128" s="373"/>
      <c r="X128" s="373"/>
      <c r="Y128" s="373"/>
      <c r="Z128" s="373"/>
      <c r="AA128" s="373"/>
      <c r="AB128" s="373"/>
      <c r="AC128" s="373"/>
      <c r="AD128" s="373"/>
      <c r="AE128" s="373"/>
      <c r="AF128" s="373"/>
    </row>
    <row r="129" spans="1:32" ht="30" x14ac:dyDescent="0.2">
      <c r="A129" s="658" t="s">
        <v>893</v>
      </c>
      <c r="B129" s="375" t="s">
        <v>570</v>
      </c>
      <c r="C129" s="375" t="s">
        <v>1286</v>
      </c>
      <c r="D129" s="660" t="s">
        <v>764</v>
      </c>
      <c r="E129" s="660" t="s">
        <v>914</v>
      </c>
      <c r="F129" s="661" t="s">
        <v>573</v>
      </c>
      <c r="G129" s="661" t="s">
        <v>254</v>
      </c>
      <c r="H129" s="658" t="s">
        <v>461</v>
      </c>
      <c r="I129" s="373">
        <v>1</v>
      </c>
      <c r="J129" s="701">
        <v>5</v>
      </c>
      <c r="K129" s="373"/>
      <c r="L129" s="373">
        <f t="shared" si="36"/>
        <v>5</v>
      </c>
      <c r="M129" s="685">
        <f>IFERROR(IF(B129="funkcna poziadavka",VLOOKUP(G129,MODULY_CBA!$B$3:$E$23,4,0)*I129/SUMIFS($I$3:$I$105,$G$3:$G$105,G129,$B$3:$B$105,B129),),)</f>
        <v>0.27450980392156865</v>
      </c>
      <c r="N129" s="373">
        <f>IFERROR(IF(B129="Funkcna poziadavka",VLOOKUP(G129,MODULY_CBA!$B$3:$E$23,3,0),),)</f>
        <v>1.2049999999999998</v>
      </c>
      <c r="O129" s="373">
        <f>IFERROR(IF(B129="funkcna poziadavka",VLOOKUP(G129,MODULY_CBA!$B$3:$E$23,2,0),),)</f>
        <v>0.99</v>
      </c>
      <c r="P129" s="686">
        <f t="shared" si="37"/>
        <v>6.2922264705882345</v>
      </c>
      <c r="Q129" s="686">
        <f>IFERROR(P129*VLOOKUP(G129,MODULY_CBA!$B$3:$F$23,5,0),)</f>
        <v>94.383397058823519</v>
      </c>
      <c r="R129" s="448" t="str">
        <f>IFERROR(VLOOKUP(G129,MODULY_CBA!$B$3:$I$23,6,0),"")</f>
        <v>Inkrement 1</v>
      </c>
      <c r="S129" s="373"/>
      <c r="T129" s="373"/>
      <c r="U129" s="373"/>
      <c r="V129" s="373"/>
      <c r="W129" s="373"/>
      <c r="X129" s="373"/>
      <c r="Y129" s="373"/>
      <c r="Z129" s="373"/>
      <c r="AA129" s="373"/>
      <c r="AB129" s="373"/>
      <c r="AC129" s="373"/>
      <c r="AD129" s="373"/>
      <c r="AE129" s="373"/>
      <c r="AF129" s="373"/>
    </row>
    <row r="130" spans="1:32" ht="30" x14ac:dyDescent="0.2">
      <c r="A130" s="658" t="s">
        <v>896</v>
      </c>
      <c r="B130" s="375" t="s">
        <v>570</v>
      </c>
      <c r="C130" s="375" t="s">
        <v>1286</v>
      </c>
      <c r="D130" s="660" t="s">
        <v>764</v>
      </c>
      <c r="E130" s="660" t="s">
        <v>917</v>
      </c>
      <c r="F130" s="661" t="s">
        <v>573</v>
      </c>
      <c r="G130" s="661" t="s">
        <v>254</v>
      </c>
      <c r="H130" s="658" t="s">
        <v>461</v>
      </c>
      <c r="I130" s="373">
        <v>1</v>
      </c>
      <c r="J130" s="701">
        <v>5</v>
      </c>
      <c r="K130" s="373"/>
      <c r="L130" s="373">
        <f t="shared" si="36"/>
        <v>5</v>
      </c>
      <c r="M130" s="685">
        <f>IFERROR(IF(B130="funkcna poziadavka",VLOOKUP(G130,MODULY_CBA!$B$3:$E$23,4,0)*I130/SUMIFS($I$3:$I$105,$G$3:$G$105,G130,$B$3:$B$105,B130),),)</f>
        <v>0.27450980392156865</v>
      </c>
      <c r="N130" s="373">
        <f>IFERROR(IF(B130="Funkcna poziadavka",VLOOKUP(G130,MODULY_CBA!$B$3:$E$23,3,0),),)</f>
        <v>1.2049999999999998</v>
      </c>
      <c r="O130" s="373">
        <f>IFERROR(IF(B130="funkcna poziadavka",VLOOKUP(G130,MODULY_CBA!$B$3:$E$23,2,0),),)</f>
        <v>0.99</v>
      </c>
      <c r="P130" s="686">
        <f t="shared" si="37"/>
        <v>6.2922264705882345</v>
      </c>
      <c r="Q130" s="686">
        <f>IFERROR(P130*VLOOKUP(G130,MODULY_CBA!$B$3:$F$23,5,0),)</f>
        <v>94.383397058823519</v>
      </c>
      <c r="R130" s="448" t="str">
        <f>IFERROR(VLOOKUP(G130,MODULY_CBA!$B$3:$I$23,6,0),"")</f>
        <v>Inkrement 1</v>
      </c>
      <c r="S130" s="373"/>
      <c r="T130" s="373"/>
      <c r="U130" s="373"/>
      <c r="V130" s="373"/>
      <c r="W130" s="373"/>
      <c r="X130" s="373"/>
      <c r="Y130" s="373"/>
      <c r="Z130" s="373"/>
      <c r="AA130" s="373"/>
      <c r="AB130" s="373"/>
      <c r="AC130" s="373"/>
      <c r="AD130" s="373"/>
      <c r="AE130" s="373"/>
      <c r="AF130" s="373"/>
    </row>
    <row r="131" spans="1:32" ht="30" x14ac:dyDescent="0.2">
      <c r="A131" s="658" t="s">
        <v>899</v>
      </c>
      <c r="B131" s="375" t="s">
        <v>570</v>
      </c>
      <c r="C131" s="375" t="s">
        <v>1286</v>
      </c>
      <c r="D131" s="660" t="s">
        <v>764</v>
      </c>
      <c r="E131" s="660" t="s">
        <v>919</v>
      </c>
      <c r="F131" s="661" t="s">
        <v>573</v>
      </c>
      <c r="G131" s="661" t="s">
        <v>254</v>
      </c>
      <c r="H131" s="658" t="s">
        <v>461</v>
      </c>
      <c r="I131" s="373">
        <v>1</v>
      </c>
      <c r="J131" s="701">
        <v>5</v>
      </c>
      <c r="K131" s="373"/>
      <c r="L131" s="373">
        <f t="shared" si="36"/>
        <v>5</v>
      </c>
      <c r="M131" s="685">
        <f>IFERROR(IF(B131="funkcna poziadavka",VLOOKUP(G131,MODULY_CBA!$B$3:$E$23,4,0)*I131/SUMIFS($I$3:$I$105,$G$3:$G$105,G131,$B$3:$B$105,B131),),)</f>
        <v>0.27450980392156865</v>
      </c>
      <c r="N131" s="373">
        <f>IFERROR(IF(B131="Funkcna poziadavka",VLOOKUP(G131,MODULY_CBA!$B$3:$E$23,3,0),),)</f>
        <v>1.2049999999999998</v>
      </c>
      <c r="O131" s="373">
        <f>IFERROR(IF(B131="funkcna poziadavka",VLOOKUP(G131,MODULY_CBA!$B$3:$E$23,2,0),),)</f>
        <v>0.99</v>
      </c>
      <c r="P131" s="686">
        <f t="shared" si="37"/>
        <v>6.2922264705882345</v>
      </c>
      <c r="Q131" s="686">
        <f>IFERROR(P131*VLOOKUP(G131,MODULY_CBA!$B$3:$F$23,5,0),)</f>
        <v>94.383397058823519</v>
      </c>
      <c r="R131" s="448" t="str">
        <f>IFERROR(VLOOKUP(G131,MODULY_CBA!$B$3:$I$23,6,0),"")</f>
        <v>Inkrement 1</v>
      </c>
      <c r="S131" s="373"/>
      <c r="T131" s="373"/>
      <c r="U131" s="373"/>
      <c r="V131" s="373"/>
      <c r="W131" s="373"/>
      <c r="X131" s="373"/>
      <c r="Y131" s="373"/>
      <c r="Z131" s="373"/>
      <c r="AA131" s="373"/>
      <c r="AB131" s="373"/>
      <c r="AC131" s="373"/>
      <c r="AD131" s="373"/>
      <c r="AE131" s="373"/>
      <c r="AF131" s="373"/>
    </row>
    <row r="132" spans="1:32" ht="60" x14ac:dyDescent="0.2">
      <c r="A132" s="658" t="s">
        <v>902</v>
      </c>
      <c r="B132" s="375" t="s">
        <v>570</v>
      </c>
      <c r="C132" s="375" t="s">
        <v>1286</v>
      </c>
      <c r="D132" s="660" t="s">
        <v>921</v>
      </c>
      <c r="E132" s="660" t="s">
        <v>922</v>
      </c>
      <c r="F132" s="661" t="s">
        <v>573</v>
      </c>
      <c r="G132" s="661" t="s">
        <v>254</v>
      </c>
      <c r="H132" s="658" t="s">
        <v>461</v>
      </c>
      <c r="I132" s="373">
        <v>1</v>
      </c>
      <c r="J132" s="701">
        <v>5</v>
      </c>
      <c r="K132" s="373"/>
      <c r="L132" s="373">
        <f t="shared" si="36"/>
        <v>5</v>
      </c>
      <c r="M132" s="685">
        <f>IFERROR(IF(B132="funkcna poziadavka",VLOOKUP(G132,MODULY_CBA!$B$3:$E$23,4,0)*I132/SUMIFS($I$3:$I$105,$G$3:$G$105,G132,$B$3:$B$105,B132),),)</f>
        <v>0.27450980392156865</v>
      </c>
      <c r="N132" s="373">
        <f>IFERROR(IF(B132="Funkcna poziadavka",VLOOKUP(G132,MODULY_CBA!$B$3:$E$23,3,0),),)</f>
        <v>1.2049999999999998</v>
      </c>
      <c r="O132" s="373">
        <f>IFERROR(IF(B132="funkcna poziadavka",VLOOKUP(G132,MODULY_CBA!$B$3:$E$23,2,0),),)</f>
        <v>0.99</v>
      </c>
      <c r="P132" s="686">
        <f t="shared" si="37"/>
        <v>6.2922264705882345</v>
      </c>
      <c r="Q132" s="686">
        <f>IFERROR(P132*VLOOKUP(G132,MODULY_CBA!$B$3:$F$23,5,0),)</f>
        <v>94.383397058823519</v>
      </c>
      <c r="R132" s="448" t="str">
        <f>IFERROR(VLOOKUP(G132,MODULY_CBA!$B$3:$I$23,6,0),"")</f>
        <v>Inkrement 1</v>
      </c>
      <c r="S132" s="373"/>
      <c r="T132" s="373"/>
      <c r="U132" s="373"/>
      <c r="V132" s="373"/>
      <c r="W132" s="373"/>
      <c r="X132" s="373"/>
      <c r="Y132" s="373"/>
      <c r="Z132" s="373"/>
      <c r="AA132" s="373"/>
      <c r="AB132" s="373"/>
      <c r="AC132" s="373"/>
      <c r="AD132" s="373"/>
      <c r="AE132" s="373"/>
      <c r="AF132" s="373"/>
    </row>
    <row r="133" spans="1:32" ht="30" x14ac:dyDescent="0.2">
      <c r="A133" s="658" t="s">
        <v>905</v>
      </c>
      <c r="B133" s="375" t="s">
        <v>570</v>
      </c>
      <c r="C133" s="375" t="s">
        <v>1286</v>
      </c>
      <c r="D133" s="660" t="s">
        <v>764</v>
      </c>
      <c r="E133" s="660" t="s">
        <v>924</v>
      </c>
      <c r="F133" s="661" t="s">
        <v>573</v>
      </c>
      <c r="G133" s="661" t="s">
        <v>254</v>
      </c>
      <c r="H133" s="658" t="s">
        <v>461</v>
      </c>
      <c r="I133" s="373">
        <v>1</v>
      </c>
      <c r="J133" s="701">
        <v>5</v>
      </c>
      <c r="K133" s="373"/>
      <c r="L133" s="373">
        <f t="shared" ref="L133" si="43">I133*J133</f>
        <v>5</v>
      </c>
      <c r="M133" s="685">
        <f>IFERROR(IF(B133="funkcna poziadavka",VLOOKUP(G133,MODULY_CBA!$B$3:$E$23,4,0)*I133/SUMIFS($I$3:$I$105,$G$3:$G$105,G133,$B$3:$B$105,B133),),)</f>
        <v>0.27450980392156865</v>
      </c>
      <c r="N133" s="373">
        <f>IFERROR(IF(B133="Funkcna poziadavka",VLOOKUP(G133,MODULY_CBA!$B$3:$E$23,3,0),),)</f>
        <v>1.2049999999999998</v>
      </c>
      <c r="O133" s="373">
        <f>IFERROR(IF(B133="funkcna poziadavka",VLOOKUP(G133,MODULY_CBA!$B$3:$E$23,2,0),),)</f>
        <v>0.99</v>
      </c>
      <c r="P133" s="686">
        <f t="shared" ref="P133" si="44">(L133+M133)*N133*O133</f>
        <v>6.2922264705882345</v>
      </c>
      <c r="Q133" s="686">
        <f>IFERROR(P133*VLOOKUP(G133,MODULY_CBA!$B$3:$F$23,5,0),)</f>
        <v>94.383397058823519</v>
      </c>
      <c r="R133" s="448" t="str">
        <f>IFERROR(VLOOKUP(G133,MODULY_CBA!$B$3:$I$23,6,0),"")</f>
        <v>Inkrement 1</v>
      </c>
      <c r="S133" s="373"/>
      <c r="T133" s="373"/>
      <c r="U133" s="373"/>
      <c r="V133" s="373"/>
      <c r="W133" s="373"/>
      <c r="X133" s="373"/>
      <c r="Y133" s="373"/>
      <c r="Z133" s="373"/>
      <c r="AA133" s="373"/>
      <c r="AB133" s="373"/>
      <c r="AC133" s="373"/>
      <c r="AD133" s="373"/>
      <c r="AE133" s="373"/>
      <c r="AF133" s="373"/>
    </row>
    <row r="134" spans="1:32" ht="30" x14ac:dyDescent="0.2">
      <c r="A134" s="658" t="s">
        <v>908</v>
      </c>
      <c r="B134" s="375" t="s">
        <v>570</v>
      </c>
      <c r="C134" s="375" t="s">
        <v>1286</v>
      </c>
      <c r="D134" s="677" t="s">
        <v>586</v>
      </c>
      <c r="E134" s="660" t="s">
        <v>926</v>
      </c>
      <c r="F134" s="661" t="s">
        <v>573</v>
      </c>
      <c r="G134" s="661" t="s">
        <v>254</v>
      </c>
      <c r="H134" s="658" t="s">
        <v>461</v>
      </c>
      <c r="I134" s="373">
        <v>1</v>
      </c>
      <c r="J134" s="701">
        <v>5</v>
      </c>
      <c r="K134" s="373"/>
      <c r="L134" s="373">
        <f t="shared" ref="L134:L142" si="45">I134*J134</f>
        <v>5</v>
      </c>
      <c r="M134" s="685">
        <f>IFERROR(IF(B134="funkcna poziadavka",VLOOKUP(G134,MODULY_CBA!$B$3:$E$23,4,0)*I134/SUMIFS($I$3:$I$105,$G$3:$G$105,G134,$B$3:$B$105,B134),),)</f>
        <v>0.27450980392156865</v>
      </c>
      <c r="N134" s="373">
        <f>IFERROR(IF(B134="Funkcna poziadavka",VLOOKUP(G134,MODULY_CBA!$B$3:$E$23,3,0),),)</f>
        <v>1.2049999999999998</v>
      </c>
      <c r="O134" s="373">
        <f>IFERROR(IF(B134="funkcna poziadavka",VLOOKUP(G134,MODULY_CBA!$B$3:$E$23,2,0),),)</f>
        <v>0.99</v>
      </c>
      <c r="P134" s="686">
        <f t="shared" ref="P134:P142" si="46">(L134+M134)*N134*O134</f>
        <v>6.2922264705882345</v>
      </c>
      <c r="Q134" s="686">
        <f>IFERROR(P134*VLOOKUP(G134,MODULY_CBA!$B$3:$F$23,5,0),)</f>
        <v>94.383397058823519</v>
      </c>
      <c r="R134" s="448" t="str">
        <f>IFERROR(VLOOKUP(G134,MODULY_CBA!$B$3:$I$23,6,0),"")</f>
        <v>Inkrement 1</v>
      </c>
      <c r="S134" s="373"/>
      <c r="T134" s="373"/>
      <c r="U134" s="373"/>
      <c r="V134" s="373"/>
      <c r="W134" s="373"/>
      <c r="X134" s="373"/>
      <c r="Y134" s="373"/>
      <c r="Z134" s="373"/>
      <c r="AA134" s="373"/>
      <c r="AB134" s="373"/>
      <c r="AC134" s="373"/>
      <c r="AD134" s="373"/>
      <c r="AE134" s="373"/>
      <c r="AF134" s="373"/>
    </row>
    <row r="135" spans="1:32" ht="30" x14ac:dyDescent="0.2">
      <c r="A135" s="658" t="s">
        <v>909</v>
      </c>
      <c r="B135" s="375" t="s">
        <v>570</v>
      </c>
      <c r="C135" s="375" t="s">
        <v>1286</v>
      </c>
      <c r="D135" s="677" t="s">
        <v>586</v>
      </c>
      <c r="E135" s="660" t="s">
        <v>928</v>
      </c>
      <c r="F135" s="661" t="s">
        <v>573</v>
      </c>
      <c r="G135" s="661" t="s">
        <v>254</v>
      </c>
      <c r="H135" s="658" t="s">
        <v>461</v>
      </c>
      <c r="I135" s="373">
        <v>1</v>
      </c>
      <c r="J135" s="701">
        <v>5</v>
      </c>
      <c r="K135" s="373"/>
      <c r="L135" s="373">
        <f t="shared" si="45"/>
        <v>5</v>
      </c>
      <c r="M135" s="685">
        <f>IFERROR(IF(B135="funkcna poziadavka",VLOOKUP(G135,MODULY_CBA!$B$3:$E$23,4,0)*I135/SUMIFS($I$3:$I$105,$G$3:$G$105,G135,$B$3:$B$105,B135),),)</f>
        <v>0.27450980392156865</v>
      </c>
      <c r="N135" s="373">
        <f>IFERROR(IF(B135="Funkcna poziadavka",VLOOKUP(G135,MODULY_CBA!$B$3:$E$23,3,0),),)</f>
        <v>1.2049999999999998</v>
      </c>
      <c r="O135" s="373">
        <f>IFERROR(IF(B135="funkcna poziadavka",VLOOKUP(G135,MODULY_CBA!$B$3:$E$23,2,0),),)</f>
        <v>0.99</v>
      </c>
      <c r="P135" s="686">
        <f t="shared" si="46"/>
        <v>6.2922264705882345</v>
      </c>
      <c r="Q135" s="686">
        <f>IFERROR(P135*VLOOKUP(G135,MODULY_CBA!$B$3:$F$23,5,0),)</f>
        <v>94.383397058823519</v>
      </c>
      <c r="R135" s="448" t="str">
        <f>IFERROR(VLOOKUP(G135,MODULY_CBA!$B$3:$I$23,6,0),"")</f>
        <v>Inkrement 1</v>
      </c>
      <c r="S135" s="373"/>
      <c r="T135" s="373"/>
      <c r="U135" s="373"/>
      <c r="V135" s="373"/>
      <c r="W135" s="373"/>
      <c r="X135" s="373"/>
      <c r="Y135" s="373"/>
      <c r="Z135" s="373"/>
      <c r="AA135" s="373"/>
      <c r="AB135" s="373"/>
      <c r="AC135" s="373"/>
      <c r="AD135" s="373"/>
      <c r="AE135" s="373"/>
      <c r="AF135" s="373"/>
    </row>
    <row r="136" spans="1:32" ht="30" x14ac:dyDescent="0.2">
      <c r="A136" s="658" t="s">
        <v>910</v>
      </c>
      <c r="B136" s="375" t="s">
        <v>570</v>
      </c>
      <c r="C136" s="375" t="s">
        <v>1286</v>
      </c>
      <c r="D136" s="677" t="s">
        <v>586</v>
      </c>
      <c r="E136" s="660" t="s">
        <v>930</v>
      </c>
      <c r="F136" s="661" t="s">
        <v>573</v>
      </c>
      <c r="G136" s="661" t="s">
        <v>254</v>
      </c>
      <c r="H136" s="658" t="s">
        <v>461</v>
      </c>
      <c r="I136" s="373">
        <v>1</v>
      </c>
      <c r="J136" s="701">
        <v>5</v>
      </c>
      <c r="K136" s="373"/>
      <c r="L136" s="373">
        <f t="shared" si="45"/>
        <v>5</v>
      </c>
      <c r="M136" s="685">
        <f>IFERROR(IF(B136="funkcna poziadavka",VLOOKUP(G136,MODULY_CBA!$B$3:$E$23,4,0)*I136/SUMIFS($I$3:$I$105,$G$3:$G$105,G136,$B$3:$B$105,B136),),)</f>
        <v>0.27450980392156865</v>
      </c>
      <c r="N136" s="373">
        <f>IFERROR(IF(B136="Funkcna poziadavka",VLOOKUP(G136,MODULY_CBA!$B$3:$E$23,3,0),),)</f>
        <v>1.2049999999999998</v>
      </c>
      <c r="O136" s="373">
        <f>IFERROR(IF(B136="funkcna poziadavka",VLOOKUP(G136,MODULY_CBA!$B$3:$E$23,2,0),),)</f>
        <v>0.99</v>
      </c>
      <c r="P136" s="686">
        <f t="shared" si="46"/>
        <v>6.2922264705882345</v>
      </c>
      <c r="Q136" s="686">
        <f>IFERROR(P136*VLOOKUP(G136,MODULY_CBA!$B$3:$F$23,5,0),)</f>
        <v>94.383397058823519</v>
      </c>
      <c r="R136" s="448" t="str">
        <f>IFERROR(VLOOKUP(G136,MODULY_CBA!$B$3:$I$23,6,0),"")</f>
        <v>Inkrement 1</v>
      </c>
      <c r="S136" s="373"/>
      <c r="T136" s="373"/>
      <c r="U136" s="373"/>
      <c r="V136" s="373"/>
      <c r="W136" s="373"/>
      <c r="X136" s="373"/>
      <c r="Y136" s="373"/>
      <c r="Z136" s="373"/>
      <c r="AA136" s="373"/>
      <c r="AB136" s="373"/>
      <c r="AC136" s="373"/>
      <c r="AD136" s="373"/>
      <c r="AE136" s="373"/>
      <c r="AF136" s="373"/>
    </row>
    <row r="137" spans="1:32" ht="30" x14ac:dyDescent="0.2">
      <c r="A137" s="658" t="s">
        <v>911</v>
      </c>
      <c r="B137" s="375" t="s">
        <v>570</v>
      </c>
      <c r="C137" s="375" t="s">
        <v>1286</v>
      </c>
      <c r="D137" s="677" t="s">
        <v>586</v>
      </c>
      <c r="E137" s="660" t="s">
        <v>932</v>
      </c>
      <c r="F137" s="661" t="s">
        <v>573</v>
      </c>
      <c r="G137" s="661" t="s">
        <v>254</v>
      </c>
      <c r="H137" s="658" t="s">
        <v>461</v>
      </c>
      <c r="I137" s="373">
        <v>1</v>
      </c>
      <c r="J137" s="701">
        <v>5</v>
      </c>
      <c r="K137" s="373"/>
      <c r="L137" s="373">
        <f t="shared" si="45"/>
        <v>5</v>
      </c>
      <c r="M137" s="685">
        <f>IFERROR(IF(B137="funkcna poziadavka",VLOOKUP(G137,MODULY_CBA!$B$3:$E$23,4,0)*I137/SUMIFS($I$3:$I$105,$G$3:$G$105,G137,$B$3:$B$105,B137),),)</f>
        <v>0.27450980392156865</v>
      </c>
      <c r="N137" s="373">
        <f>IFERROR(IF(B137="Funkcna poziadavka",VLOOKUP(G137,MODULY_CBA!$B$3:$E$23,3,0),),)</f>
        <v>1.2049999999999998</v>
      </c>
      <c r="O137" s="373">
        <f>IFERROR(IF(B137="funkcna poziadavka",VLOOKUP(G137,MODULY_CBA!$B$3:$E$23,2,0),),)</f>
        <v>0.99</v>
      </c>
      <c r="P137" s="686">
        <f t="shared" si="46"/>
        <v>6.2922264705882345</v>
      </c>
      <c r="Q137" s="686">
        <f>IFERROR(P137*VLOOKUP(G137,MODULY_CBA!$B$3:$F$23,5,0),)</f>
        <v>94.383397058823519</v>
      </c>
      <c r="R137" s="448" t="str">
        <f>IFERROR(VLOOKUP(G137,MODULY_CBA!$B$3:$I$23,6,0),"")</f>
        <v>Inkrement 1</v>
      </c>
      <c r="S137" s="373"/>
      <c r="T137" s="373"/>
      <c r="U137" s="373"/>
      <c r="V137" s="373"/>
      <c r="W137" s="373"/>
      <c r="X137" s="373"/>
      <c r="Y137" s="373"/>
      <c r="Z137" s="373"/>
      <c r="AA137" s="373"/>
      <c r="AB137" s="373"/>
      <c r="AC137" s="373"/>
      <c r="AD137" s="373"/>
      <c r="AE137" s="373"/>
      <c r="AF137" s="373"/>
    </row>
    <row r="138" spans="1:32" ht="30" x14ac:dyDescent="0.2">
      <c r="A138" s="658" t="s">
        <v>913</v>
      </c>
      <c r="B138" s="375" t="s">
        <v>570</v>
      </c>
      <c r="C138" s="375" t="s">
        <v>1286</v>
      </c>
      <c r="D138" s="660" t="s">
        <v>764</v>
      </c>
      <c r="E138" s="660" t="s">
        <v>934</v>
      </c>
      <c r="F138" s="661" t="s">
        <v>573</v>
      </c>
      <c r="G138" s="661" t="s">
        <v>254</v>
      </c>
      <c r="H138" s="658" t="s">
        <v>461</v>
      </c>
      <c r="I138" s="373">
        <v>1</v>
      </c>
      <c r="J138" s="701">
        <v>5</v>
      </c>
      <c r="K138" s="373"/>
      <c r="L138" s="373">
        <f t="shared" si="45"/>
        <v>5</v>
      </c>
      <c r="M138" s="685">
        <f>IFERROR(IF(B138="funkcna poziadavka",VLOOKUP(G138,MODULY_CBA!$B$3:$E$23,4,0)*I138/SUMIFS($I$3:$I$105,$G$3:$G$105,G138,$B$3:$B$105,B138),),)</f>
        <v>0.27450980392156865</v>
      </c>
      <c r="N138" s="373">
        <f>IFERROR(IF(B138="Funkcna poziadavka",VLOOKUP(G138,MODULY_CBA!$B$3:$E$23,3,0),),)</f>
        <v>1.2049999999999998</v>
      </c>
      <c r="O138" s="373">
        <f>IFERROR(IF(B138="funkcna poziadavka",VLOOKUP(G138,MODULY_CBA!$B$3:$E$23,2,0),),)</f>
        <v>0.99</v>
      </c>
      <c r="P138" s="686">
        <f t="shared" si="46"/>
        <v>6.2922264705882345</v>
      </c>
      <c r="Q138" s="686">
        <f>IFERROR(P138*VLOOKUP(G138,MODULY_CBA!$B$3:$F$23,5,0),)</f>
        <v>94.383397058823519</v>
      </c>
      <c r="R138" s="448" t="str">
        <f>IFERROR(VLOOKUP(G138,MODULY_CBA!$B$3:$I$23,6,0),"")</f>
        <v>Inkrement 1</v>
      </c>
      <c r="S138" s="373"/>
      <c r="T138" s="373"/>
      <c r="U138" s="373"/>
      <c r="V138" s="373"/>
      <c r="W138" s="373"/>
      <c r="X138" s="373"/>
      <c r="Y138" s="373"/>
      <c r="Z138" s="373"/>
      <c r="AA138" s="373"/>
      <c r="AB138" s="373"/>
      <c r="AC138" s="373"/>
      <c r="AD138" s="373"/>
      <c r="AE138" s="373"/>
      <c r="AF138" s="373"/>
    </row>
    <row r="139" spans="1:32" ht="30" x14ac:dyDescent="0.2">
      <c r="A139" s="658" t="s">
        <v>915</v>
      </c>
      <c r="B139" s="375" t="s">
        <v>570</v>
      </c>
      <c r="C139" s="375" t="s">
        <v>1286</v>
      </c>
      <c r="D139" s="677" t="s">
        <v>586</v>
      </c>
      <c r="E139" s="660" t="s">
        <v>936</v>
      </c>
      <c r="F139" s="661" t="s">
        <v>573</v>
      </c>
      <c r="G139" s="661" t="s">
        <v>254</v>
      </c>
      <c r="H139" s="375" t="s">
        <v>461</v>
      </c>
      <c r="I139" s="373">
        <v>1</v>
      </c>
      <c r="J139" s="701">
        <v>5</v>
      </c>
      <c r="K139" s="373"/>
      <c r="L139" s="373">
        <f t="shared" si="45"/>
        <v>5</v>
      </c>
      <c r="M139" s="685">
        <f>IFERROR(IF(B139="funkcna poziadavka",VLOOKUP(G139,MODULY_CBA!$B$3:$E$23,4,0)*I139/SUMIFS($I$3:$I$105,$G$3:$G$105,G139,$B$3:$B$105,B139),),)</f>
        <v>0.27450980392156865</v>
      </c>
      <c r="N139" s="373">
        <f>IFERROR(IF(B139="Funkcna poziadavka",VLOOKUP(G139,MODULY_CBA!$B$3:$E$23,3,0),),)</f>
        <v>1.2049999999999998</v>
      </c>
      <c r="O139" s="373">
        <f>IFERROR(IF(B139="funkcna poziadavka",VLOOKUP(G139,MODULY_CBA!$B$3:$E$23,2,0),),)</f>
        <v>0.99</v>
      </c>
      <c r="P139" s="686">
        <f t="shared" si="46"/>
        <v>6.2922264705882345</v>
      </c>
      <c r="Q139" s="686">
        <f>IFERROR(P139*VLOOKUP(G139,MODULY_CBA!$B$3:$F$23,5,0),)</f>
        <v>94.383397058823519</v>
      </c>
      <c r="R139" s="448" t="str">
        <f>IFERROR(VLOOKUP(G139,MODULY_CBA!$B$3:$I$23,6,0),"")</f>
        <v>Inkrement 1</v>
      </c>
      <c r="S139" s="373"/>
      <c r="T139" s="373"/>
      <c r="U139" s="373"/>
      <c r="V139" s="373"/>
      <c r="W139" s="373"/>
      <c r="X139" s="373"/>
      <c r="Y139" s="373"/>
      <c r="Z139" s="373"/>
      <c r="AA139" s="373"/>
      <c r="AB139" s="373"/>
      <c r="AC139" s="373"/>
      <c r="AD139" s="373"/>
      <c r="AE139" s="373"/>
      <c r="AF139" s="373"/>
    </row>
    <row r="140" spans="1:32" ht="30" x14ac:dyDescent="0.2">
      <c r="A140" s="658" t="s">
        <v>916</v>
      </c>
      <c r="B140" s="375" t="s">
        <v>570</v>
      </c>
      <c r="C140" s="375" t="s">
        <v>1286</v>
      </c>
      <c r="D140" s="660" t="s">
        <v>764</v>
      </c>
      <c r="E140" s="660" t="s">
        <v>937</v>
      </c>
      <c r="F140" s="661" t="s">
        <v>573</v>
      </c>
      <c r="G140" s="661" t="s">
        <v>254</v>
      </c>
      <c r="H140" s="658" t="s">
        <v>461</v>
      </c>
      <c r="I140" s="373">
        <v>1</v>
      </c>
      <c r="J140" s="701">
        <v>5</v>
      </c>
      <c r="K140" s="373"/>
      <c r="L140" s="373">
        <f t="shared" si="45"/>
        <v>5</v>
      </c>
      <c r="M140" s="685">
        <f>IFERROR(IF(B140="funkcna poziadavka",VLOOKUP(G140,MODULY_CBA!$B$3:$E$23,4,0)*I140/SUMIFS($I$3:$I$105,$G$3:$G$105,G140,$B$3:$B$105,B140),),)</f>
        <v>0.27450980392156865</v>
      </c>
      <c r="N140" s="373">
        <f>IFERROR(IF(B140="Funkcna poziadavka",VLOOKUP(G140,MODULY_CBA!$B$3:$E$23,3,0),),)</f>
        <v>1.2049999999999998</v>
      </c>
      <c r="O140" s="373">
        <f>IFERROR(IF(B140="funkcna poziadavka",VLOOKUP(G140,MODULY_CBA!$B$3:$E$23,2,0),),)</f>
        <v>0.99</v>
      </c>
      <c r="P140" s="686">
        <f t="shared" si="46"/>
        <v>6.2922264705882345</v>
      </c>
      <c r="Q140" s="686">
        <f>IFERROR(P140*VLOOKUP(G140,MODULY_CBA!$B$3:$F$23,5,0),)</f>
        <v>94.383397058823519</v>
      </c>
      <c r="R140" s="448" t="str">
        <f>IFERROR(VLOOKUP(G140,MODULY_CBA!$B$3:$I$23,6,0),"")</f>
        <v>Inkrement 1</v>
      </c>
      <c r="S140" s="373"/>
      <c r="T140" s="373"/>
      <c r="U140" s="373"/>
      <c r="V140" s="373"/>
      <c r="W140" s="373"/>
      <c r="X140" s="373"/>
      <c r="Y140" s="373"/>
      <c r="Z140" s="373"/>
      <c r="AA140" s="373"/>
      <c r="AB140" s="373"/>
      <c r="AC140" s="373"/>
      <c r="AD140" s="373"/>
      <c r="AE140" s="373"/>
      <c r="AF140" s="373"/>
    </row>
    <row r="141" spans="1:32" ht="30" x14ac:dyDescent="0.2">
      <c r="A141" s="658" t="s">
        <v>918</v>
      </c>
      <c r="B141" s="375" t="s">
        <v>570</v>
      </c>
      <c r="C141" s="375" t="s">
        <v>1286</v>
      </c>
      <c r="D141" s="677" t="s">
        <v>586</v>
      </c>
      <c r="E141" s="660" t="s">
        <v>938</v>
      </c>
      <c r="F141" s="661" t="s">
        <v>573</v>
      </c>
      <c r="G141" s="661" t="s">
        <v>254</v>
      </c>
      <c r="H141" s="658" t="s">
        <v>461</v>
      </c>
      <c r="I141" s="373">
        <v>1</v>
      </c>
      <c r="J141" s="701">
        <v>5</v>
      </c>
      <c r="K141" s="373"/>
      <c r="L141" s="373">
        <f t="shared" si="45"/>
        <v>5</v>
      </c>
      <c r="M141" s="685">
        <f>IFERROR(IF(B141="funkcna poziadavka",VLOOKUP(G141,MODULY_CBA!$B$3:$E$23,4,0)*I141/SUMIFS($I$3:$I$105,$G$3:$G$105,G141,$B$3:$B$105,B141),),)</f>
        <v>0.27450980392156865</v>
      </c>
      <c r="N141" s="373">
        <f>IFERROR(IF(B141="Funkcna poziadavka",VLOOKUP(G141,MODULY_CBA!$B$3:$E$23,3,0),),)</f>
        <v>1.2049999999999998</v>
      </c>
      <c r="O141" s="373">
        <f>IFERROR(IF(B141="funkcna poziadavka",VLOOKUP(G141,MODULY_CBA!$B$3:$E$23,2,0),),)</f>
        <v>0.99</v>
      </c>
      <c r="P141" s="686">
        <f t="shared" si="46"/>
        <v>6.2922264705882345</v>
      </c>
      <c r="Q141" s="686">
        <f>IFERROR(P141*VLOOKUP(G141,MODULY_CBA!$B$3:$F$23,5,0),)</f>
        <v>94.383397058823519</v>
      </c>
      <c r="R141" s="448" t="str">
        <f>IFERROR(VLOOKUP(G141,MODULY_CBA!$B$3:$I$23,6,0),"")</f>
        <v>Inkrement 1</v>
      </c>
      <c r="S141" s="373"/>
      <c r="T141" s="373"/>
      <c r="U141" s="373"/>
      <c r="V141" s="373"/>
      <c r="W141" s="373"/>
      <c r="X141" s="373"/>
      <c r="Y141" s="373"/>
      <c r="Z141" s="373"/>
      <c r="AA141" s="373"/>
      <c r="AB141" s="373"/>
      <c r="AC141" s="373"/>
      <c r="AD141" s="373"/>
      <c r="AE141" s="373"/>
      <c r="AF141" s="373"/>
    </row>
    <row r="142" spans="1:32" ht="30" x14ac:dyDescent="0.2">
      <c r="A142" s="658" t="s">
        <v>920</v>
      </c>
      <c r="B142" s="375" t="s">
        <v>570</v>
      </c>
      <c r="C142" s="375" t="s">
        <v>1286</v>
      </c>
      <c r="D142" s="677" t="s">
        <v>586</v>
      </c>
      <c r="E142" s="660" t="s">
        <v>939</v>
      </c>
      <c r="F142" s="661" t="s">
        <v>573</v>
      </c>
      <c r="G142" s="661" t="s">
        <v>254</v>
      </c>
      <c r="H142" s="658" t="s">
        <v>461</v>
      </c>
      <c r="I142" s="373">
        <v>1</v>
      </c>
      <c r="J142" s="701">
        <v>5</v>
      </c>
      <c r="K142" s="373"/>
      <c r="L142" s="373">
        <f t="shared" si="45"/>
        <v>5</v>
      </c>
      <c r="M142" s="685">
        <f>IFERROR(IF(B142="funkcna poziadavka",VLOOKUP(G142,MODULY_CBA!$B$3:$E$23,4,0)*I142/SUMIFS($I$3:$I$105,$G$3:$G$105,G142,$B$3:$B$105,B142),),)</f>
        <v>0.27450980392156865</v>
      </c>
      <c r="N142" s="373">
        <f>IFERROR(IF(B142="Funkcna poziadavka",VLOOKUP(G142,MODULY_CBA!$B$3:$E$23,3,0),),)</f>
        <v>1.2049999999999998</v>
      </c>
      <c r="O142" s="373">
        <f>IFERROR(IF(B142="funkcna poziadavka",VLOOKUP(G142,MODULY_CBA!$B$3:$E$23,2,0),),)</f>
        <v>0.99</v>
      </c>
      <c r="P142" s="686">
        <f t="shared" si="46"/>
        <v>6.2922264705882345</v>
      </c>
      <c r="Q142" s="686">
        <f>IFERROR(P142*VLOOKUP(G142,MODULY_CBA!$B$3:$F$23,5,0),)</f>
        <v>94.383397058823519</v>
      </c>
      <c r="R142" s="448" t="str">
        <f>IFERROR(VLOOKUP(G142,MODULY_CBA!$B$3:$I$23,6,0),"")</f>
        <v>Inkrement 1</v>
      </c>
      <c r="S142" s="373"/>
      <c r="T142" s="373"/>
      <c r="U142" s="373"/>
      <c r="V142" s="373"/>
      <c r="W142" s="373"/>
      <c r="X142" s="373"/>
      <c r="Y142" s="373"/>
      <c r="Z142" s="373"/>
      <c r="AA142" s="373"/>
      <c r="AB142" s="373"/>
      <c r="AC142" s="373"/>
      <c r="AD142" s="373"/>
      <c r="AE142" s="373"/>
      <c r="AF142" s="373"/>
    </row>
    <row r="143" spans="1:32" ht="30" x14ac:dyDescent="0.2">
      <c r="A143" s="658" t="s">
        <v>923</v>
      </c>
      <c r="B143" s="375" t="s">
        <v>570</v>
      </c>
      <c r="C143" s="375" t="s">
        <v>1286</v>
      </c>
      <c r="D143" s="677" t="s">
        <v>940</v>
      </c>
      <c r="E143" s="660" t="s">
        <v>941</v>
      </c>
      <c r="F143" s="661" t="s">
        <v>573</v>
      </c>
      <c r="G143" s="661" t="s">
        <v>254</v>
      </c>
      <c r="H143" s="658" t="s">
        <v>461</v>
      </c>
      <c r="I143" s="373">
        <v>1</v>
      </c>
      <c r="J143" s="701">
        <v>5</v>
      </c>
      <c r="K143" s="373"/>
      <c r="L143" s="373">
        <f t="shared" ref="L143" si="47">I143*J143</f>
        <v>5</v>
      </c>
      <c r="M143" s="685">
        <f>IFERROR(IF(B143="funkcna poziadavka",VLOOKUP(G143,MODULY_CBA!$B$3:$E$23,4,0)*I143/SUMIFS($I$3:$I$105,$G$3:$G$105,G143,$B$3:$B$105,B143),),)</f>
        <v>0.27450980392156865</v>
      </c>
      <c r="N143" s="373">
        <f>IFERROR(IF(B143="Funkcna poziadavka",VLOOKUP(G143,MODULY_CBA!$B$3:$E$23,3,0),),)</f>
        <v>1.2049999999999998</v>
      </c>
      <c r="O143" s="373">
        <f>IFERROR(IF(B143="funkcna poziadavka",VLOOKUP(G143,MODULY_CBA!$B$3:$E$23,2,0),),)</f>
        <v>0.99</v>
      </c>
      <c r="P143" s="686">
        <f t="shared" ref="P143" si="48">(L143+M143)*N143*O143</f>
        <v>6.2922264705882345</v>
      </c>
      <c r="Q143" s="686">
        <f>IFERROR(P143*VLOOKUP(G143,MODULY_CBA!$B$3:$F$23,5,0),)</f>
        <v>94.383397058823519</v>
      </c>
      <c r="R143" s="448" t="str">
        <f>IFERROR(VLOOKUP(G143,MODULY_CBA!$B$3:$I$23,6,0),"")</f>
        <v>Inkrement 1</v>
      </c>
      <c r="S143" s="373"/>
      <c r="T143" s="373"/>
      <c r="U143" s="373"/>
      <c r="V143" s="373"/>
      <c r="W143" s="373"/>
      <c r="X143" s="373"/>
      <c r="Y143" s="373"/>
      <c r="Z143" s="373"/>
      <c r="AA143" s="373"/>
      <c r="AB143" s="373"/>
      <c r="AC143" s="373"/>
      <c r="AD143" s="373"/>
      <c r="AE143" s="373"/>
      <c r="AF143" s="373"/>
    </row>
    <row r="144" spans="1:32" ht="30" x14ac:dyDescent="0.2">
      <c r="A144" s="658" t="s">
        <v>925</v>
      </c>
      <c r="B144" s="375" t="s">
        <v>570</v>
      </c>
      <c r="C144" s="375" t="s">
        <v>1286</v>
      </c>
      <c r="D144" s="660" t="s">
        <v>764</v>
      </c>
      <c r="E144" s="660" t="s">
        <v>942</v>
      </c>
      <c r="F144" s="661" t="s">
        <v>573</v>
      </c>
      <c r="G144" s="661" t="s">
        <v>256</v>
      </c>
      <c r="H144" s="658" t="s">
        <v>461</v>
      </c>
      <c r="I144" s="373">
        <v>1</v>
      </c>
      <c r="J144" s="701">
        <v>5</v>
      </c>
      <c r="K144" s="373"/>
      <c r="L144" s="373">
        <f t="shared" si="36"/>
        <v>5</v>
      </c>
      <c r="M144" s="685">
        <f>IFERROR(IF(B144="funkcna poziadavka",VLOOKUP(G144,MODULY_CBA!$B$3:$E$23,4,0)*I144/SUMIFS($I$3:$I$105,$G$3:$G$105,G144,$B$3:$B$105,B144),),)</f>
        <v>2.3333333333333335</v>
      </c>
      <c r="N144" s="373">
        <f>IFERROR(IF(B144="Funkcna poziadavka",VLOOKUP(G144,MODULY_CBA!$B$3:$E$23,3,0),),)</f>
        <v>1.2049999999999998</v>
      </c>
      <c r="O144" s="373">
        <f>IFERROR(IF(B144="funkcna poziadavka",VLOOKUP(G144,MODULY_CBA!$B$3:$E$23,2,0),),)</f>
        <v>0.99</v>
      </c>
      <c r="P144" s="686">
        <f t="shared" si="37"/>
        <v>8.7482999999999986</v>
      </c>
      <c r="Q144" s="686">
        <f>IFERROR(P144*VLOOKUP(G144,MODULY_CBA!$B$3:$F$23,5,0),)</f>
        <v>174.96599999999998</v>
      </c>
      <c r="R144" s="448" t="str">
        <f>IFERROR(VLOOKUP(G144,MODULY_CBA!$B$3:$I$23,6,0),"")</f>
        <v>Inkrement 1</v>
      </c>
      <c r="S144" s="373"/>
      <c r="T144" s="373"/>
      <c r="U144" s="373"/>
      <c r="V144" s="373"/>
      <c r="W144" s="373"/>
      <c r="X144" s="373"/>
      <c r="Y144" s="373"/>
      <c r="Z144" s="373"/>
      <c r="AA144" s="373"/>
      <c r="AB144" s="373"/>
      <c r="AC144" s="373"/>
      <c r="AD144" s="373"/>
      <c r="AE144" s="373"/>
      <c r="AF144" s="373"/>
    </row>
    <row r="145" spans="1:32" ht="30" x14ac:dyDescent="0.2">
      <c r="A145" s="658" t="s">
        <v>927</v>
      </c>
      <c r="B145" s="375" t="s">
        <v>570</v>
      </c>
      <c r="C145" s="375" t="s">
        <v>1286</v>
      </c>
      <c r="D145" s="660" t="s">
        <v>764</v>
      </c>
      <c r="E145" s="660" t="s">
        <v>943</v>
      </c>
      <c r="F145" s="661" t="s">
        <v>573</v>
      </c>
      <c r="G145" s="661" t="s">
        <v>258</v>
      </c>
      <c r="H145" s="658" t="s">
        <v>461</v>
      </c>
      <c r="I145" s="373">
        <v>1</v>
      </c>
      <c r="J145" s="701">
        <v>5</v>
      </c>
      <c r="K145" s="373"/>
      <c r="L145" s="373">
        <f t="shared" ref="L145:L148" si="49">I145*J145</f>
        <v>5</v>
      </c>
      <c r="M145" s="685">
        <f>IFERROR(IF(B145="funkcna poziadavka",VLOOKUP(G145,MODULY_CBA!$B$3:$E$23,4,0)*I145/SUMIFS($I$3:$I$105,$G$3:$G$105,G145,$B$3:$B$105,B145),),)</f>
        <v>4.666666666666667</v>
      </c>
      <c r="N145" s="373">
        <f>IFERROR(IF(B145="Funkcna poziadavka",VLOOKUP(G145,MODULY_CBA!$B$3:$E$23,3,0),),)</f>
        <v>1.2049999999999998</v>
      </c>
      <c r="O145" s="373">
        <f>IFERROR(IF(B145="funkcna poziadavka",VLOOKUP(G145,MODULY_CBA!$B$3:$E$23,2,0),),)</f>
        <v>0.99</v>
      </c>
      <c r="P145" s="686">
        <f t="shared" ref="P145:P148" si="50">(L145+M145)*N145*O145</f>
        <v>11.53185</v>
      </c>
      <c r="Q145" s="686">
        <f>IFERROR(P145*VLOOKUP(G145,MODULY_CBA!$B$3:$F$23,5,0),)</f>
        <v>172.97775000000001</v>
      </c>
      <c r="R145" s="448" t="str">
        <f>IFERROR(VLOOKUP(G145,MODULY_CBA!$B$3:$I$23,6,0),"")</f>
        <v>Inkrement 1</v>
      </c>
      <c r="S145" s="373"/>
      <c r="T145" s="373"/>
      <c r="U145" s="373"/>
      <c r="V145" s="373"/>
      <c r="W145" s="373"/>
      <c r="X145" s="373"/>
      <c r="Y145" s="373"/>
      <c r="Z145" s="373"/>
      <c r="AA145" s="373"/>
      <c r="AB145" s="373"/>
      <c r="AC145" s="373"/>
      <c r="AD145" s="373"/>
      <c r="AE145" s="373"/>
      <c r="AF145" s="373"/>
    </row>
    <row r="146" spans="1:32" ht="30" x14ac:dyDescent="0.2">
      <c r="A146" s="658" t="s">
        <v>929</v>
      </c>
      <c r="B146" s="375" t="s">
        <v>570</v>
      </c>
      <c r="C146" s="375" t="s">
        <v>1286</v>
      </c>
      <c r="D146" s="660" t="s">
        <v>764</v>
      </c>
      <c r="E146" s="660" t="s">
        <v>944</v>
      </c>
      <c r="F146" s="661" t="s">
        <v>573</v>
      </c>
      <c r="G146" s="661" t="s">
        <v>258</v>
      </c>
      <c r="H146" s="658" t="s">
        <v>461</v>
      </c>
      <c r="I146" s="373">
        <v>1</v>
      </c>
      <c r="J146" s="701">
        <v>5</v>
      </c>
      <c r="K146" s="373"/>
      <c r="L146" s="373">
        <f t="shared" si="49"/>
        <v>5</v>
      </c>
      <c r="M146" s="685">
        <f>IFERROR(IF(B146="funkcna poziadavka",VLOOKUP(G146,MODULY_CBA!$B$3:$E$23,4,0)*I146/SUMIFS($I$3:$I$105,$G$3:$G$105,G146,$B$3:$B$105,B146),),)</f>
        <v>4.666666666666667</v>
      </c>
      <c r="N146" s="373">
        <f>IFERROR(IF(B146="Funkcna poziadavka",VLOOKUP(G146,MODULY_CBA!$B$3:$E$23,3,0),),)</f>
        <v>1.2049999999999998</v>
      </c>
      <c r="O146" s="373">
        <f>IFERROR(IF(B146="funkcna poziadavka",VLOOKUP(G146,MODULY_CBA!$B$3:$E$23,2,0),),)</f>
        <v>0.99</v>
      </c>
      <c r="P146" s="686">
        <f t="shared" si="50"/>
        <v>11.53185</v>
      </c>
      <c r="Q146" s="686">
        <f>IFERROR(P146*VLOOKUP(G146,MODULY_CBA!$B$3:$F$23,5,0),)</f>
        <v>172.97775000000001</v>
      </c>
      <c r="R146" s="448" t="str">
        <f>IFERROR(VLOOKUP(G146,MODULY_CBA!$B$3:$I$23,6,0),"")</f>
        <v>Inkrement 1</v>
      </c>
      <c r="S146" s="373"/>
      <c r="T146" s="373"/>
      <c r="U146" s="373"/>
      <c r="V146" s="373"/>
      <c r="W146" s="373"/>
      <c r="X146" s="373"/>
      <c r="Y146" s="373"/>
      <c r="Z146" s="373"/>
      <c r="AA146" s="373"/>
      <c r="AB146" s="373"/>
      <c r="AC146" s="373"/>
      <c r="AD146" s="373"/>
      <c r="AE146" s="373"/>
      <c r="AF146" s="373"/>
    </row>
    <row r="147" spans="1:32" ht="30" x14ac:dyDescent="0.2">
      <c r="A147" s="658" t="s">
        <v>931</v>
      </c>
      <c r="B147" s="375" t="s">
        <v>570</v>
      </c>
      <c r="C147" s="375" t="s">
        <v>1286</v>
      </c>
      <c r="D147" s="660" t="s">
        <v>764</v>
      </c>
      <c r="E147" s="660" t="s">
        <v>945</v>
      </c>
      <c r="F147" s="661" t="s">
        <v>573</v>
      </c>
      <c r="G147" s="661" t="s">
        <v>256</v>
      </c>
      <c r="H147" s="658" t="s">
        <v>461</v>
      </c>
      <c r="I147" s="373">
        <v>1</v>
      </c>
      <c r="J147" s="701">
        <v>5</v>
      </c>
      <c r="K147" s="373"/>
      <c r="L147" s="373">
        <f t="shared" si="49"/>
        <v>5</v>
      </c>
      <c r="M147" s="685">
        <f>IFERROR(IF(B147="funkcna poziadavka",VLOOKUP(G147,MODULY_CBA!$B$3:$E$23,4,0)*I147/SUMIFS($I$3:$I$105,$G$3:$G$105,G147,$B$3:$B$105,B147),),)</f>
        <v>2.3333333333333335</v>
      </c>
      <c r="N147" s="373">
        <f>IFERROR(IF(B147="Funkcna poziadavka",VLOOKUP(G147,MODULY_CBA!$B$3:$E$23,3,0),),)</f>
        <v>1.2049999999999998</v>
      </c>
      <c r="O147" s="373">
        <f>IFERROR(IF(B147="funkcna poziadavka",VLOOKUP(G147,MODULY_CBA!$B$3:$E$23,2,0),),)</f>
        <v>0.99</v>
      </c>
      <c r="P147" s="686">
        <f t="shared" si="50"/>
        <v>8.7482999999999986</v>
      </c>
      <c r="Q147" s="686">
        <f>IFERROR(P147*VLOOKUP(G147,MODULY_CBA!$B$3:$F$23,5,0),)</f>
        <v>174.96599999999998</v>
      </c>
      <c r="R147" s="448" t="str">
        <f>IFERROR(VLOOKUP(G147,MODULY_CBA!$B$3:$I$23,6,0),"")</f>
        <v>Inkrement 1</v>
      </c>
      <c r="S147" s="373"/>
      <c r="T147" s="373"/>
      <c r="U147" s="373"/>
      <c r="V147" s="373"/>
      <c r="W147" s="373"/>
      <c r="X147" s="373"/>
      <c r="Y147" s="373"/>
      <c r="Z147" s="373"/>
      <c r="AA147" s="373"/>
      <c r="AB147" s="373"/>
      <c r="AC147" s="373"/>
      <c r="AD147" s="373"/>
      <c r="AE147" s="373"/>
      <c r="AF147" s="373"/>
    </row>
    <row r="148" spans="1:32" ht="30" x14ac:dyDescent="0.2">
      <c r="A148" s="658" t="s">
        <v>933</v>
      </c>
      <c r="B148" s="375" t="s">
        <v>570</v>
      </c>
      <c r="C148" s="375" t="s">
        <v>1286</v>
      </c>
      <c r="D148" s="677" t="s">
        <v>586</v>
      </c>
      <c r="E148" s="660" t="s">
        <v>946</v>
      </c>
      <c r="F148" s="661" t="s">
        <v>573</v>
      </c>
      <c r="G148" s="676" t="s">
        <v>256</v>
      </c>
      <c r="H148" s="375" t="s">
        <v>461</v>
      </c>
      <c r="I148" s="373">
        <v>1</v>
      </c>
      <c r="J148" s="701">
        <v>5</v>
      </c>
      <c r="K148" s="373"/>
      <c r="L148" s="373">
        <f t="shared" si="49"/>
        <v>5</v>
      </c>
      <c r="M148" s="685">
        <f>IFERROR(IF(B148="funkcna poziadavka",VLOOKUP(G148,MODULY_CBA!$B$3:$E$23,4,0)*I148/SUMIFS($I$3:$I$105,$G$3:$G$105,G148,$B$3:$B$105,B148),),)</f>
        <v>2.3333333333333335</v>
      </c>
      <c r="N148" s="373">
        <f>IFERROR(IF(B148="Funkcna poziadavka",VLOOKUP(G148,MODULY_CBA!$B$3:$E$23,3,0),),)</f>
        <v>1.2049999999999998</v>
      </c>
      <c r="O148" s="373">
        <f>IFERROR(IF(B148="funkcna poziadavka",VLOOKUP(G148,MODULY_CBA!$B$3:$E$23,2,0),),)</f>
        <v>0.99</v>
      </c>
      <c r="P148" s="686">
        <f t="shared" si="50"/>
        <v>8.7482999999999986</v>
      </c>
      <c r="Q148" s="686">
        <f>IFERROR(P148*VLOOKUP(G148,MODULY_CBA!$B$3:$F$23,5,0),)</f>
        <v>174.96599999999998</v>
      </c>
      <c r="R148" s="448" t="str">
        <f>IFERROR(VLOOKUP(G148,MODULY_CBA!$B$3:$I$23,6,0),"")</f>
        <v>Inkrement 1</v>
      </c>
      <c r="S148" s="373"/>
      <c r="T148" s="373"/>
      <c r="U148" s="373"/>
      <c r="V148" s="373"/>
      <c r="W148" s="373"/>
      <c r="X148" s="373"/>
      <c r="Y148" s="373"/>
      <c r="Z148" s="373"/>
      <c r="AA148" s="373"/>
      <c r="AB148" s="373"/>
      <c r="AC148" s="373"/>
      <c r="AD148" s="373"/>
      <c r="AE148" s="373"/>
      <c r="AF148" s="373"/>
    </row>
    <row r="149" spans="1:32" ht="30" x14ac:dyDescent="0.2">
      <c r="A149" s="658" t="s">
        <v>935</v>
      </c>
      <c r="B149" s="375" t="s">
        <v>570</v>
      </c>
      <c r="C149" s="375" t="s">
        <v>1286</v>
      </c>
      <c r="D149" s="660" t="s">
        <v>764</v>
      </c>
      <c r="E149" s="660" t="s">
        <v>947</v>
      </c>
      <c r="F149" s="661" t="s">
        <v>573</v>
      </c>
      <c r="G149" s="661" t="s">
        <v>258</v>
      </c>
      <c r="H149" s="658" t="s">
        <v>461</v>
      </c>
      <c r="I149" s="373">
        <v>1</v>
      </c>
      <c r="J149" s="701">
        <v>5</v>
      </c>
      <c r="K149" s="373"/>
      <c r="L149" s="373">
        <f t="shared" si="36"/>
        <v>5</v>
      </c>
      <c r="M149" s="685">
        <f>IFERROR(IF(B149="funkcna poziadavka",VLOOKUP(G149,MODULY_CBA!$B$3:$E$23,4,0)*I149/SUMIFS($I$3:$I$105,$G$3:$G$105,G149,$B$3:$B$105,B149),),)</f>
        <v>4.666666666666667</v>
      </c>
      <c r="N149" s="373">
        <f>IFERROR(IF(B149="Funkcna poziadavka",VLOOKUP(G149,MODULY_CBA!$B$3:$E$23,3,0),),)</f>
        <v>1.2049999999999998</v>
      </c>
      <c r="O149" s="373">
        <f>IFERROR(IF(B149="funkcna poziadavka",VLOOKUP(G149,MODULY_CBA!$B$3:$E$23,2,0),),)</f>
        <v>0.99</v>
      </c>
      <c r="P149" s="686">
        <f t="shared" si="37"/>
        <v>11.53185</v>
      </c>
      <c r="Q149" s="686">
        <f>IFERROR(P149*VLOOKUP(G149,MODULY_CBA!$B$3:$F$23,5,0),)</f>
        <v>172.97775000000001</v>
      </c>
      <c r="R149" s="448" t="str">
        <f>IFERROR(VLOOKUP(G149,MODULY_CBA!$B$3:$I$23,6,0),"")</f>
        <v>Inkrement 1</v>
      </c>
      <c r="S149" s="373"/>
      <c r="T149" s="373"/>
      <c r="U149" s="373"/>
      <c r="V149" s="373"/>
      <c r="W149" s="373"/>
      <c r="X149" s="373"/>
      <c r="Y149" s="373"/>
      <c r="Z149" s="373"/>
      <c r="AA149" s="373"/>
      <c r="AB149" s="373"/>
      <c r="AC149" s="373"/>
      <c r="AD149" s="373"/>
      <c r="AE149" s="373"/>
      <c r="AF149" s="373"/>
    </row>
  </sheetData>
  <autoFilter ref="A2:AF149" xr:uid="{00000000-0009-0000-0000-00000B000000}">
    <filterColumn colId="2">
      <filters>
        <filter val="Rezortná platforma manažmentu údajov PPA"/>
      </filters>
    </filterColumn>
    <filterColumn colId="7">
      <filters>
        <filter val="A9 - Vytvorenie integračnej (rezortnej) platformy"/>
      </filters>
    </filterColumn>
    <sortState xmlns:xlrd2="http://schemas.microsoft.com/office/spreadsheetml/2017/richdata2" ref="A3:AF149">
      <sortCondition ref="H2:H149"/>
    </sortState>
  </autoFilter>
  <mergeCells count="4">
    <mergeCell ref="U1:W1"/>
    <mergeCell ref="X1:AD1"/>
    <mergeCell ref="AE1:AF1"/>
    <mergeCell ref="A1:T1"/>
  </mergeCells>
  <phoneticPr fontId="58" type="noConversion"/>
  <conditionalFormatting sqref="I3:J149">
    <cfRule type="expression" dxfId="22" priority="1">
      <formula>$B3="Funkcna poziadavka"</formula>
    </cfRule>
  </conditionalFormatting>
  <conditionalFormatting sqref="K6:K46 L8:Q8 L38:Q38 L44:Q44">
    <cfRule type="expression" dxfId="21" priority="98">
      <formula>#REF!="funkcna poziadavka"</formula>
    </cfRule>
  </conditionalFormatting>
  <conditionalFormatting sqref="K3:Q5 L6:Q119 K43 K47:K119 K120:Q149">
    <cfRule type="expression" dxfId="20" priority="2">
      <formula>$B3="funkcna poziadavka"</formula>
    </cfRule>
  </conditionalFormatting>
  <dataValidations count="5">
    <dataValidation type="list" allowBlank="1" showErrorMessage="1" sqref="C47 C66:C67 C70:C71 C63:C64" xr:uid="{542D93C1-03DC-4A17-8D9D-466CE4BFF2BF}">
      <formula1>"Procesná požiadavka,Legislatívna požiadavka,Dátová požiadavka,Požiadavka na službu,Architektonická požiadavka,Bezpečnostná požiadavka,Integračná požiadavka,Migračná požiadavka,Požiadavka na UX/UI/UCD,Implementačná požiadavka,Ostatné"</formula1>
    </dataValidation>
    <dataValidation type="list" allowBlank="1" showInputMessage="1" showErrorMessage="1" sqref="H54 H57:H58" xr:uid="{9B47D766-A7FB-497C-A89F-5FC13265BCD5}">
      <formula1>#REF!</formula1>
    </dataValidation>
    <dataValidation type="list" allowBlank="1" showInputMessage="1" showErrorMessage="1" sqref="G150:H1048576 G3:G149" xr:uid="{00000000-0002-0000-0B00-000001000000}">
      <formula1>Moduly_2</formula1>
    </dataValidation>
    <dataValidation type="list" allowBlank="1" showInputMessage="1" showErrorMessage="1" sqref="J3:J149" xr:uid="{00000000-0002-0000-0B00-000000000000}">
      <formula1>"5,10,15"</formula1>
    </dataValidation>
    <dataValidation type="list" allowBlank="1" showInputMessage="1" showErrorMessage="1" sqref="B3:B149" xr:uid="{00000000-0002-0000-0B00-000002000000}">
      <formula1>"Funkcna poziadavka, Ne-Funkcna poziadavka, Technicka poziadavka"</formula1>
    </dataValidation>
  </dataValidations>
  <hyperlinks>
    <hyperlink ref="E8" r:id="rId1" xr:uid="{06A12396-4511-454A-B073-18BDFF6DA244}"/>
  </hyperlinks>
  <pageMargins left="0.7" right="0.7" top="0.75" bottom="0.75" header="0.3" footer="0.3"/>
  <pageSetup paperSize="9" orientation="portrait" horizontalDpi="4294967293" verticalDpi="1200"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BACF217-3619-ED40-A8B8-AE46CCEB4852}">
          <x14:formula1>
            <xm:f>Ciselnik!$C$2:$C$12</xm:f>
          </x14:formula1>
          <xm:sqref>H55:H56 H3:H53 H59:H149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7">
    <tabColor rgb="FFFFC000"/>
  </sheetPr>
  <dimension ref="A1:G17"/>
  <sheetViews>
    <sheetView workbookViewId="0">
      <selection activeCell="F6" sqref="F6"/>
    </sheetView>
  </sheetViews>
  <sheetFormatPr baseColWidth="10" defaultColWidth="8.6640625" defaultRowHeight="14" x14ac:dyDescent="0.2"/>
  <cols>
    <col min="1" max="1" width="40" style="376" customWidth="1"/>
    <col min="2" max="2" width="11.1640625" style="376" customWidth="1"/>
    <col min="3" max="3" width="11.1640625" style="376" hidden="1" customWidth="1"/>
    <col min="4" max="4" width="55.5" style="376" customWidth="1"/>
    <col min="5" max="7" width="10.6640625" style="376" customWidth="1"/>
    <col min="8" max="16384" width="8.6640625" style="376"/>
  </cols>
  <sheetData>
    <row r="1" spans="1:7" ht="15" thickBot="1" x14ac:dyDescent="0.25">
      <c r="A1" s="573" t="s">
        <v>948</v>
      </c>
      <c r="B1" s="572">
        <f>SUM(G5:G17)</f>
        <v>39</v>
      </c>
      <c r="C1" s="572"/>
    </row>
    <row r="2" spans="1:7" ht="15" thickBot="1" x14ac:dyDescent="0.25">
      <c r="A2" s="573" t="s">
        <v>233</v>
      </c>
      <c r="B2" s="576">
        <f>0.6 + (0.01*B1)</f>
        <v>0.99</v>
      </c>
      <c r="C2" s="577"/>
    </row>
    <row r="4" spans="1:7" s="585" customFormat="1" ht="15" x14ac:dyDescent="0.2">
      <c r="A4" s="581" t="s">
        <v>205</v>
      </c>
      <c r="B4" s="582" t="s">
        <v>949</v>
      </c>
      <c r="C4" s="581" t="s">
        <v>950</v>
      </c>
      <c r="D4" s="581" t="s">
        <v>951</v>
      </c>
      <c r="E4" s="583" t="s">
        <v>952</v>
      </c>
      <c r="F4" s="584" t="s">
        <v>275</v>
      </c>
      <c r="G4" s="584" t="s">
        <v>953</v>
      </c>
    </row>
    <row r="5" spans="1:7" ht="36" customHeight="1" x14ac:dyDescent="0.2">
      <c r="A5" s="568" t="s">
        <v>954</v>
      </c>
      <c r="B5" s="567" t="s">
        <v>276</v>
      </c>
      <c r="C5" s="567">
        <v>1</v>
      </c>
      <c r="D5" s="579" t="str">
        <f>HLOOKUP(F5,Parametre_ECF_TCF!$B$1:$G$14,TCF_v02!C5+1,0)</f>
        <v>Aplikačné spracovanie je distribuované a údaje sa prenášajú iba jedným smerom.</v>
      </c>
      <c r="E5" s="569">
        <v>1</v>
      </c>
      <c r="F5" s="570">
        <v>3</v>
      </c>
      <c r="G5" s="571">
        <f>E5*F5</f>
        <v>3</v>
      </c>
    </row>
    <row r="6" spans="1:7" ht="45" x14ac:dyDescent="0.2">
      <c r="A6" s="568" t="s">
        <v>955</v>
      </c>
      <c r="B6" s="567" t="s">
        <v>283</v>
      </c>
      <c r="C6" s="567">
        <v>2</v>
      </c>
      <c r="D6" s="579"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569">
        <v>1</v>
      </c>
      <c r="F6" s="570">
        <v>3</v>
      </c>
      <c r="G6" s="571">
        <f t="shared" ref="G6:G17" si="0">E6*F6</f>
        <v>3</v>
      </c>
    </row>
    <row r="7" spans="1:7" ht="180" x14ac:dyDescent="0.2">
      <c r="A7" s="568" t="s">
        <v>956</v>
      </c>
      <c r="B7" s="567" t="s">
        <v>290</v>
      </c>
      <c r="C7" s="567">
        <v>3</v>
      </c>
      <c r="D7" s="579"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569">
        <v>1</v>
      </c>
      <c r="F7" s="570">
        <v>3</v>
      </c>
      <c r="G7" s="571">
        <f t="shared" si="0"/>
        <v>3</v>
      </c>
    </row>
    <row r="8" spans="1:7" ht="180" x14ac:dyDescent="0.2">
      <c r="A8" s="568" t="s">
        <v>957</v>
      </c>
      <c r="B8" s="567" t="s">
        <v>297</v>
      </c>
      <c r="C8" s="567">
        <v>4</v>
      </c>
      <c r="D8" s="579"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569">
        <v>1</v>
      </c>
      <c r="F8" s="570">
        <v>3</v>
      </c>
      <c r="G8" s="571">
        <f t="shared" si="0"/>
        <v>3</v>
      </c>
    </row>
    <row r="9" spans="1:7" ht="15" x14ac:dyDescent="0.2">
      <c r="A9" s="568" t="s">
        <v>958</v>
      </c>
      <c r="B9" s="567" t="s">
        <v>304</v>
      </c>
      <c r="C9" s="567">
        <v>5</v>
      </c>
      <c r="D9" s="579" t="str">
        <f>HLOOKUP(F9,Parametre_ECF_TCF!$B$1:$G$14,TCF_v02!C9+1,0)</f>
        <v>10% alebo viac aplikácie musí brať do úvahy viac, ako potrebuje používateľ.</v>
      </c>
      <c r="E9" s="569">
        <v>1</v>
      </c>
      <c r="F9" s="570">
        <v>3</v>
      </c>
      <c r="G9" s="571">
        <f t="shared" si="0"/>
        <v>3</v>
      </c>
    </row>
    <row r="10" spans="1:7" ht="45" x14ac:dyDescent="0.2">
      <c r="A10" s="568" t="s">
        <v>959</v>
      </c>
      <c r="B10" s="567" t="s">
        <v>311</v>
      </c>
      <c r="C10" s="567">
        <v>6</v>
      </c>
      <c r="D10" s="579" t="str">
        <f>HLOOKUP(F10,Parametre_ECF_TCF!$B$1:$G$14,TCF_v02!C10+1,0)</f>
        <v>Musia byť poskytnuté a otestované požiadavky stanovené klientom na prevod a inštaláciu údajov a príručky na prevod a inštaláciu. Dopad konverzie na projekt je značný.</v>
      </c>
      <c r="E10" s="569">
        <v>0.5</v>
      </c>
      <c r="F10" s="570">
        <v>3</v>
      </c>
      <c r="G10" s="571">
        <f t="shared" si="0"/>
        <v>1.5</v>
      </c>
    </row>
    <row r="11" spans="1:7" ht="135" x14ac:dyDescent="0.2">
      <c r="A11" s="568" t="s">
        <v>940</v>
      </c>
      <c r="B11" s="567" t="s">
        <v>318</v>
      </c>
      <c r="C11" s="567">
        <v>7</v>
      </c>
      <c r="D11" s="579"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569">
        <v>0.5</v>
      </c>
      <c r="F11" s="570">
        <v>3</v>
      </c>
      <c r="G11" s="571">
        <f t="shared" si="0"/>
        <v>1.5</v>
      </c>
    </row>
    <row r="12" spans="1:7" ht="45" x14ac:dyDescent="0.2">
      <c r="A12" s="568" t="s">
        <v>960</v>
      </c>
      <c r="B12" s="567" t="s">
        <v>325</v>
      </c>
      <c r="C12" s="567">
        <v>8</v>
      </c>
      <c r="D12" s="579" t="str">
        <f>HLOOKUP(F12,Parametre_ECF_TCF!$B$1:$G$14,TCF_v02!C12+1,0)</f>
        <v>Návrh musí brať do úvahy potrebu systému pracovať na rôznych platformách, ale aplikácia musí byť navrhnutá tak, aby fungovala v heterogénnych hardvérových a softvérových prostrediach.</v>
      </c>
      <c r="E12" s="569">
        <v>2</v>
      </c>
      <c r="F12" s="570">
        <v>3</v>
      </c>
      <c r="G12" s="571">
        <f t="shared" si="0"/>
        <v>6</v>
      </c>
    </row>
    <row r="13" spans="1:7" ht="255" x14ac:dyDescent="0.2">
      <c r="A13" s="568" t="s">
        <v>961</v>
      </c>
      <c r="B13" s="567" t="s">
        <v>332</v>
      </c>
      <c r="C13" s="567">
        <v>9</v>
      </c>
      <c r="D13" s="579"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569">
        <v>1</v>
      </c>
      <c r="F13" s="570">
        <v>3</v>
      </c>
      <c r="G13" s="571">
        <f t="shared" si="0"/>
        <v>3</v>
      </c>
    </row>
    <row r="14" spans="1:7" ht="15" x14ac:dyDescent="0.2">
      <c r="A14" s="568" t="s">
        <v>962</v>
      </c>
      <c r="B14" s="567" t="s">
        <v>338</v>
      </c>
      <c r="C14" s="567">
        <v>10</v>
      </c>
      <c r="D14" s="579" t="str">
        <f>HLOOKUP(F14,Parametre_ECF_TCF!$B$1:$G$14,TCF_v02!C14+1,0)</f>
        <v>Súčasný prístup k údajom sa očakáva neustále</v>
      </c>
      <c r="E14" s="569">
        <v>1</v>
      </c>
      <c r="F14" s="570">
        <v>3</v>
      </c>
      <c r="G14" s="571">
        <f t="shared" si="0"/>
        <v>3</v>
      </c>
    </row>
    <row r="15" spans="1:7" ht="60" x14ac:dyDescent="0.2">
      <c r="A15" s="568" t="s">
        <v>963</v>
      </c>
      <c r="B15" s="567" t="s">
        <v>345</v>
      </c>
      <c r="C15" s="567">
        <v>11</v>
      </c>
      <c r="D15" s="579"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569">
        <v>1</v>
      </c>
      <c r="F15" s="570">
        <v>3</v>
      </c>
      <c r="G15" s="571">
        <f t="shared" si="0"/>
        <v>3</v>
      </c>
    </row>
    <row r="16" spans="1:7" ht="36" customHeight="1" x14ac:dyDescent="0.2">
      <c r="A16" s="568" t="s">
        <v>964</v>
      </c>
      <c r="B16" s="567" t="s">
        <v>352</v>
      </c>
      <c r="C16" s="567">
        <v>12</v>
      </c>
      <c r="D16" s="579" t="str">
        <f>HLOOKUP(F16,Parametre_ECF_TCF!$B$1:$G$14,TCF_v02!C16+1,0)</f>
        <v>Predbežný kód, ktorý je nakoniec potrebné upraviť, sa použije v malých častiach aplikácie.</v>
      </c>
      <c r="E16" s="569">
        <v>1</v>
      </c>
      <c r="F16" s="570">
        <v>3</v>
      </c>
      <c r="G16" s="571">
        <f t="shared" si="0"/>
        <v>3</v>
      </c>
    </row>
    <row r="17" spans="1:7" ht="40.25" customHeight="1" x14ac:dyDescent="0.2">
      <c r="A17" s="568" t="s">
        <v>965</v>
      </c>
      <c r="B17" s="567" t="s">
        <v>359</v>
      </c>
      <c r="C17" s="567">
        <v>13</v>
      </c>
      <c r="D17" s="579" t="str">
        <f>HLOOKUP(F17,Parametre_ECF_TCF!$B$1:$G$14,TCF_v02!C17+1,0)</f>
        <v>Existujú formálne špecifické požiadavky na školenie používateľov a aplikácia musí byť navrhnutá na podporu používateľov s rôznymi úrovňami školenia.</v>
      </c>
      <c r="E17" s="569">
        <v>1</v>
      </c>
      <c r="F17" s="570">
        <v>3</v>
      </c>
      <c r="G17" s="571">
        <f t="shared" si="0"/>
        <v>3</v>
      </c>
    </row>
  </sheetData>
  <conditionalFormatting sqref="F5:G17">
    <cfRule type="expression" dxfId="19" priority="1">
      <formula>#REF!="NIE"</formula>
    </cfRule>
    <cfRule type="expression" dxfId="18" priority="2">
      <formula>#REF!="ANO"</formula>
    </cfRule>
  </conditionalFormatting>
  <dataValidations count="1">
    <dataValidation type="list" allowBlank="1" showInputMessage="1" showErrorMessage="1" sqref="F5:F17" xr:uid="{00000000-0002-0000-0C00-000000000000}">
      <formula1>"0,1,2,3,4,5"</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8">
    <tabColor rgb="FFFFC000"/>
  </sheetPr>
  <dimension ref="A1:G12"/>
  <sheetViews>
    <sheetView workbookViewId="0">
      <selection activeCell="F10" sqref="F10"/>
    </sheetView>
  </sheetViews>
  <sheetFormatPr baseColWidth="10" defaultColWidth="8.6640625" defaultRowHeight="14" x14ac:dyDescent="0.2"/>
  <cols>
    <col min="1" max="1" width="40" style="376" customWidth="1"/>
    <col min="2" max="2" width="11.1640625" style="376" customWidth="1"/>
    <col min="3" max="3" width="10.6640625" style="376" hidden="1" customWidth="1"/>
    <col min="4" max="4" width="55.6640625" style="376" customWidth="1"/>
    <col min="5" max="7" width="10.6640625" style="376" customWidth="1"/>
    <col min="8" max="16384" width="8.6640625" style="376"/>
  </cols>
  <sheetData>
    <row r="1" spans="1:7" ht="15" thickBot="1" x14ac:dyDescent="0.25">
      <c r="A1" s="573" t="s">
        <v>948</v>
      </c>
      <c r="B1" s="572">
        <f>SUM(G5:G12)</f>
        <v>6.5</v>
      </c>
      <c r="C1" s="572"/>
    </row>
    <row r="2" spans="1:7" ht="15" thickBot="1" x14ac:dyDescent="0.25">
      <c r="A2" s="573" t="s">
        <v>233</v>
      </c>
      <c r="B2" s="576">
        <f>1.4 + (-0.03*B1)</f>
        <v>1.2049999999999998</v>
      </c>
      <c r="C2" s="577"/>
    </row>
    <row r="4" spans="1:7" s="585" customFormat="1" ht="15" x14ac:dyDescent="0.2">
      <c r="A4" s="581" t="s">
        <v>205</v>
      </c>
      <c r="B4" s="582" t="s">
        <v>949</v>
      </c>
      <c r="C4" s="581" t="s">
        <v>950</v>
      </c>
      <c r="D4" s="581" t="s">
        <v>951</v>
      </c>
      <c r="E4" s="583" t="s">
        <v>952</v>
      </c>
      <c r="F4" s="584" t="s">
        <v>275</v>
      </c>
      <c r="G4" s="584" t="s">
        <v>953</v>
      </c>
    </row>
    <row r="5" spans="1:7" ht="45.5" customHeight="1" x14ac:dyDescent="0.2">
      <c r="A5" s="575" t="s">
        <v>966</v>
      </c>
      <c r="B5" s="574" t="s">
        <v>366</v>
      </c>
      <c r="C5" s="574">
        <v>1</v>
      </c>
      <c r="D5" s="579" t="str">
        <f>HLOOKUP(F5,Parametre_ECF_TCF!$B$1:$G$50,ECF_v02!C5+14,0)</f>
        <v>Niekoľko členov tímu využilo postup vo viac ako jednom projekte.</v>
      </c>
      <c r="E5" s="569">
        <v>1.5</v>
      </c>
      <c r="F5" s="570">
        <v>3</v>
      </c>
      <c r="G5" s="571">
        <f>E5*F5</f>
        <v>4.5</v>
      </c>
    </row>
    <row r="6" spans="1:7" ht="45.5" customHeight="1" x14ac:dyDescent="0.2">
      <c r="A6" s="575" t="s">
        <v>967</v>
      </c>
      <c r="B6" s="567" t="s">
        <v>373</v>
      </c>
      <c r="C6" s="567">
        <v>2</v>
      </c>
      <c r="D6" s="579" t="str">
        <f>HLOOKUP(F6,Parametre_ECF_TCF!$B$1:$G$50,ECF_v02!C6+14,0)</f>
        <v>Väčšina členov tímu má 18 až 24 mesiacov skúseností s projektmi v rovnakej oblasti.</v>
      </c>
      <c r="E6" s="569">
        <v>0.5</v>
      </c>
      <c r="F6" s="570">
        <v>3</v>
      </c>
      <c r="G6" s="571">
        <f t="shared" ref="G6:G12" si="0">E6*F6</f>
        <v>1.5</v>
      </c>
    </row>
    <row r="7" spans="1:7" ht="45.5" customHeight="1" x14ac:dyDescent="0.2">
      <c r="A7" s="575" t="s">
        <v>968</v>
      </c>
      <c r="B7" s="567" t="s">
        <v>380</v>
      </c>
      <c r="C7" s="567">
        <v>3</v>
      </c>
      <c r="D7" s="579" t="str">
        <f>HLOOKUP(F7,Parametre_ECF_TCF!$B$1:$G$50,ECF_v02!C7+14,0)</f>
        <v>Väčšina členov tímu má 12 až 18 mesiacov skúseností s objektovo orientovanými technikami.</v>
      </c>
      <c r="E7" s="569">
        <v>1</v>
      </c>
      <c r="F7" s="570">
        <v>2</v>
      </c>
      <c r="G7" s="571">
        <f t="shared" si="0"/>
        <v>2</v>
      </c>
    </row>
    <row r="8" spans="1:7" ht="45.5" customHeight="1" x14ac:dyDescent="0.2">
      <c r="A8" s="575" t="s">
        <v>969</v>
      </c>
      <c r="B8" s="567" t="s">
        <v>387</v>
      </c>
      <c r="C8" s="567">
        <v>4</v>
      </c>
      <c r="D8" s="579" t="str">
        <f>HLOOKUP(F8,Parametre_ECF_TCF!$B$1:$G$50,ECF_v02!C8+14,0)</f>
        <v>Vedúci analytik má asi dvojročné skúsenosti s podobnými projektmi.</v>
      </c>
      <c r="E8" s="569">
        <v>0.5</v>
      </c>
      <c r="F8" s="570">
        <v>3</v>
      </c>
      <c r="G8" s="571">
        <f t="shared" si="0"/>
        <v>1.5</v>
      </c>
    </row>
    <row r="9" spans="1:7" ht="45.5" customHeight="1" x14ac:dyDescent="0.2">
      <c r="A9" s="575" t="s">
        <v>970</v>
      </c>
      <c r="B9" s="567" t="s">
        <v>394</v>
      </c>
      <c r="C9" s="567">
        <v>5</v>
      </c>
      <c r="D9" s="579" t="str">
        <f>HLOOKUP(F9,Parametre_ECF_TCF!$B$1:$G$50,ECF_v02!C9+14,0)</f>
        <v>Tím má veľmi malú motiváciu. Na udržanie produktivity na prijateľnej úrovni je nevyhnutný stály dohľad.</v>
      </c>
      <c r="E9" s="569">
        <v>1</v>
      </c>
      <c r="F9" s="570">
        <v>1</v>
      </c>
      <c r="G9" s="571">
        <f t="shared" si="0"/>
        <v>1</v>
      </c>
    </row>
    <row r="10" spans="1:7" ht="45.5" customHeight="1" x14ac:dyDescent="0.2">
      <c r="A10" s="575" t="s">
        <v>971</v>
      </c>
      <c r="B10" s="567" t="s">
        <v>401</v>
      </c>
      <c r="C10" s="567">
        <v>6</v>
      </c>
      <c r="D10" s="579" t="str">
        <f>HLOOKUP(F10,Parametre_ECF_TCF!$B$1:$G$50,ECF_v02!C10+14,0)</f>
        <v>Požiadavky boli v minulosti prevažne nestabilné. Klienti požiadali o veľa zmien spôsobených hlavne neúplnými alebo nesprávnymi požiadavkami</v>
      </c>
      <c r="E10" s="569">
        <v>2</v>
      </c>
      <c r="F10" s="570">
        <v>1</v>
      </c>
      <c r="G10" s="571">
        <f t="shared" si="0"/>
        <v>2</v>
      </c>
    </row>
    <row r="11" spans="1:7" ht="45.5" customHeight="1" x14ac:dyDescent="0.2">
      <c r="A11" s="575" t="s">
        <v>972</v>
      </c>
      <c r="B11" s="567" t="s">
        <v>408</v>
      </c>
      <c r="C11" s="567">
        <v>7</v>
      </c>
      <c r="D11" s="579" t="str">
        <f>HLOOKUP(F11,Parametre_ECF_TCF!$B$1:$G$50,ECF_v02!C11+14,0)</f>
        <v>Až 60% tímu je na čiastočný úväzok.</v>
      </c>
      <c r="E11" s="569">
        <v>-1</v>
      </c>
      <c r="F11" s="570">
        <v>4</v>
      </c>
      <c r="G11" s="571">
        <f t="shared" si="0"/>
        <v>-4</v>
      </c>
    </row>
    <row r="12" spans="1:7" ht="45.5" customHeight="1" x14ac:dyDescent="0.2">
      <c r="A12" s="575" t="s">
        <v>973</v>
      </c>
      <c r="B12" s="567" t="s">
        <v>415</v>
      </c>
      <c r="C12" s="578">
        <v>8</v>
      </c>
      <c r="D12" s="579" t="str">
        <f>HLOOKUP(F12,Parametre_ECF_TCF!$B$1:$G$50,ECF_v02!C12+14,0)</f>
        <v>Všetci členovia tímu majú najmenej 18 mesiacov skúseností s programovaním.</v>
      </c>
      <c r="E12" s="569">
        <v>-1</v>
      </c>
      <c r="F12" s="570">
        <v>2</v>
      </c>
      <c r="G12" s="571">
        <f t="shared" si="0"/>
        <v>-2</v>
      </c>
    </row>
  </sheetData>
  <phoneticPr fontId="58" type="noConversion"/>
  <conditionalFormatting sqref="F5:G12">
    <cfRule type="expression" dxfId="17" priority="1">
      <formula>#REF!="NIE"</formula>
    </cfRule>
    <cfRule type="expression" dxfId="16" priority="2">
      <formula>#REF!="ANO"</formula>
    </cfRule>
  </conditionalFormatting>
  <dataValidations count="1">
    <dataValidation type="list" allowBlank="1" showInputMessage="1" showErrorMessage="1" sqref="F5:F12" xr:uid="{00000000-0002-0000-0D00-000000000000}">
      <formula1>"0,1,2,3,4,5"</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9">
    <tabColor rgb="FFFFC000"/>
  </sheetPr>
  <dimension ref="A1:Q26"/>
  <sheetViews>
    <sheetView workbookViewId="0">
      <selection activeCell="E3" sqref="E3"/>
    </sheetView>
  </sheetViews>
  <sheetFormatPr baseColWidth="10" defaultColWidth="8.6640625" defaultRowHeight="14" x14ac:dyDescent="0.2"/>
  <cols>
    <col min="1" max="1" width="26.33203125" style="376" customWidth="1"/>
    <col min="2" max="2" width="13.33203125" style="376" bestFit="1" customWidth="1"/>
    <col min="3" max="16" width="11.6640625" style="376" customWidth="1"/>
    <col min="17" max="16384" width="8.6640625" style="376"/>
  </cols>
  <sheetData>
    <row r="1" spans="1:17" ht="30" x14ac:dyDescent="0.2">
      <c r="A1" s="861" t="s">
        <v>232</v>
      </c>
      <c r="B1" s="387" t="s">
        <v>974</v>
      </c>
      <c r="C1" s="391" t="s">
        <v>976</v>
      </c>
      <c r="D1" s="391" t="s">
        <v>975</v>
      </c>
      <c r="E1" s="391" t="s">
        <v>977</v>
      </c>
      <c r="F1" s="391" t="s">
        <v>978</v>
      </c>
      <c r="G1" s="391" t="s">
        <v>979</v>
      </c>
      <c r="H1" s="391" t="s">
        <v>979</v>
      </c>
      <c r="I1" s="391" t="s">
        <v>979</v>
      </c>
      <c r="J1" s="391" t="s">
        <v>979</v>
      </c>
      <c r="K1" s="391" t="s">
        <v>979</v>
      </c>
      <c r="L1" s="391" t="s">
        <v>979</v>
      </c>
      <c r="M1" s="391" t="s">
        <v>979</v>
      </c>
      <c r="N1" s="391" t="s">
        <v>979</v>
      </c>
      <c r="O1" s="391" t="s">
        <v>979</v>
      </c>
      <c r="P1" s="391" t="s">
        <v>979</v>
      </c>
      <c r="Q1" s="384"/>
    </row>
    <row r="2" spans="1:17" ht="60" x14ac:dyDescent="0.2">
      <c r="A2" s="861"/>
      <c r="B2" s="387" t="s">
        <v>980</v>
      </c>
      <c r="C2" s="709" t="s">
        <v>981</v>
      </c>
      <c r="D2" s="709" t="s">
        <v>982</v>
      </c>
      <c r="E2" s="709" t="s">
        <v>983</v>
      </c>
      <c r="F2" s="709"/>
      <c r="G2" s="709"/>
      <c r="H2" s="709"/>
      <c r="I2" s="709"/>
      <c r="J2" s="390"/>
      <c r="K2" s="390"/>
      <c r="L2" s="390"/>
      <c r="M2" s="390"/>
      <c r="N2" s="390"/>
      <c r="O2" s="390"/>
      <c r="P2" s="390"/>
      <c r="Q2" s="384"/>
    </row>
    <row r="3" spans="1:17" x14ac:dyDescent="0.2">
      <c r="A3" s="861"/>
      <c r="B3" s="387" t="s">
        <v>984</v>
      </c>
      <c r="C3" s="389">
        <v>2</v>
      </c>
      <c r="D3" s="389">
        <v>2</v>
      </c>
      <c r="E3" s="389">
        <v>2</v>
      </c>
      <c r="F3" s="389"/>
      <c r="G3" s="389"/>
      <c r="H3" s="389"/>
      <c r="I3" s="389"/>
      <c r="J3" s="389"/>
      <c r="K3" s="389"/>
      <c r="L3" s="389"/>
      <c r="M3" s="389"/>
      <c r="N3" s="389"/>
      <c r="O3" s="389"/>
      <c r="P3" s="389"/>
      <c r="Q3" s="384"/>
    </row>
    <row r="4" spans="1:17" x14ac:dyDescent="0.2">
      <c r="A4" s="861"/>
      <c r="B4" s="387" t="s">
        <v>467</v>
      </c>
      <c r="C4" s="389">
        <v>1</v>
      </c>
      <c r="D4" s="389">
        <v>1</v>
      </c>
      <c r="E4" s="389">
        <v>7</v>
      </c>
      <c r="F4" s="389"/>
      <c r="G4" s="389"/>
      <c r="H4" s="389"/>
      <c r="I4" s="381"/>
      <c r="J4" s="381"/>
      <c r="K4" s="381"/>
      <c r="L4" s="381"/>
      <c r="M4" s="381"/>
      <c r="N4" s="381"/>
      <c r="O4" s="381"/>
      <c r="P4" s="388"/>
      <c r="Q4" s="384"/>
    </row>
    <row r="5" spans="1:17" x14ac:dyDescent="0.2">
      <c r="A5" s="861"/>
      <c r="B5" s="387" t="s">
        <v>985</v>
      </c>
      <c r="C5" s="386">
        <f t="shared" ref="C5:P5" si="0">C3*C4</f>
        <v>2</v>
      </c>
      <c r="D5" s="386">
        <f t="shared" si="0"/>
        <v>2</v>
      </c>
      <c r="E5" s="386">
        <f t="shared" si="0"/>
        <v>14</v>
      </c>
      <c r="F5" s="386">
        <f t="shared" si="0"/>
        <v>0</v>
      </c>
      <c r="G5" s="386">
        <f t="shared" si="0"/>
        <v>0</v>
      </c>
      <c r="H5" s="386">
        <f t="shared" si="0"/>
        <v>0</v>
      </c>
      <c r="I5" s="386">
        <f t="shared" si="0"/>
        <v>0</v>
      </c>
      <c r="J5" s="386">
        <f t="shared" si="0"/>
        <v>0</v>
      </c>
      <c r="K5" s="386">
        <f t="shared" si="0"/>
        <v>0</v>
      </c>
      <c r="L5" s="386">
        <f t="shared" si="0"/>
        <v>0</v>
      </c>
      <c r="M5" s="386">
        <f t="shared" si="0"/>
        <v>0</v>
      </c>
      <c r="N5" s="386">
        <f t="shared" si="0"/>
        <v>0</v>
      </c>
      <c r="O5" s="386">
        <f t="shared" si="0"/>
        <v>0</v>
      </c>
      <c r="P5" s="386">
        <f t="shared" si="0"/>
        <v>0</v>
      </c>
      <c r="Q5" s="384"/>
    </row>
    <row r="6" spans="1:17" x14ac:dyDescent="0.2">
      <c r="A6" s="385" t="str">
        <f>IF(ISBLANK(MODULY_CBA!B3),"",MODULY_CBA!B3)</f>
        <v>Modul MyData</v>
      </c>
      <c r="B6" s="385">
        <f t="shared" ref="B6:B26" si="1">SUM(C6*C$5,D6*D$5,E6*E$5,F6*F$5,G6*G$5,H6*H$5,I6*I$5,J6*J$5,K6*K$5,L6*L$5,M6*M$5,N6*N$5,O6*O$5,P6*P$5)</f>
        <v>18</v>
      </c>
      <c r="C6" s="710">
        <v>1</v>
      </c>
      <c r="D6" s="710">
        <v>1</v>
      </c>
      <c r="E6" s="710">
        <v>1</v>
      </c>
      <c r="F6" s="710"/>
      <c r="G6" s="710"/>
      <c r="H6" s="449"/>
      <c r="I6" s="449"/>
      <c r="J6" s="449"/>
      <c r="K6" s="449"/>
      <c r="L6" s="449"/>
      <c r="M6" s="449"/>
      <c r="N6" s="449"/>
      <c r="O6" s="449"/>
      <c r="P6" s="449"/>
      <c r="Q6" s="384"/>
    </row>
    <row r="7" spans="1:17" x14ac:dyDescent="0.2">
      <c r="A7" s="385" t="str">
        <f>IF(ISBLANK(MODULY_CBA!B4),"",MODULY_CBA!B4)</f>
        <v>Transformačný modul</v>
      </c>
      <c r="B7" s="385">
        <f t="shared" si="1"/>
        <v>14</v>
      </c>
      <c r="C7" s="710"/>
      <c r="D7" s="710"/>
      <c r="E7" s="710">
        <v>1</v>
      </c>
      <c r="F7" s="710"/>
      <c r="G7" s="710"/>
      <c r="H7" s="710"/>
      <c r="I7" s="710"/>
      <c r="J7" s="449"/>
      <c r="K7" s="449"/>
      <c r="L7" s="449"/>
      <c r="M7" s="449"/>
      <c r="N7" s="449"/>
      <c r="O7" s="449"/>
      <c r="P7" s="449"/>
      <c r="Q7" s="384"/>
    </row>
    <row r="8" spans="1:17" x14ac:dyDescent="0.2">
      <c r="A8" s="385" t="str">
        <f>IF(ISBLANK(MODULY_CBA!B5),"",MODULY_CBA!B5)</f>
        <v xml:space="preserve">Modul kvality a čistenia údajov </v>
      </c>
      <c r="B8" s="385">
        <f t="shared" si="1"/>
        <v>14</v>
      </c>
      <c r="C8" s="710"/>
      <c r="D8" s="710"/>
      <c r="E8" s="710">
        <v>1</v>
      </c>
      <c r="F8" s="710"/>
      <c r="G8" s="710"/>
      <c r="H8" s="710"/>
      <c r="I8" s="710"/>
      <c r="J8" s="449"/>
      <c r="K8" s="449"/>
      <c r="L8" s="449"/>
      <c r="M8" s="449"/>
      <c r="N8" s="449"/>
      <c r="O8" s="449"/>
      <c r="P8" s="449"/>
      <c r="Q8" s="384"/>
    </row>
    <row r="9" spans="1:17" x14ac:dyDescent="0.2">
      <c r="A9" s="385" t="str">
        <f>IF(ISBLANK(MODULY_CBA!B6),"",MODULY_CBA!B6)</f>
        <v>Centrálny integračný komponent </v>
      </c>
      <c r="B9" s="385">
        <f t="shared" si="1"/>
        <v>14</v>
      </c>
      <c r="C9" s="710"/>
      <c r="D9" s="710"/>
      <c r="E9" s="710">
        <v>1</v>
      </c>
      <c r="F9" s="710"/>
      <c r="G9" s="710"/>
      <c r="H9" s="710"/>
      <c r="I9" s="710"/>
      <c r="J9" s="449"/>
      <c r="K9" s="449"/>
      <c r="L9" s="449"/>
      <c r="M9" s="449"/>
      <c r="N9" s="449"/>
      <c r="O9" s="449"/>
      <c r="P9" s="449"/>
      <c r="Q9" s="384"/>
    </row>
    <row r="10" spans="1:17" x14ac:dyDescent="0.2">
      <c r="A10" s="385" t="str">
        <f>IF(ISBLANK(MODULY_CBA!B7),"",MODULY_CBA!B7)</f>
        <v xml:space="preserve">Centrálna správa kmeňových údajov </v>
      </c>
      <c r="B10" s="385">
        <f t="shared" si="1"/>
        <v>14</v>
      </c>
      <c r="C10" s="449"/>
      <c r="D10" s="449"/>
      <c r="E10" s="710">
        <v>1</v>
      </c>
      <c r="F10" s="710"/>
      <c r="G10" s="710"/>
      <c r="H10" s="710"/>
      <c r="I10" s="710"/>
      <c r="J10" s="449"/>
      <c r="K10" s="449"/>
      <c r="L10" s="449"/>
      <c r="M10" s="449"/>
      <c r="N10" s="449"/>
      <c r="O10" s="449"/>
      <c r="P10" s="449"/>
      <c r="Q10" s="384"/>
    </row>
    <row r="11" spans="1:17" x14ac:dyDescent="0.2">
      <c r="A11" s="385" t="str">
        <f>IF(ISBLANK(MODULY_CBA!B8),"",MODULY_CBA!B8)</f>
        <v>Centrálna správa agendových číselníkov</v>
      </c>
      <c r="B11" s="385">
        <f t="shared" si="1"/>
        <v>14</v>
      </c>
      <c r="C11" s="449"/>
      <c r="D11" s="449"/>
      <c r="E11" s="710">
        <v>1</v>
      </c>
      <c r="F11" s="710"/>
      <c r="G11" s="710"/>
      <c r="H11" s="710"/>
      <c r="I11" s="710"/>
      <c r="J11" s="449"/>
      <c r="K11" s="449"/>
      <c r="L11" s="449"/>
      <c r="M11" s="449"/>
      <c r="N11" s="449"/>
      <c r="O11" s="449"/>
      <c r="P11" s="449"/>
      <c r="Q11" s="384"/>
    </row>
    <row r="12" spans="1:17" x14ac:dyDescent="0.2">
      <c r="A12" s="385" t="str">
        <f>IF(ISBLANK(MODULY_CBA!B9),"",MODULY_CBA!B9)</f>
        <v>Lokálny katalóg otvorených údajov</v>
      </c>
      <c r="B12" s="385">
        <f t="shared" si="1"/>
        <v>14</v>
      </c>
      <c r="C12" s="449"/>
      <c r="D12" s="449"/>
      <c r="E12" s="710">
        <v>1</v>
      </c>
      <c r="F12" s="449"/>
      <c r="G12" s="449"/>
      <c r="H12" s="449"/>
      <c r="I12" s="449"/>
      <c r="J12" s="449"/>
      <c r="K12" s="449"/>
      <c r="L12" s="449"/>
      <c r="M12" s="449"/>
      <c r="N12" s="449"/>
      <c r="O12" s="449"/>
      <c r="P12" s="449"/>
      <c r="Q12" s="384"/>
    </row>
    <row r="13" spans="1:17" x14ac:dyDescent="0.2">
      <c r="A13" s="385" t="str">
        <f>IF(ISBLANK(MODULY_CBA!B10),"",MODULY_CBA!B10)</f>
        <v/>
      </c>
      <c r="B13" s="385">
        <f t="shared" si="1"/>
        <v>0</v>
      </c>
      <c r="C13" s="449"/>
      <c r="D13" s="449"/>
      <c r="E13" s="449"/>
      <c r="F13" s="449"/>
      <c r="G13" s="449"/>
      <c r="H13" s="449"/>
      <c r="I13" s="449"/>
      <c r="J13" s="449"/>
      <c r="K13" s="449"/>
      <c r="L13" s="449"/>
      <c r="M13" s="449"/>
      <c r="N13" s="449"/>
      <c r="O13" s="449"/>
      <c r="P13" s="449"/>
      <c r="Q13" s="384"/>
    </row>
    <row r="14" spans="1:17" x14ac:dyDescent="0.2">
      <c r="A14" s="385" t="str">
        <f>IF(ISBLANK(MODULY_CBA!B11),"",MODULY_CBA!B11)</f>
        <v/>
      </c>
      <c r="B14" s="385">
        <f t="shared" si="1"/>
        <v>0</v>
      </c>
      <c r="C14" s="449"/>
      <c r="D14" s="449"/>
      <c r="E14" s="449"/>
      <c r="F14" s="449"/>
      <c r="G14" s="449"/>
      <c r="H14" s="449"/>
      <c r="I14" s="449"/>
      <c r="J14" s="449"/>
      <c r="K14" s="449"/>
      <c r="L14" s="449"/>
      <c r="M14" s="449"/>
      <c r="N14" s="449"/>
      <c r="O14" s="449"/>
      <c r="P14" s="449"/>
      <c r="Q14" s="384"/>
    </row>
    <row r="15" spans="1:17" x14ac:dyDescent="0.2">
      <c r="A15" s="385" t="str">
        <f>IF(ISBLANK(MODULY_CBA!B12),"",MODULY_CBA!B12)</f>
        <v/>
      </c>
      <c r="B15" s="385">
        <f t="shared" si="1"/>
        <v>0</v>
      </c>
      <c r="C15" s="449"/>
      <c r="D15" s="449"/>
      <c r="E15" s="449"/>
      <c r="F15" s="449"/>
      <c r="G15" s="449"/>
      <c r="H15" s="449"/>
      <c r="I15" s="449"/>
      <c r="J15" s="449"/>
      <c r="K15" s="449"/>
      <c r="L15" s="449"/>
      <c r="M15" s="449"/>
      <c r="N15" s="449"/>
      <c r="O15" s="449"/>
      <c r="P15" s="449"/>
      <c r="Q15" s="384"/>
    </row>
    <row r="16" spans="1:17" x14ac:dyDescent="0.2">
      <c r="A16" s="385" t="str">
        <f>IF(ISBLANK(MODULY_CBA!B13),"",MODULY_CBA!B13)</f>
        <v/>
      </c>
      <c r="B16" s="385">
        <f t="shared" si="1"/>
        <v>0</v>
      </c>
      <c r="C16" s="449"/>
      <c r="D16" s="449"/>
      <c r="E16" s="449"/>
      <c r="F16" s="449"/>
      <c r="G16" s="449"/>
      <c r="H16" s="449"/>
      <c r="I16" s="449"/>
      <c r="J16" s="449"/>
      <c r="K16" s="449"/>
      <c r="L16" s="449"/>
      <c r="M16" s="449"/>
      <c r="N16" s="449"/>
      <c r="O16" s="449"/>
      <c r="P16" s="449"/>
      <c r="Q16" s="384"/>
    </row>
    <row r="17" spans="1:17" x14ac:dyDescent="0.2">
      <c r="A17" s="385" t="str">
        <f>IF(ISBLANK(MODULY_CBA!B14),"",MODULY_CBA!B14)</f>
        <v/>
      </c>
      <c r="B17" s="385">
        <f t="shared" si="1"/>
        <v>0</v>
      </c>
      <c r="C17" s="449"/>
      <c r="D17" s="449"/>
      <c r="E17" s="449"/>
      <c r="F17" s="449"/>
      <c r="G17" s="449"/>
      <c r="H17" s="449"/>
      <c r="I17" s="449"/>
      <c r="J17" s="449"/>
      <c r="K17" s="449"/>
      <c r="L17" s="449"/>
      <c r="M17" s="449"/>
      <c r="N17" s="449"/>
      <c r="O17" s="449"/>
      <c r="P17" s="449"/>
      <c r="Q17" s="384"/>
    </row>
    <row r="18" spans="1:17" x14ac:dyDescent="0.2">
      <c r="A18" s="385" t="str">
        <f>IF(ISBLANK(MODULY_CBA!B15),"",MODULY_CBA!B15)</f>
        <v/>
      </c>
      <c r="B18" s="385">
        <f t="shared" si="1"/>
        <v>0</v>
      </c>
      <c r="C18" s="449"/>
      <c r="D18" s="449"/>
      <c r="E18" s="449"/>
      <c r="F18" s="449"/>
      <c r="G18" s="449"/>
      <c r="H18" s="449"/>
      <c r="I18" s="449"/>
      <c r="J18" s="449"/>
      <c r="K18" s="449"/>
      <c r="L18" s="449"/>
      <c r="M18" s="449"/>
      <c r="N18" s="449"/>
      <c r="O18" s="449"/>
      <c r="P18" s="449"/>
      <c r="Q18" s="384"/>
    </row>
    <row r="19" spans="1:17" x14ac:dyDescent="0.2">
      <c r="A19" s="385" t="str">
        <f>IF(ISBLANK(MODULY_CBA!B16),"",MODULY_CBA!B16)</f>
        <v/>
      </c>
      <c r="B19" s="385">
        <f t="shared" si="1"/>
        <v>0</v>
      </c>
      <c r="C19" s="449"/>
      <c r="D19" s="449"/>
      <c r="E19" s="449"/>
      <c r="F19" s="449"/>
      <c r="G19" s="449"/>
      <c r="H19" s="449"/>
      <c r="I19" s="449"/>
      <c r="J19" s="449"/>
      <c r="K19" s="449"/>
      <c r="L19" s="449"/>
      <c r="M19" s="449"/>
      <c r="N19" s="449"/>
      <c r="O19" s="449"/>
      <c r="P19" s="449"/>
      <c r="Q19" s="384"/>
    </row>
    <row r="20" spans="1:17" x14ac:dyDescent="0.2">
      <c r="A20" s="385" t="str">
        <f>IF(ISBLANK(MODULY_CBA!B17),"",MODULY_CBA!B17)</f>
        <v/>
      </c>
      <c r="B20" s="385">
        <f t="shared" si="1"/>
        <v>0</v>
      </c>
      <c r="C20" s="449"/>
      <c r="D20" s="449"/>
      <c r="E20" s="449"/>
      <c r="F20" s="449"/>
      <c r="G20" s="449"/>
      <c r="H20" s="449"/>
      <c r="I20" s="449"/>
      <c r="J20" s="449"/>
      <c r="K20" s="449"/>
      <c r="L20" s="449"/>
      <c r="M20" s="449"/>
      <c r="N20" s="449"/>
      <c r="O20" s="449"/>
      <c r="P20" s="449"/>
      <c r="Q20" s="384"/>
    </row>
    <row r="21" spans="1:17" x14ac:dyDescent="0.2">
      <c r="A21" s="385" t="str">
        <f>IF(ISBLANK(MODULY_CBA!B18),"",MODULY_CBA!B18)</f>
        <v/>
      </c>
      <c r="B21" s="385">
        <f t="shared" si="1"/>
        <v>0</v>
      </c>
      <c r="C21" s="449"/>
      <c r="D21" s="449"/>
      <c r="E21" s="449"/>
      <c r="F21" s="449"/>
      <c r="G21" s="449"/>
      <c r="H21" s="449"/>
      <c r="I21" s="449"/>
      <c r="J21" s="449"/>
      <c r="K21" s="449"/>
      <c r="L21" s="449"/>
      <c r="M21" s="449"/>
      <c r="N21" s="449"/>
      <c r="O21" s="449"/>
      <c r="P21" s="449"/>
      <c r="Q21" s="384"/>
    </row>
    <row r="22" spans="1:17" x14ac:dyDescent="0.2">
      <c r="A22" s="385" t="str">
        <f>IF(ISBLANK(MODULY_CBA!B19),"",MODULY_CBA!B19)</f>
        <v/>
      </c>
      <c r="B22" s="385">
        <f t="shared" si="1"/>
        <v>0</v>
      </c>
      <c r="C22" s="449"/>
      <c r="D22" s="449"/>
      <c r="E22" s="449"/>
      <c r="F22" s="449"/>
      <c r="G22" s="449"/>
      <c r="H22" s="449"/>
      <c r="I22" s="449"/>
      <c r="J22" s="449"/>
      <c r="K22" s="449"/>
      <c r="L22" s="449"/>
      <c r="M22" s="449"/>
      <c r="N22" s="449"/>
      <c r="O22" s="449"/>
      <c r="P22" s="449"/>
      <c r="Q22" s="384"/>
    </row>
    <row r="23" spans="1:17" x14ac:dyDescent="0.2">
      <c r="A23" s="385" t="str">
        <f>IF(ISBLANK(MODULY_CBA!B20),"",MODULY_CBA!B20)</f>
        <v/>
      </c>
      <c r="B23" s="385">
        <f t="shared" si="1"/>
        <v>0</v>
      </c>
      <c r="C23" s="449"/>
      <c r="D23" s="449"/>
      <c r="E23" s="449"/>
      <c r="F23" s="449"/>
      <c r="G23" s="449"/>
      <c r="H23" s="449"/>
      <c r="I23" s="449"/>
      <c r="J23" s="449"/>
      <c r="K23" s="449"/>
      <c r="L23" s="449"/>
      <c r="M23" s="449"/>
      <c r="N23" s="449"/>
      <c r="O23" s="449"/>
      <c r="P23" s="449"/>
      <c r="Q23" s="384"/>
    </row>
    <row r="24" spans="1:17" x14ac:dyDescent="0.2">
      <c r="A24" s="385" t="str">
        <f>IF(ISBLANK(MODULY_CBA!B21),"",MODULY_CBA!B21)</f>
        <v/>
      </c>
      <c r="B24" s="385">
        <f t="shared" si="1"/>
        <v>0</v>
      </c>
      <c r="C24" s="449"/>
      <c r="D24" s="449"/>
      <c r="E24" s="449"/>
      <c r="F24" s="449"/>
      <c r="G24" s="449"/>
      <c r="H24" s="449"/>
      <c r="I24" s="449"/>
      <c r="J24" s="449"/>
      <c r="K24" s="449"/>
      <c r="L24" s="449"/>
      <c r="M24" s="449"/>
      <c r="N24" s="449"/>
      <c r="O24" s="449"/>
      <c r="P24" s="449"/>
      <c r="Q24" s="384"/>
    </row>
    <row r="25" spans="1:17" x14ac:dyDescent="0.2">
      <c r="A25" s="385" t="str">
        <f>IF(ISBLANK(MODULY_CBA!B22),"",MODULY_CBA!B22)</f>
        <v/>
      </c>
      <c r="B25" s="385">
        <f t="shared" si="1"/>
        <v>0</v>
      </c>
      <c r="C25" s="449"/>
      <c r="D25" s="449"/>
      <c r="E25" s="449"/>
      <c r="F25" s="449"/>
      <c r="G25" s="449"/>
      <c r="H25" s="449"/>
      <c r="I25" s="449"/>
      <c r="J25" s="449"/>
      <c r="K25" s="449"/>
      <c r="L25" s="449"/>
      <c r="M25" s="449"/>
      <c r="N25" s="449"/>
      <c r="O25" s="449"/>
      <c r="P25" s="449"/>
      <c r="Q25" s="384"/>
    </row>
    <row r="26" spans="1:17" x14ac:dyDescent="0.2">
      <c r="A26" s="385" t="str">
        <f>IF(ISBLANK(MODULY_CBA!B23),"",MODULY_CBA!B23)</f>
        <v/>
      </c>
      <c r="B26" s="385">
        <f t="shared" si="1"/>
        <v>0</v>
      </c>
      <c r="C26" s="449"/>
      <c r="D26" s="449"/>
      <c r="E26" s="449"/>
      <c r="F26" s="449"/>
      <c r="G26" s="449"/>
      <c r="H26" s="449"/>
      <c r="I26" s="449"/>
      <c r="J26" s="449"/>
      <c r="K26" s="449"/>
      <c r="L26" s="449"/>
      <c r="M26" s="449"/>
      <c r="N26" s="449"/>
      <c r="O26" s="449"/>
      <c r="P26" s="449"/>
      <c r="Q26" s="384"/>
    </row>
  </sheetData>
  <mergeCells count="1">
    <mergeCell ref="A1:A5"/>
  </mergeCells>
  <dataValidations count="2">
    <dataValidation type="list" allowBlank="1" showInputMessage="1" showErrorMessage="1" sqref="J2:P2" xr:uid="{00000000-0002-0000-0E00-000000000000}">
      <formula1>Subjekt</formula1>
    </dataValidation>
    <dataValidation type="list" allowBlank="1" showInputMessage="1" showErrorMessage="1" sqref="C3:P3" xr:uid="{00000000-0002-0000-0E00-000001000000}">
      <formula1>"1,2,3"</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8">
    <tabColor rgb="FF00B050"/>
  </sheetPr>
  <dimension ref="A1:X64"/>
  <sheetViews>
    <sheetView workbookViewId="0">
      <selection activeCell="M28" sqref="M28"/>
    </sheetView>
  </sheetViews>
  <sheetFormatPr baseColWidth="10" defaultColWidth="8.6640625" defaultRowHeight="15" x14ac:dyDescent="0.2"/>
  <cols>
    <col min="1" max="1" width="31.5" style="365" customWidth="1"/>
    <col min="2" max="2" width="10.6640625" style="365" customWidth="1"/>
    <col min="3" max="3" width="10.6640625" style="365" hidden="1" customWidth="1"/>
    <col min="4" max="4" width="10.6640625" style="365" customWidth="1"/>
    <col min="5" max="5" width="15.5" style="365" customWidth="1"/>
    <col min="6" max="6" width="28.33203125" style="365" customWidth="1"/>
    <col min="7" max="7" width="28.33203125" style="365" hidden="1" customWidth="1"/>
    <col min="8" max="8" width="28.33203125" style="365" customWidth="1"/>
    <col min="9" max="9" width="13.1640625" style="365" bestFit="1" customWidth="1"/>
    <col min="10" max="10" width="11.33203125" style="365" customWidth="1"/>
    <col min="11" max="11" width="10.6640625" style="365" bestFit="1" customWidth="1"/>
    <col min="12" max="12" width="10" style="365" customWidth="1"/>
    <col min="13" max="13" width="15.1640625" style="365" bestFit="1" customWidth="1"/>
    <col min="14" max="14" width="10.33203125" style="365" bestFit="1" customWidth="1"/>
    <col min="15" max="16" width="8.6640625" style="365"/>
    <col min="17" max="17" width="43.1640625" style="365" customWidth="1"/>
    <col min="18" max="18" width="16.1640625" style="365" customWidth="1"/>
    <col min="19" max="19" width="13.6640625" style="365" customWidth="1"/>
    <col min="20" max="20" width="12.33203125" style="365" bestFit="1" customWidth="1"/>
    <col min="21" max="23" width="12.33203125" style="365" customWidth="1"/>
    <col min="24" max="24" width="20.1640625" style="365" customWidth="1"/>
    <col min="25" max="16384" width="8.6640625" style="365"/>
  </cols>
  <sheetData>
    <row r="1" spans="1:24" x14ac:dyDescent="0.2">
      <c r="F1" s="862" t="s">
        <v>986</v>
      </c>
      <c r="G1" s="862"/>
      <c r="H1" s="862"/>
      <c r="I1" s="862"/>
      <c r="J1" s="862"/>
      <c r="K1" s="408">
        <f>SUM(K4:K34)</f>
        <v>5358</v>
      </c>
      <c r="M1" s="410">
        <f>SUM(M4:M39)</f>
        <v>2441861</v>
      </c>
    </row>
    <row r="2" spans="1:24" x14ac:dyDescent="0.2">
      <c r="D2" s="409">
        <f>SUM(D3:D39)</f>
        <v>5357</v>
      </c>
      <c r="F2" s="863" t="s">
        <v>987</v>
      </c>
      <c r="G2" s="863"/>
      <c r="H2" s="863"/>
      <c r="I2" s="863"/>
      <c r="J2" s="863"/>
      <c r="K2" s="408">
        <f>SUM(K41:K64)</f>
        <v>0</v>
      </c>
      <c r="M2" s="410">
        <f>SUM(M41:M64)</f>
        <v>0</v>
      </c>
    </row>
    <row r="3" spans="1:24" s="447" customFormat="1" ht="48" x14ac:dyDescent="0.2">
      <c r="A3" s="445" t="s">
        <v>988</v>
      </c>
      <c r="B3" s="446" t="s">
        <v>989</v>
      </c>
      <c r="C3" s="446" t="s">
        <v>990</v>
      </c>
      <c r="D3" s="446" t="s">
        <v>991</v>
      </c>
      <c r="E3" s="446" t="s">
        <v>992</v>
      </c>
      <c r="F3" s="446" t="s">
        <v>993</v>
      </c>
      <c r="G3" s="446" t="s">
        <v>994</v>
      </c>
      <c r="H3" s="446" t="s">
        <v>995</v>
      </c>
      <c r="I3" s="446" t="s">
        <v>996</v>
      </c>
      <c r="J3" s="446" t="s">
        <v>997</v>
      </c>
      <c r="K3" s="446" t="s">
        <v>998</v>
      </c>
      <c r="L3" s="446" t="s">
        <v>999</v>
      </c>
      <c r="M3" s="446" t="s">
        <v>1000</v>
      </c>
      <c r="Q3" s="444" t="s">
        <v>1001</v>
      </c>
      <c r="R3" s="444" t="s">
        <v>1002</v>
      </c>
      <c r="S3" s="444" t="s">
        <v>1003</v>
      </c>
      <c r="T3" s="444" t="s">
        <v>1004</v>
      </c>
      <c r="U3" s="444" t="s">
        <v>1005</v>
      </c>
      <c r="V3" s="444" t="s">
        <v>1006</v>
      </c>
      <c r="W3" s="444" t="s">
        <v>1007</v>
      </c>
      <c r="X3" s="444" t="s">
        <v>470</v>
      </c>
    </row>
    <row r="4" spans="1:24" x14ac:dyDescent="0.2">
      <c r="A4" s="370" t="s">
        <v>1008</v>
      </c>
      <c r="B4" s="516">
        <v>0.1</v>
      </c>
      <c r="C4" s="515">
        <f>SUM(K4:K15)/$K$1</f>
        <v>0.10003732736095558</v>
      </c>
      <c r="D4" s="450">
        <f>B4*SUM(MODULY_CBA!$J$3:$J$23)</f>
        <v>535.70000000000005</v>
      </c>
      <c r="E4" s="451">
        <f>IFERROR(SUM(M4:M15)/SUM(K4:K15),0)</f>
        <v>513.57835820895525</v>
      </c>
      <c r="F4" s="514" t="s">
        <v>1009</v>
      </c>
      <c r="G4" s="514" t="str">
        <f>IFERROR(VLOOKUP(F4,[2]ISCO_Prevodnik!$A$10:$B$21,2,0),"")</f>
        <v>IT_architekt</v>
      </c>
      <c r="H4" s="514"/>
      <c r="I4" s="514" t="str">
        <f>IFERROR(VLOOKUP(H4,[2]ISCO_Prevodnik!$E$10:$F$31,2,0),"")</f>
        <v/>
      </c>
      <c r="J4" s="515">
        <v>0.1</v>
      </c>
      <c r="K4" s="450">
        <f>ROUND(J4*$D$4,0)</f>
        <v>54</v>
      </c>
      <c r="L4" s="458">
        <f>IFERROR(VLOOKUP(F4,$Q$4:$R$27,2,0),0)</f>
        <v>525</v>
      </c>
      <c r="M4" s="452">
        <f>K4*L4</f>
        <v>28350</v>
      </c>
      <c r="N4" s="475"/>
      <c r="Q4" s="399" t="s">
        <v>1009</v>
      </c>
      <c r="R4" s="517">
        <v>525</v>
      </c>
      <c r="S4" s="470">
        <v>525</v>
      </c>
      <c r="T4" s="400">
        <v>0.1</v>
      </c>
      <c r="U4" s="402">
        <f>SUMIF($F$4:$F$64,Q4,$K$4:$K$64)</f>
        <v>295</v>
      </c>
      <c r="V4" s="400">
        <f t="shared" ref="V4:V15" si="0">IF(U4=0,0%,U4/SUM($U$4:$U$15))</f>
        <v>5.5057857409481152E-2</v>
      </c>
      <c r="W4" s="400" t="str">
        <f t="shared" ref="W4:W15" si="1">IFERROR(IF(U4/SUM($U$4:$U$15)&gt;T4,"NAD","OK"),"")</f>
        <v>OK</v>
      </c>
      <c r="X4" s="401"/>
    </row>
    <row r="5" spans="1:24" x14ac:dyDescent="0.2">
      <c r="A5" s="367"/>
      <c r="B5" s="367"/>
      <c r="C5" s="367"/>
      <c r="D5" s="367"/>
      <c r="E5" s="367"/>
      <c r="F5" s="514" t="s">
        <v>1010</v>
      </c>
      <c r="G5" s="514" t="str">
        <f>IFERROR(VLOOKUP(F5,[2]ISCO_Prevodnik!$A$10:$B$21,2,0),"")</f>
        <v>IT_analytik</v>
      </c>
      <c r="H5" s="514"/>
      <c r="I5" s="514" t="str">
        <f>IFERROR(VLOOKUP(H5,[2]ISCO_Prevodnik!$E$10:$F$31,2,0),"")</f>
        <v/>
      </c>
      <c r="J5" s="515">
        <v>0.7</v>
      </c>
      <c r="K5" s="450">
        <f t="shared" ref="K5:K15" si="2">ROUND(J5*$D$4,0)</f>
        <v>375</v>
      </c>
      <c r="L5" s="458">
        <f t="shared" ref="L5:L39" si="3">IFERROR(VLOOKUP(F5,$Q$4:$R$27,2,0),0)</f>
        <v>529</v>
      </c>
      <c r="M5" s="452">
        <f>K5*L5</f>
        <v>198375</v>
      </c>
      <c r="Q5" s="399" t="s">
        <v>1011</v>
      </c>
      <c r="R5" s="517">
        <v>377</v>
      </c>
      <c r="S5" s="470">
        <v>377</v>
      </c>
      <c r="T5" s="400">
        <v>0.15</v>
      </c>
      <c r="U5" s="402">
        <f t="shared" ref="U5:U27" si="4">SUMIF($F$4:$F$64,Q5,$K$4:$K$64)</f>
        <v>691</v>
      </c>
      <c r="V5" s="400">
        <f t="shared" si="0"/>
        <v>0.12896603210153043</v>
      </c>
      <c r="W5" s="400" t="str">
        <f t="shared" si="1"/>
        <v>OK</v>
      </c>
      <c r="X5" s="401"/>
    </row>
    <row r="6" spans="1:24" x14ac:dyDescent="0.2">
      <c r="A6" s="367"/>
      <c r="B6" s="367"/>
      <c r="C6" s="367"/>
      <c r="D6" s="367"/>
      <c r="E6" s="367"/>
      <c r="F6" s="514" t="s">
        <v>1012</v>
      </c>
      <c r="G6" s="514" t="str">
        <f>IFERROR(VLOOKUP(F6,[2]ISCO_Prevodnik!$A$10:$B$21,2,0),"")</f>
        <v>Infrastrutkura</v>
      </c>
      <c r="H6" s="514"/>
      <c r="I6" s="514" t="str">
        <f>IFERROR(VLOOKUP(H6,[2]ISCO_Prevodnik!$E$10:$F$31,2,0),"")</f>
        <v/>
      </c>
      <c r="J6" s="515">
        <v>0.15</v>
      </c>
      <c r="K6" s="450">
        <f t="shared" si="2"/>
        <v>80</v>
      </c>
      <c r="L6" s="458">
        <f t="shared" si="3"/>
        <v>425</v>
      </c>
      <c r="M6" s="452">
        <f t="shared" ref="M6:M33" si="5">K6*L6</f>
        <v>34000</v>
      </c>
      <c r="Q6" s="399" t="s">
        <v>1013</v>
      </c>
      <c r="R6" s="517">
        <v>420</v>
      </c>
      <c r="S6" s="474">
        <v>420</v>
      </c>
      <c r="T6" s="400">
        <v>0.6</v>
      </c>
      <c r="U6" s="402">
        <f t="shared" si="4"/>
        <v>2009</v>
      </c>
      <c r="V6" s="400">
        <f t="shared" si="0"/>
        <v>0.37495334079880555</v>
      </c>
      <c r="W6" s="400" t="str">
        <f t="shared" si="1"/>
        <v>OK</v>
      </c>
      <c r="X6" s="401"/>
    </row>
    <row r="7" spans="1:24" x14ac:dyDescent="0.2">
      <c r="A7" s="367"/>
      <c r="B7" s="367"/>
      <c r="C7" s="367"/>
      <c r="D7" s="367"/>
      <c r="E7" s="367"/>
      <c r="F7" s="514" t="s">
        <v>1014</v>
      </c>
      <c r="G7" s="514" t="str">
        <f>IFERROR(VLOOKUP(F7,[2]ISCO_Prevodnik!$A$10:$B$21,2,0),"")</f>
        <v>Projektovy_manazer</v>
      </c>
      <c r="H7" s="514"/>
      <c r="I7" s="514" t="str">
        <f>IFERROR(VLOOKUP(H7,[2]ISCO_Prevodnik!$E$10:$F$31,2,0),"")</f>
        <v/>
      </c>
      <c r="J7" s="515">
        <v>0.05</v>
      </c>
      <c r="K7" s="450">
        <f t="shared" si="2"/>
        <v>27</v>
      </c>
      <c r="L7" s="458">
        <f t="shared" si="3"/>
        <v>539</v>
      </c>
      <c r="M7" s="452">
        <f t="shared" si="5"/>
        <v>14553</v>
      </c>
      <c r="Q7" s="399" t="s">
        <v>1014</v>
      </c>
      <c r="R7" s="517">
        <v>539</v>
      </c>
      <c r="S7" s="474">
        <v>539</v>
      </c>
      <c r="T7" s="400">
        <v>0.04</v>
      </c>
      <c r="U7" s="402">
        <f t="shared" si="4"/>
        <v>180</v>
      </c>
      <c r="V7" s="400">
        <f t="shared" si="0"/>
        <v>3.3594624860022397E-2</v>
      </c>
      <c r="W7" s="400" t="str">
        <f t="shared" si="1"/>
        <v>OK</v>
      </c>
      <c r="X7" s="401"/>
    </row>
    <row r="8" spans="1:24" x14ac:dyDescent="0.2">
      <c r="A8" s="367"/>
      <c r="B8" s="367"/>
      <c r="C8" s="367"/>
      <c r="D8" s="367"/>
      <c r="E8" s="367"/>
      <c r="F8" s="514"/>
      <c r="G8" s="514" t="str">
        <f>IFERROR(VLOOKUP(F8,[2]ISCO_Prevodnik!$A$10:$B$21,2,0),"")</f>
        <v/>
      </c>
      <c r="H8" s="514"/>
      <c r="I8" s="514" t="str">
        <f>IFERROR(VLOOKUP(H8,[2]ISCO_Prevodnik!$E$10:$F$31,2,0),"")</f>
        <v/>
      </c>
      <c r="J8" s="515"/>
      <c r="K8" s="450">
        <f t="shared" si="2"/>
        <v>0</v>
      </c>
      <c r="L8" s="458">
        <f t="shared" si="3"/>
        <v>0</v>
      </c>
      <c r="M8" s="452">
        <f t="shared" si="5"/>
        <v>0</v>
      </c>
      <c r="Q8" s="399" t="s">
        <v>1010</v>
      </c>
      <c r="R8" s="517">
        <v>529</v>
      </c>
      <c r="S8" s="474">
        <v>529</v>
      </c>
      <c r="T8" s="400">
        <v>0.5</v>
      </c>
      <c r="U8" s="402">
        <f t="shared" si="4"/>
        <v>1379</v>
      </c>
      <c r="V8" s="400">
        <f t="shared" si="0"/>
        <v>0.25737215378872713</v>
      </c>
      <c r="W8" s="400" t="str">
        <f t="shared" si="1"/>
        <v>OK</v>
      </c>
      <c r="X8" s="401"/>
    </row>
    <row r="9" spans="1:24" x14ac:dyDescent="0.2">
      <c r="A9" s="367"/>
      <c r="B9" s="367"/>
      <c r="C9" s="367"/>
      <c r="D9" s="367"/>
      <c r="E9" s="367"/>
      <c r="F9" s="514"/>
      <c r="G9" s="514" t="str">
        <f>IFERROR(VLOOKUP(F9,[2]ISCO_Prevodnik!$A$10:$B$21,2,0),"")</f>
        <v/>
      </c>
      <c r="H9" s="514"/>
      <c r="I9" s="514" t="str">
        <f>IFERROR(VLOOKUP(H9,[2]ISCO_Prevodnik!$E$10:$F$31,2,0),"")</f>
        <v/>
      </c>
      <c r="J9" s="515"/>
      <c r="K9" s="450">
        <f t="shared" si="2"/>
        <v>0</v>
      </c>
      <c r="L9" s="458">
        <f t="shared" si="3"/>
        <v>0</v>
      </c>
      <c r="M9" s="452">
        <f t="shared" si="5"/>
        <v>0</v>
      </c>
      <c r="Q9" s="399" t="s">
        <v>1015</v>
      </c>
      <c r="R9" s="517">
        <v>520</v>
      </c>
      <c r="S9" s="474">
        <v>520</v>
      </c>
      <c r="T9" s="400">
        <v>0.05</v>
      </c>
      <c r="U9" s="402">
        <f t="shared" si="4"/>
        <v>80</v>
      </c>
      <c r="V9" s="400">
        <f t="shared" si="0"/>
        <v>1.4930944382232176E-2</v>
      </c>
      <c r="W9" s="400" t="str">
        <f t="shared" si="1"/>
        <v>OK</v>
      </c>
      <c r="X9" s="401"/>
    </row>
    <row r="10" spans="1:24" x14ac:dyDescent="0.2">
      <c r="A10" s="367"/>
      <c r="B10" s="367"/>
      <c r="C10" s="367"/>
      <c r="D10" s="367"/>
      <c r="E10" s="367"/>
      <c r="F10" s="514"/>
      <c r="G10" s="514" t="str">
        <f>IFERROR(VLOOKUP(F10,[2]ISCO_Prevodnik!$A$10:$B$21,2,0),"")</f>
        <v/>
      </c>
      <c r="H10" s="514"/>
      <c r="I10" s="514" t="str">
        <f>IFERROR(VLOOKUP(H10,[2]ISCO_Prevodnik!$E$10:$F$31,2,0),"")</f>
        <v/>
      </c>
      <c r="J10" s="515"/>
      <c r="K10" s="450">
        <f t="shared" si="2"/>
        <v>0</v>
      </c>
      <c r="L10" s="458">
        <f t="shared" si="3"/>
        <v>0</v>
      </c>
      <c r="M10" s="452">
        <f t="shared" ref="M10:M15" si="6">K10*L10</f>
        <v>0</v>
      </c>
      <c r="Q10" s="399" t="s">
        <v>1016</v>
      </c>
      <c r="R10" s="517">
        <v>472</v>
      </c>
      <c r="S10" s="474">
        <v>472</v>
      </c>
      <c r="T10" s="400">
        <v>0.1</v>
      </c>
      <c r="U10" s="402">
        <f t="shared" si="4"/>
        <v>121</v>
      </c>
      <c r="V10" s="400">
        <f t="shared" si="0"/>
        <v>2.2583053378126168E-2</v>
      </c>
      <c r="W10" s="400" t="str">
        <f t="shared" si="1"/>
        <v>OK</v>
      </c>
      <c r="X10" s="401"/>
    </row>
    <row r="11" spans="1:24" x14ac:dyDescent="0.2">
      <c r="A11" s="367"/>
      <c r="B11" s="367"/>
      <c r="C11" s="367"/>
      <c r="D11" s="367"/>
      <c r="E11" s="367"/>
      <c r="F11" s="514"/>
      <c r="G11" s="514" t="str">
        <f>IFERROR(VLOOKUP(F11,[2]ISCO_Prevodnik!$A$10:$B$21,2,0),"")</f>
        <v/>
      </c>
      <c r="H11" s="514"/>
      <c r="I11" s="514" t="str">
        <f>IFERROR(VLOOKUP(H11,[2]ISCO_Prevodnik!$E$10:$F$31,2,0),"")</f>
        <v/>
      </c>
      <c r="J11" s="515"/>
      <c r="K11" s="450">
        <f t="shared" si="2"/>
        <v>0</v>
      </c>
      <c r="L11" s="458">
        <f t="shared" si="3"/>
        <v>0</v>
      </c>
      <c r="M11" s="452">
        <f t="shared" si="6"/>
        <v>0</v>
      </c>
      <c r="Q11" s="399" t="s">
        <v>1012</v>
      </c>
      <c r="R11" s="517">
        <v>425</v>
      </c>
      <c r="S11" s="474">
        <v>425</v>
      </c>
      <c r="T11" s="400">
        <v>0.3</v>
      </c>
      <c r="U11" s="402">
        <f t="shared" si="4"/>
        <v>241</v>
      </c>
      <c r="V11" s="400">
        <f t="shared" si="0"/>
        <v>4.4979469951474428E-2</v>
      </c>
      <c r="W11" s="400" t="str">
        <f t="shared" si="1"/>
        <v>OK</v>
      </c>
      <c r="X11" s="401"/>
    </row>
    <row r="12" spans="1:24" x14ac:dyDescent="0.2">
      <c r="A12" s="367"/>
      <c r="B12" s="367"/>
      <c r="C12" s="367"/>
      <c r="D12" s="367"/>
      <c r="E12" s="367"/>
      <c r="F12" s="514"/>
      <c r="G12" s="514" t="str">
        <f>IFERROR(VLOOKUP(F12,[2]ISCO_Prevodnik!$A$10:$B$21,2,0),"")</f>
        <v/>
      </c>
      <c r="H12" s="514"/>
      <c r="I12" s="514" t="str">
        <f>IFERROR(VLOOKUP(H12,[2]ISCO_Prevodnik!$E$10:$F$31,2,0),"")</f>
        <v/>
      </c>
      <c r="J12" s="515"/>
      <c r="K12" s="450">
        <f t="shared" si="2"/>
        <v>0</v>
      </c>
      <c r="L12" s="458">
        <f t="shared" si="3"/>
        <v>0</v>
      </c>
      <c r="M12" s="452">
        <f t="shared" si="6"/>
        <v>0</v>
      </c>
      <c r="Q12" s="399" t="s">
        <v>1017</v>
      </c>
      <c r="R12" s="517">
        <v>451</v>
      </c>
      <c r="S12" s="474">
        <v>451</v>
      </c>
      <c r="T12" s="400">
        <v>0.15</v>
      </c>
      <c r="U12" s="402">
        <f t="shared" si="4"/>
        <v>201</v>
      </c>
      <c r="V12" s="400">
        <f t="shared" si="0"/>
        <v>3.7513997760358346E-2</v>
      </c>
      <c r="W12" s="400" t="str">
        <f t="shared" si="1"/>
        <v>OK</v>
      </c>
      <c r="X12" s="401"/>
    </row>
    <row r="13" spans="1:24" x14ac:dyDescent="0.2">
      <c r="A13" s="367"/>
      <c r="B13" s="367"/>
      <c r="C13" s="367"/>
      <c r="D13" s="367"/>
      <c r="E13" s="367"/>
      <c r="F13" s="514"/>
      <c r="G13" s="514" t="str">
        <f>IFERROR(VLOOKUP(F13,[2]ISCO_Prevodnik!$A$10:$B$21,2,0),"")</f>
        <v/>
      </c>
      <c r="H13" s="514"/>
      <c r="I13" s="514" t="str">
        <f>IFERROR(VLOOKUP(H13,[2]ISCO_Prevodnik!$E$10:$F$31,2,0),"")</f>
        <v/>
      </c>
      <c r="J13" s="515"/>
      <c r="K13" s="450">
        <f t="shared" si="2"/>
        <v>0</v>
      </c>
      <c r="L13" s="458">
        <f t="shared" si="3"/>
        <v>0</v>
      </c>
      <c r="M13" s="452">
        <f t="shared" si="6"/>
        <v>0</v>
      </c>
      <c r="Q13" s="399" t="s">
        <v>1018</v>
      </c>
      <c r="R13" s="517">
        <v>400</v>
      </c>
      <c r="S13" s="474">
        <v>400</v>
      </c>
      <c r="T13" s="400">
        <v>0.05</v>
      </c>
      <c r="U13" s="402">
        <f t="shared" si="4"/>
        <v>161</v>
      </c>
      <c r="V13" s="400">
        <f t="shared" si="0"/>
        <v>3.0048525569242254E-2</v>
      </c>
      <c r="W13" s="400" t="str">
        <f t="shared" si="1"/>
        <v>OK</v>
      </c>
      <c r="X13" s="401"/>
    </row>
    <row r="14" spans="1:24" x14ac:dyDescent="0.2">
      <c r="A14" s="367"/>
      <c r="B14" s="367"/>
      <c r="C14" s="367"/>
      <c r="D14" s="367"/>
      <c r="E14" s="367"/>
      <c r="F14" s="514"/>
      <c r="G14" s="514" t="str">
        <f>IFERROR(VLOOKUP(F14,[2]ISCO_Prevodnik!$A$10:$B$21,2,0),"")</f>
        <v/>
      </c>
      <c r="H14" s="514"/>
      <c r="I14" s="514" t="str">
        <f>IFERROR(VLOOKUP(H14,[2]ISCO_Prevodnik!$E$10:$F$31,2,0),"")</f>
        <v/>
      </c>
      <c r="J14" s="515"/>
      <c r="K14" s="450">
        <f t="shared" si="2"/>
        <v>0</v>
      </c>
      <c r="L14" s="458">
        <f t="shared" si="3"/>
        <v>0</v>
      </c>
      <c r="M14" s="452">
        <f t="shared" si="6"/>
        <v>0</v>
      </c>
      <c r="Q14" s="399" t="s">
        <v>1019</v>
      </c>
      <c r="R14" s="517">
        <v>488</v>
      </c>
      <c r="S14" s="474">
        <v>488</v>
      </c>
      <c r="T14" s="400">
        <v>0.5</v>
      </c>
      <c r="U14" s="402">
        <f t="shared" si="4"/>
        <v>0</v>
      </c>
      <c r="V14" s="400">
        <f t="shared" si="0"/>
        <v>0</v>
      </c>
      <c r="W14" s="400" t="str">
        <f t="shared" si="1"/>
        <v>OK</v>
      </c>
      <c r="X14" s="401"/>
    </row>
    <row r="15" spans="1:24" x14ac:dyDescent="0.2">
      <c r="A15" s="367"/>
      <c r="B15" s="367"/>
      <c r="C15" s="367"/>
      <c r="D15" s="367"/>
      <c r="E15" s="367"/>
      <c r="F15" s="514"/>
      <c r="G15" s="514" t="str">
        <f>IFERROR(VLOOKUP(F15,[2]ISCO_Prevodnik!$A$10:$B$21,2,0),"")</f>
        <v/>
      </c>
      <c r="H15" s="514"/>
      <c r="I15" s="514" t="str">
        <f>IFERROR(VLOOKUP(H15,[2]ISCO_Prevodnik!$E$10:$F$31,2,0),"")</f>
        <v/>
      </c>
      <c r="J15" s="515"/>
      <c r="K15" s="450">
        <f t="shared" si="2"/>
        <v>0</v>
      </c>
      <c r="L15" s="458">
        <f t="shared" si="3"/>
        <v>0</v>
      </c>
      <c r="M15" s="452">
        <f t="shared" si="6"/>
        <v>0</v>
      </c>
      <c r="Q15" s="399" t="s">
        <v>1020</v>
      </c>
      <c r="R15" s="517">
        <v>400</v>
      </c>
      <c r="S15" s="474">
        <v>400</v>
      </c>
      <c r="T15" s="400">
        <v>0.2</v>
      </c>
      <c r="U15" s="402">
        <f t="shared" si="4"/>
        <v>0</v>
      </c>
      <c r="V15" s="400">
        <f t="shared" si="0"/>
        <v>0</v>
      </c>
      <c r="W15" s="400" t="str">
        <f t="shared" si="1"/>
        <v>OK</v>
      </c>
      <c r="X15" s="401"/>
    </row>
    <row r="16" spans="1:24" x14ac:dyDescent="0.2">
      <c r="A16" s="370" t="s">
        <v>1021</v>
      </c>
      <c r="B16" s="516">
        <v>0.75</v>
      </c>
      <c r="C16" s="515">
        <f>SUM(K16:K27)/$K$1</f>
        <v>0.74990668159761109</v>
      </c>
      <c r="D16" s="450">
        <f>B16*SUM(MODULY_CBA!$J$3:$J$23)</f>
        <v>4017.75</v>
      </c>
      <c r="E16" s="602">
        <f>IFERROR(SUM(M16:M27)/SUM(K16:K27),0)</f>
        <v>450.23668491786958</v>
      </c>
      <c r="F16" s="514" t="s">
        <v>1013</v>
      </c>
      <c r="G16" s="514" t="str">
        <f>IFERROR(VLOOKUP(F16,[3]ISCO_Prevodnik!$A$10:$B$21,2,0),"")</f>
        <v>IT_programator</v>
      </c>
      <c r="H16" s="514"/>
      <c r="I16" s="514" t="str">
        <f>IFERROR(VLOOKUP(H16,[3]ISCO_Prevodnik!$E$10:$F$31,2,0),"")</f>
        <v/>
      </c>
      <c r="J16" s="515">
        <v>0.5</v>
      </c>
      <c r="K16" s="450">
        <f>ROUND(J16*$D$16,0)</f>
        <v>2009</v>
      </c>
      <c r="L16" s="458">
        <f t="shared" si="3"/>
        <v>420</v>
      </c>
      <c r="M16" s="452">
        <f t="shared" si="5"/>
        <v>843780</v>
      </c>
      <c r="N16" s="475"/>
      <c r="Q16" s="605" t="s">
        <v>1022</v>
      </c>
      <c r="R16" s="517"/>
      <c r="S16" s="474" t="s">
        <v>150</v>
      </c>
      <c r="T16" s="400" t="s">
        <v>150</v>
      </c>
      <c r="U16" s="402">
        <f t="shared" si="4"/>
        <v>0</v>
      </c>
      <c r="V16" s="400" t="s">
        <v>150</v>
      </c>
      <c r="W16" s="400" t="s">
        <v>150</v>
      </c>
      <c r="X16" s="401"/>
    </row>
    <row r="17" spans="1:24" x14ac:dyDescent="0.2">
      <c r="A17" s="367"/>
      <c r="B17" s="367"/>
      <c r="C17" s="367"/>
      <c r="D17" s="367"/>
      <c r="E17" s="367"/>
      <c r="F17" s="514" t="s">
        <v>1011</v>
      </c>
      <c r="G17" s="514" t="str">
        <f>IFERROR(VLOOKUP(F17,[3]ISCO_Prevodnik!$A$10:$B$21,2,0),"")</f>
        <v>IT_tester</v>
      </c>
      <c r="H17" s="514"/>
      <c r="I17" s="514" t="str">
        <f>IFERROR(VLOOKUP(H17,[3]ISCO_Prevodnik!$E$10:$F$31,2,0),"")</f>
        <v/>
      </c>
      <c r="J17" s="515">
        <v>0.16</v>
      </c>
      <c r="K17" s="450">
        <f t="shared" ref="K17:K27" si="7">ROUND(J17*$D$16,0)</f>
        <v>643</v>
      </c>
      <c r="L17" s="458">
        <f t="shared" si="3"/>
        <v>377</v>
      </c>
      <c r="M17" s="452">
        <f t="shared" si="5"/>
        <v>242411</v>
      </c>
      <c r="Q17" s="605" t="s">
        <v>1023</v>
      </c>
      <c r="R17" s="517"/>
      <c r="S17" s="474" t="s">
        <v>150</v>
      </c>
      <c r="T17" s="400" t="s">
        <v>150</v>
      </c>
      <c r="U17" s="402">
        <f t="shared" si="4"/>
        <v>0</v>
      </c>
      <c r="V17" s="400" t="s">
        <v>150</v>
      </c>
      <c r="W17" s="400" t="s">
        <v>150</v>
      </c>
      <c r="X17" s="401"/>
    </row>
    <row r="18" spans="1:24" x14ac:dyDescent="0.2">
      <c r="A18" s="367"/>
      <c r="B18" s="367"/>
      <c r="C18" s="367"/>
      <c r="D18" s="367"/>
      <c r="E18" s="367"/>
      <c r="F18" s="514" t="s">
        <v>1010</v>
      </c>
      <c r="G18" s="514" t="str">
        <f>IFERROR(VLOOKUP(F18,[3]ISCO_Prevodnik!$A$10:$B$21,2,0),"")</f>
        <v>IT_analytik</v>
      </c>
      <c r="H18" s="514"/>
      <c r="I18" s="514" t="str">
        <f>IFERROR(VLOOKUP(H18,[3]ISCO_Prevodnik!$E$10:$F$31,2,0),"")</f>
        <v/>
      </c>
      <c r="J18" s="515">
        <v>0.25</v>
      </c>
      <c r="K18" s="450">
        <f t="shared" si="7"/>
        <v>1004</v>
      </c>
      <c r="L18" s="458">
        <f t="shared" si="3"/>
        <v>529</v>
      </c>
      <c r="M18" s="452">
        <f t="shared" si="5"/>
        <v>531116</v>
      </c>
      <c r="Q18" s="605" t="s">
        <v>1024</v>
      </c>
      <c r="R18" s="517"/>
      <c r="S18" s="474" t="s">
        <v>150</v>
      </c>
      <c r="T18" s="400" t="s">
        <v>150</v>
      </c>
      <c r="U18" s="402">
        <f t="shared" si="4"/>
        <v>0</v>
      </c>
      <c r="V18" s="400" t="s">
        <v>150</v>
      </c>
      <c r="W18" s="400" t="s">
        <v>150</v>
      </c>
      <c r="X18" s="401"/>
    </row>
    <row r="19" spans="1:24" x14ac:dyDescent="0.2">
      <c r="A19" s="367"/>
      <c r="B19" s="367"/>
      <c r="C19" s="367"/>
      <c r="D19" s="367"/>
      <c r="E19" s="367"/>
      <c r="F19" s="514" t="s">
        <v>1009</v>
      </c>
      <c r="G19" s="514" t="str">
        <f>IFERROR(VLOOKUP(F19,[3]ISCO_Prevodnik!$A$10:$B$21,2,0),"")</f>
        <v>IT_architekt</v>
      </c>
      <c r="H19" s="514"/>
      <c r="I19" s="514" t="str">
        <f>IFERROR(VLOOKUP(H19,[3]ISCO_Prevodnik!$E$10:$F$31,2,0),"")</f>
        <v/>
      </c>
      <c r="J19" s="515">
        <v>0.06</v>
      </c>
      <c r="K19" s="450">
        <f t="shared" si="7"/>
        <v>241</v>
      </c>
      <c r="L19" s="458">
        <f t="shared" si="3"/>
        <v>525</v>
      </c>
      <c r="M19" s="452">
        <f t="shared" si="5"/>
        <v>126525</v>
      </c>
      <c r="Q19" s="605" t="s">
        <v>1025</v>
      </c>
      <c r="R19" s="517"/>
      <c r="S19" s="474" t="s">
        <v>150</v>
      </c>
      <c r="T19" s="400" t="s">
        <v>150</v>
      </c>
      <c r="U19" s="402">
        <f t="shared" si="4"/>
        <v>0</v>
      </c>
      <c r="V19" s="400" t="s">
        <v>150</v>
      </c>
      <c r="W19" s="400" t="s">
        <v>150</v>
      </c>
      <c r="X19" s="401"/>
    </row>
    <row r="20" spans="1:24" x14ac:dyDescent="0.2">
      <c r="A20" s="367"/>
      <c r="B20" s="367"/>
      <c r="C20" s="367"/>
      <c r="D20" s="367"/>
      <c r="E20" s="367"/>
      <c r="F20" s="514" t="s">
        <v>1014</v>
      </c>
      <c r="G20" s="514" t="str">
        <f>IFERROR(VLOOKUP(F20,[4]ISCO_Prevodnik!$A$10:$B$21,2,0),"")</f>
        <v>Projektovy_manazer</v>
      </c>
      <c r="H20" s="514"/>
      <c r="I20" s="514" t="str">
        <f>IFERROR(VLOOKUP(H20,[4]ISCO_Prevodnik!$E$10:$F$31,2,0),"")</f>
        <v/>
      </c>
      <c r="J20" s="515">
        <v>0.03</v>
      </c>
      <c r="K20" s="450">
        <f t="shared" si="7"/>
        <v>121</v>
      </c>
      <c r="L20" s="458">
        <f t="shared" si="3"/>
        <v>539</v>
      </c>
      <c r="M20" s="452">
        <f t="shared" si="5"/>
        <v>65219</v>
      </c>
      <c r="Q20" s="605" t="s">
        <v>1026</v>
      </c>
      <c r="R20" s="517"/>
      <c r="S20" s="474" t="s">
        <v>150</v>
      </c>
      <c r="T20" s="400" t="s">
        <v>150</v>
      </c>
      <c r="U20" s="402">
        <f t="shared" si="4"/>
        <v>0</v>
      </c>
      <c r="V20" s="400" t="s">
        <v>150</v>
      </c>
      <c r="W20" s="400" t="s">
        <v>150</v>
      </c>
      <c r="X20" s="401"/>
    </row>
    <row r="21" spans="1:24" x14ac:dyDescent="0.2">
      <c r="A21" s="367"/>
      <c r="B21" s="367"/>
      <c r="C21" s="367"/>
      <c r="D21" s="367"/>
      <c r="E21" s="367"/>
      <c r="F21" s="514"/>
      <c r="G21" s="514" t="str">
        <f>IFERROR(VLOOKUP(F21,[4]ISCO_Prevodnik!$A$10:$B$21,2,0),"")</f>
        <v/>
      </c>
      <c r="H21" s="514"/>
      <c r="I21" s="514" t="str">
        <f>IFERROR(VLOOKUP(H21,[4]ISCO_Prevodnik!$E$10:$F$31,2,0),"")</f>
        <v/>
      </c>
      <c r="J21" s="515"/>
      <c r="K21" s="450">
        <f t="shared" si="7"/>
        <v>0</v>
      </c>
      <c r="L21" s="458">
        <f t="shared" si="3"/>
        <v>0</v>
      </c>
      <c r="M21" s="452">
        <f t="shared" si="5"/>
        <v>0</v>
      </c>
      <c r="Q21" s="605" t="s">
        <v>1027</v>
      </c>
      <c r="R21" s="517"/>
      <c r="S21" s="474" t="s">
        <v>150</v>
      </c>
      <c r="T21" s="400" t="s">
        <v>150</v>
      </c>
      <c r="U21" s="402">
        <f t="shared" si="4"/>
        <v>0</v>
      </c>
      <c r="V21" s="400" t="s">
        <v>150</v>
      </c>
      <c r="W21" s="400" t="s">
        <v>150</v>
      </c>
      <c r="X21" s="401"/>
    </row>
    <row r="22" spans="1:24" x14ac:dyDescent="0.2">
      <c r="A22" s="367"/>
      <c r="B22" s="564"/>
      <c r="C22" s="564"/>
      <c r="D22" s="565"/>
      <c r="E22" s="566"/>
      <c r="F22" s="514"/>
      <c r="G22" s="514" t="str">
        <f>IFERROR(VLOOKUP(F22,[4]ISCO_Prevodnik!$A$10:$B$21,2,0),"")</f>
        <v/>
      </c>
      <c r="H22" s="514"/>
      <c r="I22" s="514" t="str">
        <f>IFERROR(VLOOKUP(H22,[4]ISCO_Prevodnik!$E$10:$F$31,2,0),"")</f>
        <v/>
      </c>
      <c r="J22" s="515"/>
      <c r="K22" s="450">
        <f t="shared" si="7"/>
        <v>0</v>
      </c>
      <c r="L22" s="458">
        <f t="shared" si="3"/>
        <v>0</v>
      </c>
      <c r="M22" s="452">
        <f t="shared" si="5"/>
        <v>0</v>
      </c>
      <c r="Q22" s="588"/>
      <c r="R22" s="517"/>
      <c r="S22" s="474" t="s">
        <v>150</v>
      </c>
      <c r="T22" s="400" t="s">
        <v>150</v>
      </c>
      <c r="U22" s="402">
        <f t="shared" si="4"/>
        <v>0</v>
      </c>
      <c r="V22" s="400" t="s">
        <v>150</v>
      </c>
      <c r="W22" s="400" t="s">
        <v>150</v>
      </c>
      <c r="X22" s="401"/>
    </row>
    <row r="23" spans="1:24" x14ac:dyDescent="0.2">
      <c r="A23" s="367"/>
      <c r="B23" s="367"/>
      <c r="C23" s="367"/>
      <c r="D23" s="367"/>
      <c r="E23" s="367"/>
      <c r="F23" s="514"/>
      <c r="G23" s="514" t="str">
        <f>IFERROR(VLOOKUP(F23,[4]ISCO_Prevodnik!$A$10:$B$21,2,0),"")</f>
        <v/>
      </c>
      <c r="H23" s="514"/>
      <c r="I23" s="514" t="str">
        <f>IFERROR(VLOOKUP(H23,[4]ISCO_Prevodnik!$E$10:$F$31,2,0),"")</f>
        <v/>
      </c>
      <c r="J23" s="515"/>
      <c r="K23" s="450">
        <f t="shared" si="7"/>
        <v>0</v>
      </c>
      <c r="L23" s="458">
        <f t="shared" si="3"/>
        <v>0</v>
      </c>
      <c r="M23" s="452">
        <f t="shared" si="5"/>
        <v>0</v>
      </c>
      <c r="Q23" s="588"/>
      <c r="R23" s="517"/>
      <c r="S23" s="474" t="s">
        <v>150</v>
      </c>
      <c r="T23" s="400" t="s">
        <v>150</v>
      </c>
      <c r="U23" s="402">
        <f t="shared" si="4"/>
        <v>0</v>
      </c>
      <c r="V23" s="400" t="s">
        <v>150</v>
      </c>
      <c r="W23" s="400" t="s">
        <v>150</v>
      </c>
      <c r="X23" s="401"/>
    </row>
    <row r="24" spans="1:24" x14ac:dyDescent="0.2">
      <c r="A24" s="367"/>
      <c r="B24" s="367"/>
      <c r="C24" s="367"/>
      <c r="D24" s="367"/>
      <c r="E24" s="367"/>
      <c r="F24" s="514"/>
      <c r="G24" s="514" t="str">
        <f>IFERROR(VLOOKUP(F24,[4]ISCO_Prevodnik!$A$10:$B$21,2,0),"")</f>
        <v/>
      </c>
      <c r="H24" s="514"/>
      <c r="I24" s="514" t="str">
        <f>IFERROR(VLOOKUP(H24,[4]ISCO_Prevodnik!$E$10:$F$31,2,0),"")</f>
        <v/>
      </c>
      <c r="J24" s="515"/>
      <c r="K24" s="450">
        <f t="shared" si="7"/>
        <v>0</v>
      </c>
      <c r="L24" s="458">
        <f t="shared" si="3"/>
        <v>0</v>
      </c>
      <c r="M24" s="452">
        <f t="shared" si="5"/>
        <v>0</v>
      </c>
      <c r="Q24" s="588"/>
      <c r="R24" s="517"/>
      <c r="S24" s="474" t="s">
        <v>150</v>
      </c>
      <c r="T24" s="400" t="s">
        <v>150</v>
      </c>
      <c r="U24" s="402">
        <f t="shared" si="4"/>
        <v>0</v>
      </c>
      <c r="V24" s="400" t="s">
        <v>150</v>
      </c>
      <c r="W24" s="400" t="s">
        <v>150</v>
      </c>
      <c r="X24" s="401"/>
    </row>
    <row r="25" spans="1:24" x14ac:dyDescent="0.2">
      <c r="A25" s="367"/>
      <c r="B25" s="367"/>
      <c r="C25" s="367"/>
      <c r="D25" s="367"/>
      <c r="E25" s="367"/>
      <c r="F25" s="514"/>
      <c r="G25" s="514" t="str">
        <f>IFERROR(VLOOKUP(F25,[4]ISCO_Prevodnik!$A$10:$B$21,2,0),"")</f>
        <v/>
      </c>
      <c r="H25" s="514"/>
      <c r="I25" s="514" t="str">
        <f>IFERROR(VLOOKUP(H25,[4]ISCO_Prevodnik!$E$10:$F$31,2,0),"")</f>
        <v/>
      </c>
      <c r="J25" s="515"/>
      <c r="K25" s="450">
        <f t="shared" si="7"/>
        <v>0</v>
      </c>
      <c r="L25" s="458">
        <f t="shared" si="3"/>
        <v>0</v>
      </c>
      <c r="M25" s="452">
        <f t="shared" si="5"/>
        <v>0</v>
      </c>
      <c r="Q25" s="588"/>
      <c r="R25" s="517"/>
      <c r="S25" s="474" t="s">
        <v>150</v>
      </c>
      <c r="T25" s="400" t="s">
        <v>150</v>
      </c>
      <c r="U25" s="402">
        <f t="shared" si="4"/>
        <v>0</v>
      </c>
      <c r="V25" s="400" t="s">
        <v>150</v>
      </c>
      <c r="W25" s="400" t="s">
        <v>150</v>
      </c>
      <c r="X25" s="401"/>
    </row>
    <row r="26" spans="1:24" x14ac:dyDescent="0.2">
      <c r="A26" s="367"/>
      <c r="B26" s="367"/>
      <c r="C26" s="367"/>
      <c r="D26" s="367"/>
      <c r="E26" s="367"/>
      <c r="F26" s="514"/>
      <c r="G26" s="514" t="str">
        <f>IFERROR(VLOOKUP(F26,[4]ISCO_Prevodnik!$A$10:$B$21,2,0),"")</f>
        <v/>
      </c>
      <c r="H26" s="514"/>
      <c r="I26" s="514" t="str">
        <f>IFERROR(VLOOKUP(H26,[4]ISCO_Prevodnik!$E$10:$F$31,2,0),"")</f>
        <v/>
      </c>
      <c r="J26" s="515"/>
      <c r="K26" s="450">
        <f t="shared" si="7"/>
        <v>0</v>
      </c>
      <c r="L26" s="458">
        <f t="shared" si="3"/>
        <v>0</v>
      </c>
      <c r="M26" s="452">
        <f t="shared" si="5"/>
        <v>0</v>
      </c>
      <c r="Q26" s="588"/>
      <c r="R26" s="517"/>
      <c r="S26" s="474" t="s">
        <v>150</v>
      </c>
      <c r="T26" s="400" t="s">
        <v>150</v>
      </c>
      <c r="U26" s="402">
        <f t="shared" si="4"/>
        <v>0</v>
      </c>
      <c r="V26" s="400" t="s">
        <v>150</v>
      </c>
      <c r="W26" s="400" t="s">
        <v>150</v>
      </c>
      <c r="X26" s="401"/>
    </row>
    <row r="27" spans="1:24" x14ac:dyDescent="0.2">
      <c r="A27" s="367"/>
      <c r="B27" s="367"/>
      <c r="C27" s="367"/>
      <c r="D27" s="367"/>
      <c r="E27" s="367"/>
      <c r="F27" s="514"/>
      <c r="G27" s="514" t="str">
        <f>IFERROR(VLOOKUP(F27,[4]ISCO_Prevodnik!$A$10:$B$21,2,0),"")</f>
        <v/>
      </c>
      <c r="H27" s="514"/>
      <c r="I27" s="514" t="str">
        <f>IFERROR(VLOOKUP(H27,[4]ISCO_Prevodnik!$E$10:$F$31,2,0),"")</f>
        <v/>
      </c>
      <c r="J27" s="515"/>
      <c r="K27" s="450">
        <f t="shared" si="7"/>
        <v>0</v>
      </c>
      <c r="L27" s="458">
        <f t="shared" si="3"/>
        <v>0</v>
      </c>
      <c r="M27" s="452">
        <f t="shared" si="5"/>
        <v>0</v>
      </c>
      <c r="Q27" s="588"/>
      <c r="R27" s="517"/>
      <c r="S27" s="474" t="s">
        <v>150</v>
      </c>
      <c r="T27" s="400" t="s">
        <v>150</v>
      </c>
      <c r="U27" s="402">
        <f t="shared" si="4"/>
        <v>0</v>
      </c>
      <c r="V27" s="400" t="s">
        <v>150</v>
      </c>
      <c r="W27" s="400" t="s">
        <v>150</v>
      </c>
      <c r="X27" s="401"/>
    </row>
    <row r="28" spans="1:24" x14ac:dyDescent="0.2">
      <c r="A28" s="370" t="s">
        <v>1028</v>
      </c>
      <c r="B28" s="516">
        <v>0.15</v>
      </c>
      <c r="C28" s="515">
        <f>SUM(K28:K39)/$K$1</f>
        <v>0.15005599104143338</v>
      </c>
      <c r="D28" s="450">
        <f>B28*SUM(MODULY_CBA!$J$3:$J$23)</f>
        <v>803.55</v>
      </c>
      <c r="E28" s="451">
        <f>IFERROR(SUM(M28:M39)/SUM(K28:K39),0)</f>
        <v>444.69154228855723</v>
      </c>
      <c r="F28" s="514" t="s">
        <v>1014</v>
      </c>
      <c r="G28" s="514" t="str">
        <f>IFERROR(VLOOKUP(F28,[4]ISCO_Prevodnik!$A$10:$B$21,2,0),"")</f>
        <v>Projektovy_manazer</v>
      </c>
      <c r="H28" s="514"/>
      <c r="I28" s="514" t="str">
        <f>IFERROR(VLOOKUP(H28,[4]ISCO_Prevodnik!$E$10:$F$31,2,0),"")</f>
        <v/>
      </c>
      <c r="J28" s="515">
        <v>0.04</v>
      </c>
      <c r="K28" s="450">
        <f>ROUND(J28*$D$28,0)</f>
        <v>32</v>
      </c>
      <c r="L28" s="458">
        <f t="shared" si="3"/>
        <v>539</v>
      </c>
      <c r="M28" s="452">
        <f>K28*L28</f>
        <v>17248</v>
      </c>
    </row>
    <row r="29" spans="1:24" x14ac:dyDescent="0.2">
      <c r="A29" s="367"/>
      <c r="B29" s="367"/>
      <c r="C29" s="367"/>
      <c r="D29" s="367"/>
      <c r="E29" s="367"/>
      <c r="F29" s="514" t="s">
        <v>1018</v>
      </c>
      <c r="G29" s="514" t="str">
        <f>IFERROR(VLOOKUP(F29,[4]ISCO_Prevodnik!$A$10:$B$21,2,0),"")</f>
        <v>Skolenie</v>
      </c>
      <c r="H29" s="514"/>
      <c r="I29" s="514" t="str">
        <f>IFERROR(VLOOKUP(H29,[4]ISCO_Prevodnik!$E$10:$F$31,2,0),"")</f>
        <v/>
      </c>
      <c r="J29" s="515">
        <v>0.2</v>
      </c>
      <c r="K29" s="450">
        <f t="shared" ref="K29:K39" si="8">ROUND(J29*$D$28,0)</f>
        <v>161</v>
      </c>
      <c r="L29" s="458">
        <f t="shared" si="3"/>
        <v>400</v>
      </c>
      <c r="M29" s="452">
        <f t="shared" si="5"/>
        <v>64400</v>
      </c>
    </row>
    <row r="30" spans="1:24" x14ac:dyDescent="0.2">
      <c r="A30" s="367"/>
      <c r="B30" s="367"/>
      <c r="C30" s="367"/>
      <c r="D30" s="367"/>
      <c r="E30" s="367"/>
      <c r="F30" s="514" t="s">
        <v>1016</v>
      </c>
      <c r="G30" s="514" t="str">
        <f>IFERROR(VLOOKUP(F30,[4]ISCO_Prevodnik!$A$10:$B$21,2,0),"")</f>
        <v>Bezpecnost</v>
      </c>
      <c r="H30" s="514"/>
      <c r="I30" s="514" t="str">
        <f>IFERROR(VLOOKUP(H30,[4]ISCO_Prevodnik!$E$10:$F$31,2,0),"")</f>
        <v/>
      </c>
      <c r="J30" s="515">
        <v>0.15</v>
      </c>
      <c r="K30" s="450">
        <f t="shared" si="8"/>
        <v>121</v>
      </c>
      <c r="L30" s="458">
        <f t="shared" si="3"/>
        <v>472</v>
      </c>
      <c r="M30" s="452">
        <f t="shared" si="5"/>
        <v>57112</v>
      </c>
    </row>
    <row r="31" spans="1:24" x14ac:dyDescent="0.2">
      <c r="A31" s="367"/>
      <c r="B31" s="367"/>
      <c r="C31" s="367"/>
      <c r="D31" s="367"/>
      <c r="E31" s="367"/>
      <c r="F31" s="514" t="s">
        <v>1015</v>
      </c>
      <c r="G31" s="514" t="str">
        <f>IFERROR(VLOOKUP(F31,[4]ISCO_Prevodnik!$A$10:$B$21,2,0),"")</f>
        <v>Kvalita</v>
      </c>
      <c r="H31" s="514"/>
      <c r="I31" s="514" t="str">
        <f>IFERROR(VLOOKUP(H31,[4]ISCO_Prevodnik!$E$10:$F$31,2,0),"")</f>
        <v/>
      </c>
      <c r="J31" s="515">
        <v>0.1</v>
      </c>
      <c r="K31" s="450">
        <f t="shared" si="8"/>
        <v>80</v>
      </c>
      <c r="L31" s="458">
        <f t="shared" si="3"/>
        <v>520</v>
      </c>
      <c r="M31" s="452">
        <f t="shared" si="5"/>
        <v>41600</v>
      </c>
    </row>
    <row r="32" spans="1:24" x14ac:dyDescent="0.2">
      <c r="A32" s="367"/>
      <c r="B32" s="367"/>
      <c r="C32" s="367"/>
      <c r="D32" s="367"/>
      <c r="E32" s="367"/>
      <c r="F32" s="514" t="s">
        <v>1012</v>
      </c>
      <c r="G32" s="514" t="str">
        <f>IFERROR(VLOOKUP(F32,[4]ISCO_Prevodnik!$A$10:$B$21,2,0),"")</f>
        <v>Infrastrutkura</v>
      </c>
      <c r="H32" s="514"/>
      <c r="I32" s="514" t="str">
        <f>IFERROR(VLOOKUP(H32,[4]ISCO_Prevodnik!$E$10:$F$31,2,0),"")</f>
        <v/>
      </c>
      <c r="J32" s="515">
        <v>0.2</v>
      </c>
      <c r="K32" s="450">
        <f t="shared" si="8"/>
        <v>161</v>
      </c>
      <c r="L32" s="458">
        <f t="shared" si="3"/>
        <v>425</v>
      </c>
      <c r="M32" s="452">
        <f t="shared" si="5"/>
        <v>68425</v>
      </c>
    </row>
    <row r="33" spans="1:13" x14ac:dyDescent="0.2">
      <c r="A33" s="367"/>
      <c r="B33" s="367"/>
      <c r="C33" s="367"/>
      <c r="D33" s="367"/>
      <c r="E33" s="367"/>
      <c r="F33" s="514" t="s">
        <v>1017</v>
      </c>
      <c r="G33" s="514" t="str">
        <f>IFERROR(VLOOKUP(F33,[4]ISCO_Prevodnik!$A$10:$B$21,2,0),"")</f>
        <v>Databazy</v>
      </c>
      <c r="H33" s="514"/>
      <c r="I33" s="514" t="str">
        <f>IFERROR(VLOOKUP(H33,[4]ISCO_Prevodnik!$E$10:$F$31,2,0),"")</f>
        <v/>
      </c>
      <c r="J33" s="515">
        <v>0.25</v>
      </c>
      <c r="K33" s="450">
        <f t="shared" si="8"/>
        <v>201</v>
      </c>
      <c r="L33" s="458">
        <f t="shared" si="3"/>
        <v>451</v>
      </c>
      <c r="M33" s="452">
        <f t="shared" si="5"/>
        <v>90651</v>
      </c>
    </row>
    <row r="34" spans="1:13" x14ac:dyDescent="0.2">
      <c r="F34" s="514" t="s">
        <v>1011</v>
      </c>
      <c r="G34" s="514" t="str">
        <f>IFERROR(VLOOKUP(F34,[3]ISCO_Prevodnik!$A$10:$B$21,2,0),"")</f>
        <v>IT_tester</v>
      </c>
      <c r="H34" s="514"/>
      <c r="I34" s="514" t="str">
        <f>IFERROR(VLOOKUP(H34,[3]ISCO_Prevodnik!$E$10:$F$31,2,0),"")</f>
        <v/>
      </c>
      <c r="J34" s="515">
        <v>0.06</v>
      </c>
      <c r="K34" s="450">
        <f t="shared" si="8"/>
        <v>48</v>
      </c>
      <c r="L34" s="458">
        <f t="shared" si="3"/>
        <v>377</v>
      </c>
      <c r="M34" s="452">
        <f t="shared" ref="M34:M46" si="9">K34*L34</f>
        <v>18096</v>
      </c>
    </row>
    <row r="35" spans="1:13" x14ac:dyDescent="0.2">
      <c r="F35" s="514"/>
      <c r="G35" s="514" t="str">
        <f>IFERROR(VLOOKUP(F35,[3]ISCO_Prevodnik!$A$10:$B$21,2,0),"")</f>
        <v/>
      </c>
      <c r="H35" s="514"/>
      <c r="I35" s="514" t="str">
        <f>IFERROR(VLOOKUP(H35,[3]ISCO_Prevodnik!$E$10:$F$31,2,0),"")</f>
        <v/>
      </c>
      <c r="J35" s="515"/>
      <c r="K35" s="450">
        <f t="shared" si="8"/>
        <v>0</v>
      </c>
      <c r="L35" s="458">
        <f t="shared" si="3"/>
        <v>0</v>
      </c>
      <c r="M35" s="452">
        <f t="shared" si="9"/>
        <v>0</v>
      </c>
    </row>
    <row r="36" spans="1:13" x14ac:dyDescent="0.2">
      <c r="F36" s="514"/>
      <c r="G36" s="514" t="str">
        <f>IFERROR(VLOOKUP(F36,ISCO_Prevodnik!$A$10:$B$21,2,0),"")</f>
        <v/>
      </c>
      <c r="H36" s="514"/>
      <c r="I36" s="514" t="str">
        <f>IFERROR(VLOOKUP(H36,ISCO_Prevodnik!$E$10:$F$31,2,0),"")</f>
        <v/>
      </c>
      <c r="J36" s="515"/>
      <c r="K36" s="450">
        <f t="shared" si="8"/>
        <v>0</v>
      </c>
      <c r="L36" s="458">
        <f t="shared" si="3"/>
        <v>0</v>
      </c>
      <c r="M36" s="452">
        <f t="shared" si="9"/>
        <v>0</v>
      </c>
    </row>
    <row r="37" spans="1:13" x14ac:dyDescent="0.2">
      <c r="F37" s="514"/>
      <c r="G37" s="514" t="str">
        <f>IFERROR(VLOOKUP(F37,ISCO_Prevodnik!$A$10:$B$21,2,0),"")</f>
        <v/>
      </c>
      <c r="H37" s="514"/>
      <c r="I37" s="514" t="str">
        <f>IFERROR(VLOOKUP(H37,ISCO_Prevodnik!$E$10:$F$31,2,0),"")</f>
        <v/>
      </c>
      <c r="J37" s="515"/>
      <c r="K37" s="450">
        <f t="shared" si="8"/>
        <v>0</v>
      </c>
      <c r="L37" s="458">
        <f t="shared" si="3"/>
        <v>0</v>
      </c>
      <c r="M37" s="452">
        <f t="shared" si="9"/>
        <v>0</v>
      </c>
    </row>
    <row r="38" spans="1:13" x14ac:dyDescent="0.2">
      <c r="F38" s="514"/>
      <c r="G38" s="514" t="str">
        <f>IFERROR(VLOOKUP(F38,ISCO_Prevodnik!$A$10:$B$21,2,0),"")</f>
        <v/>
      </c>
      <c r="H38" s="514"/>
      <c r="I38" s="514" t="str">
        <f>IFERROR(VLOOKUP(H38,ISCO_Prevodnik!$E$10:$F$31,2,0),"")</f>
        <v/>
      </c>
      <c r="J38" s="515"/>
      <c r="K38" s="450">
        <f t="shared" si="8"/>
        <v>0</v>
      </c>
      <c r="L38" s="458">
        <f t="shared" si="3"/>
        <v>0</v>
      </c>
      <c r="M38" s="452">
        <f t="shared" si="9"/>
        <v>0</v>
      </c>
    </row>
    <row r="39" spans="1:13" x14ac:dyDescent="0.2">
      <c r="F39" s="514"/>
      <c r="G39" s="514" t="str">
        <f>IFERROR(VLOOKUP(F39,ISCO_Prevodnik!$A$10:$B$21,2,0),"")</f>
        <v/>
      </c>
      <c r="H39" s="514"/>
      <c r="I39" s="514" t="str">
        <f>IFERROR(VLOOKUP(H39,ISCO_Prevodnik!$E$10:$F$31,2,0),"")</f>
        <v/>
      </c>
      <c r="J39" s="515"/>
      <c r="K39" s="450">
        <f t="shared" si="8"/>
        <v>0</v>
      </c>
      <c r="L39" s="458">
        <f t="shared" si="3"/>
        <v>0</v>
      </c>
      <c r="M39" s="452">
        <f t="shared" si="9"/>
        <v>0</v>
      </c>
    </row>
    <row r="40" spans="1:13" ht="32" x14ac:dyDescent="0.2">
      <c r="A40" s="446" t="s">
        <v>1029</v>
      </c>
      <c r="B40" s="446" t="s">
        <v>1030</v>
      </c>
      <c r="C40" s="446"/>
      <c r="D40" s="446" t="s">
        <v>998</v>
      </c>
      <c r="E40" s="446" t="s">
        <v>992</v>
      </c>
      <c r="F40" s="446" t="s">
        <v>993</v>
      </c>
      <c r="G40" s="446"/>
      <c r="H40" s="446" t="s">
        <v>995</v>
      </c>
      <c r="I40" s="446" t="s">
        <v>996</v>
      </c>
      <c r="J40" s="446" t="s">
        <v>1031</v>
      </c>
      <c r="K40" s="446" t="s">
        <v>1032</v>
      </c>
      <c r="L40" s="446" t="s">
        <v>999</v>
      </c>
      <c r="M40" s="446" t="s">
        <v>121</v>
      </c>
    </row>
    <row r="41" spans="1:13" x14ac:dyDescent="0.2">
      <c r="A41" s="370" t="s">
        <v>1033</v>
      </c>
      <c r="B41" s="518"/>
      <c r="C41" s="518"/>
      <c r="D41" s="450">
        <f>SUM(K41:K52)</f>
        <v>0</v>
      </c>
      <c r="E41" s="451">
        <f>IFERROR(SUM(M41:M52)/SUM(K41:K52),0)</f>
        <v>0</v>
      </c>
      <c r="F41" s="514"/>
      <c r="G41" s="514"/>
      <c r="H41" s="514"/>
      <c r="I41" s="514"/>
      <c r="J41" s="587"/>
      <c r="K41" s="450">
        <f>J41*$B$41*20</f>
        <v>0</v>
      </c>
      <c r="L41" s="458">
        <f>IFERROR(VLOOKUP(F41,$Q$4:$R$30,2,0),0)</f>
        <v>0</v>
      </c>
      <c r="M41" s="452">
        <f t="shared" si="9"/>
        <v>0</v>
      </c>
    </row>
    <row r="42" spans="1:13" x14ac:dyDescent="0.2">
      <c r="A42" s="367"/>
      <c r="B42" s="367"/>
      <c r="C42" s="367"/>
      <c r="D42" s="367"/>
      <c r="E42" s="367"/>
      <c r="F42" s="514"/>
      <c r="G42" s="514"/>
      <c r="H42" s="514"/>
      <c r="I42" s="514"/>
      <c r="J42" s="587"/>
      <c r="K42" s="450">
        <f t="shared" ref="K42:K52" si="10">J42*$B$41*20</f>
        <v>0</v>
      </c>
      <c r="L42" s="458">
        <f t="shared" ref="L42:L52" si="11">IFERROR(VLOOKUP(F42,$Q$4:$R$30,2,0),0)</f>
        <v>0</v>
      </c>
      <c r="M42" s="452">
        <f t="shared" si="9"/>
        <v>0</v>
      </c>
    </row>
    <row r="43" spans="1:13" x14ac:dyDescent="0.2">
      <c r="A43" s="367"/>
      <c r="B43" s="367"/>
      <c r="C43" s="367"/>
      <c r="D43" s="367"/>
      <c r="E43" s="367"/>
      <c r="F43" s="514"/>
      <c r="G43" s="514" t="str">
        <f>IFERROR(VLOOKUP(F43,ISCO_Prevodnik!$A$10:$B$21,2,0),"")</f>
        <v/>
      </c>
      <c r="H43" s="514"/>
      <c r="I43" s="514" t="str">
        <f>IFERROR(VLOOKUP(H43,ISCO_Prevodnik!$E$10:$F$31,2,0),"")</f>
        <v/>
      </c>
      <c r="J43" s="587"/>
      <c r="K43" s="450">
        <f t="shared" si="10"/>
        <v>0</v>
      </c>
      <c r="L43" s="458">
        <f t="shared" si="11"/>
        <v>0</v>
      </c>
      <c r="M43" s="452">
        <f t="shared" si="9"/>
        <v>0</v>
      </c>
    </row>
    <row r="44" spans="1:13" x14ac:dyDescent="0.2">
      <c r="A44" s="367"/>
      <c r="B44" s="367"/>
      <c r="C44" s="367"/>
      <c r="D44" s="367"/>
      <c r="E44" s="367"/>
      <c r="F44" s="514"/>
      <c r="G44" s="514" t="str">
        <f>IFERROR(VLOOKUP(F44,ISCO_Prevodnik!$A$10:$B$21,2,0),"")</f>
        <v/>
      </c>
      <c r="H44" s="514"/>
      <c r="I44" s="514" t="str">
        <f>IFERROR(VLOOKUP(H44,ISCO_Prevodnik!$E$10:$F$31,2,0),"")</f>
        <v/>
      </c>
      <c r="J44" s="587"/>
      <c r="K44" s="450">
        <f t="shared" si="10"/>
        <v>0</v>
      </c>
      <c r="L44" s="458">
        <f t="shared" si="11"/>
        <v>0</v>
      </c>
      <c r="M44" s="452">
        <f t="shared" si="9"/>
        <v>0</v>
      </c>
    </row>
    <row r="45" spans="1:13" x14ac:dyDescent="0.2">
      <c r="A45" s="367"/>
      <c r="B45" s="367"/>
      <c r="C45" s="367"/>
      <c r="D45" s="367"/>
      <c r="E45" s="367"/>
      <c r="F45" s="514"/>
      <c r="G45" s="514" t="str">
        <f>IFERROR(VLOOKUP(F45,ISCO_Prevodnik!$A$10:$B$21,2,0),"")</f>
        <v/>
      </c>
      <c r="H45" s="514"/>
      <c r="I45" s="514" t="str">
        <f>IFERROR(VLOOKUP(H45,ISCO_Prevodnik!$E$10:$F$31,2,0),"")</f>
        <v/>
      </c>
      <c r="J45" s="587"/>
      <c r="K45" s="450">
        <f t="shared" si="10"/>
        <v>0</v>
      </c>
      <c r="L45" s="458">
        <f t="shared" si="11"/>
        <v>0</v>
      </c>
      <c r="M45" s="452">
        <f t="shared" si="9"/>
        <v>0</v>
      </c>
    </row>
    <row r="46" spans="1:13" x14ac:dyDescent="0.2">
      <c r="A46" s="367"/>
      <c r="B46" s="367"/>
      <c r="C46" s="367"/>
      <c r="D46" s="367"/>
      <c r="E46" s="367"/>
      <c r="F46" s="514"/>
      <c r="G46" s="514" t="str">
        <f>IFERROR(VLOOKUP(F46,ISCO_Prevodnik!$A$10:$B$21,2,0),"")</f>
        <v/>
      </c>
      <c r="H46" s="514"/>
      <c r="I46" s="514" t="str">
        <f>IFERROR(VLOOKUP(H46,ISCO_Prevodnik!$E$10:$F$31,2,0),"")</f>
        <v/>
      </c>
      <c r="J46" s="587"/>
      <c r="K46" s="450">
        <f t="shared" si="10"/>
        <v>0</v>
      </c>
      <c r="L46" s="458">
        <f t="shared" si="11"/>
        <v>0</v>
      </c>
      <c r="M46" s="452">
        <f t="shared" si="9"/>
        <v>0</v>
      </c>
    </row>
    <row r="47" spans="1:13" x14ac:dyDescent="0.2">
      <c r="F47" s="514"/>
      <c r="G47" s="514" t="str">
        <f>IFERROR(VLOOKUP(F47,ISCO_Prevodnik!$A$10:$B$21,2,0),"")</f>
        <v/>
      </c>
      <c r="H47" s="514"/>
      <c r="I47" s="514" t="str">
        <f>IFERROR(VLOOKUP(H47,ISCO_Prevodnik!$E$10:$F$31,2,0),"")</f>
        <v/>
      </c>
      <c r="J47" s="587"/>
      <c r="K47" s="450">
        <f t="shared" si="10"/>
        <v>0</v>
      </c>
      <c r="L47" s="458">
        <f t="shared" si="11"/>
        <v>0</v>
      </c>
      <c r="M47" s="452">
        <f t="shared" ref="M47:M58" si="12">K47*L47</f>
        <v>0</v>
      </c>
    </row>
    <row r="48" spans="1:13" x14ac:dyDescent="0.2">
      <c r="F48" s="514"/>
      <c r="G48" s="514" t="str">
        <f>IFERROR(VLOOKUP(F48,ISCO_Prevodnik!$A$10:$B$21,2,0),"")</f>
        <v/>
      </c>
      <c r="H48" s="514"/>
      <c r="I48" s="514" t="str">
        <f>IFERROR(VLOOKUP(H48,ISCO_Prevodnik!$E$10:$F$31,2,0),"")</f>
        <v/>
      </c>
      <c r="J48" s="587"/>
      <c r="K48" s="450">
        <f t="shared" si="10"/>
        <v>0</v>
      </c>
      <c r="L48" s="458">
        <f t="shared" si="11"/>
        <v>0</v>
      </c>
      <c r="M48" s="452">
        <f t="shared" si="12"/>
        <v>0</v>
      </c>
    </row>
    <row r="49" spans="1:13" x14ac:dyDescent="0.2">
      <c r="F49" s="514"/>
      <c r="G49" s="514" t="str">
        <f>IFERROR(VLOOKUP(F49,ISCO_Prevodnik!$A$10:$B$21,2,0),"")</f>
        <v/>
      </c>
      <c r="H49" s="514"/>
      <c r="I49" s="514" t="str">
        <f>IFERROR(VLOOKUP(H49,ISCO_Prevodnik!$E$10:$F$31,2,0),"")</f>
        <v/>
      </c>
      <c r="J49" s="587"/>
      <c r="K49" s="450">
        <f t="shared" si="10"/>
        <v>0</v>
      </c>
      <c r="L49" s="458">
        <f t="shared" si="11"/>
        <v>0</v>
      </c>
      <c r="M49" s="452">
        <f t="shared" si="12"/>
        <v>0</v>
      </c>
    </row>
    <row r="50" spans="1:13" x14ac:dyDescent="0.2">
      <c r="F50" s="514"/>
      <c r="G50" s="514" t="str">
        <f>IFERROR(VLOOKUP(F50,ISCO_Prevodnik!$A$10:$B$21,2,0),"")</f>
        <v/>
      </c>
      <c r="H50" s="514"/>
      <c r="I50" s="514" t="str">
        <f>IFERROR(VLOOKUP(H50,ISCO_Prevodnik!$E$10:$F$31,2,0),"")</f>
        <v/>
      </c>
      <c r="J50" s="587"/>
      <c r="K50" s="450">
        <f t="shared" si="10"/>
        <v>0</v>
      </c>
      <c r="L50" s="458">
        <f t="shared" si="11"/>
        <v>0</v>
      </c>
      <c r="M50" s="452">
        <f t="shared" si="12"/>
        <v>0</v>
      </c>
    </row>
    <row r="51" spans="1:13" x14ac:dyDescent="0.2">
      <c r="F51" s="514"/>
      <c r="G51" s="514" t="str">
        <f>IFERROR(VLOOKUP(F51,ISCO_Prevodnik!$A$10:$B$21,2,0),"")</f>
        <v/>
      </c>
      <c r="H51" s="514"/>
      <c r="I51" s="514" t="str">
        <f>IFERROR(VLOOKUP(H51,ISCO_Prevodnik!$E$10:$F$31,2,0),"")</f>
        <v/>
      </c>
      <c r="J51" s="587"/>
      <c r="K51" s="450">
        <f t="shared" si="10"/>
        <v>0</v>
      </c>
      <c r="L51" s="458">
        <f t="shared" si="11"/>
        <v>0</v>
      </c>
      <c r="M51" s="452">
        <f t="shared" si="12"/>
        <v>0</v>
      </c>
    </row>
    <row r="52" spans="1:13" x14ac:dyDescent="0.2">
      <c r="F52" s="514"/>
      <c r="G52" s="514" t="str">
        <f>IFERROR(VLOOKUP(F52,ISCO_Prevodnik!$A$10:$B$21,2,0),"")</f>
        <v/>
      </c>
      <c r="H52" s="514"/>
      <c r="I52" s="514" t="str">
        <f>IFERROR(VLOOKUP(H52,ISCO_Prevodnik!$E$10:$F$31,2,0),"")</f>
        <v/>
      </c>
      <c r="J52" s="587"/>
      <c r="K52" s="450">
        <f t="shared" si="10"/>
        <v>0</v>
      </c>
      <c r="L52" s="458">
        <f t="shared" si="11"/>
        <v>0</v>
      </c>
      <c r="M52" s="452">
        <f t="shared" si="12"/>
        <v>0</v>
      </c>
    </row>
    <row r="53" spans="1:13" x14ac:dyDescent="0.2">
      <c r="A53" s="370" t="s">
        <v>1034</v>
      </c>
      <c r="B53" s="518"/>
      <c r="C53" s="518"/>
      <c r="D53" s="450">
        <f>SUM(K53:K64)</f>
        <v>0</v>
      </c>
      <c r="E53" s="451">
        <f>IFERROR(SUM(M53:M64)/SUM(K53:K64),0)</f>
        <v>0</v>
      </c>
      <c r="F53" s="514"/>
      <c r="G53" s="514" t="str">
        <f>IFERROR(VLOOKUP(F53,ISCO_Prevodnik!$A$10:$B$21,2,0),"")</f>
        <v/>
      </c>
      <c r="H53" s="514"/>
      <c r="I53" s="514" t="str">
        <f>IFERROR(VLOOKUP(H53,ISCO_Prevodnik!$E$10:$F$31,2,0),"")</f>
        <v/>
      </c>
      <c r="J53" s="587"/>
      <c r="K53" s="450">
        <f>J53*$B$41*20</f>
        <v>0</v>
      </c>
      <c r="L53" s="458">
        <f>IFERROR(VLOOKUP(F53,$Q$4:$R$30,2,0),0)</f>
        <v>0</v>
      </c>
      <c r="M53" s="452">
        <f t="shared" si="12"/>
        <v>0</v>
      </c>
    </row>
    <row r="54" spans="1:13" x14ac:dyDescent="0.2">
      <c r="A54" s="367"/>
      <c r="B54" s="367"/>
      <c r="C54" s="367"/>
      <c r="D54" s="367"/>
      <c r="E54" s="367"/>
      <c r="F54" s="514"/>
      <c r="G54" s="514" t="str">
        <f>IFERROR(VLOOKUP(F54,ISCO_Prevodnik!$A$10:$B$21,2,0),"")</f>
        <v/>
      </c>
      <c r="H54" s="514"/>
      <c r="I54" s="514" t="str">
        <f>IFERROR(VLOOKUP(H54,ISCO_Prevodnik!$E$10:$F$31,2,0),"")</f>
        <v/>
      </c>
      <c r="J54" s="587"/>
      <c r="K54" s="450">
        <f t="shared" ref="K54:K64" si="13">J54*$B$41*20</f>
        <v>0</v>
      </c>
      <c r="L54" s="458">
        <f t="shared" ref="L54:L64" si="14">IFERROR(VLOOKUP(F54,$Q$4:$R$30,2,0),0)</f>
        <v>0</v>
      </c>
      <c r="M54" s="452">
        <f t="shared" si="12"/>
        <v>0</v>
      </c>
    </row>
    <row r="55" spans="1:13" x14ac:dyDescent="0.2">
      <c r="A55" s="367"/>
      <c r="B55" s="367"/>
      <c r="C55" s="367"/>
      <c r="D55" s="367"/>
      <c r="E55" s="367"/>
      <c r="F55" s="514"/>
      <c r="G55" s="514" t="str">
        <f>IFERROR(VLOOKUP(F55,ISCO_Prevodnik!$A$10:$B$21,2,0),"")</f>
        <v/>
      </c>
      <c r="H55" s="514"/>
      <c r="I55" s="514" t="str">
        <f>IFERROR(VLOOKUP(H55,ISCO_Prevodnik!$E$10:$F$31,2,0),"")</f>
        <v/>
      </c>
      <c r="J55" s="587"/>
      <c r="K55" s="450">
        <f t="shared" si="13"/>
        <v>0</v>
      </c>
      <c r="L55" s="458">
        <f t="shared" si="14"/>
        <v>0</v>
      </c>
      <c r="M55" s="452">
        <f t="shared" si="12"/>
        <v>0</v>
      </c>
    </row>
    <row r="56" spans="1:13" x14ac:dyDescent="0.2">
      <c r="A56" s="367"/>
      <c r="B56" s="367"/>
      <c r="C56" s="367"/>
      <c r="D56" s="367"/>
      <c r="E56" s="367"/>
      <c r="F56" s="514"/>
      <c r="G56" s="514" t="str">
        <f>IFERROR(VLOOKUP(F56,ISCO_Prevodnik!$A$10:$B$21,2,0),"")</f>
        <v/>
      </c>
      <c r="H56" s="514"/>
      <c r="I56" s="514" t="str">
        <f>IFERROR(VLOOKUP(H56,ISCO_Prevodnik!$E$10:$F$31,2,0),"")</f>
        <v/>
      </c>
      <c r="J56" s="587"/>
      <c r="K56" s="450">
        <f t="shared" si="13"/>
        <v>0</v>
      </c>
      <c r="L56" s="458">
        <f t="shared" si="14"/>
        <v>0</v>
      </c>
      <c r="M56" s="452">
        <f t="shared" si="12"/>
        <v>0</v>
      </c>
    </row>
    <row r="57" spans="1:13" x14ac:dyDescent="0.2">
      <c r="A57" s="367"/>
      <c r="B57" s="367"/>
      <c r="C57" s="367"/>
      <c r="D57" s="367"/>
      <c r="E57" s="367"/>
      <c r="F57" s="514"/>
      <c r="G57" s="514" t="str">
        <f>IFERROR(VLOOKUP(F57,ISCO_Prevodnik!$A$10:$B$21,2,0),"")</f>
        <v/>
      </c>
      <c r="H57" s="514"/>
      <c r="I57" s="514" t="str">
        <f>IFERROR(VLOOKUP(H57,ISCO_Prevodnik!$E$10:$F$31,2,0),"")</f>
        <v/>
      </c>
      <c r="J57" s="587"/>
      <c r="K57" s="450">
        <f t="shared" si="13"/>
        <v>0</v>
      </c>
      <c r="L57" s="458">
        <f t="shared" si="14"/>
        <v>0</v>
      </c>
      <c r="M57" s="452">
        <f t="shared" si="12"/>
        <v>0</v>
      </c>
    </row>
    <row r="58" spans="1:13" x14ac:dyDescent="0.2">
      <c r="A58" s="367"/>
      <c r="B58" s="367"/>
      <c r="C58" s="367"/>
      <c r="D58" s="367"/>
      <c r="E58" s="367"/>
      <c r="F58" s="514"/>
      <c r="G58" s="514" t="str">
        <f>IFERROR(VLOOKUP(F58,ISCO_Prevodnik!$A$10:$B$21,2,0),"")</f>
        <v/>
      </c>
      <c r="H58" s="514"/>
      <c r="I58" s="514" t="str">
        <f>IFERROR(VLOOKUP(H58,ISCO_Prevodnik!$E$10:$F$31,2,0),"")</f>
        <v/>
      </c>
      <c r="J58" s="587"/>
      <c r="K58" s="450">
        <f t="shared" si="13"/>
        <v>0</v>
      </c>
      <c r="L58" s="458">
        <f t="shared" si="14"/>
        <v>0</v>
      </c>
      <c r="M58" s="452">
        <f t="shared" si="12"/>
        <v>0</v>
      </c>
    </row>
    <row r="59" spans="1:13" x14ac:dyDescent="0.2">
      <c r="F59" s="514"/>
      <c r="G59" s="514" t="str">
        <f>IFERROR(VLOOKUP(F59,ISCO_Prevodnik!$A$10:$B$21,2,0),"")</f>
        <v/>
      </c>
      <c r="H59" s="514"/>
      <c r="I59" s="514" t="str">
        <f>IFERROR(VLOOKUP(H59,ISCO_Prevodnik!$E$10:$F$31,2,0),"")</f>
        <v/>
      </c>
      <c r="J59" s="587"/>
      <c r="K59" s="450">
        <f t="shared" si="13"/>
        <v>0</v>
      </c>
      <c r="L59" s="458">
        <f t="shared" si="14"/>
        <v>0</v>
      </c>
      <c r="M59" s="452">
        <f t="shared" ref="M59:M64" si="15">K59*L59</f>
        <v>0</v>
      </c>
    </row>
    <row r="60" spans="1:13" x14ac:dyDescent="0.2">
      <c r="F60" s="514"/>
      <c r="G60" s="514" t="str">
        <f>IFERROR(VLOOKUP(F60,ISCO_Prevodnik!$A$10:$B$21,2,0),"")</f>
        <v/>
      </c>
      <c r="H60" s="514"/>
      <c r="I60" s="514" t="str">
        <f>IFERROR(VLOOKUP(H60,ISCO_Prevodnik!$E$10:$F$31,2,0),"")</f>
        <v/>
      </c>
      <c r="J60" s="587"/>
      <c r="K60" s="450">
        <f t="shared" si="13"/>
        <v>0</v>
      </c>
      <c r="L60" s="458">
        <f t="shared" si="14"/>
        <v>0</v>
      </c>
      <c r="M60" s="452">
        <f t="shared" si="15"/>
        <v>0</v>
      </c>
    </row>
    <row r="61" spans="1:13" x14ac:dyDescent="0.2">
      <c r="F61" s="514"/>
      <c r="G61" s="514" t="str">
        <f>IFERROR(VLOOKUP(F61,ISCO_Prevodnik!$A$10:$B$21,2,0),"")</f>
        <v/>
      </c>
      <c r="H61" s="514"/>
      <c r="I61" s="514" t="str">
        <f>IFERROR(VLOOKUP(H61,ISCO_Prevodnik!$E$10:$F$31,2,0),"")</f>
        <v/>
      </c>
      <c r="J61" s="587"/>
      <c r="K61" s="450">
        <f t="shared" si="13"/>
        <v>0</v>
      </c>
      <c r="L61" s="458">
        <f t="shared" si="14"/>
        <v>0</v>
      </c>
      <c r="M61" s="452">
        <f t="shared" si="15"/>
        <v>0</v>
      </c>
    </row>
    <row r="62" spans="1:13" x14ac:dyDescent="0.2">
      <c r="F62" s="514"/>
      <c r="G62" s="514" t="str">
        <f>IFERROR(VLOOKUP(F62,ISCO_Prevodnik!$A$10:$B$21,2,0),"")</f>
        <v/>
      </c>
      <c r="H62" s="514"/>
      <c r="I62" s="514" t="str">
        <f>IFERROR(VLOOKUP(H62,ISCO_Prevodnik!$E$10:$F$31,2,0),"")</f>
        <v/>
      </c>
      <c r="J62" s="587"/>
      <c r="K62" s="450">
        <f t="shared" si="13"/>
        <v>0</v>
      </c>
      <c r="L62" s="458">
        <f t="shared" si="14"/>
        <v>0</v>
      </c>
      <c r="M62" s="452">
        <f t="shared" si="15"/>
        <v>0</v>
      </c>
    </row>
    <row r="63" spans="1:13" x14ac:dyDescent="0.2">
      <c r="F63" s="514"/>
      <c r="G63" s="514" t="str">
        <f>IFERROR(VLOOKUP(F63,ISCO_Prevodnik!$A$10:$B$21,2,0),"")</f>
        <v/>
      </c>
      <c r="H63" s="514"/>
      <c r="I63" s="514" t="str">
        <f>IFERROR(VLOOKUP(H63,ISCO_Prevodnik!$E$10:$F$31,2,0),"")</f>
        <v/>
      </c>
      <c r="J63" s="587"/>
      <c r="K63" s="450">
        <f t="shared" si="13"/>
        <v>0</v>
      </c>
      <c r="L63" s="458">
        <f t="shared" si="14"/>
        <v>0</v>
      </c>
      <c r="M63" s="452">
        <f t="shared" si="15"/>
        <v>0</v>
      </c>
    </row>
    <row r="64" spans="1:13" x14ac:dyDescent="0.2">
      <c r="F64" s="514"/>
      <c r="G64" s="514" t="str">
        <f>IFERROR(VLOOKUP(F64,ISCO_Prevodnik!$A$10:$B$21,2,0),"")</f>
        <v/>
      </c>
      <c r="H64" s="514"/>
      <c r="I64" s="514" t="str">
        <f>IFERROR(VLOOKUP(H64,ISCO_Prevodnik!$E$10:$F$31,2,0),"")</f>
        <v/>
      </c>
      <c r="J64" s="587"/>
      <c r="K64" s="450">
        <f t="shared" si="13"/>
        <v>0</v>
      </c>
      <c r="L64" s="458">
        <f t="shared" si="14"/>
        <v>0</v>
      </c>
      <c r="M64" s="452">
        <f t="shared" si="15"/>
        <v>0</v>
      </c>
    </row>
  </sheetData>
  <mergeCells count="2">
    <mergeCell ref="F1:J1"/>
    <mergeCell ref="F2:J2"/>
  </mergeCells>
  <phoneticPr fontId="58" type="noConversion"/>
  <conditionalFormatting sqref="B4:C4 B16:C16 B28:C28">
    <cfRule type="expression" dxfId="15" priority="24">
      <formula>SUM($B$4,$B$16,$B$28)&lt;&gt;1</formula>
    </cfRule>
  </conditionalFormatting>
  <conditionalFormatting sqref="J4:J15">
    <cfRule type="expression" dxfId="14" priority="5">
      <formula>SUM($J$4:$J$15)&lt;&gt;1</formula>
    </cfRule>
  </conditionalFormatting>
  <conditionalFormatting sqref="J16:J18">
    <cfRule type="expression" dxfId="13" priority="2">
      <formula>SUM($J$16:$J$27)&lt;&gt;1</formula>
    </cfRule>
  </conditionalFormatting>
  <conditionalFormatting sqref="J19">
    <cfRule type="expression" dxfId="12" priority="1">
      <formula>SUM($J$4:$J$15)&lt;&gt;1</formula>
    </cfRule>
  </conditionalFormatting>
  <conditionalFormatting sqref="J20:J27">
    <cfRule type="expression" dxfId="11" priority="4">
      <formula>SUM($J$16:$J$27)&lt;&gt;1</formula>
    </cfRule>
  </conditionalFormatting>
  <conditionalFormatting sqref="J28:J39">
    <cfRule type="expression" dxfId="10" priority="3">
      <formula>SUM($J$28:$J$39)&lt;&gt;1</formula>
    </cfRule>
  </conditionalFormatting>
  <conditionalFormatting sqref="R4:R21">
    <cfRule type="expression" dxfId="9" priority="23">
      <formula>AND(ISNUMBER(S4),R4&gt;S4)</formula>
    </cfRule>
  </conditionalFormatting>
  <conditionalFormatting sqref="R16:R27">
    <cfRule type="expression" dxfId="8" priority="11">
      <formula>AND(ISNUMBER(S16),R16&gt;S16*1.2)</formula>
    </cfRule>
    <cfRule type="cellIs" dxfId="7" priority="48" operator="greaterThan">
      <formula>#REF!</formula>
    </cfRule>
  </conditionalFormatting>
  <conditionalFormatting sqref="W4:W27">
    <cfRule type="containsText" dxfId="6" priority="12" operator="containsText" text="OK">
      <formula>NOT(ISERROR(SEARCH("OK",W4)))</formula>
    </cfRule>
    <cfRule type="containsText" dxfId="5" priority="13" operator="containsText" text="NAD">
      <formula>NOT(ISERROR(SEARCH("NAD",W4)))</formula>
    </cfRule>
  </conditionalFormatting>
  <dataValidations count="8">
    <dataValidation type="decimal" allowBlank="1" showInputMessage="1" showErrorMessage="1" sqref="B4:C4 C16 C28" xr:uid="{00000000-0002-0000-0F00-000000000000}">
      <formula1>0.1</formula1>
      <formula2>0.35</formula2>
    </dataValidation>
    <dataValidation type="decimal" allowBlank="1" showInputMessage="1" showErrorMessage="1" sqref="B16" xr:uid="{00000000-0002-0000-0F00-000001000000}">
      <formula1>0.3</formula1>
      <formula2>0.8</formula2>
    </dataValidation>
    <dataValidation type="decimal" allowBlank="1" showInputMessage="1" showErrorMessage="1" sqref="B22:C22" xr:uid="{00000000-0002-0000-0F00-000002000000}">
      <formula1>0.1</formula1>
      <formula2>0.25</formula2>
    </dataValidation>
    <dataValidation type="decimal" allowBlank="1" showInputMessage="1" showErrorMessage="1" sqref="B28" xr:uid="{00000000-0002-0000-0F00-000003000000}">
      <formula1>0.15</formula1>
      <formula2>0.3</formula2>
    </dataValidation>
    <dataValidation type="list" allowBlank="1" showInputMessage="1" showErrorMessage="1" sqref="F4:F39" xr:uid="{00000000-0002-0000-0F00-000004000000}">
      <formula1>Pozicia</formula1>
    </dataValidation>
    <dataValidation operator="lessThanOrEqual" allowBlank="1" showInputMessage="1" showErrorMessage="1" sqref="S4:S15" xr:uid="{00000000-0002-0000-0F00-000005000000}"/>
    <dataValidation type="list" allowBlank="1" showInputMessage="1" showErrorMessage="1" sqref="F41:F64" xr:uid="{00000000-0002-0000-0F00-000006000000}">
      <formula1>PozicieKomplet</formula1>
    </dataValidation>
    <dataValidation type="list" allowBlank="1" showInputMessage="1" showErrorMessage="1" sqref="H41:H64 H4:H39" xr:uid="{00000000-0002-0000-0F00-000007000000}">
      <formula1>INDIRECT($G4)</formula1>
    </dataValidation>
  </dataValidations>
  <pageMargins left="0.7" right="0.7" top="0.75" bottom="0.75" header="0.3" footer="0.3"/>
  <pageSetup paperSize="9" orientation="portrait" horizontalDpi="4294967293"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30">
    <tabColor rgb="FF00B050"/>
  </sheetPr>
  <dimension ref="A1:W64"/>
  <sheetViews>
    <sheetView topLeftCell="C1" workbookViewId="0">
      <selection activeCell="X43" sqref="X43"/>
    </sheetView>
  </sheetViews>
  <sheetFormatPr baseColWidth="10" defaultColWidth="8.6640625" defaultRowHeight="15" x14ac:dyDescent="0.2"/>
  <cols>
    <col min="1" max="1" width="31.5" style="365" customWidth="1"/>
    <col min="2" max="3" width="10.6640625" style="365" customWidth="1"/>
    <col min="4" max="4" width="14.6640625" style="365" customWidth="1"/>
    <col min="5" max="5" width="34.6640625" style="365" bestFit="1" customWidth="1"/>
    <col min="6" max="6" width="9.33203125" style="365" bestFit="1" customWidth="1"/>
    <col min="7" max="7" width="15.33203125" style="365" bestFit="1" customWidth="1"/>
    <col min="8" max="8" width="10" style="365" customWidth="1"/>
    <col min="9" max="9" width="13.33203125" style="365" customWidth="1"/>
    <col min="10" max="10" width="12.6640625" style="365" customWidth="1"/>
    <col min="11" max="11" width="9.33203125" style="365" bestFit="1" customWidth="1"/>
    <col min="12" max="12" width="8.6640625" style="365"/>
    <col min="13" max="13" width="43.1640625" style="365" customWidth="1"/>
    <col min="14" max="14" width="11.33203125" style="365" customWidth="1"/>
    <col min="15" max="15" width="11.6640625" style="365" customWidth="1"/>
    <col min="16" max="16" width="13.5" style="365" customWidth="1"/>
    <col min="17" max="17" width="14.1640625" style="365" customWidth="1"/>
    <col min="18" max="22" width="13.5" style="365" customWidth="1"/>
    <col min="23" max="23" width="20.1640625" style="365" customWidth="1"/>
    <col min="24" max="16384" width="8.6640625" style="365"/>
  </cols>
  <sheetData>
    <row r="1" spans="1:23" ht="32" x14ac:dyDescent="0.2">
      <c r="B1" s="471"/>
      <c r="C1" s="471"/>
      <c r="E1" s="862" t="s">
        <v>1035</v>
      </c>
      <c r="F1" s="862"/>
      <c r="G1" s="589">
        <f>IFERROR(I1/AKTIVITY_POZICIE!M1/1.23,0)</f>
        <v>5.1604783121182225E-2</v>
      </c>
      <c r="I1" s="410">
        <f>SUM(I4:I39)</f>
        <v>154994.39999999997</v>
      </c>
      <c r="P1" s="598" t="s">
        <v>1036</v>
      </c>
      <c r="Q1" s="600">
        <v>0.35949999999999999</v>
      </c>
      <c r="R1" s="562"/>
    </row>
    <row r="2" spans="1:23" ht="16" x14ac:dyDescent="0.2">
      <c r="B2" s="471"/>
      <c r="C2" s="471"/>
      <c r="E2" s="863" t="s">
        <v>1037</v>
      </c>
      <c r="F2" s="863"/>
      <c r="G2" s="408">
        <f>SUM(G4:G63)</f>
        <v>885</v>
      </c>
      <c r="I2" s="410">
        <f>SUM(I4:I63)</f>
        <v>376088.24009999994</v>
      </c>
      <c r="P2" s="599" t="s">
        <v>1038</v>
      </c>
      <c r="Q2" s="601">
        <v>0</v>
      </c>
      <c r="R2" s="562"/>
    </row>
    <row r="3" spans="1:23" s="447" customFormat="1" ht="48" x14ac:dyDescent="0.2">
      <c r="A3" s="445" t="s">
        <v>988</v>
      </c>
      <c r="B3" s="446" t="s">
        <v>1030</v>
      </c>
      <c r="C3" s="446" t="s">
        <v>998</v>
      </c>
      <c r="D3" s="446" t="s">
        <v>992</v>
      </c>
      <c r="E3" s="446" t="s">
        <v>993</v>
      </c>
      <c r="F3" s="446" t="s">
        <v>1039</v>
      </c>
      <c r="G3" s="446" t="s">
        <v>998</v>
      </c>
      <c r="H3" s="446" t="s">
        <v>1040</v>
      </c>
      <c r="I3" s="446" t="s">
        <v>1041</v>
      </c>
      <c r="M3" s="469" t="s">
        <v>1001</v>
      </c>
      <c r="N3" s="469" t="s">
        <v>1042</v>
      </c>
      <c r="O3" s="444" t="s">
        <v>1043</v>
      </c>
      <c r="P3" s="444" t="s">
        <v>1044</v>
      </c>
      <c r="Q3" s="444" t="s">
        <v>1045</v>
      </c>
      <c r="R3" s="444" t="s">
        <v>1046</v>
      </c>
      <c r="S3" s="468" t="s">
        <v>1047</v>
      </c>
      <c r="T3" s="444" t="s">
        <v>1048</v>
      </c>
      <c r="U3" s="468" t="s">
        <v>1049</v>
      </c>
      <c r="V3" s="468" t="s">
        <v>1006</v>
      </c>
      <c r="W3" s="444" t="s">
        <v>470</v>
      </c>
    </row>
    <row r="4" spans="1:23" x14ac:dyDescent="0.2">
      <c r="A4" s="370" t="s">
        <v>1008</v>
      </c>
      <c r="B4" s="518">
        <v>5</v>
      </c>
      <c r="C4" s="450">
        <f>SUM(G4:G15)</f>
        <v>230</v>
      </c>
      <c r="D4" s="451">
        <f>IFERROR(SUM(I4:I15)/C4,0)</f>
        <v>271.92</v>
      </c>
      <c r="E4" s="514" t="s">
        <v>1050</v>
      </c>
      <c r="F4" s="515">
        <v>0.4</v>
      </c>
      <c r="G4" s="450">
        <f>IFERROR(VLOOKUP(E4,$M$4:$O$27,3,0)*F4*$B$4*20,)</f>
        <v>40</v>
      </c>
      <c r="H4" s="458">
        <f>IFERROR(VLOOKUP(E4,$M$4:$R$27,6,0),0)*8</f>
        <v>271.92</v>
      </c>
      <c r="I4" s="452">
        <f>G4*H4</f>
        <v>10876.800000000001</v>
      </c>
      <c r="J4" s="475"/>
      <c r="M4" s="399" t="s">
        <v>1050</v>
      </c>
      <c r="N4" s="399" t="s">
        <v>1051</v>
      </c>
      <c r="O4" s="519">
        <v>1</v>
      </c>
      <c r="P4" s="561">
        <v>25</v>
      </c>
      <c r="Q4" s="563">
        <f>P4*(1+$Q$2)*$Q$1</f>
        <v>8.9874999999999989</v>
      </c>
      <c r="R4" s="563">
        <f>ROUND(P4+Q4+$Q$2*P4,2)</f>
        <v>33.99</v>
      </c>
      <c r="S4" s="399">
        <f>SUMIF($E$4:$E$63,M4,$G$4:$G$63)*8</f>
        <v>656</v>
      </c>
      <c r="T4" s="474">
        <f>SUMIF($E$4:$E$63,M4,$I$4:$I$63)</f>
        <v>22297.440000000002</v>
      </c>
      <c r="U4" s="470">
        <f>IF(N4="hlavná",25,15)</f>
        <v>25</v>
      </c>
      <c r="V4" s="400">
        <f>IFERROR(S4/SUM($S$4:$S$27),)</f>
        <v>9.2655367231638419E-2</v>
      </c>
      <c r="W4" s="401"/>
    </row>
    <row r="5" spans="1:23" x14ac:dyDescent="0.2">
      <c r="A5" s="367"/>
      <c r="B5" s="367"/>
      <c r="C5" s="367"/>
      <c r="D5" s="367"/>
      <c r="E5" s="514" t="s">
        <v>1052</v>
      </c>
      <c r="F5" s="515">
        <v>0.4</v>
      </c>
      <c r="G5" s="450">
        <f t="shared" ref="G5:G15" si="0">IFERROR(VLOOKUP(E5,$M$4:$O$27,3,0)*F5*$B$4*20,)</f>
        <v>40</v>
      </c>
      <c r="H5" s="458">
        <f t="shared" ref="H5:H62" si="1">IFERROR(VLOOKUP(E5,$M$4:$R$27,6,0),0)*8</f>
        <v>271.92</v>
      </c>
      <c r="I5" s="452">
        <f>G5*H5</f>
        <v>10876.800000000001</v>
      </c>
      <c r="J5" s="475"/>
      <c r="K5" s="475"/>
      <c r="M5" s="399" t="s">
        <v>1053</v>
      </c>
      <c r="N5" s="399" t="s">
        <v>1051</v>
      </c>
      <c r="O5" s="519">
        <v>1</v>
      </c>
      <c r="P5" s="561">
        <v>25</v>
      </c>
      <c r="Q5" s="563">
        <f t="shared" ref="Q5:Q27" si="2">P5*(1+$Q$2)*$Q$1</f>
        <v>8.9874999999999989</v>
      </c>
      <c r="R5" s="563">
        <f t="shared" ref="R5:R27" si="3">ROUND(P5+Q5+$Q$2*P5,2)</f>
        <v>33.99</v>
      </c>
      <c r="S5" s="399">
        <f t="shared" ref="S5:S27" si="4">SUMIF($E$4:$E$63,M5,$G$4:$G$63)*8</f>
        <v>504</v>
      </c>
      <c r="T5" s="474">
        <f t="shared" ref="T5:T27" si="5">SUMIF($E$4:$E$63,M5,$I$4:$I$63)</f>
        <v>17130.960000000003</v>
      </c>
      <c r="U5" s="470">
        <f t="shared" ref="U5:U25" si="6">IF(N5="hlavná",25,15)</f>
        <v>25</v>
      </c>
      <c r="V5" s="400">
        <f t="shared" ref="V5:V27" si="7">IFERROR(S5/SUM($S$4:$S$27),)</f>
        <v>7.1186440677966104E-2</v>
      </c>
      <c r="W5" s="401"/>
    </row>
    <row r="6" spans="1:23" x14ac:dyDescent="0.2">
      <c r="A6" s="367"/>
      <c r="B6" s="367"/>
      <c r="C6" s="367"/>
      <c r="D6" s="367"/>
      <c r="E6" s="514" t="s">
        <v>1053</v>
      </c>
      <c r="F6" s="515">
        <v>0.25</v>
      </c>
      <c r="G6" s="450">
        <f t="shared" si="0"/>
        <v>25</v>
      </c>
      <c r="H6" s="458">
        <f t="shared" si="1"/>
        <v>271.92</v>
      </c>
      <c r="I6" s="452">
        <f t="shared" ref="I6:I33" si="8">G6*H6</f>
        <v>6798</v>
      </c>
      <c r="M6" s="399" t="s">
        <v>1052</v>
      </c>
      <c r="N6" s="399" t="s">
        <v>1051</v>
      </c>
      <c r="O6" s="519">
        <v>1</v>
      </c>
      <c r="P6" s="561">
        <v>25</v>
      </c>
      <c r="Q6" s="563">
        <f>P6*(1+$Q$2)*$Q$1</f>
        <v>8.9874999999999989</v>
      </c>
      <c r="R6" s="563">
        <f>ROUND(P6+Q6+$Q$2*P6,2)</f>
        <v>33.99</v>
      </c>
      <c r="S6" s="399">
        <f t="shared" si="4"/>
        <v>656</v>
      </c>
      <c r="T6" s="474">
        <f t="shared" si="5"/>
        <v>22297.440000000002</v>
      </c>
      <c r="U6" s="470">
        <f t="shared" si="6"/>
        <v>25</v>
      </c>
      <c r="V6" s="400">
        <f t="shared" si="7"/>
        <v>9.2655367231638419E-2</v>
      </c>
      <c r="W6" s="401"/>
    </row>
    <row r="7" spans="1:23" x14ac:dyDescent="0.2">
      <c r="A7" s="367"/>
      <c r="B7" s="367"/>
      <c r="C7" s="367"/>
      <c r="D7" s="367"/>
      <c r="E7" s="514" t="s">
        <v>1054</v>
      </c>
      <c r="F7" s="515">
        <v>0.2</v>
      </c>
      <c r="G7" s="450">
        <f t="shared" si="0"/>
        <v>20</v>
      </c>
      <c r="H7" s="458">
        <f t="shared" si="1"/>
        <v>271.92</v>
      </c>
      <c r="I7" s="452">
        <f t="shared" si="8"/>
        <v>5438.4000000000005</v>
      </c>
      <c r="M7" s="399" t="s">
        <v>1055</v>
      </c>
      <c r="N7" s="399" t="s">
        <v>1051</v>
      </c>
      <c r="O7" s="519">
        <v>1</v>
      </c>
      <c r="P7" s="561">
        <v>25</v>
      </c>
      <c r="Q7" s="563">
        <f t="shared" si="2"/>
        <v>8.9874999999999989</v>
      </c>
      <c r="R7" s="563">
        <f t="shared" si="3"/>
        <v>33.99</v>
      </c>
      <c r="S7" s="399">
        <f t="shared" si="4"/>
        <v>120</v>
      </c>
      <c r="T7" s="474">
        <f t="shared" si="5"/>
        <v>4078.8000000000011</v>
      </c>
      <c r="U7" s="470">
        <f t="shared" si="6"/>
        <v>25</v>
      </c>
      <c r="V7" s="400">
        <f t="shared" si="7"/>
        <v>1.6949152542372881E-2</v>
      </c>
      <c r="W7" s="401"/>
    </row>
    <row r="8" spans="1:23" x14ac:dyDescent="0.2">
      <c r="A8" s="367"/>
      <c r="B8" s="367"/>
      <c r="C8" s="367"/>
      <c r="D8" s="367"/>
      <c r="E8" s="514" t="s">
        <v>1055</v>
      </c>
      <c r="F8" s="515">
        <v>0.05</v>
      </c>
      <c r="G8" s="450">
        <f t="shared" si="0"/>
        <v>5</v>
      </c>
      <c r="H8" s="458">
        <f t="shared" si="1"/>
        <v>271.92</v>
      </c>
      <c r="I8" s="452">
        <f t="shared" si="8"/>
        <v>1359.6000000000001</v>
      </c>
      <c r="M8" s="399" t="s">
        <v>1054</v>
      </c>
      <c r="N8" s="399" t="s">
        <v>1051</v>
      </c>
      <c r="O8" s="519">
        <v>1</v>
      </c>
      <c r="P8" s="561">
        <v>25</v>
      </c>
      <c r="Q8" s="563">
        <f t="shared" si="2"/>
        <v>8.9874999999999989</v>
      </c>
      <c r="R8" s="563">
        <f t="shared" si="3"/>
        <v>33.99</v>
      </c>
      <c r="S8" s="399">
        <f t="shared" si="4"/>
        <v>480</v>
      </c>
      <c r="T8" s="474">
        <f t="shared" si="5"/>
        <v>16315.200000000004</v>
      </c>
      <c r="U8" s="470">
        <f t="shared" si="6"/>
        <v>25</v>
      </c>
      <c r="V8" s="400">
        <f t="shared" si="7"/>
        <v>6.7796610169491525E-2</v>
      </c>
      <c r="W8" s="401"/>
    </row>
    <row r="9" spans="1:23" x14ac:dyDescent="0.2">
      <c r="A9" s="367"/>
      <c r="B9" s="367"/>
      <c r="C9" s="367"/>
      <c r="D9" s="367"/>
      <c r="E9" s="514" t="s">
        <v>1056</v>
      </c>
      <c r="F9" s="515">
        <v>0.25</v>
      </c>
      <c r="G9" s="450">
        <f t="shared" si="0"/>
        <v>25</v>
      </c>
      <c r="H9" s="458">
        <f t="shared" si="1"/>
        <v>271.92</v>
      </c>
      <c r="I9" s="452">
        <f t="shared" ref="I9:I15" si="9">G9*H9</f>
        <v>6798</v>
      </c>
      <c r="M9" s="399" t="s">
        <v>1057</v>
      </c>
      <c r="N9" s="399" t="s">
        <v>1051</v>
      </c>
      <c r="O9" s="519">
        <v>1</v>
      </c>
      <c r="P9" s="561">
        <v>25</v>
      </c>
      <c r="Q9" s="563">
        <f t="shared" si="2"/>
        <v>8.9874999999999989</v>
      </c>
      <c r="R9" s="563">
        <f t="shared" si="3"/>
        <v>33.99</v>
      </c>
      <c r="S9" s="399">
        <f t="shared" si="4"/>
        <v>600</v>
      </c>
      <c r="T9" s="474">
        <f t="shared" si="5"/>
        <v>20394</v>
      </c>
      <c r="U9" s="470">
        <f t="shared" si="6"/>
        <v>25</v>
      </c>
      <c r="V9" s="400">
        <f t="shared" si="7"/>
        <v>8.4745762711864403E-2</v>
      </c>
      <c r="W9" s="401"/>
    </row>
    <row r="10" spans="1:23" x14ac:dyDescent="0.2">
      <c r="A10" s="367"/>
      <c r="B10" s="367"/>
      <c r="C10" s="367"/>
      <c r="D10" s="367"/>
      <c r="E10" s="514" t="s">
        <v>1058</v>
      </c>
      <c r="F10" s="515">
        <v>0.25</v>
      </c>
      <c r="G10" s="450">
        <f t="shared" si="0"/>
        <v>25</v>
      </c>
      <c r="H10" s="458">
        <f t="shared" si="1"/>
        <v>271.92</v>
      </c>
      <c r="I10" s="452">
        <f t="shared" si="9"/>
        <v>6798</v>
      </c>
      <c r="M10" s="399" t="s">
        <v>1059</v>
      </c>
      <c r="N10" s="399" t="s">
        <v>1051</v>
      </c>
      <c r="O10" s="519"/>
      <c r="P10" s="561"/>
      <c r="Q10" s="563">
        <f t="shared" si="2"/>
        <v>0</v>
      </c>
      <c r="R10" s="563">
        <f t="shared" si="3"/>
        <v>0</v>
      </c>
      <c r="S10" s="399">
        <f t="shared" si="4"/>
        <v>0</v>
      </c>
      <c r="T10" s="474">
        <f t="shared" si="5"/>
        <v>0</v>
      </c>
      <c r="U10" s="470">
        <f t="shared" si="6"/>
        <v>25</v>
      </c>
      <c r="V10" s="400">
        <f t="shared" si="7"/>
        <v>0</v>
      </c>
      <c r="W10" s="401"/>
    </row>
    <row r="11" spans="1:23" x14ac:dyDescent="0.2">
      <c r="A11" s="367"/>
      <c r="B11" s="367"/>
      <c r="C11" s="367"/>
      <c r="D11" s="367"/>
      <c r="E11" s="514" t="s">
        <v>1060</v>
      </c>
      <c r="F11" s="515">
        <v>0.25</v>
      </c>
      <c r="G11" s="450">
        <f t="shared" si="0"/>
        <v>25</v>
      </c>
      <c r="H11" s="458">
        <f t="shared" si="1"/>
        <v>271.92</v>
      </c>
      <c r="I11" s="452">
        <f t="shared" si="9"/>
        <v>6798</v>
      </c>
      <c r="M11" s="399" t="s">
        <v>1024</v>
      </c>
      <c r="N11" s="399" t="s">
        <v>1061</v>
      </c>
      <c r="O11" s="519">
        <v>1</v>
      </c>
      <c r="P11" s="561">
        <v>25</v>
      </c>
      <c r="Q11" s="563">
        <f t="shared" si="2"/>
        <v>8.9874999999999989</v>
      </c>
      <c r="R11" s="563">
        <f t="shared" si="3"/>
        <v>33.99</v>
      </c>
      <c r="S11" s="399">
        <f t="shared" si="4"/>
        <v>2400</v>
      </c>
      <c r="T11" s="474">
        <f t="shared" si="5"/>
        <v>81576</v>
      </c>
      <c r="U11" s="470">
        <f t="shared" si="6"/>
        <v>15</v>
      </c>
      <c r="V11" s="400">
        <f t="shared" si="7"/>
        <v>0.33898305084745761</v>
      </c>
      <c r="W11" s="401"/>
    </row>
    <row r="12" spans="1:23" x14ac:dyDescent="0.2">
      <c r="A12" s="367"/>
      <c r="B12" s="367"/>
      <c r="C12" s="367"/>
      <c r="D12" s="367"/>
      <c r="E12" s="514" t="s">
        <v>1057</v>
      </c>
      <c r="F12" s="515">
        <v>0.25</v>
      </c>
      <c r="G12" s="450">
        <f t="shared" si="0"/>
        <v>25</v>
      </c>
      <c r="H12" s="458">
        <f t="shared" si="1"/>
        <v>271.92</v>
      </c>
      <c r="I12" s="452">
        <f t="shared" si="9"/>
        <v>6798</v>
      </c>
      <c r="M12" s="399" t="s">
        <v>1062</v>
      </c>
      <c r="N12" s="399" t="s">
        <v>1051</v>
      </c>
      <c r="O12" s="519">
        <v>1</v>
      </c>
      <c r="P12" s="561">
        <v>25</v>
      </c>
      <c r="Q12" s="563">
        <f>P12*(1+$Q$2)*$Q$1</f>
        <v>8.9874999999999989</v>
      </c>
      <c r="R12" s="563">
        <f>ROUND(P12+Q12+$Q$2*P12,2)</f>
        <v>33.99</v>
      </c>
      <c r="S12" s="399">
        <f t="shared" si="4"/>
        <v>480.00000000000006</v>
      </c>
      <c r="T12" s="474">
        <f t="shared" si="5"/>
        <v>16315.200000000004</v>
      </c>
      <c r="U12" s="470">
        <f t="shared" si="6"/>
        <v>25</v>
      </c>
      <c r="V12" s="400">
        <f t="shared" si="7"/>
        <v>6.7796610169491539E-2</v>
      </c>
      <c r="W12" s="401"/>
    </row>
    <row r="13" spans="1:23" x14ac:dyDescent="0.2">
      <c r="A13" s="367"/>
      <c r="B13" s="367"/>
      <c r="C13" s="367"/>
      <c r="D13" s="367"/>
      <c r="E13" s="514"/>
      <c r="F13" s="515"/>
      <c r="G13" s="450">
        <f t="shared" si="0"/>
        <v>0</v>
      </c>
      <c r="H13" s="458">
        <f t="shared" si="1"/>
        <v>0</v>
      </c>
      <c r="I13" s="452">
        <f t="shared" si="9"/>
        <v>0</v>
      </c>
      <c r="M13" s="399" t="s">
        <v>1063</v>
      </c>
      <c r="N13" s="399" t="s">
        <v>1051</v>
      </c>
      <c r="O13" s="519"/>
      <c r="P13" s="561"/>
      <c r="Q13" s="563">
        <f t="shared" si="2"/>
        <v>0</v>
      </c>
      <c r="R13" s="563">
        <f t="shared" si="3"/>
        <v>0</v>
      </c>
      <c r="S13" s="399">
        <f t="shared" si="4"/>
        <v>0</v>
      </c>
      <c r="T13" s="474">
        <f t="shared" si="5"/>
        <v>0</v>
      </c>
      <c r="U13" s="470">
        <f t="shared" si="6"/>
        <v>25</v>
      </c>
      <c r="V13" s="400">
        <f t="shared" si="7"/>
        <v>0</v>
      </c>
      <c r="W13" s="401"/>
    </row>
    <row r="14" spans="1:23" x14ac:dyDescent="0.2">
      <c r="A14" s="367"/>
      <c r="B14" s="367"/>
      <c r="C14" s="367"/>
      <c r="D14" s="367"/>
      <c r="E14" s="514"/>
      <c r="F14" s="515"/>
      <c r="G14" s="450">
        <f t="shared" si="0"/>
        <v>0</v>
      </c>
      <c r="H14" s="458">
        <f t="shared" si="1"/>
        <v>0</v>
      </c>
      <c r="I14" s="452">
        <f t="shared" si="9"/>
        <v>0</v>
      </c>
      <c r="M14" s="399" t="s">
        <v>1022</v>
      </c>
      <c r="N14" s="399" t="s">
        <v>1061</v>
      </c>
      <c r="O14" s="519"/>
      <c r="P14" s="561"/>
      <c r="Q14" s="563">
        <f t="shared" si="2"/>
        <v>0</v>
      </c>
      <c r="R14" s="563">
        <f t="shared" si="3"/>
        <v>0</v>
      </c>
      <c r="S14" s="399">
        <f t="shared" si="4"/>
        <v>0</v>
      </c>
      <c r="T14" s="474">
        <f t="shared" si="5"/>
        <v>0</v>
      </c>
      <c r="U14" s="470">
        <f t="shared" si="6"/>
        <v>15</v>
      </c>
      <c r="V14" s="400">
        <f t="shared" si="7"/>
        <v>0</v>
      </c>
      <c r="W14" s="401"/>
    </row>
    <row r="15" spans="1:23" x14ac:dyDescent="0.2">
      <c r="A15" s="367"/>
      <c r="B15" s="367"/>
      <c r="C15" s="367"/>
      <c r="D15" s="367"/>
      <c r="E15" s="514"/>
      <c r="F15" s="515"/>
      <c r="G15" s="450">
        <f t="shared" si="0"/>
        <v>0</v>
      </c>
      <c r="H15" s="458">
        <f t="shared" si="1"/>
        <v>0</v>
      </c>
      <c r="I15" s="452">
        <f t="shared" si="9"/>
        <v>0</v>
      </c>
      <c r="M15" s="399" t="s">
        <v>1064</v>
      </c>
      <c r="N15" s="399" t="s">
        <v>1051</v>
      </c>
      <c r="O15" s="519"/>
      <c r="P15" s="561"/>
      <c r="Q15" s="563">
        <f t="shared" si="2"/>
        <v>0</v>
      </c>
      <c r="R15" s="563">
        <f t="shared" si="3"/>
        <v>0</v>
      </c>
      <c r="S15" s="399">
        <f t="shared" si="4"/>
        <v>0</v>
      </c>
      <c r="T15" s="474">
        <f t="shared" si="5"/>
        <v>0</v>
      </c>
      <c r="U15" s="470">
        <f t="shared" si="6"/>
        <v>25</v>
      </c>
      <c r="V15" s="400">
        <f t="shared" si="7"/>
        <v>0</v>
      </c>
      <c r="W15" s="401"/>
    </row>
    <row r="16" spans="1:23" x14ac:dyDescent="0.2">
      <c r="A16" s="370" t="s">
        <v>1021</v>
      </c>
      <c r="B16" s="518">
        <v>6</v>
      </c>
      <c r="C16" s="450">
        <f>SUM(G16:G27)</f>
        <v>228</v>
      </c>
      <c r="D16" s="451">
        <f>IFERROR(SUM(I16:I27)/C16,0)</f>
        <v>271.91999999999996</v>
      </c>
      <c r="E16" s="514" t="s">
        <v>1062</v>
      </c>
      <c r="F16" s="515">
        <v>0.4</v>
      </c>
      <c r="G16" s="450">
        <f>IFERROR(VLOOKUP(E16,$M$4:$O$27,3,0)*F16*$B$16*20,)</f>
        <v>48.000000000000007</v>
      </c>
      <c r="H16" s="458">
        <f t="shared" si="1"/>
        <v>271.92</v>
      </c>
      <c r="I16" s="452">
        <f t="shared" si="8"/>
        <v>13052.160000000003</v>
      </c>
      <c r="M16" s="399" t="s">
        <v>1023</v>
      </c>
      <c r="N16" s="399" t="s">
        <v>1061</v>
      </c>
      <c r="O16" s="519"/>
      <c r="P16" s="561"/>
      <c r="Q16" s="563">
        <f t="shared" si="2"/>
        <v>0</v>
      </c>
      <c r="R16" s="563">
        <f t="shared" si="3"/>
        <v>0</v>
      </c>
      <c r="S16" s="399">
        <f t="shared" si="4"/>
        <v>0</v>
      </c>
      <c r="T16" s="474">
        <f t="shared" si="5"/>
        <v>0</v>
      </c>
      <c r="U16" s="470">
        <f t="shared" si="6"/>
        <v>15</v>
      </c>
      <c r="V16" s="400">
        <f t="shared" si="7"/>
        <v>0</v>
      </c>
      <c r="W16" s="401"/>
    </row>
    <row r="17" spans="1:23" x14ac:dyDescent="0.2">
      <c r="A17" s="367"/>
      <c r="B17" s="367"/>
      <c r="C17" s="367"/>
      <c r="D17" s="367"/>
      <c r="E17" s="514" t="s">
        <v>1050</v>
      </c>
      <c r="F17" s="515">
        <v>0.25</v>
      </c>
      <c r="G17" s="450">
        <f t="shared" ref="G17:G27" si="10">IFERROR(VLOOKUP(E17,$M$4:$O$27,3,0)*F17*$B$16*20,)</f>
        <v>30</v>
      </c>
      <c r="H17" s="458">
        <f t="shared" si="1"/>
        <v>271.92</v>
      </c>
      <c r="I17" s="452">
        <f t="shared" si="8"/>
        <v>8157.6</v>
      </c>
      <c r="M17" s="399" t="s">
        <v>1065</v>
      </c>
      <c r="N17" s="399" t="s">
        <v>1061</v>
      </c>
      <c r="O17" s="519"/>
      <c r="P17" s="561"/>
      <c r="Q17" s="563">
        <f t="shared" si="2"/>
        <v>0</v>
      </c>
      <c r="R17" s="563">
        <f t="shared" si="3"/>
        <v>0</v>
      </c>
      <c r="S17" s="399">
        <f t="shared" si="4"/>
        <v>0</v>
      </c>
      <c r="T17" s="474">
        <f t="shared" si="5"/>
        <v>0</v>
      </c>
      <c r="U17" s="470">
        <f t="shared" si="6"/>
        <v>15</v>
      </c>
      <c r="V17" s="400">
        <f t="shared" si="7"/>
        <v>0</v>
      </c>
      <c r="W17" s="401"/>
    </row>
    <row r="18" spans="1:23" x14ac:dyDescent="0.2">
      <c r="A18" s="367"/>
      <c r="B18" s="367"/>
      <c r="C18" s="367"/>
      <c r="D18" s="367"/>
      <c r="E18" s="514" t="s">
        <v>1052</v>
      </c>
      <c r="F18" s="515">
        <v>0.25</v>
      </c>
      <c r="G18" s="450">
        <f t="shared" si="10"/>
        <v>30</v>
      </c>
      <c r="H18" s="458">
        <f t="shared" si="1"/>
        <v>271.92</v>
      </c>
      <c r="I18" s="452">
        <f t="shared" si="8"/>
        <v>8157.6</v>
      </c>
      <c r="M18" s="399" t="s">
        <v>1066</v>
      </c>
      <c r="N18" s="399" t="s">
        <v>1051</v>
      </c>
      <c r="O18" s="519"/>
      <c r="P18" s="561"/>
      <c r="Q18" s="563">
        <f t="shared" si="2"/>
        <v>0</v>
      </c>
      <c r="R18" s="563">
        <f t="shared" si="3"/>
        <v>0</v>
      </c>
      <c r="S18" s="399">
        <f t="shared" si="4"/>
        <v>0</v>
      </c>
      <c r="T18" s="474">
        <f t="shared" si="5"/>
        <v>0</v>
      </c>
      <c r="U18" s="470">
        <f t="shared" si="6"/>
        <v>25</v>
      </c>
      <c r="V18" s="400">
        <f t="shared" si="7"/>
        <v>0</v>
      </c>
      <c r="W18" s="401"/>
    </row>
    <row r="19" spans="1:23" ht="30" x14ac:dyDescent="0.2">
      <c r="A19" s="367"/>
      <c r="B19" s="367"/>
      <c r="C19" s="367"/>
      <c r="D19" s="367"/>
      <c r="E19" s="514" t="s">
        <v>1053</v>
      </c>
      <c r="F19" s="515">
        <v>0.15</v>
      </c>
      <c r="G19" s="450">
        <f t="shared" si="10"/>
        <v>18</v>
      </c>
      <c r="H19" s="458">
        <f t="shared" si="1"/>
        <v>271.92</v>
      </c>
      <c r="I19" s="452">
        <f t="shared" si="8"/>
        <v>4894.5600000000004</v>
      </c>
      <c r="M19" s="399" t="s">
        <v>1060</v>
      </c>
      <c r="N19" s="399" t="s">
        <v>1051</v>
      </c>
      <c r="O19" s="519">
        <v>1</v>
      </c>
      <c r="P19" s="561">
        <v>25</v>
      </c>
      <c r="Q19" s="563">
        <f t="shared" si="2"/>
        <v>8.9874999999999989</v>
      </c>
      <c r="R19" s="563">
        <f t="shared" si="3"/>
        <v>33.99</v>
      </c>
      <c r="S19" s="399">
        <f t="shared" si="4"/>
        <v>504</v>
      </c>
      <c r="T19" s="474">
        <f t="shared" si="5"/>
        <v>17130.96</v>
      </c>
      <c r="U19" s="470">
        <f t="shared" si="6"/>
        <v>25</v>
      </c>
      <c r="V19" s="400">
        <f t="shared" si="7"/>
        <v>7.1186440677966104E-2</v>
      </c>
      <c r="W19" s="401"/>
    </row>
    <row r="20" spans="1:23" x14ac:dyDescent="0.2">
      <c r="A20" s="367"/>
      <c r="B20" s="367"/>
      <c r="C20" s="367"/>
      <c r="D20" s="367"/>
      <c r="E20" s="514" t="s">
        <v>1054</v>
      </c>
      <c r="F20" s="515">
        <v>0.2</v>
      </c>
      <c r="G20" s="450">
        <f t="shared" si="10"/>
        <v>24.000000000000004</v>
      </c>
      <c r="H20" s="458">
        <f t="shared" si="1"/>
        <v>271.92</v>
      </c>
      <c r="I20" s="452">
        <f t="shared" si="8"/>
        <v>6526.0800000000017</v>
      </c>
      <c r="M20" s="399" t="s">
        <v>1067</v>
      </c>
      <c r="N20" s="399" t="s">
        <v>1061</v>
      </c>
      <c r="O20" s="519">
        <v>1</v>
      </c>
      <c r="P20" s="561">
        <v>25</v>
      </c>
      <c r="Q20" s="563">
        <f t="shared" si="2"/>
        <v>8.9874999999999989</v>
      </c>
      <c r="R20" s="563">
        <f t="shared" si="3"/>
        <v>33.99</v>
      </c>
      <c r="S20" s="399">
        <f t="shared" si="4"/>
        <v>120</v>
      </c>
      <c r="T20" s="474">
        <f t="shared" si="5"/>
        <v>4078.8</v>
      </c>
      <c r="U20" s="470">
        <f t="shared" si="6"/>
        <v>15</v>
      </c>
      <c r="V20" s="400">
        <f t="shared" si="7"/>
        <v>1.6949152542372881E-2</v>
      </c>
      <c r="W20" s="401"/>
    </row>
    <row r="21" spans="1:23" x14ac:dyDescent="0.2">
      <c r="A21" s="367"/>
      <c r="B21" s="367"/>
      <c r="C21" s="367"/>
      <c r="D21" s="367"/>
      <c r="E21" s="514" t="s">
        <v>1056</v>
      </c>
      <c r="F21" s="515">
        <v>0</v>
      </c>
      <c r="G21" s="450">
        <f t="shared" si="10"/>
        <v>0</v>
      </c>
      <c r="H21" s="458">
        <f t="shared" si="1"/>
        <v>271.92</v>
      </c>
      <c r="I21" s="452">
        <f t="shared" si="8"/>
        <v>0</v>
      </c>
      <c r="M21" s="399" t="s">
        <v>1068</v>
      </c>
      <c r="N21" s="399" t="s">
        <v>1061</v>
      </c>
      <c r="O21" s="519"/>
      <c r="P21" s="561"/>
      <c r="Q21" s="563">
        <f t="shared" si="2"/>
        <v>0</v>
      </c>
      <c r="R21" s="563">
        <f t="shared" si="3"/>
        <v>0</v>
      </c>
      <c r="S21" s="399">
        <f t="shared" si="4"/>
        <v>0</v>
      </c>
      <c r="T21" s="474">
        <f t="shared" si="5"/>
        <v>0</v>
      </c>
      <c r="U21" s="470">
        <f t="shared" si="6"/>
        <v>15</v>
      </c>
      <c r="V21" s="400">
        <f t="shared" si="7"/>
        <v>0</v>
      </c>
      <c r="W21" s="401"/>
    </row>
    <row r="22" spans="1:23" x14ac:dyDescent="0.2">
      <c r="A22" s="367"/>
      <c r="B22" s="565"/>
      <c r="C22" s="565"/>
      <c r="D22" s="566"/>
      <c r="E22" s="514" t="s">
        <v>1058</v>
      </c>
      <c r="F22" s="515">
        <v>0.1</v>
      </c>
      <c r="G22" s="450">
        <f t="shared" si="10"/>
        <v>12.000000000000002</v>
      </c>
      <c r="H22" s="458">
        <f t="shared" si="1"/>
        <v>271.92</v>
      </c>
      <c r="I22" s="452">
        <f t="shared" si="8"/>
        <v>3263.0400000000009</v>
      </c>
      <c r="M22" s="399" t="s">
        <v>1056</v>
      </c>
      <c r="N22" s="399" t="s">
        <v>1051</v>
      </c>
      <c r="O22" s="519">
        <v>1</v>
      </c>
      <c r="P22" s="561">
        <v>25</v>
      </c>
      <c r="Q22" s="563">
        <f t="shared" si="2"/>
        <v>8.9874999999999989</v>
      </c>
      <c r="R22" s="563">
        <f t="shared" si="3"/>
        <v>33.99</v>
      </c>
      <c r="S22" s="399">
        <f t="shared" si="4"/>
        <v>200</v>
      </c>
      <c r="T22" s="474">
        <f t="shared" si="5"/>
        <v>6798</v>
      </c>
      <c r="U22" s="470">
        <f t="shared" si="6"/>
        <v>25</v>
      </c>
      <c r="V22" s="400">
        <f t="shared" si="7"/>
        <v>2.8248587570621469E-2</v>
      </c>
      <c r="W22" s="401"/>
    </row>
    <row r="23" spans="1:23" x14ac:dyDescent="0.2">
      <c r="A23" s="367"/>
      <c r="B23" s="367"/>
      <c r="C23" s="367"/>
      <c r="D23" s="367"/>
      <c r="E23" s="514" t="s">
        <v>1060</v>
      </c>
      <c r="F23" s="515">
        <v>0.25</v>
      </c>
      <c r="G23" s="450">
        <f t="shared" si="10"/>
        <v>30</v>
      </c>
      <c r="H23" s="458">
        <f t="shared" si="1"/>
        <v>271.92</v>
      </c>
      <c r="I23" s="452">
        <f t="shared" si="8"/>
        <v>8157.6</v>
      </c>
      <c r="M23" s="399" t="s">
        <v>1058</v>
      </c>
      <c r="N23" s="399" t="s">
        <v>1051</v>
      </c>
      <c r="O23" s="519">
        <v>1</v>
      </c>
      <c r="P23" s="561">
        <v>25</v>
      </c>
      <c r="Q23" s="563">
        <f t="shared" si="2"/>
        <v>8.9874999999999989</v>
      </c>
      <c r="R23" s="563">
        <f t="shared" si="3"/>
        <v>33.99</v>
      </c>
      <c r="S23" s="399">
        <f t="shared" si="4"/>
        <v>360</v>
      </c>
      <c r="T23" s="474">
        <f t="shared" si="5"/>
        <v>12236.400000000001</v>
      </c>
      <c r="U23" s="470">
        <f t="shared" si="6"/>
        <v>25</v>
      </c>
      <c r="V23" s="400">
        <f t="shared" si="7"/>
        <v>5.0847457627118647E-2</v>
      </c>
      <c r="W23" s="401"/>
    </row>
    <row r="24" spans="1:23" x14ac:dyDescent="0.2">
      <c r="A24" s="367"/>
      <c r="B24" s="367"/>
      <c r="C24" s="367"/>
      <c r="D24" s="367"/>
      <c r="E24" s="514" t="s">
        <v>1057</v>
      </c>
      <c r="F24" s="515">
        <v>0.25</v>
      </c>
      <c r="G24" s="450">
        <f t="shared" si="10"/>
        <v>30</v>
      </c>
      <c r="H24" s="458">
        <f t="shared" si="1"/>
        <v>271.92</v>
      </c>
      <c r="I24" s="452">
        <f t="shared" si="8"/>
        <v>8157.6</v>
      </c>
      <c r="M24" s="520"/>
      <c r="N24" s="520"/>
      <c r="O24" s="519"/>
      <c r="P24" s="561"/>
      <c r="Q24" s="563">
        <f t="shared" si="2"/>
        <v>0</v>
      </c>
      <c r="R24" s="563">
        <f t="shared" si="3"/>
        <v>0</v>
      </c>
      <c r="S24" s="399">
        <f t="shared" si="4"/>
        <v>0</v>
      </c>
      <c r="T24" s="474">
        <f t="shared" si="5"/>
        <v>0</v>
      </c>
      <c r="U24" s="470">
        <f t="shared" si="6"/>
        <v>15</v>
      </c>
      <c r="V24" s="400">
        <f t="shared" si="7"/>
        <v>0</v>
      </c>
      <c r="W24" s="401"/>
    </row>
    <row r="25" spans="1:23" x14ac:dyDescent="0.2">
      <c r="A25" s="367"/>
      <c r="B25" s="367"/>
      <c r="C25" s="367"/>
      <c r="D25" s="367"/>
      <c r="E25" s="514" t="s">
        <v>1055</v>
      </c>
      <c r="F25" s="515">
        <v>0.05</v>
      </c>
      <c r="G25" s="450">
        <f t="shared" si="10"/>
        <v>6.0000000000000009</v>
      </c>
      <c r="H25" s="458">
        <f t="shared" si="1"/>
        <v>271.92</v>
      </c>
      <c r="I25" s="452">
        <f t="shared" si="8"/>
        <v>1631.5200000000004</v>
      </c>
      <c r="M25" s="520"/>
      <c r="N25" s="520"/>
      <c r="O25" s="519"/>
      <c r="P25" s="561"/>
      <c r="Q25" s="563">
        <f t="shared" si="2"/>
        <v>0</v>
      </c>
      <c r="R25" s="563">
        <f t="shared" si="3"/>
        <v>0</v>
      </c>
      <c r="S25" s="399">
        <f t="shared" si="4"/>
        <v>0</v>
      </c>
      <c r="T25" s="474">
        <f t="shared" si="5"/>
        <v>0</v>
      </c>
      <c r="U25" s="470">
        <f t="shared" si="6"/>
        <v>15</v>
      </c>
      <c r="V25" s="400">
        <f t="shared" si="7"/>
        <v>0</v>
      </c>
      <c r="W25" s="401"/>
    </row>
    <row r="26" spans="1:23" x14ac:dyDescent="0.2">
      <c r="A26" s="367"/>
      <c r="B26" s="367"/>
      <c r="C26" s="367"/>
      <c r="D26" s="367"/>
      <c r="E26" s="514"/>
      <c r="F26" s="515"/>
      <c r="G26" s="450">
        <f t="shared" si="10"/>
        <v>0</v>
      </c>
      <c r="H26" s="458">
        <f t="shared" si="1"/>
        <v>0</v>
      </c>
      <c r="I26" s="452">
        <f t="shared" si="8"/>
        <v>0</v>
      </c>
      <c r="M26" s="520"/>
      <c r="N26" s="520"/>
      <c r="O26" s="519"/>
      <c r="P26" s="561"/>
      <c r="Q26" s="563">
        <f t="shared" si="2"/>
        <v>0</v>
      </c>
      <c r="R26" s="563">
        <f t="shared" si="3"/>
        <v>0</v>
      </c>
      <c r="S26" s="399">
        <f t="shared" si="4"/>
        <v>0</v>
      </c>
      <c r="T26" s="474">
        <f t="shared" si="5"/>
        <v>0</v>
      </c>
      <c r="U26" s="470">
        <f t="shared" ref="U26:U27" si="11">IF(N26="hlavná",25,15)</f>
        <v>15</v>
      </c>
      <c r="V26" s="400">
        <f t="shared" si="7"/>
        <v>0</v>
      </c>
      <c r="W26" s="401"/>
    </row>
    <row r="27" spans="1:23" x14ac:dyDescent="0.2">
      <c r="A27" s="367"/>
      <c r="B27" s="367"/>
      <c r="C27" s="367"/>
      <c r="D27" s="367"/>
      <c r="E27" s="514"/>
      <c r="F27" s="515"/>
      <c r="G27" s="450">
        <f t="shared" si="10"/>
        <v>0</v>
      </c>
      <c r="H27" s="458">
        <f t="shared" si="1"/>
        <v>0</v>
      </c>
      <c r="I27" s="452">
        <f t="shared" si="8"/>
        <v>0</v>
      </c>
      <c r="M27" s="520"/>
      <c r="N27" s="520"/>
      <c r="O27" s="519"/>
      <c r="P27" s="561"/>
      <c r="Q27" s="563">
        <f t="shared" si="2"/>
        <v>0</v>
      </c>
      <c r="R27" s="563">
        <f t="shared" si="3"/>
        <v>0</v>
      </c>
      <c r="S27" s="399">
        <f t="shared" si="4"/>
        <v>0</v>
      </c>
      <c r="T27" s="474">
        <f t="shared" si="5"/>
        <v>0</v>
      </c>
      <c r="U27" s="470">
        <f t="shared" si="11"/>
        <v>15</v>
      </c>
      <c r="V27" s="400">
        <f t="shared" si="7"/>
        <v>0</v>
      </c>
      <c r="W27" s="401"/>
    </row>
    <row r="28" spans="1:23" x14ac:dyDescent="0.2">
      <c r="A28" s="370" t="s">
        <v>1028</v>
      </c>
      <c r="B28" s="518">
        <v>4</v>
      </c>
      <c r="C28" s="450">
        <f>SUM(G28:G39)</f>
        <v>112</v>
      </c>
      <c r="D28" s="451">
        <f>IFERROR(SUM(I28:I39)/C28,0)</f>
        <v>271.92</v>
      </c>
      <c r="E28" s="514" t="s">
        <v>1062</v>
      </c>
      <c r="F28" s="515">
        <v>0.15</v>
      </c>
      <c r="G28" s="450">
        <f>IFERROR(VLOOKUP(E28,$M$4:$O$27,3,0)*F28*$B$28*20,)</f>
        <v>12</v>
      </c>
      <c r="H28" s="458">
        <f t="shared" si="1"/>
        <v>271.92</v>
      </c>
      <c r="I28" s="452">
        <f t="shared" si="8"/>
        <v>3263.04</v>
      </c>
    </row>
    <row r="29" spans="1:23" x14ac:dyDescent="0.2">
      <c r="A29" s="367"/>
      <c r="B29" s="367"/>
      <c r="C29" s="367"/>
      <c r="D29" s="367"/>
      <c r="E29" s="514" t="s">
        <v>1050</v>
      </c>
      <c r="F29" s="515">
        <v>0.15</v>
      </c>
      <c r="G29" s="450">
        <f t="shared" ref="G29:G39" si="12">IFERROR(VLOOKUP(E29,$M$4:$O$27,3,0)*F29*$B$28*20,)</f>
        <v>12</v>
      </c>
      <c r="H29" s="458">
        <f t="shared" si="1"/>
        <v>271.92</v>
      </c>
      <c r="I29" s="452">
        <f t="shared" si="8"/>
        <v>3263.04</v>
      </c>
    </row>
    <row r="30" spans="1:23" x14ac:dyDescent="0.2">
      <c r="A30" s="367"/>
      <c r="B30" s="367"/>
      <c r="C30" s="367"/>
      <c r="D30" s="367"/>
      <c r="E30" s="514" t="s">
        <v>1052</v>
      </c>
      <c r="F30" s="515">
        <v>0.15</v>
      </c>
      <c r="G30" s="450">
        <f t="shared" si="12"/>
        <v>12</v>
      </c>
      <c r="H30" s="458">
        <f t="shared" si="1"/>
        <v>271.92</v>
      </c>
      <c r="I30" s="452">
        <f t="shared" si="8"/>
        <v>3263.04</v>
      </c>
    </row>
    <row r="31" spans="1:23" x14ac:dyDescent="0.2">
      <c r="A31" s="367"/>
      <c r="B31" s="367"/>
      <c r="C31" s="367"/>
      <c r="D31" s="367"/>
      <c r="E31" s="514" t="s">
        <v>1053</v>
      </c>
      <c r="F31" s="515">
        <v>0.25</v>
      </c>
      <c r="G31" s="450">
        <f t="shared" si="12"/>
        <v>20</v>
      </c>
      <c r="H31" s="458">
        <f t="shared" si="1"/>
        <v>271.92</v>
      </c>
      <c r="I31" s="452">
        <f t="shared" si="8"/>
        <v>5438.4000000000005</v>
      </c>
    </row>
    <row r="32" spans="1:23" x14ac:dyDescent="0.2">
      <c r="A32" s="367"/>
      <c r="B32" s="367"/>
      <c r="C32" s="367"/>
      <c r="D32" s="367"/>
      <c r="E32" s="514" t="s">
        <v>1054</v>
      </c>
      <c r="F32" s="515">
        <v>0.2</v>
      </c>
      <c r="G32" s="450">
        <f t="shared" si="12"/>
        <v>16</v>
      </c>
      <c r="H32" s="458">
        <f t="shared" si="1"/>
        <v>271.92</v>
      </c>
      <c r="I32" s="452">
        <f t="shared" si="8"/>
        <v>4350.72</v>
      </c>
    </row>
    <row r="33" spans="1:9" x14ac:dyDescent="0.2">
      <c r="A33" s="367"/>
      <c r="B33" s="367"/>
      <c r="C33" s="367"/>
      <c r="D33" s="367"/>
      <c r="E33" s="514" t="s">
        <v>1056</v>
      </c>
      <c r="F33" s="515">
        <v>0</v>
      </c>
      <c r="G33" s="450">
        <f t="shared" si="12"/>
        <v>0</v>
      </c>
      <c r="H33" s="458">
        <f t="shared" si="1"/>
        <v>271.92</v>
      </c>
      <c r="I33" s="452">
        <f t="shared" si="8"/>
        <v>0</v>
      </c>
    </row>
    <row r="34" spans="1:9" x14ac:dyDescent="0.2">
      <c r="A34" s="367"/>
      <c r="B34" s="367"/>
      <c r="C34" s="367"/>
      <c r="D34" s="367"/>
      <c r="E34" s="514" t="s">
        <v>1058</v>
      </c>
      <c r="F34" s="515">
        <v>0.1</v>
      </c>
      <c r="G34" s="450">
        <f t="shared" si="12"/>
        <v>8</v>
      </c>
      <c r="H34" s="458">
        <f t="shared" si="1"/>
        <v>271.92</v>
      </c>
      <c r="I34" s="452">
        <f t="shared" ref="I34:I39" si="13">G34*H34</f>
        <v>2175.36</v>
      </c>
    </row>
    <row r="35" spans="1:9" x14ac:dyDescent="0.2">
      <c r="A35" s="367"/>
      <c r="B35" s="367"/>
      <c r="C35" s="367"/>
      <c r="D35" s="367"/>
      <c r="E35" s="514" t="s">
        <v>1060</v>
      </c>
      <c r="F35" s="515">
        <v>0.1</v>
      </c>
      <c r="G35" s="450">
        <f t="shared" si="12"/>
        <v>8</v>
      </c>
      <c r="H35" s="458">
        <f t="shared" si="1"/>
        <v>271.92</v>
      </c>
      <c r="I35" s="452">
        <f t="shared" si="13"/>
        <v>2175.36</v>
      </c>
    </row>
    <row r="36" spans="1:9" x14ac:dyDescent="0.2">
      <c r="A36" s="367"/>
      <c r="B36" s="367"/>
      <c r="C36" s="367"/>
      <c r="D36" s="367"/>
      <c r="E36" s="514" t="s">
        <v>1057</v>
      </c>
      <c r="F36" s="515">
        <v>0.25</v>
      </c>
      <c r="G36" s="450">
        <f t="shared" si="12"/>
        <v>20</v>
      </c>
      <c r="H36" s="458">
        <f t="shared" si="1"/>
        <v>271.92</v>
      </c>
      <c r="I36" s="452">
        <f t="shared" si="13"/>
        <v>5438.4000000000005</v>
      </c>
    </row>
    <row r="37" spans="1:9" x14ac:dyDescent="0.2">
      <c r="A37" s="367"/>
      <c r="B37" s="367"/>
      <c r="C37" s="367"/>
      <c r="D37" s="367"/>
      <c r="E37" s="514" t="s">
        <v>1055</v>
      </c>
      <c r="F37" s="515">
        <v>0.05</v>
      </c>
      <c r="G37" s="450">
        <f t="shared" si="12"/>
        <v>4</v>
      </c>
      <c r="H37" s="458">
        <f t="shared" si="1"/>
        <v>271.92</v>
      </c>
      <c r="I37" s="452">
        <f t="shared" si="13"/>
        <v>1087.68</v>
      </c>
    </row>
    <row r="38" spans="1:9" x14ac:dyDescent="0.2">
      <c r="A38" s="367"/>
      <c r="B38" s="367"/>
      <c r="C38" s="367"/>
      <c r="D38" s="367"/>
      <c r="E38" s="514"/>
      <c r="F38" s="515"/>
      <c r="G38" s="450">
        <f t="shared" si="12"/>
        <v>0</v>
      </c>
      <c r="H38" s="458">
        <f t="shared" si="1"/>
        <v>0</v>
      </c>
      <c r="I38" s="452">
        <f t="shared" si="13"/>
        <v>0</v>
      </c>
    </row>
    <row r="39" spans="1:9" x14ac:dyDescent="0.2">
      <c r="A39" s="367"/>
      <c r="B39" s="367"/>
      <c r="C39" s="367"/>
      <c r="D39" s="367"/>
      <c r="E39" s="514"/>
      <c r="F39" s="515"/>
      <c r="G39" s="450">
        <f t="shared" si="12"/>
        <v>0</v>
      </c>
      <c r="H39" s="458">
        <f t="shared" si="1"/>
        <v>0</v>
      </c>
      <c r="I39" s="452">
        <f t="shared" si="13"/>
        <v>0</v>
      </c>
    </row>
    <row r="40" spans="1:9" x14ac:dyDescent="0.2">
      <c r="A40" s="370" t="s">
        <v>1069</v>
      </c>
      <c r="B40" s="518">
        <v>15</v>
      </c>
      <c r="C40" s="450">
        <f>SUM(G40:G51)</f>
        <v>300</v>
      </c>
      <c r="D40" s="451">
        <f>IFERROR(SUM(I40:I51)/C40,)</f>
        <v>271.92</v>
      </c>
      <c r="E40" s="514" t="s">
        <v>1024</v>
      </c>
      <c r="F40" s="515">
        <v>1</v>
      </c>
      <c r="G40" s="450">
        <f>IFERROR(VLOOKUP(E40,$M$4:$O$27,3,0)*F40*$B$40*20,)</f>
        <v>300</v>
      </c>
      <c r="H40" s="458">
        <f t="shared" si="1"/>
        <v>271.92</v>
      </c>
      <c r="I40" s="452">
        <f t="shared" ref="I40:I45" si="14">G40*H40</f>
        <v>81576</v>
      </c>
    </row>
    <row r="41" spans="1:9" x14ac:dyDescent="0.2">
      <c r="A41" s="367"/>
      <c r="B41" s="367"/>
      <c r="C41" s="367"/>
      <c r="D41" s="367"/>
      <c r="E41" s="514"/>
      <c r="F41" s="515"/>
      <c r="G41" s="450">
        <f t="shared" ref="G41:G51" si="15">IFERROR(VLOOKUP(E41,$M$4:$O$27,3,0)*F41*$B$40*20,)</f>
        <v>0</v>
      </c>
      <c r="H41" s="458">
        <f t="shared" si="1"/>
        <v>0</v>
      </c>
      <c r="I41" s="452">
        <f t="shared" si="14"/>
        <v>0</v>
      </c>
    </row>
    <row r="42" spans="1:9" x14ac:dyDescent="0.2">
      <c r="A42" s="367"/>
      <c r="B42" s="367"/>
      <c r="C42" s="367"/>
      <c r="D42" s="367"/>
      <c r="E42" s="514"/>
      <c r="F42" s="515"/>
      <c r="G42" s="450">
        <f t="shared" si="15"/>
        <v>0</v>
      </c>
      <c r="H42" s="458">
        <f t="shared" si="1"/>
        <v>0</v>
      </c>
      <c r="I42" s="452">
        <f t="shared" si="14"/>
        <v>0</v>
      </c>
    </row>
    <row r="43" spans="1:9" x14ac:dyDescent="0.2">
      <c r="A43" s="367"/>
      <c r="B43" s="367"/>
      <c r="C43" s="367"/>
      <c r="D43" s="367"/>
      <c r="E43" s="514"/>
      <c r="F43" s="515"/>
      <c r="G43" s="450">
        <f t="shared" si="15"/>
        <v>0</v>
      </c>
      <c r="H43" s="458">
        <f t="shared" si="1"/>
        <v>0</v>
      </c>
      <c r="I43" s="452">
        <f t="shared" si="14"/>
        <v>0</v>
      </c>
    </row>
    <row r="44" spans="1:9" x14ac:dyDescent="0.2">
      <c r="A44" s="367"/>
      <c r="B44" s="367"/>
      <c r="C44" s="367"/>
      <c r="D44" s="367"/>
      <c r="E44" s="514"/>
      <c r="F44" s="515"/>
      <c r="G44" s="450">
        <f t="shared" si="15"/>
        <v>0</v>
      </c>
      <c r="H44" s="458">
        <f t="shared" si="1"/>
        <v>0</v>
      </c>
      <c r="I44" s="452">
        <f t="shared" si="14"/>
        <v>0</v>
      </c>
    </row>
    <row r="45" spans="1:9" x14ac:dyDescent="0.2">
      <c r="A45" s="367"/>
      <c r="B45" s="367"/>
      <c r="C45" s="367"/>
      <c r="D45" s="367"/>
      <c r="E45" s="514"/>
      <c r="F45" s="515"/>
      <c r="G45" s="450">
        <f t="shared" si="15"/>
        <v>0</v>
      </c>
      <c r="H45" s="458">
        <f t="shared" si="1"/>
        <v>0</v>
      </c>
      <c r="I45" s="452">
        <f t="shared" si="14"/>
        <v>0</v>
      </c>
    </row>
    <row r="46" spans="1:9" x14ac:dyDescent="0.2">
      <c r="E46" s="514"/>
      <c r="F46" s="515"/>
      <c r="G46" s="450">
        <f t="shared" si="15"/>
        <v>0</v>
      </c>
      <c r="H46" s="458">
        <f t="shared" si="1"/>
        <v>0</v>
      </c>
      <c r="I46" s="452">
        <f t="shared" ref="I46:I50" si="16">G46*H46</f>
        <v>0</v>
      </c>
    </row>
    <row r="47" spans="1:9" x14ac:dyDescent="0.2">
      <c r="E47" s="514"/>
      <c r="F47" s="515"/>
      <c r="G47" s="450">
        <f t="shared" si="15"/>
        <v>0</v>
      </c>
      <c r="H47" s="458">
        <f t="shared" si="1"/>
        <v>0</v>
      </c>
      <c r="I47" s="452">
        <f t="shared" si="16"/>
        <v>0</v>
      </c>
    </row>
    <row r="48" spans="1:9" x14ac:dyDescent="0.2">
      <c r="E48" s="514"/>
      <c r="F48" s="515"/>
      <c r="G48" s="450">
        <f t="shared" si="15"/>
        <v>0</v>
      </c>
      <c r="H48" s="458">
        <f t="shared" si="1"/>
        <v>0</v>
      </c>
      <c r="I48" s="452">
        <f t="shared" si="16"/>
        <v>0</v>
      </c>
    </row>
    <row r="49" spans="1:9" x14ac:dyDescent="0.2">
      <c r="E49" s="514"/>
      <c r="F49" s="515"/>
      <c r="G49" s="450">
        <f t="shared" si="15"/>
        <v>0</v>
      </c>
      <c r="H49" s="458">
        <f t="shared" si="1"/>
        <v>0</v>
      </c>
      <c r="I49" s="452">
        <f t="shared" si="16"/>
        <v>0</v>
      </c>
    </row>
    <row r="50" spans="1:9" x14ac:dyDescent="0.2">
      <c r="E50" s="514"/>
      <c r="F50" s="515"/>
      <c r="G50" s="450">
        <f t="shared" si="15"/>
        <v>0</v>
      </c>
      <c r="H50" s="458">
        <f t="shared" si="1"/>
        <v>0</v>
      </c>
      <c r="I50" s="452">
        <f t="shared" si="16"/>
        <v>0</v>
      </c>
    </row>
    <row r="51" spans="1:9" x14ac:dyDescent="0.2">
      <c r="E51" s="514"/>
      <c r="F51" s="515"/>
      <c r="G51" s="450">
        <f t="shared" si="15"/>
        <v>0</v>
      </c>
      <c r="H51" s="458">
        <f t="shared" si="1"/>
        <v>0</v>
      </c>
      <c r="I51" s="452">
        <f t="shared" ref="I51:I62" si="17">G51*H51</f>
        <v>0</v>
      </c>
    </row>
    <row r="52" spans="1:9" x14ac:dyDescent="0.2">
      <c r="A52" s="370" t="s">
        <v>1070</v>
      </c>
      <c r="B52" s="518">
        <v>15</v>
      </c>
      <c r="C52" s="450">
        <f>SUM(G52:G63)</f>
        <v>15</v>
      </c>
      <c r="D52" s="451">
        <f>IFERROR(SUM(I52:I63)/C52,)</f>
        <v>9301.189339999999</v>
      </c>
      <c r="E52" s="514" t="s">
        <v>1067</v>
      </c>
      <c r="F52" s="515">
        <v>0.05</v>
      </c>
      <c r="G52" s="450">
        <f>IFERROR(VLOOKUP(E52,$M$4:$O$27,3,0)*F52*$B$52*20,)</f>
        <v>15</v>
      </c>
      <c r="H52" s="458">
        <f t="shared" si="1"/>
        <v>271.92</v>
      </c>
      <c r="I52" s="452">
        <f t="shared" si="17"/>
        <v>4078.8</v>
      </c>
    </row>
    <row r="53" spans="1:9" x14ac:dyDescent="0.2">
      <c r="A53" s="367"/>
      <c r="B53" s="367"/>
      <c r="C53" s="367"/>
      <c r="D53" s="367"/>
      <c r="E53" s="514"/>
      <c r="F53" s="515"/>
      <c r="G53" s="450">
        <f t="shared" ref="G53:G62" si="18">IFERROR(VLOOKUP(E53,$M$4:$O$27,3,0)*F53*$B$52*20,)</f>
        <v>0</v>
      </c>
      <c r="H53" s="458">
        <f t="shared" si="1"/>
        <v>0</v>
      </c>
      <c r="I53" s="452">
        <f t="shared" si="17"/>
        <v>0</v>
      </c>
    </row>
    <row r="54" spans="1:9" x14ac:dyDescent="0.2">
      <c r="A54" s="367"/>
      <c r="B54" s="367"/>
      <c r="C54" s="367"/>
      <c r="D54" s="367"/>
      <c r="E54" s="514"/>
      <c r="F54" s="515"/>
      <c r="G54" s="450">
        <f t="shared" si="18"/>
        <v>0</v>
      </c>
      <c r="H54" s="458">
        <f t="shared" si="1"/>
        <v>0</v>
      </c>
      <c r="I54" s="452">
        <f t="shared" si="17"/>
        <v>0</v>
      </c>
    </row>
    <row r="55" spans="1:9" x14ac:dyDescent="0.2">
      <c r="A55" s="367"/>
      <c r="B55" s="367"/>
      <c r="C55" s="367"/>
      <c r="D55" s="367"/>
      <c r="E55" s="514"/>
      <c r="F55" s="515"/>
      <c r="G55" s="450">
        <f t="shared" si="18"/>
        <v>0</v>
      </c>
      <c r="H55" s="458">
        <f t="shared" si="1"/>
        <v>0</v>
      </c>
      <c r="I55" s="452">
        <f t="shared" si="17"/>
        <v>0</v>
      </c>
    </row>
    <row r="56" spans="1:9" x14ac:dyDescent="0.2">
      <c r="A56" s="367"/>
      <c r="B56" s="367"/>
      <c r="C56" s="367"/>
      <c r="D56" s="367"/>
      <c r="E56" s="514"/>
      <c r="F56" s="515"/>
      <c r="G56" s="450">
        <f t="shared" si="18"/>
        <v>0</v>
      </c>
      <c r="H56" s="458">
        <f t="shared" si="1"/>
        <v>0</v>
      </c>
      <c r="I56" s="452">
        <f t="shared" si="17"/>
        <v>0</v>
      </c>
    </row>
    <row r="57" spans="1:9" x14ac:dyDescent="0.2">
      <c r="A57" s="367"/>
      <c r="B57" s="367"/>
      <c r="C57" s="367"/>
      <c r="D57" s="367"/>
      <c r="E57" s="514"/>
      <c r="F57" s="515"/>
      <c r="G57" s="450">
        <f t="shared" si="18"/>
        <v>0</v>
      </c>
      <c r="H57" s="458">
        <f t="shared" si="1"/>
        <v>0</v>
      </c>
      <c r="I57" s="452">
        <f t="shared" si="17"/>
        <v>0</v>
      </c>
    </row>
    <row r="58" spans="1:9" x14ac:dyDescent="0.2">
      <c r="E58" s="514"/>
      <c r="F58" s="515"/>
      <c r="G58" s="450">
        <f t="shared" si="18"/>
        <v>0</v>
      </c>
      <c r="H58" s="458">
        <f t="shared" si="1"/>
        <v>0</v>
      </c>
      <c r="I58" s="452">
        <f t="shared" si="17"/>
        <v>0</v>
      </c>
    </row>
    <row r="59" spans="1:9" x14ac:dyDescent="0.2">
      <c r="E59" s="514"/>
      <c r="F59" s="515"/>
      <c r="G59" s="450">
        <f t="shared" si="18"/>
        <v>0</v>
      </c>
      <c r="H59" s="458">
        <f t="shared" si="1"/>
        <v>0</v>
      </c>
      <c r="I59" s="452">
        <f t="shared" si="17"/>
        <v>0</v>
      </c>
    </row>
    <row r="60" spans="1:9" x14ac:dyDescent="0.2">
      <c r="E60" s="514"/>
      <c r="F60" s="515"/>
      <c r="G60" s="450">
        <f t="shared" si="18"/>
        <v>0</v>
      </c>
      <c r="H60" s="458">
        <f t="shared" si="1"/>
        <v>0</v>
      </c>
      <c r="I60" s="452">
        <f t="shared" si="17"/>
        <v>0</v>
      </c>
    </row>
    <row r="61" spans="1:9" x14ac:dyDescent="0.2">
      <c r="E61" s="514"/>
      <c r="F61" s="515"/>
      <c r="G61" s="450">
        <f t="shared" si="18"/>
        <v>0</v>
      </c>
      <c r="H61" s="458">
        <f t="shared" si="1"/>
        <v>0</v>
      </c>
      <c r="I61" s="452">
        <f t="shared" si="17"/>
        <v>0</v>
      </c>
    </row>
    <row r="62" spans="1:9" x14ac:dyDescent="0.2">
      <c r="E62" s="514"/>
      <c r="F62" s="515"/>
      <c r="G62" s="450">
        <f t="shared" si="18"/>
        <v>0</v>
      </c>
      <c r="H62" s="458">
        <f t="shared" si="1"/>
        <v>0</v>
      </c>
      <c r="I62" s="452">
        <f t="shared" si="17"/>
        <v>0</v>
      </c>
    </row>
    <row r="63" spans="1:9" x14ac:dyDescent="0.2">
      <c r="A63" s="370" t="str">
        <f>IF(SUM('Zdroje Financovania'!L3:L21)&gt;0,TEXT("Saldokonto - Pomocný výpočet",),TEXT(" ",))</f>
        <v>Saldokonto - Pomocný výpočet</v>
      </c>
      <c r="B63" s="864"/>
      <c r="C63" s="865"/>
      <c r="D63" s="865"/>
      <c r="E63" s="865"/>
      <c r="F63" s="865"/>
      <c r="G63" s="865"/>
      <c r="H63" s="866"/>
      <c r="I63" s="452">
        <f>IF(SUM('Zdroje Financovania'!L3:L21)&gt;0,I64-(SUM(I40:I62)+SUM(AKTIVITY_POZICIE!M41:M64)*1.23),0)</f>
        <v>135439.04009999998</v>
      </c>
    </row>
    <row r="64" spans="1:9" x14ac:dyDescent="0.2">
      <c r="A64" s="370" t="str">
        <f>IF(SUM('Zdroje Financovania'!L3:L21)&gt;0,TEXT("Podporné aktivity",),TEXT(" ",))</f>
        <v>Podporné aktivity</v>
      </c>
      <c r="B64" s="867" t="str">
        <f>IF(SUM('Zdroje Financovania'!L3:L21)&gt;0,TEXT("907 - Paušálna sadzba na nepriame výdavky podľa článku 54 písm. a) NSU",),TEXT(" ",))</f>
        <v>907 - Paušálna sadzba na nepriame výdavky podľa článku 54 písm. a) NSU</v>
      </c>
      <c r="C64" s="868"/>
      <c r="D64" s="868"/>
      <c r="E64" s="868"/>
      <c r="F64" s="868"/>
      <c r="G64" s="868"/>
      <c r="H64" s="622">
        <f>IF(SUM('Zdroje Financovania'!L3:L21)&gt;0,0.07,0)</f>
        <v>7.0000000000000007E-2</v>
      </c>
      <c r="I64" s="716">
        <f>IF(SUM('Zdroje Financovania'!L3:L21)&gt;0,H64*(AKTIVITY_POZICIE!M1*1.23+POZICIE_INTERNE!I1+'Rozpočet - HW a licencie'!J1),0)</f>
        <v>221093.8401</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6" operator="greaterThan">
      <formula>0.2</formula>
    </cfRule>
  </conditionalFormatting>
  <dataValidations count="1">
    <dataValidation type="list" allowBlank="1" showInputMessage="1" showErrorMessage="1" sqref="E4:E62" xr:uid="{00000000-0002-0000-1000-000000000000}">
      <formula1>Pozicia</formula1>
    </dataValidation>
  </dataValidations>
  <pageMargins left="0.7" right="0.7" top="0.75" bottom="0.75" header="0.3" footer="0.3"/>
  <pageSetup paperSize="9" orientation="portrait" horizontalDpi="4294967293"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rgb="FF00B050"/>
  </sheetPr>
  <dimension ref="A1:P65"/>
  <sheetViews>
    <sheetView workbookViewId="0">
      <selection activeCell="J3" sqref="J3"/>
    </sheetView>
  </sheetViews>
  <sheetFormatPr baseColWidth="10" defaultColWidth="8.6640625" defaultRowHeight="15" x14ac:dyDescent="0.2"/>
  <cols>
    <col min="1" max="1" width="9.5" style="365" customWidth="1"/>
    <col min="2" max="2" width="36.33203125" style="365" customWidth="1"/>
    <col min="3" max="3" width="31.33203125" style="365" customWidth="1"/>
    <col min="4" max="4" width="51.5" style="365" customWidth="1"/>
    <col min="5" max="5" width="14.1640625" style="365" bestFit="1" customWidth="1"/>
    <col min="6" max="6" width="14.1640625" style="365" customWidth="1"/>
    <col min="7" max="7" width="13.6640625" style="365" customWidth="1"/>
    <col min="8" max="8" width="14.6640625" style="365" customWidth="1"/>
    <col min="9" max="9" width="14.6640625" style="372" customWidth="1"/>
    <col min="10" max="11" width="14.6640625" style="365" customWidth="1"/>
    <col min="12" max="12" width="52.1640625" style="365" customWidth="1"/>
    <col min="13" max="14" width="8.6640625" style="365"/>
    <col min="15" max="15" width="11.5" style="365" bestFit="1" customWidth="1"/>
    <col min="16" max="16384" width="8.6640625" style="365"/>
  </cols>
  <sheetData>
    <row r="1" spans="1:16" x14ac:dyDescent="0.2">
      <c r="A1" s="872" t="s">
        <v>1071</v>
      </c>
      <c r="B1" s="873"/>
      <c r="C1" s="873"/>
      <c r="D1" s="874"/>
      <c r="E1" s="453">
        <f>SUM(E3:E23)</f>
        <v>5358</v>
      </c>
      <c r="F1" s="453">
        <f>SUM(F3:F22)</f>
        <v>567.05208138883711</v>
      </c>
      <c r="G1" s="459"/>
      <c r="H1" s="453"/>
      <c r="I1" s="454">
        <f>SUM(I3:I23)</f>
        <v>154994.4</v>
      </c>
      <c r="J1" s="454">
        <f>SUM(J3:J23)</f>
        <v>3003489.03</v>
      </c>
      <c r="K1" s="454">
        <f>SUM(K3:K23)</f>
        <v>3158483.4299999997</v>
      </c>
      <c r="L1" s="455"/>
      <c r="O1" s="713"/>
      <c r="P1" s="713"/>
    </row>
    <row r="2" spans="1:16" ht="51" customHeight="1" x14ac:dyDescent="0.2">
      <c r="A2" s="456" t="s">
        <v>1072</v>
      </c>
      <c r="B2" s="456" t="s">
        <v>1073</v>
      </c>
      <c r="C2" s="456" t="s">
        <v>988</v>
      </c>
      <c r="D2" s="456" t="s">
        <v>1074</v>
      </c>
      <c r="E2" s="457" t="s">
        <v>1075</v>
      </c>
      <c r="F2" s="457" t="s">
        <v>1076</v>
      </c>
      <c r="G2" s="457" t="s">
        <v>1077</v>
      </c>
      <c r="H2" s="457" t="s">
        <v>1078</v>
      </c>
      <c r="I2" s="457" t="s">
        <v>1079</v>
      </c>
      <c r="J2" s="457" t="s">
        <v>1080</v>
      </c>
      <c r="K2" s="457" t="s">
        <v>149</v>
      </c>
      <c r="L2" s="457" t="s">
        <v>470</v>
      </c>
    </row>
    <row r="3" spans="1:16" ht="15" customHeight="1" x14ac:dyDescent="0.2">
      <c r="A3" s="869" t="s">
        <v>246</v>
      </c>
      <c r="B3" s="521" t="s">
        <v>247</v>
      </c>
      <c r="C3" s="403" t="s">
        <v>1008</v>
      </c>
      <c r="D3" s="521"/>
      <c r="E3" s="603">
        <f>IFERROR(VLOOKUP(B3,MODULY_CBA!$B$3:$O$23,14,0)*VLOOKUP('Rozpocet - Vyvoj aplikacii'!C3,AKTIVITY_POZICIE!$A$4:$C$39,3,0),0)</f>
        <v>193.80847489266381</v>
      </c>
      <c r="F3" s="466">
        <f>IFERROR(VLOOKUP(C3,POZICIE_INTERNE!$A$4:$D$39,3,0)*VLOOKUP(B3,MODULY_CBA!$B$3:$J$23,9,0)/SUM(MODULY_CBA!$J$3:$J$23),)</f>
        <v>83.164084375583343</v>
      </c>
      <c r="G3" s="472">
        <f>IFERROR(IF(ISTEXT(B3),VLOOKUP(C3,POZICIE_INTERNE!$A$4:$D$39,4,0),),)</f>
        <v>271.92</v>
      </c>
      <c r="H3" s="473">
        <f>IF(ISTEXT(B3),VLOOKUP(C3,AKTIVITY_POZICIE!$A$4:$E$39,5,0),)</f>
        <v>513.57835820895525</v>
      </c>
      <c r="I3" s="467">
        <f>G3*F3</f>
        <v>22613.977823408622</v>
      </c>
      <c r="J3" s="467">
        <f>E3*H3*1.23</f>
        <v>122429.08116109762</v>
      </c>
      <c r="K3" s="467">
        <f>J3+I3</f>
        <v>145043.05898450623</v>
      </c>
      <c r="L3" s="522"/>
    </row>
    <row r="4" spans="1:16" ht="15" customHeight="1" x14ac:dyDescent="0.2">
      <c r="A4" s="870"/>
      <c r="B4" s="521" t="s">
        <v>247</v>
      </c>
      <c r="C4" s="403" t="s">
        <v>1021</v>
      </c>
      <c r="D4" s="521"/>
      <c r="E4" s="603">
        <f>IFERROR(VLOOKUP(B4,MODULY_CBA!$B$3:$O$23,14,0)*VLOOKUP('Rozpocet - Vyvoj aplikacii'!C4,AKTIVITY_POZICIE!$A$4:$C$39,3,0),0)</f>
        <v>1452.8403957438866</v>
      </c>
      <c r="F4" s="466">
        <f>IFERROR(VLOOKUP(C4,POZICIE_INTERNE!$A$4:$D$39,3,0)*VLOOKUP(B4,MODULY_CBA!$B$3:$J$23,9,0)/SUM(MODULY_CBA!$J$3:$J$23),)</f>
        <v>82.440918424491315</v>
      </c>
      <c r="G4" s="472">
        <f>IFERROR(IF(ISTEXT(B4),VLOOKUP(C4,POZICIE_INTERNE!$A$4:$D$39,4,0),),)</f>
        <v>271.91999999999996</v>
      </c>
      <c r="H4" s="473">
        <f>IF(ISTEXT(B4),VLOOKUP(C4,AKTIVITY_POZICIE!$A$4:$E$39,5,0),)</f>
        <v>450.23668491786958</v>
      </c>
      <c r="I4" s="467">
        <f t="shared" ref="I4:I65" si="0">G4*F4</f>
        <v>22417.334537987674</v>
      </c>
      <c r="J4" s="467">
        <f t="shared" ref="J4:J25" si="1">E4*H4*1.23</f>
        <v>804570.11349822662</v>
      </c>
      <c r="K4" s="467">
        <f t="shared" ref="K4:K22" si="2">J4+I4</f>
        <v>826987.44803621434</v>
      </c>
      <c r="L4" s="522"/>
    </row>
    <row r="5" spans="1:16" ht="15" customHeight="1" x14ac:dyDescent="0.2">
      <c r="A5" s="870"/>
      <c r="B5" s="521" t="s">
        <v>247</v>
      </c>
      <c r="C5" s="403" t="s">
        <v>1028</v>
      </c>
      <c r="D5" s="521"/>
      <c r="E5" s="603">
        <f>IFERROR(VLOOKUP(B5,MODULY_CBA!$B$3:$O$23,14,0)*VLOOKUP('Rozpocet - Vyvoj aplikacii'!C5,AKTIVITY_POZICIE!$A$4:$C$39,3,0),0)</f>
        <v>290.71271233899574</v>
      </c>
      <c r="F5" s="466">
        <f>IFERROR(VLOOKUP(C5,POZICIE_INTERNE!$A$4:$D$39,3,0)*VLOOKUP(B5,MODULY_CBA!$B$3:$J$23,9,0)/SUM(MODULY_CBA!$J$3:$J$23),)</f>
        <v>40.497293261153629</v>
      </c>
      <c r="G5" s="472">
        <f>IFERROR(IF(ISTEXT(B5),VLOOKUP(C5,POZICIE_INTERNE!$A$4:$D$39,4,0),),)</f>
        <v>271.92</v>
      </c>
      <c r="H5" s="473">
        <f>IF(ISTEXT(B5),VLOOKUP(C5,AKTIVITY_POZICIE!$A$4:$E$39,5,0),)</f>
        <v>444.69154228855723</v>
      </c>
      <c r="I5" s="467">
        <f t="shared" si="0"/>
        <v>11012.023983572895</v>
      </c>
      <c r="J5" s="467">
        <f t="shared" si="1"/>
        <v>159011.30582788875</v>
      </c>
      <c r="K5" s="467">
        <f t="shared" si="2"/>
        <v>170023.32981146165</v>
      </c>
      <c r="L5" s="522"/>
    </row>
    <row r="6" spans="1:16" ht="15" customHeight="1" x14ac:dyDescent="0.2">
      <c r="A6" s="870" t="s">
        <v>249</v>
      </c>
      <c r="B6" s="521" t="s">
        <v>250</v>
      </c>
      <c r="C6" s="403" t="s">
        <v>1008</v>
      </c>
      <c r="D6" s="521"/>
      <c r="E6" s="603">
        <f>IFERROR(VLOOKUP(B6,MODULY_CBA!$B$3:$O$23,14,0)*VLOOKUP('Rozpocet - Vyvoj aplikacii'!C6,AKTIVITY_POZICIE!$A$4:$C$39,3,0),0)</f>
        <v>59.933544894530513</v>
      </c>
      <c r="F6" s="466">
        <f>IFERROR(VLOOKUP(C6,POZICIE_INTERNE!$A$4:$D$39,3,0)*VLOOKUP(B6,MODULY_CBA!$B$3:$J$23,9,0)/SUM(MODULY_CBA!$J$3:$J$23),)</f>
        <v>25.71775247339929</v>
      </c>
      <c r="G6" s="472">
        <f>IFERROR(IF(ISTEXT(B6),VLOOKUP(C6,POZICIE_INTERNE!$A$4:$D$39,4,0),),)</f>
        <v>271.92</v>
      </c>
      <c r="H6" s="473">
        <f>IF(ISTEXT(B6),VLOOKUP(C6,AKTIVITY_POZICIE!$A$4:$E$39,5,0),)</f>
        <v>513.57835820895525</v>
      </c>
      <c r="I6" s="467">
        <f t="shared" si="0"/>
        <v>6993.1712525667353</v>
      </c>
      <c r="J6" s="467">
        <f t="shared" si="1"/>
        <v>37860.103053948107</v>
      </c>
      <c r="K6" s="467">
        <f t="shared" si="2"/>
        <v>44853.274306514839</v>
      </c>
      <c r="L6" s="522"/>
    </row>
    <row r="7" spans="1:16" ht="15" customHeight="1" x14ac:dyDescent="0.2">
      <c r="A7" s="870"/>
      <c r="B7" s="521" t="s">
        <v>250</v>
      </c>
      <c r="C7" s="403" t="s">
        <v>1021</v>
      </c>
      <c r="D7" s="521"/>
      <c r="E7" s="603">
        <f>IFERROR(VLOOKUP(B7,MODULY_CBA!$B$3:$O$23,14,0)*VLOOKUP('Rozpocet - Vyvoj aplikacii'!C7,AKTIVITY_POZICIE!$A$4:$C$39,3,0),0)</f>
        <v>449.27795407877545</v>
      </c>
      <c r="F7" s="466">
        <f>IFERROR(VLOOKUP(C7,POZICIE_INTERNE!$A$4:$D$39,3,0)*VLOOKUP(B7,MODULY_CBA!$B$3:$J$23,9,0)/SUM(MODULY_CBA!$J$3:$J$23),)</f>
        <v>25.494119843195818</v>
      </c>
      <c r="G7" s="472">
        <f>IFERROR(IF(ISTEXT(B7),VLOOKUP(C7,POZICIE_INTERNE!$A$4:$D$39,4,0),),)</f>
        <v>271.91999999999996</v>
      </c>
      <c r="H7" s="473">
        <f>IF(ISTEXT(B7),VLOOKUP(C7,AKTIVITY_POZICIE!$A$4:$E$39,5,0),)</f>
        <v>450.23668491786958</v>
      </c>
      <c r="I7" s="467">
        <f t="shared" si="0"/>
        <v>6932.3610677618062</v>
      </c>
      <c r="J7" s="467">
        <f t="shared" si="1"/>
        <v>248806.14248086614</v>
      </c>
      <c r="K7" s="467">
        <f t="shared" si="2"/>
        <v>255738.50354862795</v>
      </c>
      <c r="L7" s="522"/>
    </row>
    <row r="8" spans="1:16" ht="15" customHeight="1" x14ac:dyDescent="0.2">
      <c r="A8" s="870"/>
      <c r="B8" s="521" t="s">
        <v>250</v>
      </c>
      <c r="C8" s="403" t="s">
        <v>1028</v>
      </c>
      <c r="D8" s="521"/>
      <c r="E8" s="603">
        <f>IFERROR(VLOOKUP(B8,MODULY_CBA!$B$3:$O$23,14,0)*VLOOKUP('Rozpocet - Vyvoj aplikacii'!C8,AKTIVITY_POZICIE!$A$4:$C$39,3,0),0)</f>
        <v>89.900317341795784</v>
      </c>
      <c r="F8" s="466">
        <f>IFERROR(VLOOKUP(C8,POZICIE_INTERNE!$A$4:$D$39,3,0)*VLOOKUP(B8,MODULY_CBA!$B$3:$J$23,9,0)/SUM(MODULY_CBA!$J$3:$J$23),)</f>
        <v>12.523427291394437</v>
      </c>
      <c r="G8" s="472">
        <f>IFERROR(IF(ISTEXT(B8),VLOOKUP(C8,POZICIE_INTERNE!$A$4:$D$39,4,0),),)</f>
        <v>271.92</v>
      </c>
      <c r="H8" s="473">
        <f>IF(ISTEXT(B8),VLOOKUP(C8,AKTIVITY_POZICIE!$A$4:$E$39,5,0),)</f>
        <v>444.69154228855723</v>
      </c>
      <c r="I8" s="467">
        <f t="shared" si="0"/>
        <v>3405.3703490759758</v>
      </c>
      <c r="J8" s="467">
        <f t="shared" si="1"/>
        <v>49172.830248273291</v>
      </c>
      <c r="K8" s="467">
        <f t="shared" si="2"/>
        <v>52578.200597349263</v>
      </c>
      <c r="L8" s="522"/>
    </row>
    <row r="9" spans="1:16" ht="15" customHeight="1" x14ac:dyDescent="0.2">
      <c r="A9" s="870" t="s">
        <v>251</v>
      </c>
      <c r="B9" s="521" t="s">
        <v>252</v>
      </c>
      <c r="C9" s="403" t="s">
        <v>1008</v>
      </c>
      <c r="D9" s="521"/>
      <c r="E9" s="603">
        <f>IFERROR(VLOOKUP(B9,MODULY_CBA!$B$3:$O$23,14,0)*VLOOKUP('Rozpocet - Vyvoj aplikacii'!C9,AKTIVITY_POZICIE!$A$4:$C$39,3,0),0)</f>
        <v>93.552361396303894</v>
      </c>
      <c r="F9" s="466">
        <f>IFERROR(VLOOKUP(C9,POZICIE_INTERNE!$A$4:$D$39,3,0)*VLOOKUP(B9,MODULY_CBA!$B$3:$J$23,9,0)/SUM(MODULY_CBA!$J$3:$J$23),)</f>
        <v>40.143737166324435</v>
      </c>
      <c r="G9" s="472">
        <f>IFERROR(IF(ISTEXT(B9),VLOOKUP(C9,POZICIE_INTERNE!$A$4:$D$39,4,0),),)</f>
        <v>271.92</v>
      </c>
      <c r="H9" s="473">
        <f>IF(ISTEXT(B9),VLOOKUP(C9,AKTIVITY_POZICIE!$A$4:$E$39,5,0),)</f>
        <v>513.57835820895525</v>
      </c>
      <c r="I9" s="467">
        <f t="shared" si="0"/>
        <v>10915.88501026694</v>
      </c>
      <c r="J9" s="467">
        <f t="shared" si="1"/>
        <v>59097.155852156058</v>
      </c>
      <c r="K9" s="467">
        <f t="shared" si="2"/>
        <v>70013.040862423004</v>
      </c>
      <c r="L9" s="522"/>
    </row>
    <row r="10" spans="1:16" ht="15" customHeight="1" x14ac:dyDescent="0.2">
      <c r="A10" s="870"/>
      <c r="B10" s="521" t="s">
        <v>252</v>
      </c>
      <c r="C10" s="403" t="s">
        <v>1021</v>
      </c>
      <c r="D10" s="521"/>
      <c r="E10" s="603">
        <f>IFERROR(VLOOKUP(B10,MODULY_CBA!$B$3:$O$23,14,0)*VLOOKUP('Rozpocet - Vyvoj aplikacii'!C10,AKTIVITY_POZICIE!$A$4:$C$39,3,0),0)</f>
        <v>701.29363449691994</v>
      </c>
      <c r="F10" s="466">
        <f>IFERROR(VLOOKUP(C10,POZICIE_INTERNE!$A$4:$D$39,3,0)*VLOOKUP(B10,MODULY_CBA!$B$3:$J$23,9,0)/SUM(MODULY_CBA!$J$3:$J$23),)</f>
        <v>39.794661190965094</v>
      </c>
      <c r="G10" s="472">
        <f>IFERROR(IF(ISTEXT(B10),VLOOKUP(C10,POZICIE_INTERNE!$A$4:$D$39,4,0),),)</f>
        <v>271.91999999999996</v>
      </c>
      <c r="H10" s="473">
        <f>IF(ISTEXT(B10),VLOOKUP(C10,AKTIVITY_POZICIE!$A$4:$E$39,5,0),)</f>
        <v>450.23668491786958</v>
      </c>
      <c r="I10" s="467">
        <f t="shared" si="0"/>
        <v>10820.964271047227</v>
      </c>
      <c r="J10" s="467">
        <f t="shared" si="1"/>
        <v>388370.18901437375</v>
      </c>
      <c r="K10" s="467">
        <f t="shared" si="2"/>
        <v>399191.15328542097</v>
      </c>
      <c r="L10" s="522"/>
    </row>
    <row r="11" spans="1:16" ht="15" customHeight="1" x14ac:dyDescent="0.2">
      <c r="A11" s="870"/>
      <c r="B11" s="521" t="s">
        <v>252</v>
      </c>
      <c r="C11" s="403" t="s">
        <v>1028</v>
      </c>
      <c r="D11" s="521"/>
      <c r="E11" s="603">
        <f>IFERROR(VLOOKUP(B11,MODULY_CBA!$B$3:$O$23,14,0)*VLOOKUP('Rozpocet - Vyvoj aplikacii'!C11,AKTIVITY_POZICIE!$A$4:$C$39,3,0),0)</f>
        <v>140.32854209445586</v>
      </c>
      <c r="F11" s="466">
        <f>IFERROR(VLOOKUP(C11,POZICIE_INTERNE!$A$4:$D$39,3,0)*VLOOKUP(B11,MODULY_CBA!$B$3:$J$23,9,0)/SUM(MODULY_CBA!$J$3:$J$23),)</f>
        <v>19.548254620123203</v>
      </c>
      <c r="G11" s="472">
        <f>IFERROR(IF(ISTEXT(B11),VLOOKUP(C11,POZICIE_INTERNE!$A$4:$D$39,4,0),),)</f>
        <v>271.92</v>
      </c>
      <c r="H11" s="473">
        <f>IF(ISTEXT(B11),VLOOKUP(C11,AKTIVITY_POZICIE!$A$4:$E$39,5,0),)</f>
        <v>444.69154228855723</v>
      </c>
      <c r="I11" s="467">
        <f t="shared" si="0"/>
        <v>5315.5613963039013</v>
      </c>
      <c r="J11" s="467">
        <f t="shared" si="1"/>
        <v>76755.586447638605</v>
      </c>
      <c r="K11" s="467">
        <f t="shared" si="2"/>
        <v>82071.147843942512</v>
      </c>
      <c r="L11" s="522"/>
    </row>
    <row r="12" spans="1:16" ht="15" customHeight="1" x14ac:dyDescent="0.2">
      <c r="A12" s="870" t="s">
        <v>253</v>
      </c>
      <c r="B12" s="521" t="s">
        <v>254</v>
      </c>
      <c r="C12" s="403" t="s">
        <v>1008</v>
      </c>
      <c r="D12" s="521"/>
      <c r="E12" s="603">
        <f>IFERROR(VLOOKUP(B12,MODULY_CBA!$B$3:$O$23,14,0)*VLOOKUP('Rozpocet - Vyvoj aplikacii'!C12,AKTIVITY_POZICIE!$A$4:$C$39,3,0),0)</f>
        <v>115.76479372783274</v>
      </c>
      <c r="F12" s="466">
        <f>IFERROR(VLOOKUP(C12,POZICIE_INTERNE!$A$4:$D$39,3,0)*VLOOKUP(B12,MODULY_CBA!$B$3:$J$23,9,0)/SUM(MODULY_CBA!$J$3:$J$23),)</f>
        <v>49.675191338435688</v>
      </c>
      <c r="G12" s="472">
        <f>IFERROR(IF(ISTEXT(B12),VLOOKUP(C12,POZICIE_INTERNE!$A$4:$D$39,4,0),),)</f>
        <v>271.92</v>
      </c>
      <c r="H12" s="473">
        <f>IF(ISTEXT(B12),VLOOKUP(C12,AKTIVITY_POZICIE!$A$4:$E$39,5,0),)</f>
        <v>513.57835820895525</v>
      </c>
      <c r="I12" s="467">
        <f t="shared" si="0"/>
        <v>13507.678028747434</v>
      </c>
      <c r="J12" s="467">
        <f t="shared" si="1"/>
        <v>73128.780022400606</v>
      </c>
      <c r="K12" s="467">
        <f t="shared" si="2"/>
        <v>86636.458051148045</v>
      </c>
      <c r="L12" s="522"/>
    </row>
    <row r="13" spans="1:16" ht="15" customHeight="1" x14ac:dyDescent="0.2">
      <c r="A13" s="870"/>
      <c r="B13" s="521" t="s">
        <v>254</v>
      </c>
      <c r="C13" s="403" t="s">
        <v>1021</v>
      </c>
      <c r="D13" s="521"/>
      <c r="E13" s="603">
        <f>IFERROR(VLOOKUP(B13,MODULY_CBA!$B$3:$O$23,14,0)*VLOOKUP('Rozpocet - Vyvoj aplikacii'!C13,AKTIVITY_POZICIE!$A$4:$C$39,3,0),0)</f>
        <v>867.80399477319395</v>
      </c>
      <c r="F13" s="466">
        <f>IFERROR(VLOOKUP(C13,POZICIE_INTERNE!$A$4:$D$39,3,0)*VLOOKUP(B13,MODULY_CBA!$B$3:$J$23,9,0)/SUM(MODULY_CBA!$J$3:$J$23),)</f>
        <v>49.243233152884073</v>
      </c>
      <c r="G13" s="472">
        <f>IFERROR(IF(ISTEXT(B13),VLOOKUP(C13,POZICIE_INTERNE!$A$4:$D$39,4,0),),)</f>
        <v>271.91999999999996</v>
      </c>
      <c r="H13" s="473">
        <f>IF(ISTEXT(B13),VLOOKUP(C13,AKTIVITY_POZICIE!$A$4:$E$39,5,0),)</f>
        <v>450.23668491786958</v>
      </c>
      <c r="I13" s="467">
        <f t="shared" si="0"/>
        <v>13390.219958932235</v>
      </c>
      <c r="J13" s="467">
        <f t="shared" si="1"/>
        <v>480582.14833115553</v>
      </c>
      <c r="K13" s="467">
        <f t="shared" si="2"/>
        <v>493972.36829008779</v>
      </c>
      <c r="L13" s="522"/>
    </row>
    <row r="14" spans="1:16" ht="15" customHeight="1" x14ac:dyDescent="0.2">
      <c r="A14" s="871"/>
      <c r="B14" s="521" t="s">
        <v>254</v>
      </c>
      <c r="C14" s="403" t="s">
        <v>1028</v>
      </c>
      <c r="D14" s="521"/>
      <c r="E14" s="603">
        <f>IFERROR(VLOOKUP(B14,MODULY_CBA!$B$3:$O$23,14,0)*VLOOKUP('Rozpocet - Vyvoj aplikacii'!C14,AKTIVITY_POZICIE!$A$4:$C$39,3,0),0)</f>
        <v>173.64719059174914</v>
      </c>
      <c r="F14" s="466">
        <f>IFERROR(VLOOKUP(C14,POZICIE_INTERNE!$A$4:$D$39,3,0)*VLOOKUP(B14,MODULY_CBA!$B$3:$J$23,9,0)/SUM(MODULY_CBA!$J$3:$J$23),)</f>
        <v>24.189658390890425</v>
      </c>
      <c r="G14" s="472">
        <f>IFERROR(IF(ISTEXT(B14),VLOOKUP(C14,POZICIE_INTERNE!$A$4:$D$39,4,0),),)</f>
        <v>271.92</v>
      </c>
      <c r="H14" s="473">
        <f>IF(ISTEXT(B14),VLOOKUP(C14,AKTIVITY_POZICIE!$A$4:$E$39,5,0),)</f>
        <v>444.69154228855723</v>
      </c>
      <c r="I14" s="467">
        <f t="shared" si="0"/>
        <v>6577.6519096509246</v>
      </c>
      <c r="J14" s="467">
        <f t="shared" si="1"/>
        <v>94979.90750793356</v>
      </c>
      <c r="K14" s="467">
        <f t="shared" si="2"/>
        <v>101557.55941758449</v>
      </c>
      <c r="L14" s="522"/>
    </row>
    <row r="15" spans="1:16" ht="15" customHeight="1" x14ac:dyDescent="0.2">
      <c r="A15" s="869" t="s">
        <v>255</v>
      </c>
      <c r="B15" s="521" t="s">
        <v>256</v>
      </c>
      <c r="C15" s="403" t="s">
        <v>1008</v>
      </c>
      <c r="D15" s="521"/>
      <c r="E15" s="603">
        <f>IFERROR(VLOOKUP(B15,MODULY_CBA!$B$3:$O$23,14,0)*VLOOKUP('Rozpocet - Vyvoj aplikacii'!C15,AKTIVITY_POZICIE!$A$4:$C$39,3,0),0)</f>
        <v>46.225872689938399</v>
      </c>
      <c r="F15" s="466">
        <f>IFERROR(VLOOKUP(C15,POZICIE_INTERNE!$A$4:$D$39,3,0)*VLOOKUP(B15,MODULY_CBA!$B$3:$J$23,9,0)/SUM(MODULY_CBA!$J$3:$J$23),)</f>
        <v>19.835728952772072</v>
      </c>
      <c r="G15" s="472">
        <f>IFERROR(IF(ISTEXT(B15),VLOOKUP(C15,POZICIE_INTERNE!$A$4:$D$39,4,0),),)</f>
        <v>271.92</v>
      </c>
      <c r="H15" s="473">
        <f>IF(ISTEXT(B15),VLOOKUP(C15,AKTIVITY_POZICIE!$A$4:$E$39,5,0),)</f>
        <v>513.57835820895525</v>
      </c>
      <c r="I15" s="467">
        <f t="shared" si="0"/>
        <v>5393.7314168377825</v>
      </c>
      <c r="J15" s="467">
        <f t="shared" si="1"/>
        <v>29200.947597535935</v>
      </c>
      <c r="K15" s="467">
        <f t="shared" si="2"/>
        <v>34594.679014373716</v>
      </c>
      <c r="L15" s="522"/>
    </row>
    <row r="16" spans="1:16" ht="15" customHeight="1" x14ac:dyDescent="0.2">
      <c r="A16" s="870"/>
      <c r="B16" s="521" t="s">
        <v>256</v>
      </c>
      <c r="C16" s="403" t="s">
        <v>1021</v>
      </c>
      <c r="D16" s="521"/>
      <c r="E16" s="603">
        <f>IFERROR(VLOOKUP(B16,MODULY_CBA!$B$3:$O$23,14,0)*VLOOKUP('Rozpocet - Vyvoj aplikacii'!C16,AKTIVITY_POZICIE!$A$4:$C$39,3,0),0)</f>
        <v>346.52156057494869</v>
      </c>
      <c r="F16" s="466">
        <f>IFERROR(VLOOKUP(C16,POZICIE_INTERNE!$A$4:$D$39,3,0)*VLOOKUP(B16,MODULY_CBA!$B$3:$J$23,9,0)/SUM(MODULY_CBA!$J$3:$J$23),)</f>
        <v>19.663244353182751</v>
      </c>
      <c r="G16" s="472">
        <f>IFERROR(IF(ISTEXT(B16),VLOOKUP(C16,POZICIE_INTERNE!$A$4:$D$39,4,0),),)</f>
        <v>271.91999999999996</v>
      </c>
      <c r="H16" s="473">
        <f>IF(ISTEXT(B16),VLOOKUP(C16,AKTIVITY_POZICIE!$A$4:$E$39,5,0),)</f>
        <v>450.23668491786958</v>
      </c>
      <c r="I16" s="467">
        <f t="shared" si="0"/>
        <v>5346.8294045174525</v>
      </c>
      <c r="J16" s="467">
        <f t="shared" si="1"/>
        <v>191900.56398357291</v>
      </c>
      <c r="K16" s="467">
        <f t="shared" si="2"/>
        <v>197247.39338809036</v>
      </c>
      <c r="L16" s="522"/>
    </row>
    <row r="17" spans="1:12" ht="15" customHeight="1" x14ac:dyDescent="0.2">
      <c r="A17" s="870"/>
      <c r="B17" s="521" t="s">
        <v>256</v>
      </c>
      <c r="C17" s="403" t="s">
        <v>1028</v>
      </c>
      <c r="D17" s="521"/>
      <c r="E17" s="603">
        <f>IFERROR(VLOOKUP(B17,MODULY_CBA!$B$3:$O$23,14,0)*VLOOKUP('Rozpocet - Vyvoj aplikacii'!C17,AKTIVITY_POZICIE!$A$4:$C$39,3,0),0)</f>
        <v>69.338809034907598</v>
      </c>
      <c r="F17" s="466">
        <f>IFERROR(VLOOKUP(C17,POZICIE_INTERNE!$A$4:$D$39,3,0)*VLOOKUP(B17,MODULY_CBA!$B$3:$J$23,9,0)/SUM(MODULY_CBA!$J$3:$J$23),)</f>
        <v>9.6591375770020527</v>
      </c>
      <c r="G17" s="472">
        <f>IFERROR(IF(ISTEXT(B17),VLOOKUP(C17,POZICIE_INTERNE!$A$4:$D$39,4,0),),)</f>
        <v>271.92</v>
      </c>
      <c r="H17" s="473">
        <f>IF(ISTEXT(B17),VLOOKUP(C17,AKTIVITY_POZICIE!$A$4:$E$39,5,0),)</f>
        <v>444.69154228855723</v>
      </c>
      <c r="I17" s="467">
        <f t="shared" si="0"/>
        <v>2626.5126899383981</v>
      </c>
      <c r="J17" s="467">
        <f t="shared" si="1"/>
        <v>37926.289774127312</v>
      </c>
      <c r="K17" s="467">
        <f t="shared" si="2"/>
        <v>40552.80246406571</v>
      </c>
      <c r="L17" s="522"/>
    </row>
    <row r="18" spans="1:12" ht="15" customHeight="1" x14ac:dyDescent="0.2">
      <c r="A18" s="870" t="s">
        <v>257</v>
      </c>
      <c r="B18" s="521" t="s">
        <v>260</v>
      </c>
      <c r="C18" s="403" t="s">
        <v>1008</v>
      </c>
      <c r="D18" s="521"/>
      <c r="E18" s="603">
        <f>IFERROR(VLOOKUP(B18,MODULY_CBA!$B$3:$O$23,14,0)*VLOOKUP('Rozpocet - Vyvoj aplikacii'!C18,AKTIVITY_POZICIE!$A$4:$C$39,3,0),0)</f>
        <v>12.607056188165018</v>
      </c>
      <c r="F18" s="466">
        <f>IFERROR(VLOOKUP(C18,POZICIE_INTERNE!$A$4:$D$39,3,0)*VLOOKUP(B18,MODULY_CBA!$B$3:$J$23,9,0)/SUM(MODULY_CBA!$J$3:$J$23),)</f>
        <v>5.4097442598469296</v>
      </c>
      <c r="G18" s="472">
        <f>IFERROR(IF(ISTEXT(B18),VLOOKUP(C18,POZICIE_INTERNE!$A$4:$D$39,4,0),),)</f>
        <v>271.92</v>
      </c>
      <c r="H18" s="473">
        <f>IF(ISTEXT(B18),VLOOKUP(C18,AKTIVITY_POZICIE!$A$4:$E$39,5,0),)</f>
        <v>513.57835820895525</v>
      </c>
      <c r="I18" s="467">
        <f t="shared" si="0"/>
        <v>1471.0176591375771</v>
      </c>
      <c r="J18" s="467">
        <f t="shared" si="1"/>
        <v>7963.8947993279817</v>
      </c>
      <c r="K18" s="467">
        <f t="shared" si="2"/>
        <v>9434.9124584655583</v>
      </c>
      <c r="L18" s="522"/>
    </row>
    <row r="19" spans="1:12" ht="15" customHeight="1" x14ac:dyDescent="0.2">
      <c r="A19" s="870"/>
      <c r="B19" s="521" t="s">
        <v>260</v>
      </c>
      <c r="C19" s="403" t="s">
        <v>1021</v>
      </c>
      <c r="D19" s="521"/>
      <c r="E19" s="603">
        <f>IFERROR(VLOOKUP(B19,MODULY_CBA!$B$3:$O$23,14,0)*VLOOKUP('Rozpocet - Vyvoj aplikacii'!C19,AKTIVITY_POZICIE!$A$4:$C$39,3,0),0)</f>
        <v>94.505880156804182</v>
      </c>
      <c r="F19" s="466">
        <f>IFERROR(VLOOKUP(C19,POZICIE_INTERNE!$A$4:$D$39,3,0)*VLOOKUP(B19,MODULY_CBA!$B$3:$J$23,9,0)/SUM(MODULY_CBA!$J$3:$J$23),)</f>
        <v>5.3627030054134774</v>
      </c>
      <c r="G19" s="472">
        <f>IFERROR(IF(ISTEXT(B19),VLOOKUP(C19,POZICIE_INTERNE!$A$4:$D$39,4,0),),)</f>
        <v>271.91999999999996</v>
      </c>
      <c r="H19" s="473">
        <f>IF(ISTEXT(B19),VLOOKUP(C19,AKTIVITY_POZICIE!$A$4:$E$39,5,0),)</f>
        <v>450.23668491786958</v>
      </c>
      <c r="I19" s="467">
        <f t="shared" si="0"/>
        <v>1458.2262012320325</v>
      </c>
      <c r="J19" s="467">
        <f t="shared" si="1"/>
        <v>52336.517450065337</v>
      </c>
      <c r="K19" s="467">
        <f t="shared" si="2"/>
        <v>53794.743651297373</v>
      </c>
      <c r="L19" s="522"/>
    </row>
    <row r="20" spans="1:12" ht="15" customHeight="1" x14ac:dyDescent="0.2">
      <c r="A20" s="870"/>
      <c r="B20" s="521" t="s">
        <v>260</v>
      </c>
      <c r="C20" s="403" t="s">
        <v>1028</v>
      </c>
      <c r="D20" s="521"/>
      <c r="E20" s="603">
        <f>IFERROR(VLOOKUP(B20,MODULY_CBA!$B$3:$O$23,14,0)*VLOOKUP('Rozpocet - Vyvoj aplikacii'!C20,AKTIVITY_POZICIE!$A$4:$C$39,3,0),0)</f>
        <v>18.910584282247527</v>
      </c>
      <c r="F20" s="466">
        <f>IFERROR(VLOOKUP(C20,POZICIE_INTERNE!$A$4:$D$39,3,0)*VLOOKUP(B20,MODULY_CBA!$B$3:$J$23,9,0)/SUM(MODULY_CBA!$J$3:$J$23),)</f>
        <v>2.6343102482732874</v>
      </c>
      <c r="G20" s="472">
        <f>IFERROR(IF(ISTEXT(B20),VLOOKUP(C20,POZICIE_INTERNE!$A$4:$D$39,4,0),),)</f>
        <v>271.92</v>
      </c>
      <c r="H20" s="473">
        <f>IF(ISTEXT(B20),VLOOKUP(C20,AKTIVITY_POZICIE!$A$4:$E$39,5,0),)</f>
        <v>444.69154228855723</v>
      </c>
      <c r="I20" s="467">
        <f t="shared" si="0"/>
        <v>716.32164271047236</v>
      </c>
      <c r="J20" s="467">
        <f t="shared" si="1"/>
        <v>10343.533574761994</v>
      </c>
      <c r="K20" s="467">
        <f t="shared" si="2"/>
        <v>11059.855217472466</v>
      </c>
      <c r="L20" s="522"/>
    </row>
    <row r="21" spans="1:12" ht="15" customHeight="1" x14ac:dyDescent="0.2">
      <c r="A21" s="870" t="s">
        <v>259</v>
      </c>
      <c r="B21" s="521" t="s">
        <v>258</v>
      </c>
      <c r="C21" s="403" t="s">
        <v>1008</v>
      </c>
      <c r="D21" s="521"/>
      <c r="E21" s="603">
        <f>IFERROR(VLOOKUP(B21,MODULY_CBA!$B$3:$O$23,14,0)*VLOOKUP('Rozpocet - Vyvoj aplikacii'!C21,AKTIVITY_POZICIE!$A$4:$C$39,3,0),0)</f>
        <v>14.107896210565617</v>
      </c>
      <c r="F21" s="466">
        <f>IFERROR(VLOOKUP(C21,POZICIE_INTERNE!$A$4:$D$39,3,0)*VLOOKUP(B21,MODULY_CBA!$B$3:$J$23,9,0)/SUM(MODULY_CBA!$J$3:$J$23),)</f>
        <v>6.0537614336382299</v>
      </c>
      <c r="G21" s="472">
        <f>IFERROR(IF(ISTEXT(B21),VLOOKUP(C21,POZICIE_INTERNE!$A$4:$D$39,4,0),),)</f>
        <v>271.92</v>
      </c>
      <c r="H21" s="473">
        <f>IF(ISTEXT(B21),VLOOKUP(C21,AKTIVITY_POZICIE!$A$4:$E$39,5,0),)</f>
        <v>513.57835820895525</v>
      </c>
      <c r="I21" s="467">
        <f t="shared" si="0"/>
        <v>1646.1388090349076</v>
      </c>
      <c r="J21" s="467">
        <f t="shared" si="1"/>
        <v>8911.9775135336949</v>
      </c>
      <c r="K21" s="467">
        <f t="shared" si="2"/>
        <v>10558.116322568603</v>
      </c>
      <c r="L21" s="522"/>
    </row>
    <row r="22" spans="1:12" ht="15" customHeight="1" x14ac:dyDescent="0.2">
      <c r="A22" s="870"/>
      <c r="B22" s="521" t="s">
        <v>258</v>
      </c>
      <c r="C22" s="403" t="s">
        <v>1021</v>
      </c>
      <c r="D22" s="521"/>
      <c r="E22" s="603">
        <f>IFERROR(VLOOKUP(B22,MODULY_CBA!$B$3:$O$23,14,0)*VLOOKUP('Rozpocet - Vyvoj aplikacii'!C22,AKTIVITY_POZICIE!$A$4:$C$39,3,0),0)</f>
        <v>105.75658017547136</v>
      </c>
      <c r="F22" s="466">
        <f>IFERROR(VLOOKUP(C22,POZICIE_INTERNE!$A$4:$D$39,3,0)*VLOOKUP(B22,MODULY_CBA!$B$3:$J$23,9,0)/SUM(MODULY_CBA!$J$3:$J$23),)</f>
        <v>6.0011200298674634</v>
      </c>
      <c r="G22" s="472">
        <f>IFERROR(IF(ISTEXT(B22),VLOOKUP(C22,POZICIE_INTERNE!$A$4:$D$39,4,0),),)</f>
        <v>271.91999999999996</v>
      </c>
      <c r="H22" s="473">
        <f>IF(ISTEXT(B22),VLOOKUP(C22,AKTIVITY_POZICIE!$A$4:$E$39,5,0),)</f>
        <v>450.23668491786958</v>
      </c>
      <c r="I22" s="467">
        <f t="shared" si="0"/>
        <v>1631.8245585215604</v>
      </c>
      <c r="J22" s="467">
        <f t="shared" si="1"/>
        <v>58567.055241739785</v>
      </c>
      <c r="K22" s="467">
        <f t="shared" si="2"/>
        <v>60198.879800261348</v>
      </c>
      <c r="L22" s="522"/>
    </row>
    <row r="23" spans="1:12" x14ac:dyDescent="0.2">
      <c r="A23" s="870"/>
      <c r="B23" s="521" t="s">
        <v>258</v>
      </c>
      <c r="C23" s="403" t="s">
        <v>1028</v>
      </c>
      <c r="D23" s="521"/>
      <c r="E23" s="603">
        <f>IFERROR(VLOOKUP(B23,MODULY_CBA!$B$3:$O$23,14,0)*VLOOKUP('Rozpocet - Vyvoj aplikacii'!C23,AKTIVITY_POZICIE!$A$4:$C$39,3,0),0)</f>
        <v>21.161844315848427</v>
      </c>
      <c r="F23" s="466">
        <f>IFERROR(VLOOKUP(C23,POZICIE_INTERNE!$A$4:$D$39,3,0)*VLOOKUP(B23,MODULY_CBA!$B$3:$J$23,9,0)/SUM(MODULY_CBA!$J$3:$J$23),)</f>
        <v>2.9479186111629643</v>
      </c>
      <c r="G23" s="472">
        <f>IFERROR(IF(ISTEXT(B23),VLOOKUP(C23,POZICIE_INTERNE!$A$4:$D$39,4,0),),)</f>
        <v>271.92</v>
      </c>
      <c r="H23" s="473">
        <f>IF(ISTEXT(B23),VLOOKUP(C23,AKTIVITY_POZICIE!$A$4:$E$39,5,0),)</f>
        <v>444.69154228855723</v>
      </c>
      <c r="I23" s="467">
        <f t="shared" si="0"/>
        <v>801.59802874743332</v>
      </c>
      <c r="J23" s="467">
        <f t="shared" si="1"/>
        <v>11574.906619376519</v>
      </c>
      <c r="K23" s="467">
        <f t="shared" ref="K23:K65" si="3">J23+I23</f>
        <v>12376.504648123953</v>
      </c>
      <c r="L23" s="522"/>
    </row>
    <row r="24" spans="1:12" x14ac:dyDescent="0.2">
      <c r="A24" s="870" t="s">
        <v>261</v>
      </c>
      <c r="B24" s="521"/>
      <c r="C24" s="403" t="s">
        <v>1008</v>
      </c>
      <c r="D24" s="521"/>
      <c r="E24" s="603">
        <f>IFERROR(VLOOKUP(B24,MODULY_CBA!$B$3:$O$23,14,0)*VLOOKUP('Rozpocet - Vyvoj aplikacii'!C24,AKTIVITY_POZICIE!$A$4:$C$39,3,0),0)</f>
        <v>0</v>
      </c>
      <c r="F24" s="466">
        <f>IFERROR(VLOOKUP(C24,POZICIE_INTERNE!$A$4:$D$39,3,0)*VLOOKUP(B24,MODULY_CBA!$B$3:$J$23,9,0)/SUM(MODULY_CBA!$J$3:$J$23),)</f>
        <v>0</v>
      </c>
      <c r="G24" s="472">
        <f>IFERROR(IF(ISTEXT(B24),VLOOKUP(C24,POZICIE_INTERNE!$A$4:$D$39,4,0),),)</f>
        <v>0</v>
      </c>
      <c r="H24" s="473">
        <f>IF(ISTEXT(B24),VLOOKUP(C24,AKTIVITY_POZICIE!$A$4:$E$39,5,0),)</f>
        <v>0</v>
      </c>
      <c r="I24" s="467">
        <f t="shared" si="0"/>
        <v>0</v>
      </c>
      <c r="J24" s="467">
        <f t="shared" si="1"/>
        <v>0</v>
      </c>
      <c r="K24" s="467">
        <f t="shared" si="3"/>
        <v>0</v>
      </c>
      <c r="L24" s="522"/>
    </row>
    <row r="25" spans="1:12" x14ac:dyDescent="0.2">
      <c r="A25" s="870"/>
      <c r="B25" s="521"/>
      <c r="C25" s="403" t="s">
        <v>1021</v>
      </c>
      <c r="D25" s="521"/>
      <c r="E25" s="603">
        <f>IFERROR(VLOOKUP(B25,MODULY_CBA!$B$3:$O$23,14,0)*VLOOKUP('Rozpocet - Vyvoj aplikacii'!C25,AKTIVITY_POZICIE!$A$4:$C$39,3,0),0)</f>
        <v>0</v>
      </c>
      <c r="F25" s="466">
        <f>IFERROR(VLOOKUP(C25,POZICIE_INTERNE!$A$4:$D$39,3,0)*VLOOKUP(B25,MODULY_CBA!$B$3:$J$23,9,0)/SUM(MODULY_CBA!$J$3:$J$23),)</f>
        <v>0</v>
      </c>
      <c r="G25" s="472">
        <f>IFERROR(IF(ISTEXT(B25),VLOOKUP(C25,POZICIE_INTERNE!$A$4:$D$39,4,0),),)</f>
        <v>0</v>
      </c>
      <c r="H25" s="473">
        <f>IF(ISTEXT(B25),VLOOKUP(C25,AKTIVITY_POZICIE!$A$4:$E$39,5,0),)</f>
        <v>0</v>
      </c>
      <c r="I25" s="467">
        <f t="shared" si="0"/>
        <v>0</v>
      </c>
      <c r="J25" s="467">
        <f t="shared" si="1"/>
        <v>0</v>
      </c>
      <c r="K25" s="467">
        <f t="shared" si="3"/>
        <v>0</v>
      </c>
      <c r="L25" s="522"/>
    </row>
    <row r="26" spans="1:12" x14ac:dyDescent="0.2">
      <c r="A26" s="871"/>
      <c r="B26" s="521"/>
      <c r="C26" s="403" t="s">
        <v>1028</v>
      </c>
      <c r="D26" s="521"/>
      <c r="E26" s="603">
        <f>IFERROR(VLOOKUP(B26,MODULY_CBA!$B$3:$O$23,14,0)*VLOOKUP('Rozpocet - Vyvoj aplikacii'!C26,AKTIVITY_POZICIE!$A$4:$C$39,3,0),0)</f>
        <v>0</v>
      </c>
      <c r="F26" s="466">
        <f>IFERROR(VLOOKUP(C26,POZICIE_INTERNE!$A$4:$D$39,3,0)*VLOOKUP(B26,MODULY_CBA!$B$3:$J$23,9,0)/SUM(MODULY_CBA!$J$3:$J$23),)</f>
        <v>0</v>
      </c>
      <c r="G26" s="472">
        <f>IFERROR(IF(ISTEXT(B26),VLOOKUP(C26,POZICIE_INTERNE!$A$4:$D$39,4,0),),)</f>
        <v>0</v>
      </c>
      <c r="H26" s="473">
        <f>IF(ISTEXT(B26),VLOOKUP(C26,AKTIVITY_POZICIE!$A$4:$E$39,5,0),)</f>
        <v>0</v>
      </c>
      <c r="I26" s="467">
        <f t="shared" si="0"/>
        <v>0</v>
      </c>
      <c r="J26" s="467">
        <f t="shared" ref="J26:J65" si="4">E26*H26*1.23</f>
        <v>0</v>
      </c>
      <c r="K26" s="467">
        <f t="shared" si="3"/>
        <v>0</v>
      </c>
      <c r="L26" s="522"/>
    </row>
    <row r="27" spans="1:12" x14ac:dyDescent="0.2">
      <c r="A27" s="869" t="s">
        <v>262</v>
      </c>
      <c r="B27" s="521"/>
      <c r="C27" s="403" t="s">
        <v>1008</v>
      </c>
      <c r="D27" s="521"/>
      <c r="E27" s="603">
        <f>IFERROR(VLOOKUP(B27,MODULY_CBA!$B$3:$O$23,14,0)*VLOOKUP('Rozpocet - Vyvoj aplikacii'!C27,AKTIVITY_POZICIE!$A$4:$C$39,3,0),0)</f>
        <v>0</v>
      </c>
      <c r="F27" s="466">
        <f>IFERROR(VLOOKUP(C27,POZICIE_INTERNE!$A$4:$D$39,3,0)*VLOOKUP(B27,MODULY_CBA!$B$3:$J$23,9,0)/SUM(MODULY_CBA!$J$3:$J$23),)</f>
        <v>0</v>
      </c>
      <c r="G27" s="472">
        <f>IFERROR(IF(ISTEXT(B27),VLOOKUP(C27,POZICIE_INTERNE!$A$4:$D$39,4,0),),)</f>
        <v>0</v>
      </c>
      <c r="H27" s="473">
        <f>IF(ISTEXT(B27),VLOOKUP(C27,AKTIVITY_POZICIE!$A$4:$E$39,5,0),)</f>
        <v>0</v>
      </c>
      <c r="I27" s="467">
        <f t="shared" si="0"/>
        <v>0</v>
      </c>
      <c r="J27" s="467">
        <f t="shared" si="4"/>
        <v>0</v>
      </c>
      <c r="K27" s="467">
        <f t="shared" si="3"/>
        <v>0</v>
      </c>
      <c r="L27" s="522"/>
    </row>
    <row r="28" spans="1:12" x14ac:dyDescent="0.2">
      <c r="A28" s="870"/>
      <c r="B28" s="521"/>
      <c r="C28" s="403" t="s">
        <v>1021</v>
      </c>
      <c r="D28" s="521"/>
      <c r="E28" s="603">
        <f>IFERROR(VLOOKUP(B28,MODULY_CBA!$B$3:$O$23,14,0)*VLOOKUP('Rozpocet - Vyvoj aplikacii'!C28,AKTIVITY_POZICIE!$A$4:$C$39,3,0),0)</f>
        <v>0</v>
      </c>
      <c r="F28" s="466">
        <f>IFERROR(VLOOKUP(C28,POZICIE_INTERNE!$A$4:$D$39,3,0)*VLOOKUP(B28,MODULY_CBA!$B$3:$J$23,9,0)/SUM(MODULY_CBA!$J$3:$J$23),)</f>
        <v>0</v>
      </c>
      <c r="G28" s="472">
        <f>IFERROR(IF(ISTEXT(B28),VLOOKUP(C28,POZICIE_INTERNE!$A$4:$D$39,4,0),),)</f>
        <v>0</v>
      </c>
      <c r="H28" s="473">
        <f>IF(ISTEXT(B28),VLOOKUP(C28,AKTIVITY_POZICIE!$A$4:$E$39,5,0),)</f>
        <v>0</v>
      </c>
      <c r="I28" s="467">
        <f t="shared" si="0"/>
        <v>0</v>
      </c>
      <c r="J28" s="467">
        <f t="shared" si="4"/>
        <v>0</v>
      </c>
      <c r="K28" s="467">
        <f t="shared" si="3"/>
        <v>0</v>
      </c>
      <c r="L28" s="522"/>
    </row>
    <row r="29" spans="1:12" x14ac:dyDescent="0.2">
      <c r="A29" s="870"/>
      <c r="B29" s="521"/>
      <c r="C29" s="403" t="s">
        <v>1028</v>
      </c>
      <c r="D29" s="521"/>
      <c r="E29" s="603">
        <f>IFERROR(VLOOKUP(B29,MODULY_CBA!$B$3:$O$23,14,0)*VLOOKUP('Rozpocet - Vyvoj aplikacii'!C29,AKTIVITY_POZICIE!$A$4:$C$39,3,0),0)</f>
        <v>0</v>
      </c>
      <c r="F29" s="466">
        <f>IFERROR(VLOOKUP(C29,POZICIE_INTERNE!$A$4:$D$39,3,0)*VLOOKUP(B29,MODULY_CBA!$B$3:$J$23,9,0)/SUM(MODULY_CBA!$J$3:$J$23),)</f>
        <v>0</v>
      </c>
      <c r="G29" s="472">
        <f>IFERROR(IF(ISTEXT(B29),VLOOKUP(C29,POZICIE_INTERNE!$A$4:$D$39,4,0),),)</f>
        <v>0</v>
      </c>
      <c r="H29" s="473">
        <f>IF(ISTEXT(B29),VLOOKUP(C29,AKTIVITY_POZICIE!$A$4:$E$39,5,0),)</f>
        <v>0</v>
      </c>
      <c r="I29" s="467">
        <f t="shared" si="0"/>
        <v>0</v>
      </c>
      <c r="J29" s="467">
        <f t="shared" si="4"/>
        <v>0</v>
      </c>
      <c r="K29" s="467">
        <f t="shared" si="3"/>
        <v>0</v>
      </c>
      <c r="L29" s="522"/>
    </row>
    <row r="30" spans="1:12" x14ac:dyDescent="0.2">
      <c r="A30" s="870" t="s">
        <v>263</v>
      </c>
      <c r="B30" s="521"/>
      <c r="C30" s="403" t="s">
        <v>1008</v>
      </c>
      <c r="D30" s="521"/>
      <c r="E30" s="603">
        <f>IFERROR(VLOOKUP(B30,MODULY_CBA!$B$3:$O$23,14,0)*VLOOKUP('Rozpocet - Vyvoj aplikacii'!C30,AKTIVITY_POZICIE!$A$4:$C$39,3,0),0)</f>
        <v>0</v>
      </c>
      <c r="F30" s="466">
        <f>IFERROR(VLOOKUP(C30,POZICIE_INTERNE!$A$4:$D$39,3,0)*VLOOKUP(B30,MODULY_CBA!$B$3:$J$23,9,0)/SUM(MODULY_CBA!$J$3:$J$23),)</f>
        <v>0</v>
      </c>
      <c r="G30" s="472">
        <f>IFERROR(IF(ISTEXT(B30),VLOOKUP(C30,POZICIE_INTERNE!$A$4:$D$39,4,0),),)</f>
        <v>0</v>
      </c>
      <c r="H30" s="473">
        <f>IF(ISTEXT(B30),VLOOKUP(C30,AKTIVITY_POZICIE!$A$4:$E$39,5,0),)</f>
        <v>0</v>
      </c>
      <c r="I30" s="467">
        <f t="shared" si="0"/>
        <v>0</v>
      </c>
      <c r="J30" s="467">
        <f t="shared" si="4"/>
        <v>0</v>
      </c>
      <c r="K30" s="467">
        <f t="shared" si="3"/>
        <v>0</v>
      </c>
      <c r="L30" s="522"/>
    </row>
    <row r="31" spans="1:12" x14ac:dyDescent="0.2">
      <c r="A31" s="870"/>
      <c r="B31" s="521"/>
      <c r="C31" s="403" t="s">
        <v>1021</v>
      </c>
      <c r="D31" s="521"/>
      <c r="E31" s="603">
        <f>IFERROR(VLOOKUP(B31,MODULY_CBA!$B$3:$O$23,14,0)*VLOOKUP('Rozpocet - Vyvoj aplikacii'!C31,AKTIVITY_POZICIE!$A$4:$C$39,3,0),0)</f>
        <v>0</v>
      </c>
      <c r="F31" s="466">
        <f>IFERROR(VLOOKUP(C31,POZICIE_INTERNE!$A$4:$D$39,3,0)*VLOOKUP(B31,MODULY_CBA!$B$3:$J$23,9,0)/SUM(MODULY_CBA!$J$3:$J$23),)</f>
        <v>0</v>
      </c>
      <c r="G31" s="472">
        <f>IFERROR(IF(ISTEXT(B31),VLOOKUP(C31,POZICIE_INTERNE!$A$4:$D$39,4,0),),)</f>
        <v>0</v>
      </c>
      <c r="H31" s="473">
        <f>IF(ISTEXT(B31),VLOOKUP(C31,AKTIVITY_POZICIE!$A$4:$E$39,5,0),)</f>
        <v>0</v>
      </c>
      <c r="I31" s="467">
        <f t="shared" si="0"/>
        <v>0</v>
      </c>
      <c r="J31" s="467">
        <f t="shared" si="4"/>
        <v>0</v>
      </c>
      <c r="K31" s="467">
        <f t="shared" si="3"/>
        <v>0</v>
      </c>
      <c r="L31" s="522"/>
    </row>
    <row r="32" spans="1:12" x14ac:dyDescent="0.2">
      <c r="A32" s="870"/>
      <c r="B32" s="521"/>
      <c r="C32" s="403" t="s">
        <v>1028</v>
      </c>
      <c r="D32" s="521"/>
      <c r="E32" s="603">
        <f>IFERROR(VLOOKUP(B32,MODULY_CBA!$B$3:$O$23,14,0)*VLOOKUP('Rozpocet - Vyvoj aplikacii'!C32,AKTIVITY_POZICIE!$A$4:$C$39,3,0),0)</f>
        <v>0</v>
      </c>
      <c r="F32" s="466">
        <f>IFERROR(VLOOKUP(C32,POZICIE_INTERNE!$A$4:$D$39,3,0)*VLOOKUP(B32,MODULY_CBA!$B$3:$J$23,9,0)/SUM(MODULY_CBA!$J$3:$J$23),)</f>
        <v>0</v>
      </c>
      <c r="G32" s="472">
        <f>IFERROR(IF(ISTEXT(B32),VLOOKUP(C32,POZICIE_INTERNE!$A$4:$D$39,4,0),),)</f>
        <v>0</v>
      </c>
      <c r="H32" s="473">
        <f>IF(ISTEXT(B32),VLOOKUP(C32,AKTIVITY_POZICIE!$A$4:$E$39,5,0),)</f>
        <v>0</v>
      </c>
      <c r="I32" s="467">
        <f t="shared" si="0"/>
        <v>0</v>
      </c>
      <c r="J32" s="467">
        <f t="shared" si="4"/>
        <v>0</v>
      </c>
      <c r="K32" s="467">
        <f t="shared" si="3"/>
        <v>0</v>
      </c>
      <c r="L32" s="522"/>
    </row>
    <row r="33" spans="1:12" x14ac:dyDescent="0.2">
      <c r="A33" s="870" t="s">
        <v>264</v>
      </c>
      <c r="B33" s="521"/>
      <c r="C33" s="403" t="s">
        <v>1008</v>
      </c>
      <c r="D33" s="521"/>
      <c r="E33" s="603">
        <f>IFERROR(VLOOKUP(B33,MODULY_CBA!$B$3:$O$23,14,0)*VLOOKUP('Rozpocet - Vyvoj aplikacii'!C33,AKTIVITY_POZICIE!$A$4:$C$39,3,0),0)</f>
        <v>0</v>
      </c>
      <c r="F33" s="466">
        <f>IFERROR(VLOOKUP(C33,POZICIE_INTERNE!$A$4:$D$39,3,0)*VLOOKUP(B33,MODULY_CBA!$B$3:$J$23,9,0)/SUM(MODULY_CBA!$J$3:$J$23),)</f>
        <v>0</v>
      </c>
      <c r="G33" s="472">
        <f>IFERROR(IF(ISTEXT(B33),VLOOKUP(C33,POZICIE_INTERNE!$A$4:$D$39,4,0),),)</f>
        <v>0</v>
      </c>
      <c r="H33" s="473">
        <f>IF(ISTEXT(B33),VLOOKUP(C33,AKTIVITY_POZICIE!$A$4:$E$39,5,0),)</f>
        <v>0</v>
      </c>
      <c r="I33" s="467">
        <f t="shared" si="0"/>
        <v>0</v>
      </c>
      <c r="J33" s="467">
        <f t="shared" si="4"/>
        <v>0</v>
      </c>
      <c r="K33" s="467">
        <f t="shared" si="3"/>
        <v>0</v>
      </c>
      <c r="L33" s="522"/>
    </row>
    <row r="34" spans="1:12" x14ac:dyDescent="0.2">
      <c r="A34" s="870"/>
      <c r="B34" s="521"/>
      <c r="C34" s="403" t="s">
        <v>1021</v>
      </c>
      <c r="D34" s="521"/>
      <c r="E34" s="603">
        <f>IFERROR(VLOOKUP(B34,MODULY_CBA!$B$3:$O$23,14,0)*VLOOKUP('Rozpocet - Vyvoj aplikacii'!C34,AKTIVITY_POZICIE!$A$4:$C$39,3,0),0)</f>
        <v>0</v>
      </c>
      <c r="F34" s="466">
        <f>IFERROR(VLOOKUP(C34,POZICIE_INTERNE!$A$4:$D$39,3,0)*VLOOKUP(B34,MODULY_CBA!$B$3:$J$23,9,0)/SUM(MODULY_CBA!$J$3:$J$23),)</f>
        <v>0</v>
      </c>
      <c r="G34" s="472">
        <f>IFERROR(IF(ISTEXT(B34),VLOOKUP(C34,POZICIE_INTERNE!$A$4:$D$39,4,0),),)</f>
        <v>0</v>
      </c>
      <c r="H34" s="473">
        <f>IF(ISTEXT(B34),VLOOKUP(C34,AKTIVITY_POZICIE!$A$4:$E$39,5,0),)</f>
        <v>0</v>
      </c>
      <c r="I34" s="467">
        <f t="shared" si="0"/>
        <v>0</v>
      </c>
      <c r="J34" s="467">
        <f t="shared" si="4"/>
        <v>0</v>
      </c>
      <c r="K34" s="467">
        <f t="shared" si="3"/>
        <v>0</v>
      </c>
      <c r="L34" s="522"/>
    </row>
    <row r="35" spans="1:12" x14ac:dyDescent="0.2">
      <c r="A35" s="870"/>
      <c r="B35" s="521"/>
      <c r="C35" s="403" t="s">
        <v>1028</v>
      </c>
      <c r="D35" s="521"/>
      <c r="E35" s="603">
        <f>IFERROR(VLOOKUP(B35,MODULY_CBA!$B$3:$O$23,14,0)*VLOOKUP('Rozpocet - Vyvoj aplikacii'!C35,AKTIVITY_POZICIE!$A$4:$C$39,3,0),0)</f>
        <v>0</v>
      </c>
      <c r="F35" s="466">
        <f>IFERROR(VLOOKUP(C35,POZICIE_INTERNE!$A$4:$D$39,3,0)*VLOOKUP(B35,MODULY_CBA!$B$3:$J$23,9,0)/SUM(MODULY_CBA!$J$3:$J$23),)</f>
        <v>0</v>
      </c>
      <c r="G35" s="472">
        <f>IFERROR(IF(ISTEXT(B35),VLOOKUP(C35,POZICIE_INTERNE!$A$4:$D$39,4,0),),)</f>
        <v>0</v>
      </c>
      <c r="H35" s="473">
        <f>IF(ISTEXT(B35),VLOOKUP(C35,AKTIVITY_POZICIE!$A$4:$E$39,5,0),)</f>
        <v>0</v>
      </c>
      <c r="I35" s="467">
        <f t="shared" si="0"/>
        <v>0</v>
      </c>
      <c r="J35" s="467">
        <f t="shared" si="4"/>
        <v>0</v>
      </c>
      <c r="K35" s="467">
        <f t="shared" si="3"/>
        <v>0</v>
      </c>
      <c r="L35" s="522"/>
    </row>
    <row r="36" spans="1:12" x14ac:dyDescent="0.2">
      <c r="A36" s="870" t="s">
        <v>265</v>
      </c>
      <c r="B36" s="521"/>
      <c r="C36" s="403" t="s">
        <v>1008</v>
      </c>
      <c r="D36" s="521"/>
      <c r="E36" s="603">
        <f>IFERROR(VLOOKUP(B36,MODULY_CBA!$B$3:$O$23,14,0)*VLOOKUP('Rozpocet - Vyvoj aplikacii'!C36,AKTIVITY_POZICIE!$A$4:$C$39,3,0),0)</f>
        <v>0</v>
      </c>
      <c r="F36" s="466">
        <f>IFERROR(VLOOKUP(C36,POZICIE_INTERNE!$A$4:$D$39,3,0)*VLOOKUP(B36,MODULY_CBA!$B$3:$J$23,9,0)/SUM(MODULY_CBA!$J$3:$J$23),)</f>
        <v>0</v>
      </c>
      <c r="G36" s="472">
        <f>IFERROR(IF(ISTEXT(B36),VLOOKUP(C36,POZICIE_INTERNE!$A$4:$D$39,4,0),),)</f>
        <v>0</v>
      </c>
      <c r="H36" s="473">
        <f>IF(ISTEXT(B36),VLOOKUP(C36,AKTIVITY_POZICIE!$A$4:$E$39,5,0),)</f>
        <v>0</v>
      </c>
      <c r="I36" s="467">
        <f t="shared" si="0"/>
        <v>0</v>
      </c>
      <c r="J36" s="467">
        <f t="shared" si="4"/>
        <v>0</v>
      </c>
      <c r="K36" s="467">
        <f t="shared" si="3"/>
        <v>0</v>
      </c>
      <c r="L36" s="522"/>
    </row>
    <row r="37" spans="1:12" x14ac:dyDescent="0.2">
      <c r="A37" s="870"/>
      <c r="B37" s="521"/>
      <c r="C37" s="403" t="s">
        <v>1021</v>
      </c>
      <c r="D37" s="521"/>
      <c r="E37" s="603">
        <f>IFERROR(VLOOKUP(B37,MODULY_CBA!$B$3:$O$23,14,0)*VLOOKUP('Rozpocet - Vyvoj aplikacii'!C37,AKTIVITY_POZICIE!$A$4:$C$39,3,0),0)</f>
        <v>0</v>
      </c>
      <c r="F37" s="466">
        <f>IFERROR(VLOOKUP(C37,POZICIE_INTERNE!$A$4:$D$39,3,0)*VLOOKUP(B37,MODULY_CBA!$B$3:$J$23,9,0)/SUM(MODULY_CBA!$J$3:$J$23),)</f>
        <v>0</v>
      </c>
      <c r="G37" s="472">
        <f>IFERROR(IF(ISTEXT(B37),VLOOKUP(C37,POZICIE_INTERNE!$A$4:$D$39,4,0),),)</f>
        <v>0</v>
      </c>
      <c r="H37" s="473">
        <f>IF(ISTEXT(B37),VLOOKUP(C37,AKTIVITY_POZICIE!$A$4:$E$39,5,0),)</f>
        <v>0</v>
      </c>
      <c r="I37" s="467">
        <f t="shared" si="0"/>
        <v>0</v>
      </c>
      <c r="J37" s="467">
        <f t="shared" si="4"/>
        <v>0</v>
      </c>
      <c r="K37" s="467">
        <f t="shared" si="3"/>
        <v>0</v>
      </c>
      <c r="L37" s="522"/>
    </row>
    <row r="38" spans="1:12" x14ac:dyDescent="0.2">
      <c r="A38" s="871"/>
      <c r="B38" s="521"/>
      <c r="C38" s="403" t="s">
        <v>1028</v>
      </c>
      <c r="D38" s="521"/>
      <c r="E38" s="603">
        <f>IFERROR(VLOOKUP(B38,MODULY_CBA!$B$3:$O$23,14,0)*VLOOKUP('Rozpocet - Vyvoj aplikacii'!C38,AKTIVITY_POZICIE!$A$4:$C$39,3,0),0)</f>
        <v>0</v>
      </c>
      <c r="F38" s="466">
        <f>IFERROR(VLOOKUP(C38,POZICIE_INTERNE!$A$4:$D$39,3,0)*VLOOKUP(B38,MODULY_CBA!$B$3:$J$23,9,0)/SUM(MODULY_CBA!$J$3:$J$23),)</f>
        <v>0</v>
      </c>
      <c r="G38" s="472">
        <f>IFERROR(IF(ISTEXT(B38),VLOOKUP(C38,POZICIE_INTERNE!$A$4:$D$39,4,0),),)</f>
        <v>0</v>
      </c>
      <c r="H38" s="473">
        <f>IF(ISTEXT(B38),VLOOKUP(C38,AKTIVITY_POZICIE!$A$4:$E$39,5,0),)</f>
        <v>0</v>
      </c>
      <c r="I38" s="467">
        <f t="shared" si="0"/>
        <v>0</v>
      </c>
      <c r="J38" s="467">
        <f t="shared" si="4"/>
        <v>0</v>
      </c>
      <c r="K38" s="467">
        <f t="shared" si="3"/>
        <v>0</v>
      </c>
      <c r="L38" s="522"/>
    </row>
    <row r="39" spans="1:12" x14ac:dyDescent="0.2">
      <c r="A39" s="869" t="s">
        <v>266</v>
      </c>
      <c r="B39" s="521"/>
      <c r="C39" s="403" t="s">
        <v>1008</v>
      </c>
      <c r="D39" s="521"/>
      <c r="E39" s="603">
        <f>IFERROR(VLOOKUP(B39,MODULY_CBA!$B$3:$O$23,14,0)*VLOOKUP('Rozpocet - Vyvoj aplikacii'!C39,AKTIVITY_POZICIE!$A$4:$C$39,3,0),0)</f>
        <v>0</v>
      </c>
      <c r="F39" s="466">
        <f>IFERROR(VLOOKUP(C39,POZICIE_INTERNE!$A$4:$D$39,3,0)*VLOOKUP(B39,MODULY_CBA!$B$3:$J$23,9,0)/SUM(MODULY_CBA!$J$3:$J$23),)</f>
        <v>0</v>
      </c>
      <c r="G39" s="472">
        <f>IFERROR(IF(ISTEXT(B39),VLOOKUP(C39,POZICIE_INTERNE!$A$4:$D$39,4,0),),)</f>
        <v>0</v>
      </c>
      <c r="H39" s="473">
        <f>IF(ISTEXT(B39),VLOOKUP(C39,AKTIVITY_POZICIE!$A$4:$E$39,5,0),)</f>
        <v>0</v>
      </c>
      <c r="I39" s="467">
        <f t="shared" si="0"/>
        <v>0</v>
      </c>
      <c r="J39" s="467">
        <f t="shared" si="4"/>
        <v>0</v>
      </c>
      <c r="K39" s="467">
        <f t="shared" si="3"/>
        <v>0</v>
      </c>
      <c r="L39" s="522"/>
    </row>
    <row r="40" spans="1:12" x14ac:dyDescent="0.2">
      <c r="A40" s="870"/>
      <c r="B40" s="521"/>
      <c r="C40" s="403" t="s">
        <v>1021</v>
      </c>
      <c r="D40" s="521"/>
      <c r="E40" s="603">
        <f>IFERROR(VLOOKUP(B40,MODULY_CBA!$B$3:$O$23,14,0)*VLOOKUP('Rozpocet - Vyvoj aplikacii'!C40,AKTIVITY_POZICIE!$A$4:$C$39,3,0),0)</f>
        <v>0</v>
      </c>
      <c r="F40" s="466">
        <f>IFERROR(VLOOKUP(C40,POZICIE_INTERNE!$A$4:$D$39,3,0)*VLOOKUP(B40,MODULY_CBA!$B$3:$J$23,9,0)/SUM(MODULY_CBA!$J$3:$J$23),)</f>
        <v>0</v>
      </c>
      <c r="G40" s="472">
        <f>IFERROR(IF(ISTEXT(B40),VLOOKUP(C40,POZICIE_INTERNE!$A$4:$D$39,4,0),),)</f>
        <v>0</v>
      </c>
      <c r="H40" s="473">
        <f>IF(ISTEXT(B40),VLOOKUP(C40,AKTIVITY_POZICIE!$A$4:$E$39,5,0),)</f>
        <v>0</v>
      </c>
      <c r="I40" s="467">
        <f t="shared" si="0"/>
        <v>0</v>
      </c>
      <c r="J40" s="467">
        <f t="shared" si="4"/>
        <v>0</v>
      </c>
      <c r="K40" s="467">
        <f t="shared" si="3"/>
        <v>0</v>
      </c>
      <c r="L40" s="522"/>
    </row>
    <row r="41" spans="1:12" x14ac:dyDescent="0.2">
      <c r="A41" s="870"/>
      <c r="B41" s="521"/>
      <c r="C41" s="403" t="s">
        <v>1028</v>
      </c>
      <c r="D41" s="521"/>
      <c r="E41" s="603">
        <f>IFERROR(VLOOKUP(B41,MODULY_CBA!$B$3:$O$23,14,0)*VLOOKUP('Rozpocet - Vyvoj aplikacii'!C41,AKTIVITY_POZICIE!$A$4:$C$39,3,0),0)</f>
        <v>0</v>
      </c>
      <c r="F41" s="466">
        <f>IFERROR(VLOOKUP(C41,POZICIE_INTERNE!$A$4:$D$39,3,0)*VLOOKUP(B41,MODULY_CBA!$B$3:$J$23,9,0)/SUM(MODULY_CBA!$J$3:$J$23),)</f>
        <v>0</v>
      </c>
      <c r="G41" s="472">
        <f>IFERROR(IF(ISTEXT(B41),VLOOKUP(C41,POZICIE_INTERNE!$A$4:$D$39,4,0),),)</f>
        <v>0</v>
      </c>
      <c r="H41" s="473">
        <f>IF(ISTEXT(B41),VLOOKUP(C41,AKTIVITY_POZICIE!$A$4:$E$39,5,0),)</f>
        <v>0</v>
      </c>
      <c r="I41" s="467">
        <f t="shared" si="0"/>
        <v>0</v>
      </c>
      <c r="J41" s="467">
        <f t="shared" si="4"/>
        <v>0</v>
      </c>
      <c r="K41" s="467">
        <f t="shared" si="3"/>
        <v>0</v>
      </c>
      <c r="L41" s="522"/>
    </row>
    <row r="42" spans="1:12" x14ac:dyDescent="0.2">
      <c r="A42" s="870" t="s">
        <v>267</v>
      </c>
      <c r="B42" s="521"/>
      <c r="C42" s="403" t="s">
        <v>1008</v>
      </c>
      <c r="D42" s="521"/>
      <c r="E42" s="603">
        <f>IFERROR(VLOOKUP(B42,MODULY_CBA!$B$3:$O$23,14,0)*VLOOKUP('Rozpocet - Vyvoj aplikacii'!C42,AKTIVITY_POZICIE!$A$4:$C$39,3,0),0)</f>
        <v>0</v>
      </c>
      <c r="F42" s="466">
        <f>IFERROR(VLOOKUP(C42,POZICIE_INTERNE!$A$4:$D$39,3,0)*VLOOKUP(B42,MODULY_CBA!$B$3:$J$23,9,0)/SUM(MODULY_CBA!$J$3:$J$23),)</f>
        <v>0</v>
      </c>
      <c r="G42" s="472">
        <f>IFERROR(IF(ISTEXT(B42),VLOOKUP(C42,POZICIE_INTERNE!$A$4:$D$39,4,0),),)</f>
        <v>0</v>
      </c>
      <c r="H42" s="473">
        <f>IF(ISTEXT(B42),VLOOKUP(C42,AKTIVITY_POZICIE!$A$4:$E$39,5,0),)</f>
        <v>0</v>
      </c>
      <c r="I42" s="467">
        <f t="shared" si="0"/>
        <v>0</v>
      </c>
      <c r="J42" s="467">
        <f t="shared" si="4"/>
        <v>0</v>
      </c>
      <c r="K42" s="467">
        <f t="shared" si="3"/>
        <v>0</v>
      </c>
      <c r="L42" s="522"/>
    </row>
    <row r="43" spans="1:12" x14ac:dyDescent="0.2">
      <c r="A43" s="870"/>
      <c r="B43" s="521"/>
      <c r="C43" s="403" t="s">
        <v>1021</v>
      </c>
      <c r="D43" s="521"/>
      <c r="E43" s="603">
        <f>IFERROR(VLOOKUP(B43,MODULY_CBA!$B$3:$O$23,14,0)*VLOOKUP('Rozpocet - Vyvoj aplikacii'!C43,AKTIVITY_POZICIE!$A$4:$C$39,3,0),0)</f>
        <v>0</v>
      </c>
      <c r="F43" s="466">
        <f>IFERROR(VLOOKUP(C43,POZICIE_INTERNE!$A$4:$D$39,3,0)*VLOOKUP(B43,MODULY_CBA!$B$3:$J$23,9,0)/SUM(MODULY_CBA!$J$3:$J$23),)</f>
        <v>0</v>
      </c>
      <c r="G43" s="472">
        <f>IFERROR(IF(ISTEXT(B43),VLOOKUP(C43,POZICIE_INTERNE!$A$4:$D$39,4,0),),)</f>
        <v>0</v>
      </c>
      <c r="H43" s="473">
        <f>IF(ISTEXT(B43),VLOOKUP(C43,AKTIVITY_POZICIE!$A$4:$E$39,5,0),)</f>
        <v>0</v>
      </c>
      <c r="I43" s="467">
        <f t="shared" si="0"/>
        <v>0</v>
      </c>
      <c r="J43" s="467">
        <f t="shared" si="4"/>
        <v>0</v>
      </c>
      <c r="K43" s="467">
        <f t="shared" si="3"/>
        <v>0</v>
      </c>
      <c r="L43" s="522"/>
    </row>
    <row r="44" spans="1:12" x14ac:dyDescent="0.2">
      <c r="A44" s="870"/>
      <c r="B44" s="521"/>
      <c r="C44" s="403" t="s">
        <v>1028</v>
      </c>
      <c r="D44" s="521"/>
      <c r="E44" s="603">
        <f>IFERROR(VLOOKUP(B44,MODULY_CBA!$B$3:$O$23,14,0)*VLOOKUP('Rozpocet - Vyvoj aplikacii'!C44,AKTIVITY_POZICIE!$A$4:$C$39,3,0),0)</f>
        <v>0</v>
      </c>
      <c r="F44" s="466">
        <f>IFERROR(VLOOKUP(C44,POZICIE_INTERNE!$A$4:$D$39,3,0)*VLOOKUP(B44,MODULY_CBA!$B$3:$J$23,9,0)/SUM(MODULY_CBA!$J$3:$J$23),)</f>
        <v>0</v>
      </c>
      <c r="G44" s="472">
        <f>IFERROR(IF(ISTEXT(B44),VLOOKUP(C44,POZICIE_INTERNE!$A$4:$D$39,4,0),),)</f>
        <v>0</v>
      </c>
      <c r="H44" s="473">
        <f>IF(ISTEXT(B44),VLOOKUP(C44,AKTIVITY_POZICIE!$A$4:$E$39,5,0),)</f>
        <v>0</v>
      </c>
      <c r="I44" s="467">
        <f t="shared" si="0"/>
        <v>0</v>
      </c>
      <c r="J44" s="467">
        <f t="shared" si="4"/>
        <v>0</v>
      </c>
      <c r="K44" s="467">
        <f t="shared" si="3"/>
        <v>0</v>
      </c>
      <c r="L44" s="522"/>
    </row>
    <row r="45" spans="1:12" x14ac:dyDescent="0.2">
      <c r="A45" s="870" t="s">
        <v>268</v>
      </c>
      <c r="B45" s="521"/>
      <c r="C45" s="403" t="s">
        <v>1008</v>
      </c>
      <c r="D45" s="521"/>
      <c r="E45" s="603">
        <f>IFERROR(VLOOKUP(B45,MODULY_CBA!$B$3:$O$23,14,0)*VLOOKUP('Rozpocet - Vyvoj aplikacii'!C45,AKTIVITY_POZICIE!$A$4:$C$39,3,0),0)</f>
        <v>0</v>
      </c>
      <c r="F45" s="466">
        <f>IFERROR(VLOOKUP(C45,POZICIE_INTERNE!$A$4:$D$39,3,0)*VLOOKUP(B45,MODULY_CBA!$B$3:$J$23,9,0)/SUM(MODULY_CBA!$J$3:$J$23),)</f>
        <v>0</v>
      </c>
      <c r="G45" s="472">
        <f>IFERROR(IF(ISTEXT(B45),VLOOKUP(C45,POZICIE_INTERNE!$A$4:$D$39,4,0),),)</f>
        <v>0</v>
      </c>
      <c r="H45" s="473">
        <f>IF(ISTEXT(B45),VLOOKUP(C45,AKTIVITY_POZICIE!$A$4:$E$39,5,0),)</f>
        <v>0</v>
      </c>
      <c r="I45" s="467">
        <f t="shared" si="0"/>
        <v>0</v>
      </c>
      <c r="J45" s="467">
        <f t="shared" si="4"/>
        <v>0</v>
      </c>
      <c r="K45" s="467">
        <f t="shared" si="3"/>
        <v>0</v>
      </c>
      <c r="L45" s="522"/>
    </row>
    <row r="46" spans="1:12" x14ac:dyDescent="0.2">
      <c r="A46" s="870"/>
      <c r="B46" s="521"/>
      <c r="C46" s="403" t="s">
        <v>1021</v>
      </c>
      <c r="D46" s="521"/>
      <c r="E46" s="603">
        <f>IFERROR(VLOOKUP(B46,MODULY_CBA!$B$3:$O$23,14,0)*VLOOKUP('Rozpocet - Vyvoj aplikacii'!C46,AKTIVITY_POZICIE!$A$4:$C$39,3,0),0)</f>
        <v>0</v>
      </c>
      <c r="F46" s="466">
        <f>IFERROR(VLOOKUP(C46,POZICIE_INTERNE!$A$4:$D$39,3,0)*VLOOKUP(B46,MODULY_CBA!$B$3:$J$23,9,0)/SUM(MODULY_CBA!$J$3:$J$23),)</f>
        <v>0</v>
      </c>
      <c r="G46" s="472">
        <f>IFERROR(IF(ISTEXT(B46),VLOOKUP(C46,POZICIE_INTERNE!$A$4:$D$39,4,0),),)</f>
        <v>0</v>
      </c>
      <c r="H46" s="473">
        <f>IF(ISTEXT(B46),VLOOKUP(C46,AKTIVITY_POZICIE!$A$4:$E$39,5,0),)</f>
        <v>0</v>
      </c>
      <c r="I46" s="467">
        <f t="shared" si="0"/>
        <v>0</v>
      </c>
      <c r="J46" s="467">
        <f t="shared" si="4"/>
        <v>0</v>
      </c>
      <c r="K46" s="467">
        <f t="shared" si="3"/>
        <v>0</v>
      </c>
      <c r="L46" s="522"/>
    </row>
    <row r="47" spans="1:12" x14ac:dyDescent="0.2">
      <c r="A47" s="870"/>
      <c r="B47" s="521"/>
      <c r="C47" s="403" t="s">
        <v>1028</v>
      </c>
      <c r="D47" s="521"/>
      <c r="E47" s="603">
        <f>IFERROR(VLOOKUP(B47,MODULY_CBA!$B$3:$O$23,14,0)*VLOOKUP('Rozpocet - Vyvoj aplikacii'!C47,AKTIVITY_POZICIE!$A$4:$C$39,3,0),0)</f>
        <v>0</v>
      </c>
      <c r="F47" s="466">
        <f>IFERROR(VLOOKUP(C47,POZICIE_INTERNE!$A$4:$D$39,3,0)*VLOOKUP(B47,MODULY_CBA!$B$3:$J$23,9,0)/SUM(MODULY_CBA!$J$3:$J$23),)</f>
        <v>0</v>
      </c>
      <c r="G47" s="472">
        <f>IFERROR(IF(ISTEXT(B47),VLOOKUP(C47,POZICIE_INTERNE!$A$4:$D$39,4,0),),)</f>
        <v>0</v>
      </c>
      <c r="H47" s="473">
        <f>IF(ISTEXT(B47),VLOOKUP(C47,AKTIVITY_POZICIE!$A$4:$E$39,5,0),)</f>
        <v>0</v>
      </c>
      <c r="I47" s="467">
        <f t="shared" si="0"/>
        <v>0</v>
      </c>
      <c r="J47" s="467">
        <f t="shared" si="4"/>
        <v>0</v>
      </c>
      <c r="K47" s="467">
        <f t="shared" si="3"/>
        <v>0</v>
      </c>
      <c r="L47" s="522"/>
    </row>
    <row r="48" spans="1:12" x14ac:dyDescent="0.2">
      <c r="A48" s="870" t="s">
        <v>269</v>
      </c>
      <c r="B48" s="521"/>
      <c r="C48" s="403" t="s">
        <v>1008</v>
      </c>
      <c r="D48" s="521"/>
      <c r="E48" s="603">
        <f>IFERROR(VLOOKUP(B48,MODULY_CBA!$B$3:$O$23,14,0)*VLOOKUP('Rozpocet - Vyvoj aplikacii'!C48,AKTIVITY_POZICIE!$A$4:$C$39,3,0),0)</f>
        <v>0</v>
      </c>
      <c r="F48" s="466">
        <f>IFERROR(VLOOKUP(C48,POZICIE_INTERNE!$A$4:$D$39,3,0)*VLOOKUP(B48,MODULY_CBA!$B$3:$J$23,9,0)/SUM(MODULY_CBA!$J$3:$J$23),)</f>
        <v>0</v>
      </c>
      <c r="G48" s="472">
        <f>IFERROR(IF(ISTEXT(B48),VLOOKUP(C48,POZICIE_INTERNE!$A$4:$D$39,4,0),),)</f>
        <v>0</v>
      </c>
      <c r="H48" s="473">
        <f>IF(ISTEXT(B48),VLOOKUP(C48,AKTIVITY_POZICIE!$A$4:$E$39,5,0),)</f>
        <v>0</v>
      </c>
      <c r="I48" s="467">
        <f t="shared" si="0"/>
        <v>0</v>
      </c>
      <c r="J48" s="467">
        <f t="shared" si="4"/>
        <v>0</v>
      </c>
      <c r="K48" s="467">
        <f t="shared" si="3"/>
        <v>0</v>
      </c>
      <c r="L48" s="522"/>
    </row>
    <row r="49" spans="1:12" x14ac:dyDescent="0.2">
      <c r="A49" s="870"/>
      <c r="B49" s="521"/>
      <c r="C49" s="403" t="s">
        <v>1021</v>
      </c>
      <c r="D49" s="521"/>
      <c r="E49" s="603">
        <f>IFERROR(VLOOKUP(B49,MODULY_CBA!$B$3:$O$23,14,0)*VLOOKUP('Rozpocet - Vyvoj aplikacii'!C49,AKTIVITY_POZICIE!$A$4:$C$39,3,0),0)</f>
        <v>0</v>
      </c>
      <c r="F49" s="466">
        <f>IFERROR(VLOOKUP(C49,POZICIE_INTERNE!$A$4:$D$39,3,0)*VLOOKUP(B49,MODULY_CBA!$B$3:$J$23,9,0)/SUM(MODULY_CBA!$J$3:$J$23),)</f>
        <v>0</v>
      </c>
      <c r="G49" s="472">
        <f>IFERROR(IF(ISTEXT(B49),VLOOKUP(C49,POZICIE_INTERNE!$A$4:$D$39,4,0),),)</f>
        <v>0</v>
      </c>
      <c r="H49" s="473">
        <f>IF(ISTEXT(B49),VLOOKUP(C49,AKTIVITY_POZICIE!$A$4:$E$39,5,0),)</f>
        <v>0</v>
      </c>
      <c r="I49" s="467">
        <f t="shared" si="0"/>
        <v>0</v>
      </c>
      <c r="J49" s="467">
        <f t="shared" si="4"/>
        <v>0</v>
      </c>
      <c r="K49" s="467">
        <f t="shared" si="3"/>
        <v>0</v>
      </c>
      <c r="L49" s="522"/>
    </row>
    <row r="50" spans="1:12" x14ac:dyDescent="0.2">
      <c r="A50" s="871"/>
      <c r="B50" s="521"/>
      <c r="C50" s="403" t="s">
        <v>1028</v>
      </c>
      <c r="D50" s="521"/>
      <c r="E50" s="603">
        <f>IFERROR(VLOOKUP(B50,MODULY_CBA!$B$3:$O$23,14,0)*VLOOKUP('Rozpocet - Vyvoj aplikacii'!C50,AKTIVITY_POZICIE!$A$4:$C$39,3,0),0)</f>
        <v>0</v>
      </c>
      <c r="F50" s="466">
        <f>IFERROR(VLOOKUP(C50,POZICIE_INTERNE!$A$4:$D$39,3,0)*VLOOKUP(B50,MODULY_CBA!$B$3:$J$23,9,0)/SUM(MODULY_CBA!$J$3:$J$23),)</f>
        <v>0</v>
      </c>
      <c r="G50" s="472">
        <f>IFERROR(IF(ISTEXT(B50),VLOOKUP(C50,POZICIE_INTERNE!$A$4:$D$39,4,0),),)</f>
        <v>0</v>
      </c>
      <c r="H50" s="473">
        <f>IF(ISTEXT(B50),VLOOKUP(C50,AKTIVITY_POZICIE!$A$4:$E$39,5,0),)</f>
        <v>0</v>
      </c>
      <c r="I50" s="467">
        <f t="shared" si="0"/>
        <v>0</v>
      </c>
      <c r="J50" s="467">
        <f t="shared" si="4"/>
        <v>0</v>
      </c>
      <c r="K50" s="467">
        <f t="shared" si="3"/>
        <v>0</v>
      </c>
      <c r="L50" s="522"/>
    </row>
    <row r="51" spans="1:12" x14ac:dyDescent="0.2">
      <c r="A51" s="869" t="s">
        <v>270</v>
      </c>
      <c r="B51" s="521"/>
      <c r="C51" s="403" t="s">
        <v>1008</v>
      </c>
      <c r="D51" s="521"/>
      <c r="E51" s="603">
        <f>IFERROR(VLOOKUP(B51,MODULY_CBA!$B$3:$O$23,14,0)*VLOOKUP('Rozpocet - Vyvoj aplikacii'!C51,AKTIVITY_POZICIE!$A$4:$C$39,3,0),0)</f>
        <v>0</v>
      </c>
      <c r="F51" s="466">
        <f>IFERROR(VLOOKUP(C51,POZICIE_INTERNE!$A$4:$D$39,3,0)*VLOOKUP(B51,MODULY_CBA!$B$3:$J$23,9,0)/SUM(MODULY_CBA!$J$3:$J$23),)</f>
        <v>0</v>
      </c>
      <c r="G51" s="472">
        <f>IFERROR(IF(ISTEXT(B51),VLOOKUP(C51,POZICIE_INTERNE!$A$4:$D$39,4,0),),)</f>
        <v>0</v>
      </c>
      <c r="H51" s="473">
        <f>IF(ISTEXT(B51),VLOOKUP(C51,AKTIVITY_POZICIE!$A$4:$E$39,5,0),)</f>
        <v>0</v>
      </c>
      <c r="I51" s="467">
        <f t="shared" si="0"/>
        <v>0</v>
      </c>
      <c r="J51" s="467">
        <f t="shared" si="4"/>
        <v>0</v>
      </c>
      <c r="K51" s="467">
        <f t="shared" si="3"/>
        <v>0</v>
      </c>
      <c r="L51" s="522"/>
    </row>
    <row r="52" spans="1:12" x14ac:dyDescent="0.2">
      <c r="A52" s="870"/>
      <c r="B52" s="521"/>
      <c r="C52" s="403" t="s">
        <v>1021</v>
      </c>
      <c r="D52" s="521"/>
      <c r="E52" s="603">
        <f>IFERROR(VLOOKUP(B52,MODULY_CBA!$B$3:$O$23,14,0)*VLOOKUP('Rozpocet - Vyvoj aplikacii'!C52,AKTIVITY_POZICIE!$A$4:$C$39,3,0),0)</f>
        <v>0</v>
      </c>
      <c r="F52" s="466">
        <f>IFERROR(VLOOKUP(C52,POZICIE_INTERNE!$A$4:$D$39,3,0)*VLOOKUP(B52,MODULY_CBA!$B$3:$J$23,9,0)/SUM(MODULY_CBA!$J$3:$J$23),)</f>
        <v>0</v>
      </c>
      <c r="G52" s="472">
        <f>IFERROR(IF(ISTEXT(B52),VLOOKUP(C52,POZICIE_INTERNE!$A$4:$D$39,4,0),),)</f>
        <v>0</v>
      </c>
      <c r="H52" s="473">
        <f>IF(ISTEXT(B52),VLOOKUP(C52,AKTIVITY_POZICIE!$A$4:$E$39,5,0),)</f>
        <v>0</v>
      </c>
      <c r="I52" s="467">
        <f t="shared" si="0"/>
        <v>0</v>
      </c>
      <c r="J52" s="467">
        <f t="shared" si="4"/>
        <v>0</v>
      </c>
      <c r="K52" s="467">
        <f t="shared" si="3"/>
        <v>0</v>
      </c>
      <c r="L52" s="522"/>
    </row>
    <row r="53" spans="1:12" x14ac:dyDescent="0.2">
      <c r="A53" s="870"/>
      <c r="B53" s="521"/>
      <c r="C53" s="403" t="s">
        <v>1028</v>
      </c>
      <c r="D53" s="521"/>
      <c r="E53" s="603">
        <f>IFERROR(VLOOKUP(B53,MODULY_CBA!$B$3:$O$23,14,0)*VLOOKUP('Rozpocet - Vyvoj aplikacii'!C53,AKTIVITY_POZICIE!$A$4:$C$39,3,0),0)</f>
        <v>0</v>
      </c>
      <c r="F53" s="466">
        <f>IFERROR(VLOOKUP(C53,POZICIE_INTERNE!$A$4:$D$39,3,0)*VLOOKUP(B53,MODULY_CBA!$B$3:$J$23,9,0)/SUM(MODULY_CBA!$J$3:$J$23),)</f>
        <v>0</v>
      </c>
      <c r="G53" s="472">
        <f>IFERROR(IF(ISTEXT(B53),VLOOKUP(C53,POZICIE_INTERNE!$A$4:$D$39,4,0),),)</f>
        <v>0</v>
      </c>
      <c r="H53" s="473">
        <f>IF(ISTEXT(B53),VLOOKUP(C53,AKTIVITY_POZICIE!$A$4:$E$39,5,0),)</f>
        <v>0</v>
      </c>
      <c r="I53" s="467">
        <f t="shared" si="0"/>
        <v>0</v>
      </c>
      <c r="J53" s="467">
        <f t="shared" si="4"/>
        <v>0</v>
      </c>
      <c r="K53" s="467">
        <f t="shared" si="3"/>
        <v>0</v>
      </c>
      <c r="L53" s="522"/>
    </row>
    <row r="54" spans="1:12" x14ac:dyDescent="0.2">
      <c r="A54" s="870" t="s">
        <v>271</v>
      </c>
      <c r="B54" s="521"/>
      <c r="C54" s="403" t="s">
        <v>1008</v>
      </c>
      <c r="D54" s="521"/>
      <c r="E54" s="603">
        <f>IFERROR(VLOOKUP(B54,MODULY_CBA!$B$3:$O$23,14,0)*VLOOKUP('Rozpocet - Vyvoj aplikacii'!C54,AKTIVITY_POZICIE!$A$4:$C$39,3,0),0)</f>
        <v>0</v>
      </c>
      <c r="F54" s="466">
        <f>IFERROR(VLOOKUP(C54,POZICIE_INTERNE!$A$4:$D$39,3,0)*VLOOKUP(B54,MODULY_CBA!$B$3:$J$23,9,0)/SUM(MODULY_CBA!$J$3:$J$23),)</f>
        <v>0</v>
      </c>
      <c r="G54" s="472">
        <f>IFERROR(IF(ISTEXT(B54),VLOOKUP(C54,POZICIE_INTERNE!$A$4:$D$39,4,0),),)</f>
        <v>0</v>
      </c>
      <c r="H54" s="473">
        <f>IF(ISTEXT(B54),VLOOKUP(C54,AKTIVITY_POZICIE!$A$4:$E$39,5,0),)</f>
        <v>0</v>
      </c>
      <c r="I54" s="467">
        <f t="shared" si="0"/>
        <v>0</v>
      </c>
      <c r="J54" s="467">
        <f t="shared" si="4"/>
        <v>0</v>
      </c>
      <c r="K54" s="467">
        <f t="shared" si="3"/>
        <v>0</v>
      </c>
      <c r="L54" s="522"/>
    </row>
    <row r="55" spans="1:12" x14ac:dyDescent="0.2">
      <c r="A55" s="870"/>
      <c r="B55" s="521"/>
      <c r="C55" s="403" t="s">
        <v>1021</v>
      </c>
      <c r="D55" s="521"/>
      <c r="E55" s="603">
        <f>IFERROR(VLOOKUP(B55,MODULY_CBA!$B$3:$O$23,14,0)*VLOOKUP('Rozpocet - Vyvoj aplikacii'!C55,AKTIVITY_POZICIE!$A$4:$C$39,3,0),0)</f>
        <v>0</v>
      </c>
      <c r="F55" s="466">
        <f>IFERROR(VLOOKUP(C55,POZICIE_INTERNE!$A$4:$D$39,3,0)*VLOOKUP(B55,MODULY_CBA!$B$3:$J$23,9,0)/SUM(MODULY_CBA!$J$3:$J$23),)</f>
        <v>0</v>
      </c>
      <c r="G55" s="472">
        <f>IFERROR(IF(ISTEXT(B55),VLOOKUP(C55,POZICIE_INTERNE!$A$4:$D$39,4,0),),)</f>
        <v>0</v>
      </c>
      <c r="H55" s="473">
        <f>IF(ISTEXT(B55),VLOOKUP(C55,AKTIVITY_POZICIE!$A$4:$E$39,5,0),)</f>
        <v>0</v>
      </c>
      <c r="I55" s="467">
        <f t="shared" si="0"/>
        <v>0</v>
      </c>
      <c r="J55" s="467">
        <f t="shared" si="4"/>
        <v>0</v>
      </c>
      <c r="K55" s="467">
        <f t="shared" si="3"/>
        <v>0</v>
      </c>
      <c r="L55" s="522"/>
    </row>
    <row r="56" spans="1:12" x14ac:dyDescent="0.2">
      <c r="A56" s="870"/>
      <c r="B56" s="521"/>
      <c r="C56" s="403" t="s">
        <v>1028</v>
      </c>
      <c r="D56" s="521"/>
      <c r="E56" s="603">
        <f>IFERROR(VLOOKUP(B56,MODULY_CBA!$B$3:$O$23,14,0)*VLOOKUP('Rozpocet - Vyvoj aplikacii'!C56,AKTIVITY_POZICIE!$A$4:$C$39,3,0),0)</f>
        <v>0</v>
      </c>
      <c r="F56" s="466">
        <f>IFERROR(VLOOKUP(C56,POZICIE_INTERNE!$A$4:$D$39,3,0)*VLOOKUP(B56,MODULY_CBA!$B$3:$J$23,9,0)/SUM(MODULY_CBA!$J$3:$J$23),)</f>
        <v>0</v>
      </c>
      <c r="G56" s="472">
        <f>IFERROR(IF(ISTEXT(B56),VLOOKUP(C56,POZICIE_INTERNE!$A$4:$D$39,4,0),),)</f>
        <v>0</v>
      </c>
      <c r="H56" s="473">
        <f>IF(ISTEXT(B56),VLOOKUP(C56,AKTIVITY_POZICIE!$A$4:$E$39,5,0),)</f>
        <v>0</v>
      </c>
      <c r="I56" s="467">
        <f t="shared" si="0"/>
        <v>0</v>
      </c>
      <c r="J56" s="467">
        <f t="shared" si="4"/>
        <v>0</v>
      </c>
      <c r="K56" s="467">
        <f t="shared" si="3"/>
        <v>0</v>
      </c>
      <c r="L56" s="522"/>
    </row>
    <row r="57" spans="1:12" x14ac:dyDescent="0.2">
      <c r="A57" s="870" t="s">
        <v>272</v>
      </c>
      <c r="B57" s="521"/>
      <c r="C57" s="403" t="s">
        <v>1008</v>
      </c>
      <c r="D57" s="521"/>
      <c r="E57" s="603">
        <f>IFERROR(VLOOKUP(B57,MODULY_CBA!$B$3:$O$23,14,0)*VLOOKUP('Rozpocet - Vyvoj aplikacii'!C57,AKTIVITY_POZICIE!$A$4:$C$39,3,0),0)</f>
        <v>0</v>
      </c>
      <c r="F57" s="466">
        <f>IFERROR(VLOOKUP(C57,POZICIE_INTERNE!$A$4:$D$39,3,0)*VLOOKUP(B57,MODULY_CBA!$B$3:$J$23,9,0)/SUM(MODULY_CBA!$J$3:$J$23),)</f>
        <v>0</v>
      </c>
      <c r="G57" s="472">
        <f>IFERROR(IF(ISTEXT(B57),VLOOKUP(C57,POZICIE_INTERNE!$A$4:$D$39,4,0),),)</f>
        <v>0</v>
      </c>
      <c r="H57" s="473">
        <f>IF(ISTEXT(B57),VLOOKUP(C57,AKTIVITY_POZICIE!$A$4:$E$39,5,0),)</f>
        <v>0</v>
      </c>
      <c r="I57" s="467">
        <f t="shared" si="0"/>
        <v>0</v>
      </c>
      <c r="J57" s="467">
        <f t="shared" si="4"/>
        <v>0</v>
      </c>
      <c r="K57" s="467">
        <f t="shared" si="3"/>
        <v>0</v>
      </c>
      <c r="L57" s="522"/>
    </row>
    <row r="58" spans="1:12" x14ac:dyDescent="0.2">
      <c r="A58" s="870"/>
      <c r="B58" s="521"/>
      <c r="C58" s="403" t="s">
        <v>1021</v>
      </c>
      <c r="D58" s="521"/>
      <c r="E58" s="603">
        <f>IFERROR(VLOOKUP(B58,MODULY_CBA!$B$3:$O$23,14,0)*VLOOKUP('Rozpocet - Vyvoj aplikacii'!C58,AKTIVITY_POZICIE!$A$4:$C$39,3,0),0)</f>
        <v>0</v>
      </c>
      <c r="F58" s="466">
        <f>IFERROR(VLOOKUP(C58,POZICIE_INTERNE!$A$4:$D$39,3,0)*VLOOKUP(B58,MODULY_CBA!$B$3:$J$23,9,0)/SUM(MODULY_CBA!$J$3:$J$23),)</f>
        <v>0</v>
      </c>
      <c r="G58" s="472">
        <f>IFERROR(IF(ISTEXT(B58),VLOOKUP(C58,POZICIE_INTERNE!$A$4:$D$39,4,0),),)</f>
        <v>0</v>
      </c>
      <c r="H58" s="473">
        <f>IF(ISTEXT(B58),VLOOKUP(C58,AKTIVITY_POZICIE!$A$4:$E$39,5,0),)</f>
        <v>0</v>
      </c>
      <c r="I58" s="467">
        <f t="shared" si="0"/>
        <v>0</v>
      </c>
      <c r="J58" s="467">
        <f t="shared" si="4"/>
        <v>0</v>
      </c>
      <c r="K58" s="467">
        <f t="shared" si="3"/>
        <v>0</v>
      </c>
      <c r="L58" s="522"/>
    </row>
    <row r="59" spans="1:12" x14ac:dyDescent="0.2">
      <c r="A59" s="870"/>
      <c r="B59" s="521"/>
      <c r="C59" s="403" t="s">
        <v>1028</v>
      </c>
      <c r="D59" s="521"/>
      <c r="E59" s="603">
        <f>IFERROR(VLOOKUP(B59,MODULY_CBA!$B$3:$O$23,14,0)*VLOOKUP('Rozpocet - Vyvoj aplikacii'!C59,AKTIVITY_POZICIE!$A$4:$C$39,3,0),0)</f>
        <v>0</v>
      </c>
      <c r="F59" s="466">
        <f>IFERROR(VLOOKUP(C59,POZICIE_INTERNE!$A$4:$D$39,3,0)*VLOOKUP(B59,MODULY_CBA!$B$3:$J$23,9,0)/SUM(MODULY_CBA!$J$3:$J$23),)</f>
        <v>0</v>
      </c>
      <c r="G59" s="472">
        <f>IFERROR(IF(ISTEXT(B59),VLOOKUP(C59,POZICIE_INTERNE!$A$4:$D$39,4,0),),)</f>
        <v>0</v>
      </c>
      <c r="H59" s="473">
        <f>IF(ISTEXT(B59),VLOOKUP(C59,AKTIVITY_POZICIE!$A$4:$E$39,5,0),)</f>
        <v>0</v>
      </c>
      <c r="I59" s="467">
        <f t="shared" si="0"/>
        <v>0</v>
      </c>
      <c r="J59" s="467">
        <f t="shared" si="4"/>
        <v>0</v>
      </c>
      <c r="K59" s="467">
        <f t="shared" si="3"/>
        <v>0</v>
      </c>
      <c r="L59" s="522"/>
    </row>
    <row r="60" spans="1:12" x14ac:dyDescent="0.2">
      <c r="A60" s="870" t="s">
        <v>273</v>
      </c>
      <c r="B60" s="521"/>
      <c r="C60" s="403" t="s">
        <v>1008</v>
      </c>
      <c r="D60" s="521"/>
      <c r="E60" s="603">
        <f>IFERROR(VLOOKUP(B60,MODULY_CBA!$B$3:$O$23,14,0)*VLOOKUP('Rozpocet - Vyvoj aplikacii'!C60,AKTIVITY_POZICIE!$A$4:$C$39,3,0),0)</f>
        <v>0</v>
      </c>
      <c r="F60" s="466">
        <f>IFERROR(VLOOKUP(C60,POZICIE_INTERNE!$A$4:$D$39,3,0)*VLOOKUP(B60,MODULY_CBA!$B$3:$J$23,9,0)/SUM(MODULY_CBA!$J$3:$J$23),)</f>
        <v>0</v>
      </c>
      <c r="G60" s="472">
        <f>IFERROR(IF(ISTEXT(B60),VLOOKUP(C60,POZICIE_INTERNE!$A$4:$D$39,4,0),),)</f>
        <v>0</v>
      </c>
      <c r="H60" s="473">
        <f>IF(ISTEXT(B60),VLOOKUP(C60,AKTIVITY_POZICIE!$A$4:$E$39,5,0),)</f>
        <v>0</v>
      </c>
      <c r="I60" s="467">
        <f t="shared" si="0"/>
        <v>0</v>
      </c>
      <c r="J60" s="467">
        <f t="shared" si="4"/>
        <v>0</v>
      </c>
      <c r="K60" s="467">
        <f t="shared" si="3"/>
        <v>0</v>
      </c>
      <c r="L60" s="522"/>
    </row>
    <row r="61" spans="1:12" x14ac:dyDescent="0.2">
      <c r="A61" s="870"/>
      <c r="B61" s="521"/>
      <c r="C61" s="403" t="s">
        <v>1021</v>
      </c>
      <c r="D61" s="521"/>
      <c r="E61" s="603">
        <f>IFERROR(VLOOKUP(B61,MODULY_CBA!$B$3:$O$23,14,0)*VLOOKUP('Rozpocet - Vyvoj aplikacii'!C61,AKTIVITY_POZICIE!$A$4:$C$39,3,0),0)</f>
        <v>0</v>
      </c>
      <c r="F61" s="466">
        <f>IFERROR(VLOOKUP(C61,POZICIE_INTERNE!$A$4:$D$39,3,0)*VLOOKUP(B61,MODULY_CBA!$B$3:$J$23,9,0)/SUM(MODULY_CBA!$J$3:$J$23),)</f>
        <v>0</v>
      </c>
      <c r="G61" s="472">
        <f>IFERROR(IF(ISTEXT(B61),VLOOKUP(C61,POZICIE_INTERNE!$A$4:$D$39,4,0),),)</f>
        <v>0</v>
      </c>
      <c r="H61" s="473">
        <f>IF(ISTEXT(B61),VLOOKUP(C61,AKTIVITY_POZICIE!$A$4:$E$39,5,0),)</f>
        <v>0</v>
      </c>
      <c r="I61" s="467">
        <f t="shared" si="0"/>
        <v>0</v>
      </c>
      <c r="J61" s="467">
        <f t="shared" si="4"/>
        <v>0</v>
      </c>
      <c r="K61" s="467">
        <f t="shared" si="3"/>
        <v>0</v>
      </c>
      <c r="L61" s="522"/>
    </row>
    <row r="62" spans="1:12" x14ac:dyDescent="0.2">
      <c r="A62" s="871"/>
      <c r="B62" s="521"/>
      <c r="C62" s="403" t="s">
        <v>1028</v>
      </c>
      <c r="D62" s="521"/>
      <c r="E62" s="603">
        <f>IFERROR(VLOOKUP(B62,MODULY_CBA!$B$3:$O$23,14,0)*VLOOKUP('Rozpocet - Vyvoj aplikacii'!C62,AKTIVITY_POZICIE!$A$4:$C$39,3,0),0)</f>
        <v>0</v>
      </c>
      <c r="F62" s="466">
        <f>IFERROR(VLOOKUP(C62,POZICIE_INTERNE!$A$4:$D$39,3,0)*VLOOKUP(B62,MODULY_CBA!$B$3:$J$23,9,0)/SUM(MODULY_CBA!$J$3:$J$23),)</f>
        <v>0</v>
      </c>
      <c r="G62" s="472">
        <f>IFERROR(IF(ISTEXT(B62),VLOOKUP(C62,POZICIE_INTERNE!$A$4:$D$39,4,0),),)</f>
        <v>0</v>
      </c>
      <c r="H62" s="473">
        <f>IF(ISTEXT(B62),VLOOKUP(C62,AKTIVITY_POZICIE!$A$4:$E$39,5,0),)</f>
        <v>0</v>
      </c>
      <c r="I62" s="467">
        <f t="shared" si="0"/>
        <v>0</v>
      </c>
      <c r="J62" s="467">
        <f t="shared" si="4"/>
        <v>0</v>
      </c>
      <c r="K62" s="467">
        <f t="shared" si="3"/>
        <v>0</v>
      </c>
      <c r="L62" s="522"/>
    </row>
    <row r="63" spans="1:12" x14ac:dyDescent="0.2">
      <c r="A63" s="869" t="s">
        <v>274</v>
      </c>
      <c r="B63" s="521"/>
      <c r="C63" s="403" t="s">
        <v>1008</v>
      </c>
      <c r="D63" s="521"/>
      <c r="E63" s="603">
        <f>IFERROR(VLOOKUP(B63,MODULY_CBA!$B$3:$O$23,14,0)*VLOOKUP('Rozpocet - Vyvoj aplikacii'!C63,AKTIVITY_POZICIE!$A$4:$C$39,3,0),0)</f>
        <v>0</v>
      </c>
      <c r="F63" s="466">
        <f>IFERROR(VLOOKUP(C63,POZICIE_INTERNE!$A$4:$D$39,3,0)*VLOOKUP(B63,MODULY_CBA!$B$3:$J$23,9,0)/SUM(MODULY_CBA!$J$3:$J$23),)</f>
        <v>0</v>
      </c>
      <c r="G63" s="472">
        <f>IFERROR(IF(ISTEXT(B63),VLOOKUP(C63,POZICIE_INTERNE!$A$4:$D$39,4,0),),)</f>
        <v>0</v>
      </c>
      <c r="H63" s="473">
        <f>IF(ISTEXT(B63),VLOOKUP(C63,AKTIVITY_POZICIE!$A$4:$E$39,5,0),)</f>
        <v>0</v>
      </c>
      <c r="I63" s="467">
        <f t="shared" si="0"/>
        <v>0</v>
      </c>
      <c r="J63" s="467">
        <f t="shared" si="4"/>
        <v>0</v>
      </c>
      <c r="K63" s="467">
        <f t="shared" si="3"/>
        <v>0</v>
      </c>
      <c r="L63" s="522"/>
    </row>
    <row r="64" spans="1:12" x14ac:dyDescent="0.2">
      <c r="A64" s="870"/>
      <c r="B64" s="521"/>
      <c r="C64" s="403" t="s">
        <v>1021</v>
      </c>
      <c r="D64" s="521"/>
      <c r="E64" s="603">
        <f>IFERROR(VLOOKUP(B64,MODULY_CBA!$B$3:$O$23,14,0)*VLOOKUP('Rozpocet - Vyvoj aplikacii'!C64,AKTIVITY_POZICIE!$A$4:$C$39,3,0),0)</f>
        <v>0</v>
      </c>
      <c r="F64" s="466">
        <f>IFERROR(VLOOKUP(C64,POZICIE_INTERNE!$A$4:$D$39,3,0)*VLOOKUP(B64,MODULY_CBA!$B$3:$J$23,9,0)/SUM(MODULY_CBA!$J$3:$J$23),)</f>
        <v>0</v>
      </c>
      <c r="G64" s="472">
        <f>IFERROR(IF(ISTEXT(B64),VLOOKUP(C64,POZICIE_INTERNE!$A$4:$D$39,4,0),),)</f>
        <v>0</v>
      </c>
      <c r="H64" s="473">
        <f>IF(ISTEXT(B64),VLOOKUP(C64,AKTIVITY_POZICIE!$A$4:$E$39,5,0),)</f>
        <v>0</v>
      </c>
      <c r="I64" s="467">
        <f t="shared" si="0"/>
        <v>0</v>
      </c>
      <c r="J64" s="467">
        <f t="shared" si="4"/>
        <v>0</v>
      </c>
      <c r="K64" s="467">
        <f t="shared" si="3"/>
        <v>0</v>
      </c>
      <c r="L64" s="522"/>
    </row>
    <row r="65" spans="1:12" x14ac:dyDescent="0.2">
      <c r="A65" s="870"/>
      <c r="B65" s="521"/>
      <c r="C65" s="403" t="s">
        <v>1028</v>
      </c>
      <c r="D65" s="521"/>
      <c r="E65" s="603">
        <f>IFERROR(VLOOKUP(B65,MODULY_CBA!$B$3:$O$23,14,0)*VLOOKUP('Rozpocet - Vyvoj aplikacii'!C65,AKTIVITY_POZICIE!$A$4:$C$39,3,0),0)</f>
        <v>0</v>
      </c>
      <c r="F65" s="466">
        <f>IFERROR(VLOOKUP(C65,POZICIE_INTERNE!$A$4:$D$39,3,0)*VLOOKUP(B65,MODULY_CBA!$B$3:$J$23,9,0)/SUM(MODULY_CBA!$J$3:$J$23),)</f>
        <v>0</v>
      </c>
      <c r="G65" s="472">
        <f>IFERROR(IF(ISTEXT(B65),VLOOKUP(C65,POZICIE_INTERNE!$A$4:$D$39,4,0),),)</f>
        <v>0</v>
      </c>
      <c r="H65" s="473">
        <f>IF(ISTEXT(B65),VLOOKUP(C65,AKTIVITY_POZICIE!$A$4:$E$39,5,0),)</f>
        <v>0</v>
      </c>
      <c r="I65" s="467">
        <f t="shared" si="0"/>
        <v>0</v>
      </c>
      <c r="J65" s="467">
        <f t="shared" si="4"/>
        <v>0</v>
      </c>
      <c r="K65" s="467">
        <f t="shared" si="3"/>
        <v>0</v>
      </c>
      <c r="L65" s="522"/>
    </row>
  </sheetData>
  <autoFilter ref="B2:L65" xr:uid="{00000000-0009-0000-0000-000011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1100-000000000000}">
      <formula1>MODULY</formula1>
    </dataValidation>
  </dataValidations>
  <pageMargins left="0.7" right="0.7" top="0.75" bottom="0.75" header="0.3" footer="0.3"/>
  <pageSetup paperSize="9" scale="1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O31"/>
  <sheetViews>
    <sheetView workbookViewId="0"/>
  </sheetViews>
  <sheetFormatPr baseColWidth="10" defaultColWidth="8.6640625" defaultRowHeight="15" x14ac:dyDescent="0.2"/>
  <cols>
    <col min="1" max="11" width="18.1640625" style="447" customWidth="1"/>
    <col min="12" max="12" width="26.1640625" style="447" customWidth="1"/>
    <col min="13" max="15" width="24.5" style="447" customWidth="1"/>
    <col min="16" max="16384" width="8.6640625" style="365"/>
  </cols>
  <sheetData>
    <row r="1" spans="1:12" ht="16" x14ac:dyDescent="0.2">
      <c r="A1" s="447" t="s">
        <v>1081</v>
      </c>
      <c r="B1" s="447" t="s">
        <v>1082</v>
      </c>
      <c r="C1" s="447" t="s">
        <v>1083</v>
      </c>
      <c r="D1" s="447" t="s">
        <v>1084</v>
      </c>
      <c r="E1" s="447" t="s">
        <v>1085</v>
      </c>
      <c r="F1" s="447" t="s">
        <v>1086</v>
      </c>
      <c r="G1" s="447" t="s">
        <v>1087</v>
      </c>
      <c r="H1" s="447" t="s">
        <v>1088</v>
      </c>
      <c r="I1" s="447" t="s">
        <v>1089</v>
      </c>
      <c r="J1" s="447" t="s">
        <v>1090</v>
      </c>
      <c r="K1" s="447" t="s">
        <v>1091</v>
      </c>
      <c r="L1" s="447" t="s">
        <v>1092</v>
      </c>
    </row>
    <row r="2" spans="1:12" ht="80" x14ac:dyDescent="0.2">
      <c r="A2" s="447" t="s">
        <v>1093</v>
      </c>
      <c r="B2" s="447" t="s">
        <v>1094</v>
      </c>
      <c r="C2" s="447" t="s">
        <v>1095</v>
      </c>
      <c r="D2" s="447" t="s">
        <v>1096</v>
      </c>
      <c r="E2" s="447" t="s">
        <v>1097</v>
      </c>
      <c r="F2" s="447" t="s">
        <v>1011</v>
      </c>
      <c r="G2" s="447" t="s">
        <v>1098</v>
      </c>
      <c r="H2" s="447" t="s">
        <v>1099</v>
      </c>
      <c r="I2" s="447" t="s">
        <v>1100</v>
      </c>
      <c r="J2" s="447" t="s">
        <v>1101</v>
      </c>
      <c r="L2" s="447" t="s">
        <v>1102</v>
      </c>
    </row>
    <row r="3" spans="1:12" ht="64" x14ac:dyDescent="0.2">
      <c r="B3" s="447" t="s">
        <v>1103</v>
      </c>
      <c r="D3" s="447" t="s">
        <v>1099</v>
      </c>
      <c r="H3" s="447" t="s">
        <v>1104</v>
      </c>
      <c r="J3" s="447" t="s">
        <v>1105</v>
      </c>
      <c r="L3" s="447" t="s">
        <v>1106</v>
      </c>
    </row>
    <row r="4" spans="1:12" ht="32" x14ac:dyDescent="0.2">
      <c r="L4" s="447" t="s">
        <v>1107</v>
      </c>
    </row>
    <row r="5" spans="1:12" ht="32" x14ac:dyDescent="0.2">
      <c r="L5" s="447" t="s">
        <v>1108</v>
      </c>
    </row>
    <row r="6" spans="1:12" ht="16" x14ac:dyDescent="0.2">
      <c r="L6" s="447" t="s">
        <v>1109</v>
      </c>
    </row>
    <row r="7" spans="1:12" ht="16" x14ac:dyDescent="0.2">
      <c r="L7" s="447" t="s">
        <v>1110</v>
      </c>
    </row>
    <row r="8" spans="1:12" ht="16" x14ac:dyDescent="0.2">
      <c r="L8" s="447" t="s">
        <v>1111</v>
      </c>
    </row>
    <row r="9" spans="1:12" ht="16" x14ac:dyDescent="0.2">
      <c r="A9" s="447" t="s">
        <v>1112</v>
      </c>
      <c r="B9" s="447" t="s">
        <v>1113</v>
      </c>
      <c r="D9" s="365" t="s">
        <v>1114</v>
      </c>
      <c r="E9" s="365" t="s">
        <v>1115</v>
      </c>
      <c r="F9" s="447" t="s">
        <v>1116</v>
      </c>
    </row>
    <row r="10" spans="1:12" ht="32" x14ac:dyDescent="0.2">
      <c r="A10" s="592" t="s">
        <v>1014</v>
      </c>
      <c r="B10" s="447" t="s">
        <v>1081</v>
      </c>
      <c r="D10" s="593" t="s">
        <v>1024</v>
      </c>
      <c r="E10" s="447" t="s">
        <v>1093</v>
      </c>
      <c r="F10" s="596">
        <v>1330001</v>
      </c>
    </row>
    <row r="11" spans="1:12" ht="32" x14ac:dyDescent="0.2">
      <c r="A11" s="592" t="s">
        <v>1013</v>
      </c>
      <c r="B11" s="447" t="s">
        <v>1082</v>
      </c>
      <c r="D11" s="594" t="s">
        <v>1117</v>
      </c>
      <c r="E11" s="447" t="s">
        <v>1094</v>
      </c>
      <c r="F11" s="597">
        <v>2512001</v>
      </c>
    </row>
    <row r="12" spans="1:12" ht="32" x14ac:dyDescent="0.2">
      <c r="A12" s="592" t="s">
        <v>1010</v>
      </c>
      <c r="B12" s="447" t="s">
        <v>1083</v>
      </c>
      <c r="D12" s="594" t="s">
        <v>1117</v>
      </c>
      <c r="E12" s="447" t="s">
        <v>1103</v>
      </c>
      <c r="F12" s="597">
        <v>2512002</v>
      </c>
    </row>
    <row r="13" spans="1:12" ht="16" x14ac:dyDescent="0.2">
      <c r="A13" s="592" t="s">
        <v>1009</v>
      </c>
      <c r="B13" s="447" t="s">
        <v>1084</v>
      </c>
      <c r="D13" s="594" t="s">
        <v>1010</v>
      </c>
      <c r="E13" s="447" t="s">
        <v>1095</v>
      </c>
      <c r="F13" s="597">
        <v>2511003</v>
      </c>
    </row>
    <row r="14" spans="1:12" ht="45" x14ac:dyDescent="0.2">
      <c r="A14" s="592" t="s">
        <v>1015</v>
      </c>
      <c r="B14" s="447" t="s">
        <v>1085</v>
      </c>
      <c r="D14" s="594" t="s">
        <v>1009</v>
      </c>
      <c r="E14" s="447" t="s">
        <v>1096</v>
      </c>
      <c r="F14" s="597">
        <v>2511002</v>
      </c>
    </row>
    <row r="15" spans="1:12" ht="16" x14ac:dyDescent="0.2">
      <c r="A15" s="592" t="s">
        <v>1011</v>
      </c>
      <c r="B15" s="447" t="s">
        <v>1086</v>
      </c>
      <c r="D15" s="594" t="s">
        <v>1009</v>
      </c>
      <c r="E15" s="447" t="s">
        <v>1099</v>
      </c>
      <c r="F15" s="597">
        <v>2521001</v>
      </c>
    </row>
    <row r="16" spans="1:12" ht="45" x14ac:dyDescent="0.2">
      <c r="A16" s="592" t="s">
        <v>1012</v>
      </c>
      <c r="B16" s="447" t="s">
        <v>1087</v>
      </c>
      <c r="D16" s="593" t="s">
        <v>1015</v>
      </c>
      <c r="E16" s="447" t="s">
        <v>1097</v>
      </c>
      <c r="F16" s="597">
        <v>2421002</v>
      </c>
    </row>
    <row r="17" spans="1:6" ht="16" x14ac:dyDescent="0.2">
      <c r="A17" s="592" t="s">
        <v>1017</v>
      </c>
      <c r="B17" s="447" t="s">
        <v>1088</v>
      </c>
      <c r="D17" s="593" t="s">
        <v>1011</v>
      </c>
      <c r="E17" s="447" t="s">
        <v>1011</v>
      </c>
      <c r="F17" s="597">
        <v>2519001</v>
      </c>
    </row>
    <row r="18" spans="1:6" ht="80" x14ac:dyDescent="0.2">
      <c r="A18" s="592" t="s">
        <v>1019</v>
      </c>
      <c r="B18" s="447" t="s">
        <v>1089</v>
      </c>
      <c r="D18" s="593" t="s">
        <v>1118</v>
      </c>
      <c r="E18" s="447" t="s">
        <v>1101</v>
      </c>
      <c r="F18" s="597">
        <v>1330004</v>
      </c>
    </row>
    <row r="19" spans="1:6" ht="32" x14ac:dyDescent="0.2">
      <c r="A19" s="592" t="s">
        <v>1016</v>
      </c>
      <c r="B19" s="447" t="s">
        <v>1090</v>
      </c>
      <c r="D19" s="594" t="s">
        <v>1119</v>
      </c>
      <c r="E19" s="447" t="s">
        <v>1098</v>
      </c>
      <c r="F19" s="597">
        <v>2523000</v>
      </c>
    </row>
    <row r="20" spans="1:6" ht="16" x14ac:dyDescent="0.2">
      <c r="A20" s="592" t="s">
        <v>1018</v>
      </c>
      <c r="B20" s="447" t="s">
        <v>1091</v>
      </c>
      <c r="D20" s="594" t="s">
        <v>1017</v>
      </c>
      <c r="E20" s="447" t="s">
        <v>1099</v>
      </c>
      <c r="F20" s="597">
        <v>2521001</v>
      </c>
    </row>
    <row r="21" spans="1:6" ht="16" x14ac:dyDescent="0.2">
      <c r="A21" s="592" t="s">
        <v>1020</v>
      </c>
      <c r="B21" s="447" t="s">
        <v>1092</v>
      </c>
      <c r="D21" s="594" t="s">
        <v>1017</v>
      </c>
      <c r="E21" s="447" t="s">
        <v>1104</v>
      </c>
      <c r="F21" s="597">
        <v>2521003</v>
      </c>
    </row>
    <row r="22" spans="1:6" ht="16" x14ac:dyDescent="0.2">
      <c r="D22" s="595" t="s">
        <v>1100</v>
      </c>
      <c r="E22" s="447" t="s">
        <v>1100</v>
      </c>
      <c r="F22" s="597">
        <v>2511001</v>
      </c>
    </row>
    <row r="23" spans="1:6" ht="64" x14ac:dyDescent="0.2">
      <c r="D23" s="594" t="s">
        <v>1120</v>
      </c>
      <c r="E23" s="447" t="s">
        <v>1105</v>
      </c>
      <c r="F23" s="597">
        <v>2529001</v>
      </c>
    </row>
    <row r="24" spans="1:6" x14ac:dyDescent="0.2">
      <c r="D24" s="595" t="s">
        <v>1018</v>
      </c>
      <c r="F24" s="372"/>
    </row>
    <row r="25" spans="1:6" ht="32" x14ac:dyDescent="0.2">
      <c r="D25" s="594" t="s">
        <v>1121</v>
      </c>
      <c r="E25" s="447" t="s">
        <v>1102</v>
      </c>
      <c r="F25" s="597">
        <v>7422003</v>
      </c>
    </row>
    <row r="26" spans="1:6" ht="48" x14ac:dyDescent="0.2">
      <c r="D26" s="594" t="s">
        <v>1121</v>
      </c>
      <c r="E26" s="447" t="s">
        <v>1106</v>
      </c>
      <c r="F26" s="597">
        <v>2153003</v>
      </c>
    </row>
    <row r="27" spans="1:6" ht="64" x14ac:dyDescent="0.2">
      <c r="D27" s="594" t="s">
        <v>1121</v>
      </c>
      <c r="E27" s="447" t="s">
        <v>1107</v>
      </c>
      <c r="F27" s="597">
        <v>2513003</v>
      </c>
    </row>
    <row r="28" spans="1:6" ht="48" x14ac:dyDescent="0.2">
      <c r="D28" s="594" t="s">
        <v>1121</v>
      </c>
      <c r="E28" s="447" t="s">
        <v>1108</v>
      </c>
      <c r="F28" s="597">
        <v>4229</v>
      </c>
    </row>
    <row r="29" spans="1:6" ht="32" x14ac:dyDescent="0.2">
      <c r="D29" s="594" t="s">
        <v>1121</v>
      </c>
      <c r="E29" s="447" t="s">
        <v>1109</v>
      </c>
      <c r="F29" s="372">
        <v>3511002</v>
      </c>
    </row>
    <row r="30" spans="1:6" ht="32" x14ac:dyDescent="0.2">
      <c r="D30" s="594" t="s">
        <v>1121</v>
      </c>
      <c r="E30" s="447" t="s">
        <v>1110</v>
      </c>
      <c r="F30" s="372">
        <v>3512000</v>
      </c>
    </row>
    <row r="31" spans="1:6" ht="32" x14ac:dyDescent="0.2">
      <c r="D31" s="594" t="s">
        <v>1121</v>
      </c>
      <c r="E31" s="447" t="s">
        <v>1111</v>
      </c>
      <c r="F31" s="372">
        <v>2514000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4">
    <tabColor rgb="FF00B050"/>
  </sheetPr>
  <dimension ref="A1:K102"/>
  <sheetViews>
    <sheetView workbookViewId="0">
      <selection activeCell="A17" sqref="A17"/>
    </sheetView>
  </sheetViews>
  <sheetFormatPr baseColWidth="10" defaultColWidth="8.6640625" defaultRowHeight="15" x14ac:dyDescent="0.2"/>
  <cols>
    <col min="1" max="1" width="17.5" style="365" bestFit="1" customWidth="1"/>
    <col min="2" max="2" width="17.5" style="365" customWidth="1"/>
    <col min="3" max="3" width="51.5" style="365" customWidth="1"/>
    <col min="4" max="4" width="12.5" style="365" customWidth="1"/>
    <col min="5" max="5" width="16.33203125" style="365" bestFit="1" customWidth="1"/>
    <col min="6" max="6" width="13.5" style="365" bestFit="1" customWidth="1"/>
    <col min="7" max="7" width="8.6640625" style="365"/>
    <col min="8" max="8" width="12.6640625" style="365" bestFit="1" customWidth="1"/>
    <col min="9" max="9" width="18.33203125" style="365" bestFit="1" customWidth="1"/>
    <col min="10" max="10" width="17.1640625" style="365" customWidth="1"/>
    <col min="11" max="11" width="48.6640625" style="365" customWidth="1"/>
    <col min="12" max="16384" width="8.6640625" style="365"/>
  </cols>
  <sheetData>
    <row r="1" spans="1:11" ht="16" thickBot="1" x14ac:dyDescent="0.25">
      <c r="J1" s="411">
        <f>SUM(J3:J102)</f>
        <v>0</v>
      </c>
    </row>
    <row r="2" spans="1:11" ht="16" thickBot="1" x14ac:dyDescent="0.25">
      <c r="A2" s="404" t="s">
        <v>1073</v>
      </c>
      <c r="B2" s="626" t="s">
        <v>1042</v>
      </c>
      <c r="C2" s="405" t="s">
        <v>1122</v>
      </c>
      <c r="D2" s="405" t="s">
        <v>1123</v>
      </c>
      <c r="E2" s="405" t="s">
        <v>1124</v>
      </c>
      <c r="F2" s="405" t="s">
        <v>1125</v>
      </c>
      <c r="G2" s="405" t="s">
        <v>467</v>
      </c>
      <c r="H2" s="405" t="s">
        <v>238</v>
      </c>
      <c r="I2" s="406" t="s">
        <v>1126</v>
      </c>
      <c r="J2" s="406" t="s">
        <v>1127</v>
      </c>
      <c r="K2" s="405" t="s">
        <v>1128</v>
      </c>
    </row>
    <row r="3" spans="1:11" x14ac:dyDescent="0.2">
      <c r="A3" s="527"/>
      <c r="B3" s="527"/>
      <c r="C3" s="524"/>
      <c r="D3" s="524"/>
      <c r="E3" s="524"/>
      <c r="F3" s="525"/>
      <c r="G3" s="525"/>
      <c r="H3" s="525"/>
      <c r="I3" s="526"/>
      <c r="J3" s="407">
        <f t="shared" ref="J3:J29" si="0">I3*G3</f>
        <v>0</v>
      </c>
      <c r="K3" s="529" t="s">
        <v>1129</v>
      </c>
    </row>
    <row r="4" spans="1:11" x14ac:dyDescent="0.2">
      <c r="A4" s="527"/>
      <c r="B4" s="527"/>
      <c r="C4" s="524"/>
      <c r="D4" s="524"/>
      <c r="E4" s="524"/>
      <c r="F4" s="525"/>
      <c r="G4" s="525"/>
      <c r="H4" s="525"/>
      <c r="I4" s="526"/>
      <c r="J4" s="407">
        <f t="shared" si="0"/>
        <v>0</v>
      </c>
      <c r="K4" s="529" t="s">
        <v>1129</v>
      </c>
    </row>
    <row r="5" spans="1:11" x14ac:dyDescent="0.2">
      <c r="A5" s="527"/>
      <c r="B5" s="527"/>
      <c r="C5" s="524"/>
      <c r="D5" s="524"/>
      <c r="E5" s="524"/>
      <c r="F5" s="525"/>
      <c r="G5" s="525"/>
      <c r="H5" s="525"/>
      <c r="I5" s="526"/>
      <c r="J5" s="407">
        <f t="shared" si="0"/>
        <v>0</v>
      </c>
      <c r="K5" s="529" t="s">
        <v>1129</v>
      </c>
    </row>
    <row r="6" spans="1:11" x14ac:dyDescent="0.2">
      <c r="A6" s="527"/>
      <c r="B6" s="527"/>
      <c r="C6" s="524"/>
      <c r="D6" s="524"/>
      <c r="E6" s="524"/>
      <c r="F6" s="525"/>
      <c r="G6" s="525"/>
      <c r="H6" s="525"/>
      <c r="I6" s="526"/>
      <c r="J6" s="407">
        <f t="shared" si="0"/>
        <v>0</v>
      </c>
      <c r="K6" s="529" t="s">
        <v>1129</v>
      </c>
    </row>
    <row r="7" spans="1:11" x14ac:dyDescent="0.2">
      <c r="A7" s="527"/>
      <c r="B7" s="527"/>
      <c r="C7" s="524"/>
      <c r="D7" s="524"/>
      <c r="E7" s="524"/>
      <c r="F7" s="525"/>
      <c r="G7" s="525"/>
      <c r="H7" s="525"/>
      <c r="I7" s="526"/>
      <c r="J7" s="407">
        <f t="shared" si="0"/>
        <v>0</v>
      </c>
      <c r="K7" s="529" t="s">
        <v>1129</v>
      </c>
    </row>
    <row r="8" spans="1:11" x14ac:dyDescent="0.2">
      <c r="A8" s="527"/>
      <c r="B8" s="527"/>
      <c r="C8" s="524"/>
      <c r="D8" s="524"/>
      <c r="E8" s="524"/>
      <c r="F8" s="525"/>
      <c r="G8" s="525"/>
      <c r="H8" s="525"/>
      <c r="I8" s="526"/>
      <c r="J8" s="407">
        <f t="shared" si="0"/>
        <v>0</v>
      </c>
      <c r="K8" s="529" t="s">
        <v>1129</v>
      </c>
    </row>
    <row r="9" spans="1:11" x14ac:dyDescent="0.2">
      <c r="A9" s="527"/>
      <c r="B9" s="527"/>
      <c r="C9" s="524"/>
      <c r="D9" s="524"/>
      <c r="E9" s="524"/>
      <c r="F9" s="525"/>
      <c r="G9" s="525"/>
      <c r="H9" s="525"/>
      <c r="I9" s="526"/>
      <c r="J9" s="407">
        <f t="shared" si="0"/>
        <v>0</v>
      </c>
      <c r="K9" s="529" t="s">
        <v>1129</v>
      </c>
    </row>
    <row r="10" spans="1:11" x14ac:dyDescent="0.2">
      <c r="A10" s="527"/>
      <c r="B10" s="527"/>
      <c r="C10" s="524"/>
      <c r="D10" s="524"/>
      <c r="E10" s="524"/>
      <c r="F10" s="525"/>
      <c r="G10" s="525"/>
      <c r="H10" s="525"/>
      <c r="I10" s="526"/>
      <c r="J10" s="407">
        <f t="shared" si="0"/>
        <v>0</v>
      </c>
      <c r="K10" s="529" t="s">
        <v>1129</v>
      </c>
    </row>
    <row r="11" spans="1:11" x14ac:dyDescent="0.2">
      <c r="A11" s="527"/>
      <c r="B11" s="527"/>
      <c r="C11" s="524"/>
      <c r="D11" s="524"/>
      <c r="E11" s="524"/>
      <c r="F11" s="525"/>
      <c r="G11" s="525"/>
      <c r="H11" s="525"/>
      <c r="I11" s="526"/>
      <c r="J11" s="407">
        <f t="shared" si="0"/>
        <v>0</v>
      </c>
      <c r="K11" s="529" t="s">
        <v>1129</v>
      </c>
    </row>
    <row r="12" spans="1:11" x14ac:dyDescent="0.2">
      <c r="A12" s="527"/>
      <c r="B12" s="527"/>
      <c r="C12" s="524"/>
      <c r="D12" s="524"/>
      <c r="E12" s="524"/>
      <c r="F12" s="525"/>
      <c r="G12" s="525"/>
      <c r="H12" s="525"/>
      <c r="I12" s="526"/>
      <c r="J12" s="407">
        <f t="shared" si="0"/>
        <v>0</v>
      </c>
      <c r="K12" s="529"/>
    </row>
    <row r="13" spans="1:11" x14ac:dyDescent="0.2">
      <c r="A13" s="527"/>
      <c r="B13" s="527"/>
      <c r="C13" s="524"/>
      <c r="D13" s="524"/>
      <c r="E13" s="524"/>
      <c r="F13" s="525"/>
      <c r="G13" s="525"/>
      <c r="H13" s="525"/>
      <c r="I13" s="526"/>
      <c r="J13" s="407">
        <f t="shared" si="0"/>
        <v>0</v>
      </c>
      <c r="K13" s="529"/>
    </row>
    <row r="14" spans="1:11" x14ac:dyDescent="0.2">
      <c r="A14" s="527"/>
      <c r="B14" s="527"/>
      <c r="C14" s="524"/>
      <c r="D14" s="524"/>
      <c r="E14" s="524"/>
      <c r="F14" s="525"/>
      <c r="G14" s="525"/>
      <c r="H14" s="525"/>
      <c r="I14" s="526"/>
      <c r="J14" s="407">
        <f t="shared" si="0"/>
        <v>0</v>
      </c>
      <c r="K14" s="529"/>
    </row>
    <row r="15" spans="1:11" x14ac:dyDescent="0.2">
      <c r="A15" s="527"/>
      <c r="B15" s="527"/>
      <c r="C15" s="524"/>
      <c r="D15" s="524"/>
      <c r="E15" s="524"/>
      <c r="F15" s="525"/>
      <c r="G15" s="525"/>
      <c r="H15" s="525"/>
      <c r="I15" s="526"/>
      <c r="J15" s="407">
        <f t="shared" si="0"/>
        <v>0</v>
      </c>
      <c r="K15" s="529"/>
    </row>
    <row r="16" spans="1:11" x14ac:dyDescent="0.2">
      <c r="A16" s="527"/>
      <c r="B16" s="527"/>
      <c r="C16" s="524"/>
      <c r="D16" s="524"/>
      <c r="E16" s="524"/>
      <c r="F16" s="525"/>
      <c r="G16" s="525"/>
      <c r="H16" s="525"/>
      <c r="I16" s="526"/>
      <c r="J16" s="407">
        <f t="shared" si="0"/>
        <v>0</v>
      </c>
      <c r="K16" s="529"/>
    </row>
    <row r="17" spans="1:11" x14ac:dyDescent="0.2">
      <c r="A17" s="527"/>
      <c r="B17" s="527"/>
      <c r="C17" s="524"/>
      <c r="D17" s="524"/>
      <c r="E17" s="524"/>
      <c r="F17" s="525"/>
      <c r="G17" s="525"/>
      <c r="H17" s="525"/>
      <c r="I17" s="526"/>
      <c r="J17" s="407">
        <f t="shared" si="0"/>
        <v>0</v>
      </c>
      <c r="K17" s="529"/>
    </row>
    <row r="18" spans="1:11" x14ac:dyDescent="0.2">
      <c r="A18" s="527"/>
      <c r="B18" s="527"/>
      <c r="C18" s="524"/>
      <c r="D18" s="524"/>
      <c r="E18" s="524"/>
      <c r="F18" s="525"/>
      <c r="G18" s="525"/>
      <c r="H18" s="525"/>
      <c r="I18" s="526"/>
      <c r="J18" s="407">
        <f t="shared" si="0"/>
        <v>0</v>
      </c>
      <c r="K18" s="529"/>
    </row>
    <row r="19" spans="1:11" x14ac:dyDescent="0.2">
      <c r="A19" s="527"/>
      <c r="B19" s="527"/>
      <c r="C19" s="524"/>
      <c r="D19" s="524"/>
      <c r="E19" s="524"/>
      <c r="F19" s="525"/>
      <c r="G19" s="525"/>
      <c r="H19" s="525"/>
      <c r="I19" s="526"/>
      <c r="J19" s="407">
        <f t="shared" si="0"/>
        <v>0</v>
      </c>
      <c r="K19" s="529"/>
    </row>
    <row r="20" spans="1:11" x14ac:dyDescent="0.2">
      <c r="A20" s="527"/>
      <c r="B20" s="527"/>
      <c r="C20" s="524"/>
      <c r="D20" s="524"/>
      <c r="E20" s="524"/>
      <c r="F20" s="525"/>
      <c r="G20" s="525"/>
      <c r="H20" s="525"/>
      <c r="I20" s="526"/>
      <c r="J20" s="407">
        <f t="shared" si="0"/>
        <v>0</v>
      </c>
      <c r="K20" s="529"/>
    </row>
    <row r="21" spans="1:11" x14ac:dyDescent="0.2">
      <c r="A21" s="527"/>
      <c r="B21" s="527"/>
      <c r="C21" s="524"/>
      <c r="D21" s="524"/>
      <c r="E21" s="524"/>
      <c r="F21" s="525"/>
      <c r="G21" s="525"/>
      <c r="H21" s="525"/>
      <c r="I21" s="526"/>
      <c r="J21" s="407">
        <f t="shared" si="0"/>
        <v>0</v>
      </c>
      <c r="K21" s="529"/>
    </row>
    <row r="22" spans="1:11" x14ac:dyDescent="0.2">
      <c r="A22" s="527"/>
      <c r="B22" s="527"/>
      <c r="C22" s="524"/>
      <c r="D22" s="524"/>
      <c r="E22" s="524"/>
      <c r="F22" s="525"/>
      <c r="G22" s="525"/>
      <c r="H22" s="525"/>
      <c r="I22" s="526"/>
      <c r="J22" s="407">
        <f t="shared" si="0"/>
        <v>0</v>
      </c>
      <c r="K22" s="529"/>
    </row>
    <row r="23" spans="1:11" x14ac:dyDescent="0.2">
      <c r="A23" s="527"/>
      <c r="B23" s="527"/>
      <c r="C23" s="524"/>
      <c r="D23" s="524"/>
      <c r="E23" s="524"/>
      <c r="F23" s="525"/>
      <c r="G23" s="525"/>
      <c r="H23" s="525"/>
      <c r="I23" s="526"/>
      <c r="J23" s="407">
        <f t="shared" si="0"/>
        <v>0</v>
      </c>
      <c r="K23" s="529"/>
    </row>
    <row r="24" spans="1:11" x14ac:dyDescent="0.2">
      <c r="A24" s="527"/>
      <c r="B24" s="527"/>
      <c r="C24" s="524"/>
      <c r="D24" s="524"/>
      <c r="E24" s="524"/>
      <c r="F24" s="525"/>
      <c r="G24" s="525"/>
      <c r="H24" s="525"/>
      <c r="I24" s="526"/>
      <c r="J24" s="407">
        <f t="shared" si="0"/>
        <v>0</v>
      </c>
      <c r="K24" s="529"/>
    </row>
    <row r="25" spans="1:11" x14ac:dyDescent="0.2">
      <c r="A25" s="527"/>
      <c r="B25" s="527"/>
      <c r="C25" s="524"/>
      <c r="D25" s="524"/>
      <c r="E25" s="524"/>
      <c r="F25" s="525"/>
      <c r="G25" s="525"/>
      <c r="H25" s="525"/>
      <c r="I25" s="526"/>
      <c r="J25" s="407">
        <f t="shared" si="0"/>
        <v>0</v>
      </c>
      <c r="K25" s="529"/>
    </row>
    <row r="26" spans="1:11" x14ac:dyDescent="0.2">
      <c r="A26" s="527"/>
      <c r="B26" s="527"/>
      <c r="C26" s="524"/>
      <c r="D26" s="524"/>
      <c r="E26" s="524"/>
      <c r="F26" s="525"/>
      <c r="G26" s="525"/>
      <c r="H26" s="525"/>
      <c r="I26" s="526"/>
      <c r="J26" s="407">
        <f t="shared" si="0"/>
        <v>0</v>
      </c>
      <c r="K26" s="529"/>
    </row>
    <row r="27" spans="1:11" x14ac:dyDescent="0.2">
      <c r="A27" s="523"/>
      <c r="B27" s="527"/>
      <c r="C27" s="524"/>
      <c r="D27" s="524"/>
      <c r="E27" s="524"/>
      <c r="F27" s="525"/>
      <c r="G27" s="525"/>
      <c r="H27" s="525"/>
      <c r="I27" s="526"/>
      <c r="J27" s="407">
        <f t="shared" si="0"/>
        <v>0</v>
      </c>
      <c r="K27" s="529"/>
    </row>
    <row r="28" spans="1:11" x14ac:dyDescent="0.2">
      <c r="A28" s="523"/>
      <c r="B28" s="527"/>
      <c r="C28" s="524"/>
      <c r="D28" s="524"/>
      <c r="E28" s="524"/>
      <c r="F28" s="525"/>
      <c r="G28" s="525"/>
      <c r="H28" s="525"/>
      <c r="I28" s="526"/>
      <c r="J28" s="407">
        <f t="shared" si="0"/>
        <v>0</v>
      </c>
      <c r="K28" s="529"/>
    </row>
    <row r="29" spans="1:11" x14ac:dyDescent="0.2">
      <c r="A29" s="527"/>
      <c r="B29" s="527"/>
      <c r="C29" s="524"/>
      <c r="D29" s="524"/>
      <c r="E29" s="524"/>
      <c r="F29" s="525"/>
      <c r="G29" s="525"/>
      <c r="H29" s="525"/>
      <c r="I29" s="526"/>
      <c r="J29" s="407">
        <f t="shared" si="0"/>
        <v>0</v>
      </c>
      <c r="K29" s="529"/>
    </row>
    <row r="30" spans="1:11" x14ac:dyDescent="0.2">
      <c r="A30" s="527"/>
      <c r="B30" s="527"/>
      <c r="C30" s="524"/>
      <c r="D30" s="524"/>
      <c r="E30" s="524"/>
      <c r="F30" s="525"/>
      <c r="G30" s="525"/>
      <c r="H30" s="525"/>
      <c r="I30" s="528"/>
      <c r="J30" s="407">
        <f t="shared" ref="J30:J93" si="1">I30*G30</f>
        <v>0</v>
      </c>
      <c r="K30" s="529"/>
    </row>
    <row r="31" spans="1:11" x14ac:dyDescent="0.2">
      <c r="A31" s="527"/>
      <c r="B31" s="527"/>
      <c r="C31" s="524"/>
      <c r="D31" s="524"/>
      <c r="E31" s="524"/>
      <c r="F31" s="525"/>
      <c r="G31" s="525"/>
      <c r="H31" s="525"/>
      <c r="I31" s="528"/>
      <c r="J31" s="407">
        <f t="shared" si="1"/>
        <v>0</v>
      </c>
      <c r="K31" s="529"/>
    </row>
    <row r="32" spans="1:11" x14ac:dyDescent="0.2">
      <c r="A32" s="527"/>
      <c r="B32" s="527"/>
      <c r="C32" s="524"/>
      <c r="D32" s="524"/>
      <c r="E32" s="524"/>
      <c r="F32" s="525"/>
      <c r="G32" s="525"/>
      <c r="H32" s="525"/>
      <c r="I32" s="528"/>
      <c r="J32" s="407">
        <f t="shared" si="1"/>
        <v>0</v>
      </c>
      <c r="K32" s="529"/>
    </row>
    <row r="33" spans="1:11" x14ac:dyDescent="0.2">
      <c r="A33" s="527"/>
      <c r="B33" s="527"/>
      <c r="C33" s="524"/>
      <c r="D33" s="524"/>
      <c r="E33" s="524"/>
      <c r="F33" s="525"/>
      <c r="G33" s="525"/>
      <c r="H33" s="525"/>
      <c r="I33" s="528"/>
      <c r="J33" s="407">
        <f t="shared" si="1"/>
        <v>0</v>
      </c>
      <c r="K33" s="529"/>
    </row>
    <row r="34" spans="1:11" x14ac:dyDescent="0.2">
      <c r="A34" s="527"/>
      <c r="B34" s="527"/>
      <c r="C34" s="524"/>
      <c r="D34" s="524"/>
      <c r="E34" s="524"/>
      <c r="F34" s="525"/>
      <c r="G34" s="525"/>
      <c r="H34" s="525"/>
      <c r="I34" s="528"/>
      <c r="J34" s="407">
        <f t="shared" si="1"/>
        <v>0</v>
      </c>
      <c r="K34" s="529"/>
    </row>
    <row r="35" spans="1:11" x14ac:dyDescent="0.2">
      <c r="A35" s="527"/>
      <c r="B35" s="527"/>
      <c r="C35" s="524"/>
      <c r="D35" s="524"/>
      <c r="E35" s="524"/>
      <c r="F35" s="525"/>
      <c r="G35" s="525"/>
      <c r="H35" s="525"/>
      <c r="I35" s="528"/>
      <c r="J35" s="407">
        <f t="shared" si="1"/>
        <v>0</v>
      </c>
      <c r="K35" s="529"/>
    </row>
    <row r="36" spans="1:11" x14ac:dyDescent="0.2">
      <c r="A36" s="527"/>
      <c r="B36" s="527"/>
      <c r="C36" s="524"/>
      <c r="D36" s="524"/>
      <c r="E36" s="524"/>
      <c r="F36" s="525"/>
      <c r="G36" s="525"/>
      <c r="H36" s="525"/>
      <c r="I36" s="528"/>
      <c r="J36" s="407">
        <f t="shared" si="1"/>
        <v>0</v>
      </c>
      <c r="K36" s="529"/>
    </row>
    <row r="37" spans="1:11" x14ac:dyDescent="0.2">
      <c r="A37" s="527"/>
      <c r="B37" s="527"/>
      <c r="C37" s="524"/>
      <c r="D37" s="524"/>
      <c r="E37" s="524"/>
      <c r="F37" s="525"/>
      <c r="G37" s="525"/>
      <c r="H37" s="525"/>
      <c r="I37" s="528"/>
      <c r="J37" s="407">
        <f t="shared" si="1"/>
        <v>0</v>
      </c>
      <c r="K37" s="529"/>
    </row>
    <row r="38" spans="1:11" x14ac:dyDescent="0.2">
      <c r="A38" s="527"/>
      <c r="B38" s="527"/>
      <c r="C38" s="524"/>
      <c r="D38" s="524"/>
      <c r="E38" s="524"/>
      <c r="F38" s="525"/>
      <c r="G38" s="525"/>
      <c r="H38" s="525"/>
      <c r="I38" s="528"/>
      <c r="J38" s="407">
        <f t="shared" si="1"/>
        <v>0</v>
      </c>
      <c r="K38" s="529"/>
    </row>
    <row r="39" spans="1:11" x14ac:dyDescent="0.2">
      <c r="A39" s="527"/>
      <c r="B39" s="527"/>
      <c r="C39" s="524"/>
      <c r="D39" s="524"/>
      <c r="E39" s="524"/>
      <c r="F39" s="525"/>
      <c r="G39" s="525"/>
      <c r="H39" s="525"/>
      <c r="I39" s="528"/>
      <c r="J39" s="407">
        <f t="shared" si="1"/>
        <v>0</v>
      </c>
      <c r="K39" s="529"/>
    </row>
    <row r="40" spans="1:11" x14ac:dyDescent="0.2">
      <c r="A40" s="527"/>
      <c r="B40" s="527"/>
      <c r="C40" s="524"/>
      <c r="D40" s="524"/>
      <c r="E40" s="524"/>
      <c r="F40" s="525"/>
      <c r="G40" s="525"/>
      <c r="H40" s="525"/>
      <c r="I40" s="528"/>
      <c r="J40" s="407">
        <f t="shared" si="1"/>
        <v>0</v>
      </c>
      <c r="K40" s="529"/>
    </row>
    <row r="41" spans="1:11" x14ac:dyDescent="0.2">
      <c r="A41" s="527"/>
      <c r="B41" s="527"/>
      <c r="C41" s="524"/>
      <c r="D41" s="524"/>
      <c r="E41" s="524"/>
      <c r="F41" s="525"/>
      <c r="G41" s="525"/>
      <c r="H41" s="525"/>
      <c r="I41" s="528"/>
      <c r="J41" s="407">
        <f t="shared" si="1"/>
        <v>0</v>
      </c>
      <c r="K41" s="529"/>
    </row>
    <row r="42" spans="1:11" x14ac:dyDescent="0.2">
      <c r="A42" s="527"/>
      <c r="B42" s="527"/>
      <c r="C42" s="524"/>
      <c r="D42" s="524"/>
      <c r="E42" s="524"/>
      <c r="F42" s="525"/>
      <c r="G42" s="525"/>
      <c r="H42" s="525"/>
      <c r="I42" s="528"/>
      <c r="J42" s="407">
        <f t="shared" si="1"/>
        <v>0</v>
      </c>
      <c r="K42" s="529"/>
    </row>
    <row r="43" spans="1:11" x14ac:dyDescent="0.2">
      <c r="A43" s="527"/>
      <c r="B43" s="527"/>
      <c r="C43" s="524"/>
      <c r="D43" s="524"/>
      <c r="E43" s="524"/>
      <c r="F43" s="525"/>
      <c r="G43" s="525"/>
      <c r="H43" s="525"/>
      <c r="I43" s="528"/>
      <c r="J43" s="407">
        <f t="shared" si="1"/>
        <v>0</v>
      </c>
      <c r="K43" s="529"/>
    </row>
    <row r="44" spans="1:11" x14ac:dyDescent="0.2">
      <c r="A44" s="527"/>
      <c r="B44" s="527"/>
      <c r="C44" s="524"/>
      <c r="D44" s="524"/>
      <c r="E44" s="524"/>
      <c r="F44" s="525"/>
      <c r="G44" s="525"/>
      <c r="H44" s="525"/>
      <c r="I44" s="528"/>
      <c r="J44" s="407">
        <f t="shared" si="1"/>
        <v>0</v>
      </c>
      <c r="K44" s="529"/>
    </row>
    <row r="45" spans="1:11" x14ac:dyDescent="0.2">
      <c r="A45" s="527"/>
      <c r="B45" s="527"/>
      <c r="C45" s="524"/>
      <c r="D45" s="524"/>
      <c r="E45" s="524"/>
      <c r="F45" s="525"/>
      <c r="G45" s="525"/>
      <c r="H45" s="525"/>
      <c r="I45" s="526"/>
      <c r="J45" s="407">
        <f t="shared" si="1"/>
        <v>0</v>
      </c>
      <c r="K45" s="529"/>
    </row>
    <row r="46" spans="1:11" x14ac:dyDescent="0.2">
      <c r="A46" s="527"/>
      <c r="B46" s="527"/>
      <c r="C46" s="524"/>
      <c r="D46" s="524"/>
      <c r="E46" s="524"/>
      <c r="F46" s="525"/>
      <c r="G46" s="525"/>
      <c r="H46" s="525"/>
      <c r="I46" s="526"/>
      <c r="J46" s="407">
        <f t="shared" si="1"/>
        <v>0</v>
      </c>
      <c r="K46" s="529"/>
    </row>
    <row r="47" spans="1:11" x14ac:dyDescent="0.2">
      <c r="A47" s="527"/>
      <c r="B47" s="527"/>
      <c r="C47" s="524"/>
      <c r="D47" s="524"/>
      <c r="E47" s="524"/>
      <c r="F47" s="525"/>
      <c r="G47" s="525"/>
      <c r="H47" s="525"/>
      <c r="I47" s="526"/>
      <c r="J47" s="407">
        <f t="shared" si="1"/>
        <v>0</v>
      </c>
      <c r="K47" s="529"/>
    </row>
    <row r="48" spans="1:11" x14ac:dyDescent="0.2">
      <c r="A48" s="527"/>
      <c r="B48" s="527"/>
      <c r="C48" s="524"/>
      <c r="D48" s="524"/>
      <c r="E48" s="524"/>
      <c r="F48" s="525"/>
      <c r="G48" s="525"/>
      <c r="H48" s="525"/>
      <c r="I48" s="526"/>
      <c r="J48" s="407">
        <f t="shared" si="1"/>
        <v>0</v>
      </c>
      <c r="K48" s="529"/>
    </row>
    <row r="49" spans="1:11" x14ac:dyDescent="0.2">
      <c r="A49" s="527"/>
      <c r="B49" s="527"/>
      <c r="C49" s="524"/>
      <c r="D49" s="524"/>
      <c r="E49" s="524"/>
      <c r="F49" s="525"/>
      <c r="G49" s="525"/>
      <c r="H49" s="525"/>
      <c r="I49" s="526"/>
      <c r="J49" s="407">
        <f t="shared" si="1"/>
        <v>0</v>
      </c>
      <c r="K49" s="529"/>
    </row>
    <row r="50" spans="1:11" x14ac:dyDescent="0.2">
      <c r="A50" s="527"/>
      <c r="B50" s="527"/>
      <c r="C50" s="524"/>
      <c r="D50" s="524"/>
      <c r="E50" s="524"/>
      <c r="F50" s="525"/>
      <c r="G50" s="525"/>
      <c r="H50" s="525"/>
      <c r="I50" s="526"/>
      <c r="J50" s="407">
        <f t="shared" si="1"/>
        <v>0</v>
      </c>
      <c r="K50" s="529"/>
    </row>
    <row r="51" spans="1:11" x14ac:dyDescent="0.2">
      <c r="A51" s="527"/>
      <c r="B51" s="527"/>
      <c r="C51" s="524"/>
      <c r="D51" s="524"/>
      <c r="E51" s="524"/>
      <c r="F51" s="525"/>
      <c r="G51" s="525"/>
      <c r="H51" s="525"/>
      <c r="I51" s="526"/>
      <c r="J51" s="407">
        <f t="shared" si="1"/>
        <v>0</v>
      </c>
      <c r="K51" s="529"/>
    </row>
    <row r="52" spans="1:11" x14ac:dyDescent="0.2">
      <c r="A52" s="527"/>
      <c r="B52" s="527"/>
      <c r="C52" s="524"/>
      <c r="D52" s="524"/>
      <c r="E52" s="524"/>
      <c r="F52" s="525"/>
      <c r="G52" s="525"/>
      <c r="H52" s="525"/>
      <c r="I52" s="526"/>
      <c r="J52" s="407">
        <f t="shared" si="1"/>
        <v>0</v>
      </c>
      <c r="K52" s="529"/>
    </row>
    <row r="53" spans="1:11" x14ac:dyDescent="0.2">
      <c r="A53" s="527"/>
      <c r="B53" s="527"/>
      <c r="C53" s="524"/>
      <c r="D53" s="524"/>
      <c r="E53" s="524"/>
      <c r="F53" s="525"/>
      <c r="G53" s="525"/>
      <c r="H53" s="525"/>
      <c r="I53" s="526"/>
      <c r="J53" s="407">
        <f t="shared" si="1"/>
        <v>0</v>
      </c>
      <c r="K53" s="529"/>
    </row>
    <row r="54" spans="1:11" x14ac:dyDescent="0.2">
      <c r="A54" s="527"/>
      <c r="B54" s="527"/>
      <c r="C54" s="524"/>
      <c r="D54" s="524"/>
      <c r="E54" s="524"/>
      <c r="F54" s="525"/>
      <c r="G54" s="525"/>
      <c r="H54" s="525"/>
      <c r="I54" s="526"/>
      <c r="J54" s="407">
        <f t="shared" si="1"/>
        <v>0</v>
      </c>
      <c r="K54" s="529"/>
    </row>
    <row r="55" spans="1:11" x14ac:dyDescent="0.2">
      <c r="A55" s="527"/>
      <c r="B55" s="527"/>
      <c r="C55" s="524"/>
      <c r="D55" s="524"/>
      <c r="E55" s="524"/>
      <c r="F55" s="525"/>
      <c r="G55" s="525"/>
      <c r="H55" s="525"/>
      <c r="I55" s="526"/>
      <c r="J55" s="407">
        <f t="shared" si="1"/>
        <v>0</v>
      </c>
      <c r="K55" s="529"/>
    </row>
    <row r="56" spans="1:11" x14ac:dyDescent="0.2">
      <c r="A56" s="527"/>
      <c r="B56" s="527"/>
      <c r="C56" s="524"/>
      <c r="D56" s="524"/>
      <c r="E56" s="524"/>
      <c r="F56" s="525"/>
      <c r="G56" s="525"/>
      <c r="H56" s="525"/>
      <c r="I56" s="526"/>
      <c r="J56" s="407">
        <f t="shared" si="1"/>
        <v>0</v>
      </c>
      <c r="K56" s="529"/>
    </row>
    <row r="57" spans="1:11" x14ac:dyDescent="0.2">
      <c r="A57" s="527"/>
      <c r="B57" s="527"/>
      <c r="C57" s="524"/>
      <c r="D57" s="524"/>
      <c r="E57" s="524"/>
      <c r="F57" s="525"/>
      <c r="G57" s="525"/>
      <c r="H57" s="525"/>
      <c r="I57" s="526"/>
      <c r="J57" s="407">
        <f t="shared" si="1"/>
        <v>0</v>
      </c>
      <c r="K57" s="529"/>
    </row>
    <row r="58" spans="1:11" x14ac:dyDescent="0.2">
      <c r="A58" s="527"/>
      <c r="B58" s="527"/>
      <c r="C58" s="524"/>
      <c r="D58" s="524"/>
      <c r="E58" s="524"/>
      <c r="F58" s="525"/>
      <c r="G58" s="525"/>
      <c r="H58" s="525"/>
      <c r="I58" s="526"/>
      <c r="J58" s="407">
        <f t="shared" si="1"/>
        <v>0</v>
      </c>
      <c r="K58" s="529"/>
    </row>
    <row r="59" spans="1:11" x14ac:dyDescent="0.2">
      <c r="A59" s="527"/>
      <c r="B59" s="527"/>
      <c r="C59" s="524"/>
      <c r="D59" s="524"/>
      <c r="E59" s="524"/>
      <c r="F59" s="525"/>
      <c r="G59" s="525"/>
      <c r="H59" s="525"/>
      <c r="I59" s="526"/>
      <c r="J59" s="407">
        <f t="shared" si="1"/>
        <v>0</v>
      </c>
      <c r="K59" s="529"/>
    </row>
    <row r="60" spans="1:11" x14ac:dyDescent="0.2">
      <c r="A60" s="527"/>
      <c r="B60" s="527"/>
      <c r="C60" s="524"/>
      <c r="D60" s="524"/>
      <c r="E60" s="524"/>
      <c r="F60" s="525"/>
      <c r="G60" s="525"/>
      <c r="H60" s="525"/>
      <c r="I60" s="526"/>
      <c r="J60" s="407">
        <f t="shared" si="1"/>
        <v>0</v>
      </c>
      <c r="K60" s="529"/>
    </row>
    <row r="61" spans="1:11" x14ac:dyDescent="0.2">
      <c r="A61" s="527"/>
      <c r="B61" s="527"/>
      <c r="C61" s="524"/>
      <c r="D61" s="524"/>
      <c r="E61" s="524"/>
      <c r="F61" s="525"/>
      <c r="G61" s="525"/>
      <c r="H61" s="525"/>
      <c r="I61" s="526"/>
      <c r="J61" s="407">
        <f t="shared" si="1"/>
        <v>0</v>
      </c>
      <c r="K61" s="529"/>
    </row>
    <row r="62" spans="1:11" x14ac:dyDescent="0.2">
      <c r="A62" s="527"/>
      <c r="B62" s="527"/>
      <c r="C62" s="524"/>
      <c r="D62" s="524"/>
      <c r="E62" s="524"/>
      <c r="F62" s="525"/>
      <c r="G62" s="525"/>
      <c r="H62" s="525"/>
      <c r="I62" s="526"/>
      <c r="J62" s="407">
        <f t="shared" si="1"/>
        <v>0</v>
      </c>
      <c r="K62" s="529"/>
    </row>
    <row r="63" spans="1:11" x14ac:dyDescent="0.2">
      <c r="A63" s="527"/>
      <c r="B63" s="527"/>
      <c r="C63" s="524"/>
      <c r="D63" s="524"/>
      <c r="E63" s="524"/>
      <c r="F63" s="525"/>
      <c r="G63" s="525"/>
      <c r="H63" s="525"/>
      <c r="I63" s="526"/>
      <c r="J63" s="407">
        <f t="shared" si="1"/>
        <v>0</v>
      </c>
      <c r="K63" s="529"/>
    </row>
    <row r="64" spans="1:11" x14ac:dyDescent="0.2">
      <c r="A64" s="527"/>
      <c r="B64" s="527"/>
      <c r="C64" s="524"/>
      <c r="D64" s="524"/>
      <c r="E64" s="524"/>
      <c r="F64" s="525"/>
      <c r="G64" s="525"/>
      <c r="H64" s="525"/>
      <c r="I64" s="526"/>
      <c r="J64" s="407">
        <f t="shared" si="1"/>
        <v>0</v>
      </c>
      <c r="K64" s="529"/>
    </row>
    <row r="65" spans="1:11" x14ac:dyDescent="0.2">
      <c r="A65" s="527"/>
      <c r="B65" s="527"/>
      <c r="C65" s="524"/>
      <c r="D65" s="524"/>
      <c r="E65" s="524"/>
      <c r="F65" s="525"/>
      <c r="G65" s="525"/>
      <c r="H65" s="525"/>
      <c r="I65" s="526"/>
      <c r="J65" s="407">
        <f t="shared" si="1"/>
        <v>0</v>
      </c>
      <c r="K65" s="529"/>
    </row>
    <row r="66" spans="1:11" x14ac:dyDescent="0.2">
      <c r="A66" s="527"/>
      <c r="B66" s="527"/>
      <c r="C66" s="524"/>
      <c r="D66" s="524"/>
      <c r="E66" s="524"/>
      <c r="F66" s="525"/>
      <c r="G66" s="525"/>
      <c r="H66" s="525"/>
      <c r="I66" s="526"/>
      <c r="J66" s="407">
        <f t="shared" si="1"/>
        <v>0</v>
      </c>
      <c r="K66" s="529"/>
    </row>
    <row r="67" spans="1:11" x14ac:dyDescent="0.2">
      <c r="A67" s="527"/>
      <c r="B67" s="527"/>
      <c r="C67" s="524"/>
      <c r="D67" s="524"/>
      <c r="E67" s="524"/>
      <c r="F67" s="525"/>
      <c r="G67" s="525"/>
      <c r="H67" s="525"/>
      <c r="I67" s="526"/>
      <c r="J67" s="407">
        <f t="shared" si="1"/>
        <v>0</v>
      </c>
      <c r="K67" s="529"/>
    </row>
    <row r="68" spans="1:11" x14ac:dyDescent="0.2">
      <c r="A68" s="527"/>
      <c r="B68" s="527"/>
      <c r="C68" s="524"/>
      <c r="D68" s="524"/>
      <c r="E68" s="524"/>
      <c r="F68" s="525"/>
      <c r="G68" s="525"/>
      <c r="H68" s="525"/>
      <c r="I68" s="526"/>
      <c r="J68" s="407">
        <f t="shared" si="1"/>
        <v>0</v>
      </c>
      <c r="K68" s="529"/>
    </row>
    <row r="69" spans="1:11" x14ac:dyDescent="0.2">
      <c r="A69" s="527"/>
      <c r="B69" s="527"/>
      <c r="C69" s="524"/>
      <c r="D69" s="524"/>
      <c r="E69" s="524"/>
      <c r="F69" s="525"/>
      <c r="G69" s="525"/>
      <c r="H69" s="525"/>
      <c r="I69" s="526"/>
      <c r="J69" s="407">
        <f t="shared" si="1"/>
        <v>0</v>
      </c>
      <c r="K69" s="529"/>
    </row>
    <row r="70" spans="1:11" x14ac:dyDescent="0.2">
      <c r="A70" s="527"/>
      <c r="B70" s="527"/>
      <c r="C70" s="524"/>
      <c r="D70" s="524"/>
      <c r="E70" s="524"/>
      <c r="F70" s="525"/>
      <c r="G70" s="525"/>
      <c r="H70" s="525"/>
      <c r="I70" s="526"/>
      <c r="J70" s="407">
        <f t="shared" si="1"/>
        <v>0</v>
      </c>
      <c r="K70" s="529"/>
    </row>
    <row r="71" spans="1:11" x14ac:dyDescent="0.2">
      <c r="A71" s="527"/>
      <c r="B71" s="527"/>
      <c r="C71" s="524"/>
      <c r="D71" s="524"/>
      <c r="E71" s="524"/>
      <c r="F71" s="525"/>
      <c r="G71" s="525"/>
      <c r="H71" s="525"/>
      <c r="I71" s="526"/>
      <c r="J71" s="407">
        <f t="shared" si="1"/>
        <v>0</v>
      </c>
      <c r="K71" s="529"/>
    </row>
    <row r="72" spans="1:11" x14ac:dyDescent="0.2">
      <c r="A72" s="527"/>
      <c r="B72" s="527"/>
      <c r="C72" s="524"/>
      <c r="D72" s="524"/>
      <c r="E72" s="524"/>
      <c r="F72" s="525"/>
      <c r="G72" s="525"/>
      <c r="H72" s="525"/>
      <c r="I72" s="526"/>
      <c r="J72" s="407">
        <f t="shared" si="1"/>
        <v>0</v>
      </c>
      <c r="K72" s="529"/>
    </row>
    <row r="73" spans="1:11" x14ac:dyDescent="0.2">
      <c r="A73" s="527"/>
      <c r="B73" s="527"/>
      <c r="C73" s="524"/>
      <c r="D73" s="524"/>
      <c r="E73" s="524"/>
      <c r="F73" s="525"/>
      <c r="G73" s="525"/>
      <c r="H73" s="525"/>
      <c r="I73" s="526"/>
      <c r="J73" s="407">
        <f t="shared" si="1"/>
        <v>0</v>
      </c>
      <c r="K73" s="529"/>
    </row>
    <row r="74" spans="1:11" x14ac:dyDescent="0.2">
      <c r="A74" s="527"/>
      <c r="B74" s="527"/>
      <c r="C74" s="524"/>
      <c r="D74" s="524"/>
      <c r="E74" s="524"/>
      <c r="F74" s="525"/>
      <c r="G74" s="525"/>
      <c r="H74" s="525"/>
      <c r="I74" s="526"/>
      <c r="J74" s="407">
        <f t="shared" si="1"/>
        <v>0</v>
      </c>
      <c r="K74" s="529"/>
    </row>
    <row r="75" spans="1:11" x14ac:dyDescent="0.2">
      <c r="A75" s="527"/>
      <c r="B75" s="527"/>
      <c r="C75" s="524"/>
      <c r="D75" s="524"/>
      <c r="E75" s="524"/>
      <c r="F75" s="525"/>
      <c r="G75" s="525"/>
      <c r="H75" s="525"/>
      <c r="I75" s="526"/>
      <c r="J75" s="407">
        <f t="shared" si="1"/>
        <v>0</v>
      </c>
      <c r="K75" s="529"/>
    </row>
    <row r="76" spans="1:11" x14ac:dyDescent="0.2">
      <c r="A76" s="527"/>
      <c r="B76" s="527"/>
      <c r="C76" s="524"/>
      <c r="D76" s="524"/>
      <c r="E76" s="524"/>
      <c r="F76" s="525"/>
      <c r="G76" s="525"/>
      <c r="H76" s="525"/>
      <c r="I76" s="526"/>
      <c r="J76" s="407">
        <f t="shared" si="1"/>
        <v>0</v>
      </c>
      <c r="K76" s="529"/>
    </row>
    <row r="77" spans="1:11" x14ac:dyDescent="0.2">
      <c r="A77" s="527"/>
      <c r="B77" s="527"/>
      <c r="C77" s="524"/>
      <c r="D77" s="524"/>
      <c r="E77" s="524"/>
      <c r="F77" s="525"/>
      <c r="G77" s="525"/>
      <c r="H77" s="525"/>
      <c r="I77" s="526"/>
      <c r="J77" s="407">
        <f t="shared" si="1"/>
        <v>0</v>
      </c>
      <c r="K77" s="529"/>
    </row>
    <row r="78" spans="1:11" x14ac:dyDescent="0.2">
      <c r="A78" s="527"/>
      <c r="B78" s="527"/>
      <c r="C78" s="524"/>
      <c r="D78" s="524"/>
      <c r="E78" s="524"/>
      <c r="F78" s="525"/>
      <c r="G78" s="525"/>
      <c r="H78" s="525"/>
      <c r="I78" s="526"/>
      <c r="J78" s="407">
        <f t="shared" si="1"/>
        <v>0</v>
      </c>
      <c r="K78" s="529"/>
    </row>
    <row r="79" spans="1:11" x14ac:dyDescent="0.2">
      <c r="A79" s="527"/>
      <c r="B79" s="527"/>
      <c r="C79" s="524"/>
      <c r="D79" s="524"/>
      <c r="E79" s="524"/>
      <c r="F79" s="525"/>
      <c r="G79" s="525"/>
      <c r="H79" s="525"/>
      <c r="I79" s="526"/>
      <c r="J79" s="407">
        <f t="shared" si="1"/>
        <v>0</v>
      </c>
      <c r="K79" s="529"/>
    </row>
    <row r="80" spans="1:11" x14ac:dyDescent="0.2">
      <c r="A80" s="527"/>
      <c r="B80" s="527"/>
      <c r="C80" s="524"/>
      <c r="D80" s="524"/>
      <c r="E80" s="524"/>
      <c r="F80" s="525"/>
      <c r="G80" s="525"/>
      <c r="H80" s="525"/>
      <c r="I80" s="526"/>
      <c r="J80" s="407">
        <f t="shared" si="1"/>
        <v>0</v>
      </c>
      <c r="K80" s="529"/>
    </row>
    <row r="81" spans="1:11" x14ac:dyDescent="0.2">
      <c r="A81" s="527"/>
      <c r="B81" s="527"/>
      <c r="C81" s="524"/>
      <c r="D81" s="524"/>
      <c r="E81" s="524"/>
      <c r="F81" s="525"/>
      <c r="G81" s="525"/>
      <c r="H81" s="525"/>
      <c r="I81" s="526"/>
      <c r="J81" s="407">
        <f t="shared" si="1"/>
        <v>0</v>
      </c>
      <c r="K81" s="529"/>
    </row>
    <row r="82" spans="1:11" x14ac:dyDescent="0.2">
      <c r="A82" s="527"/>
      <c r="B82" s="527"/>
      <c r="C82" s="524"/>
      <c r="D82" s="524"/>
      <c r="E82" s="524"/>
      <c r="F82" s="525"/>
      <c r="G82" s="525"/>
      <c r="H82" s="525"/>
      <c r="I82" s="526"/>
      <c r="J82" s="407">
        <f t="shared" si="1"/>
        <v>0</v>
      </c>
      <c r="K82" s="529"/>
    </row>
    <row r="83" spans="1:11" x14ac:dyDescent="0.2">
      <c r="A83" s="527"/>
      <c r="B83" s="527"/>
      <c r="C83" s="524"/>
      <c r="D83" s="524"/>
      <c r="E83" s="524"/>
      <c r="F83" s="525"/>
      <c r="G83" s="525"/>
      <c r="H83" s="525"/>
      <c r="I83" s="526"/>
      <c r="J83" s="407">
        <f t="shared" si="1"/>
        <v>0</v>
      </c>
      <c r="K83" s="529"/>
    </row>
    <row r="84" spans="1:11" x14ac:dyDescent="0.2">
      <c r="A84" s="527"/>
      <c r="B84" s="527"/>
      <c r="C84" s="524"/>
      <c r="D84" s="524"/>
      <c r="E84" s="524"/>
      <c r="F84" s="525"/>
      <c r="G84" s="525"/>
      <c r="H84" s="525"/>
      <c r="I84" s="526"/>
      <c r="J84" s="407">
        <f t="shared" si="1"/>
        <v>0</v>
      </c>
      <c r="K84" s="529"/>
    </row>
    <row r="85" spans="1:11" x14ac:dyDescent="0.2">
      <c r="A85" s="527"/>
      <c r="B85" s="527"/>
      <c r="C85" s="524"/>
      <c r="D85" s="524"/>
      <c r="E85" s="524"/>
      <c r="F85" s="525"/>
      <c r="G85" s="525"/>
      <c r="H85" s="525"/>
      <c r="I85" s="526"/>
      <c r="J85" s="407">
        <f t="shared" si="1"/>
        <v>0</v>
      </c>
      <c r="K85" s="529"/>
    </row>
    <row r="86" spans="1:11" x14ac:dyDescent="0.2">
      <c r="A86" s="527"/>
      <c r="B86" s="527"/>
      <c r="C86" s="524"/>
      <c r="D86" s="524"/>
      <c r="E86" s="524"/>
      <c r="F86" s="525"/>
      <c r="G86" s="525"/>
      <c r="H86" s="525"/>
      <c r="I86" s="526"/>
      <c r="J86" s="407">
        <f t="shared" si="1"/>
        <v>0</v>
      </c>
      <c r="K86" s="529"/>
    </row>
    <row r="87" spans="1:11" x14ac:dyDescent="0.2">
      <c r="A87" s="527"/>
      <c r="B87" s="527"/>
      <c r="C87" s="524"/>
      <c r="D87" s="524"/>
      <c r="E87" s="524"/>
      <c r="F87" s="525"/>
      <c r="G87" s="525"/>
      <c r="H87" s="525"/>
      <c r="I87" s="526"/>
      <c r="J87" s="407">
        <f t="shared" si="1"/>
        <v>0</v>
      </c>
      <c r="K87" s="529"/>
    </row>
    <row r="88" spans="1:11" x14ac:dyDescent="0.2">
      <c r="A88" s="527"/>
      <c r="B88" s="527"/>
      <c r="C88" s="524"/>
      <c r="D88" s="524"/>
      <c r="E88" s="524"/>
      <c r="F88" s="525"/>
      <c r="G88" s="525"/>
      <c r="H88" s="525"/>
      <c r="I88" s="526"/>
      <c r="J88" s="407">
        <f t="shared" si="1"/>
        <v>0</v>
      </c>
      <c r="K88" s="529"/>
    </row>
    <row r="89" spans="1:11" x14ac:dyDescent="0.2">
      <c r="A89" s="527"/>
      <c r="B89" s="527"/>
      <c r="C89" s="524"/>
      <c r="D89" s="524"/>
      <c r="E89" s="524"/>
      <c r="F89" s="525"/>
      <c r="G89" s="525"/>
      <c r="H89" s="525"/>
      <c r="I89" s="526"/>
      <c r="J89" s="407">
        <f t="shared" si="1"/>
        <v>0</v>
      </c>
      <c r="K89" s="529"/>
    </row>
    <row r="90" spans="1:11" x14ac:dyDescent="0.2">
      <c r="A90" s="527"/>
      <c r="B90" s="527"/>
      <c r="C90" s="524"/>
      <c r="D90" s="524"/>
      <c r="E90" s="524"/>
      <c r="F90" s="525"/>
      <c r="G90" s="525"/>
      <c r="H90" s="525"/>
      <c r="I90" s="526"/>
      <c r="J90" s="407">
        <f t="shared" si="1"/>
        <v>0</v>
      </c>
      <c r="K90" s="529"/>
    </row>
    <row r="91" spans="1:11" x14ac:dyDescent="0.2">
      <c r="A91" s="527"/>
      <c r="B91" s="527"/>
      <c r="C91" s="524"/>
      <c r="D91" s="524"/>
      <c r="E91" s="524"/>
      <c r="F91" s="525"/>
      <c r="G91" s="525"/>
      <c r="H91" s="525"/>
      <c r="I91" s="526"/>
      <c r="J91" s="407">
        <f t="shared" si="1"/>
        <v>0</v>
      </c>
      <c r="K91" s="529"/>
    </row>
    <row r="92" spans="1:11" x14ac:dyDescent="0.2">
      <c r="A92" s="527"/>
      <c r="B92" s="527"/>
      <c r="C92" s="524"/>
      <c r="D92" s="524"/>
      <c r="E92" s="524"/>
      <c r="F92" s="525"/>
      <c r="G92" s="525"/>
      <c r="H92" s="525"/>
      <c r="I92" s="526"/>
      <c r="J92" s="407">
        <f t="shared" si="1"/>
        <v>0</v>
      </c>
      <c r="K92" s="529"/>
    </row>
    <row r="93" spans="1:11" x14ac:dyDescent="0.2">
      <c r="A93" s="527"/>
      <c r="B93" s="527"/>
      <c r="C93" s="524"/>
      <c r="D93" s="524"/>
      <c r="E93" s="524"/>
      <c r="F93" s="525"/>
      <c r="G93" s="525"/>
      <c r="H93" s="525"/>
      <c r="I93" s="526"/>
      <c r="J93" s="407">
        <f t="shared" si="1"/>
        <v>0</v>
      </c>
      <c r="K93" s="529"/>
    </row>
    <row r="94" spans="1:11" x14ac:dyDescent="0.2">
      <c r="A94" s="527"/>
      <c r="B94" s="527"/>
      <c r="C94" s="524"/>
      <c r="D94" s="524"/>
      <c r="E94" s="524"/>
      <c r="F94" s="525"/>
      <c r="G94" s="525"/>
      <c r="H94" s="525"/>
      <c r="I94" s="526"/>
      <c r="J94" s="407">
        <f t="shared" ref="J94:J102" si="2">I94*G94</f>
        <v>0</v>
      </c>
      <c r="K94" s="529"/>
    </row>
    <row r="95" spans="1:11" x14ac:dyDescent="0.2">
      <c r="A95" s="527"/>
      <c r="B95" s="527"/>
      <c r="C95" s="524"/>
      <c r="D95" s="524"/>
      <c r="E95" s="524"/>
      <c r="F95" s="525"/>
      <c r="G95" s="525"/>
      <c r="H95" s="525"/>
      <c r="I95" s="526"/>
      <c r="J95" s="407">
        <f t="shared" si="2"/>
        <v>0</v>
      </c>
      <c r="K95" s="529"/>
    </row>
    <row r="96" spans="1:11" x14ac:dyDescent="0.2">
      <c r="A96" s="527"/>
      <c r="B96" s="527"/>
      <c r="C96" s="524"/>
      <c r="D96" s="524"/>
      <c r="E96" s="524"/>
      <c r="F96" s="525"/>
      <c r="G96" s="525"/>
      <c r="H96" s="525"/>
      <c r="I96" s="526"/>
      <c r="J96" s="407">
        <f t="shared" si="2"/>
        <v>0</v>
      </c>
      <c r="K96" s="529"/>
    </row>
    <row r="97" spans="1:11" x14ac:dyDescent="0.2">
      <c r="A97" s="527"/>
      <c r="B97" s="527"/>
      <c r="C97" s="524"/>
      <c r="D97" s="524"/>
      <c r="E97" s="524"/>
      <c r="F97" s="525"/>
      <c r="G97" s="525"/>
      <c r="H97" s="525"/>
      <c r="I97" s="526"/>
      <c r="J97" s="407">
        <f t="shared" si="2"/>
        <v>0</v>
      </c>
      <c r="K97" s="529"/>
    </row>
    <row r="98" spans="1:11" x14ac:dyDescent="0.2">
      <c r="A98" s="527"/>
      <c r="B98" s="527"/>
      <c r="C98" s="524"/>
      <c r="D98" s="524"/>
      <c r="E98" s="524"/>
      <c r="F98" s="525"/>
      <c r="G98" s="525"/>
      <c r="H98" s="525"/>
      <c r="I98" s="526"/>
      <c r="J98" s="407">
        <f t="shared" si="2"/>
        <v>0</v>
      </c>
      <c r="K98" s="529"/>
    </row>
    <row r="99" spans="1:11" x14ac:dyDescent="0.2">
      <c r="A99" s="527"/>
      <c r="B99" s="527"/>
      <c r="C99" s="524"/>
      <c r="D99" s="524"/>
      <c r="E99" s="524"/>
      <c r="F99" s="525"/>
      <c r="G99" s="525"/>
      <c r="H99" s="525"/>
      <c r="I99" s="526"/>
      <c r="J99" s="407">
        <f t="shared" si="2"/>
        <v>0</v>
      </c>
      <c r="K99" s="529"/>
    </row>
    <row r="100" spans="1:11" x14ac:dyDescent="0.2">
      <c r="A100" s="527"/>
      <c r="B100" s="527"/>
      <c r="C100" s="524"/>
      <c r="D100" s="524"/>
      <c r="E100" s="524"/>
      <c r="F100" s="525"/>
      <c r="G100" s="525"/>
      <c r="H100" s="525"/>
      <c r="I100" s="526"/>
      <c r="J100" s="407">
        <f t="shared" si="2"/>
        <v>0</v>
      </c>
      <c r="K100" s="529"/>
    </row>
    <row r="101" spans="1:11" x14ac:dyDescent="0.2">
      <c r="A101" s="527"/>
      <c r="B101" s="527"/>
      <c r="C101" s="524"/>
      <c r="D101" s="524"/>
      <c r="E101" s="524"/>
      <c r="F101" s="525"/>
      <c r="G101" s="525"/>
      <c r="H101" s="525"/>
      <c r="I101" s="526"/>
      <c r="J101" s="407">
        <f t="shared" si="2"/>
        <v>0</v>
      </c>
      <c r="K101" s="529"/>
    </row>
    <row r="102" spans="1:11" x14ac:dyDescent="0.2">
      <c r="A102" s="527"/>
      <c r="B102" s="527"/>
      <c r="C102" s="524"/>
      <c r="D102" s="524"/>
      <c r="E102" s="524"/>
      <c r="F102" s="525"/>
      <c r="G102" s="525"/>
      <c r="H102" s="525"/>
      <c r="I102" s="526"/>
      <c r="J102" s="407">
        <f t="shared" si="2"/>
        <v>0</v>
      </c>
      <c r="K102" s="529"/>
    </row>
  </sheetData>
  <autoFilter ref="A2:K44" xr:uid="{00000000-0009-0000-0000-000013000000}"/>
  <sortState xmlns:xlrd2="http://schemas.microsoft.com/office/spreadsheetml/2017/richdata2" ref="A3:K29">
    <sortCondition ref="A2:A29"/>
  </sortState>
  <dataValidations count="4">
    <dataValidation type="list" allowBlank="1" showInputMessage="1" showErrorMessage="1" sqref="A3:A102" xr:uid="{00000000-0002-0000-1300-000000000000}">
      <formula1>MODULY</formula1>
    </dataValidation>
    <dataValidation type="list" allowBlank="1" showInputMessage="1" showErrorMessage="1" sqref="D3:D102" xr:uid="{00000000-0002-0000-1300-000001000000}">
      <formula1>"HW,SW, SW pre HW"</formula1>
    </dataValidation>
    <dataValidation type="list" allowBlank="1" showInputMessage="1" showErrorMessage="1" sqref="E3:E102" xr:uid="{00000000-0002-0000-1300-000002000000}">
      <formula1>"013 Softvér,022 Samostatné hnuteľné veci a súbory hnuteľných vecí,112 Zásoby"</formula1>
    </dataValidation>
    <dataValidation type="list" allowBlank="1" showInputMessage="1" showErrorMessage="1" sqref="B3:B102" xr:uid="{C40A51AB-97B6-451E-B8E4-5D8F10C90D64}">
      <formula1>Aktivity</formula1>
    </dataValidation>
  </dataValidations>
  <pageMargins left="0.7" right="0.7" top="0.75" bottom="0.75" header="0.3" footer="0.3"/>
  <pageSetup paperSize="9" scale="55"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6">
    <tabColor rgb="FF00B050"/>
  </sheetPr>
  <dimension ref="A1:J107"/>
  <sheetViews>
    <sheetView workbookViewId="0">
      <selection activeCell="E36" sqref="E36"/>
    </sheetView>
  </sheetViews>
  <sheetFormatPr baseColWidth="10" defaultColWidth="8.6640625" defaultRowHeight="15" x14ac:dyDescent="0.2"/>
  <cols>
    <col min="1" max="1" width="3" style="365" customWidth="1"/>
    <col min="2" max="2" width="24.1640625" style="365" customWidth="1"/>
    <col min="3" max="3" width="28.6640625" style="365" customWidth="1"/>
    <col min="4" max="6" width="13.6640625" style="365" customWidth="1"/>
    <col min="7" max="10" width="12.1640625" style="365" customWidth="1"/>
    <col min="11" max="16384" width="8.6640625" style="365"/>
  </cols>
  <sheetData>
    <row r="1" spans="1:10" x14ac:dyDescent="0.2">
      <c r="B1" s="367"/>
      <c r="C1" s="367"/>
      <c r="D1" s="367"/>
      <c r="E1" s="367"/>
      <c r="F1" s="367"/>
      <c r="G1" s="875" t="s">
        <v>1130</v>
      </c>
      <c r="H1" s="875"/>
      <c r="I1" s="875"/>
      <c r="J1" s="875"/>
    </row>
    <row r="2" spans="1:10" s="369" customFormat="1" ht="32" x14ac:dyDescent="0.2">
      <c r="A2" s="368" t="s">
        <v>231</v>
      </c>
      <c r="B2" s="368" t="s">
        <v>1073</v>
      </c>
      <c r="C2" s="368" t="s">
        <v>988</v>
      </c>
      <c r="D2" s="500" t="s">
        <v>237</v>
      </c>
      <c r="E2" s="500" t="s">
        <v>1131</v>
      </c>
      <c r="F2" s="500" t="s">
        <v>1132</v>
      </c>
      <c r="G2" s="500" t="s">
        <v>1133</v>
      </c>
      <c r="H2" s="445" t="s">
        <v>1134</v>
      </c>
      <c r="I2" s="500" t="s">
        <v>1135</v>
      </c>
      <c r="J2" s="500" t="s">
        <v>424</v>
      </c>
    </row>
    <row r="3" spans="1:10" x14ac:dyDescent="0.2">
      <c r="A3" s="877">
        <v>1</v>
      </c>
      <c r="B3" s="876" t="s">
        <v>247</v>
      </c>
      <c r="C3" s="370" t="str">
        <f>IFERROR(IF(ISTEXT(B3),"Analýza a dizajn",""),)</f>
        <v>Analýza a dizajn</v>
      </c>
      <c r="D3" s="370" t="str">
        <f>IFERROR(VLOOKUP(B3,MODULY_CBA!$B$3:$I$23,6,0),"")</f>
        <v>Inkrement 1</v>
      </c>
      <c r="E3" s="371">
        <f>IFERROR(VLOOKUP(D3,INKREMENTY!$A$2:$F$21,2,0),"")</f>
        <v>45809</v>
      </c>
      <c r="F3" s="371">
        <f>IFERROR(VLOOKUP(D3,INKREMENTY!$A$2:$F$21,4,0),"")</f>
        <v>46265</v>
      </c>
      <c r="G3" s="370">
        <f>IFERROR(ROUND(((E3-$E$3)+1)/30,0)+1,)</f>
        <v>1</v>
      </c>
      <c r="H3" s="370">
        <f>G3-1</f>
        <v>0</v>
      </c>
      <c r="I3" s="514">
        <v>5</v>
      </c>
      <c r="J3" s="370">
        <f>H3+I3</f>
        <v>5</v>
      </c>
    </row>
    <row r="4" spans="1:10" x14ac:dyDescent="0.2">
      <c r="A4" s="877"/>
      <c r="B4" s="876"/>
      <c r="C4" s="370" t="str">
        <f>IFERROR(IF(ISTEXT(B3),"Nákupo HW a krabicový SW",""),)</f>
        <v>Nákupo HW a krabicový SW</v>
      </c>
      <c r="D4" s="367"/>
      <c r="E4" s="367"/>
      <c r="F4" s="367"/>
      <c r="G4" s="514"/>
      <c r="H4" s="370">
        <f t="shared" ref="H4:H27" si="0">G4-1</f>
        <v>-1</v>
      </c>
      <c r="I4" s="514"/>
      <c r="J4" s="370">
        <f>H4+I4</f>
        <v>-1</v>
      </c>
    </row>
    <row r="5" spans="1:10" x14ac:dyDescent="0.2">
      <c r="A5" s="877"/>
      <c r="B5" s="876"/>
      <c r="C5" s="370" t="str">
        <f>IFERROR(IF(ISTEXT(B3),"Implementácia",""),)</f>
        <v>Implementácia</v>
      </c>
      <c r="D5" s="367"/>
      <c r="E5" s="367"/>
      <c r="F5" s="367"/>
      <c r="G5" s="514">
        <v>6</v>
      </c>
      <c r="H5" s="370">
        <f t="shared" si="0"/>
        <v>5</v>
      </c>
      <c r="I5" s="514">
        <v>6</v>
      </c>
      <c r="J5" s="370">
        <f>H5+I5</f>
        <v>11</v>
      </c>
    </row>
    <row r="6" spans="1:10" x14ac:dyDescent="0.2">
      <c r="A6" s="877"/>
      <c r="B6" s="876"/>
      <c r="C6" s="370" t="str">
        <f>IFERROR(IF(ISTEXT(B3),"Testovanie",""),)</f>
        <v>Testovanie</v>
      </c>
      <c r="D6" s="367"/>
      <c r="E6" s="367"/>
      <c r="F6" s="367"/>
      <c r="G6" s="514">
        <v>6</v>
      </c>
      <c r="H6" s="370">
        <f t="shared" si="0"/>
        <v>5</v>
      </c>
      <c r="I6" s="514">
        <v>6</v>
      </c>
      <c r="J6" s="370">
        <f>H6+I6</f>
        <v>11</v>
      </c>
    </row>
    <row r="7" spans="1:10" x14ac:dyDescent="0.2">
      <c r="A7" s="877"/>
      <c r="B7" s="876"/>
      <c r="C7" s="370" t="str">
        <f>IFERROR(IF(ISTEXT(B3),"Nasadenie",""),)</f>
        <v>Nasadenie</v>
      </c>
      <c r="D7" s="367"/>
      <c r="E7" s="367"/>
      <c r="F7" s="367"/>
      <c r="G7" s="514">
        <v>12</v>
      </c>
      <c r="H7" s="370">
        <f t="shared" si="0"/>
        <v>11</v>
      </c>
      <c r="I7" s="370">
        <f>J7-H7</f>
        <v>4</v>
      </c>
      <c r="J7" s="370">
        <f>IFERROR(ROUND((F3-$E$3+1)/30,0),)</f>
        <v>15</v>
      </c>
    </row>
    <row r="8" spans="1:10" x14ac:dyDescent="0.2">
      <c r="A8" s="877">
        <v>2</v>
      </c>
      <c r="B8" s="876" t="s">
        <v>250</v>
      </c>
      <c r="C8" s="370" t="str">
        <f>IFERROR(IF(ISTEXT(B8),"Analýza a dizajn",""),)</f>
        <v>Analýza a dizajn</v>
      </c>
      <c r="D8" s="370" t="str">
        <f>IFERROR(VLOOKUP(B8,MODULY_CBA!$B$3:$I$23,6,0),"")</f>
        <v>Inkrement 1</v>
      </c>
      <c r="E8" s="371">
        <f>IFERROR(VLOOKUP(D8,INKREMENTY!$A$2:$F$21,2,0),"")</f>
        <v>45809</v>
      </c>
      <c r="F8" s="371">
        <f>IFERROR(VLOOKUP(D8,INKREMENTY!$A$2:$F$21,4,0),"")</f>
        <v>46265</v>
      </c>
      <c r="G8" s="370">
        <f>IFERROR(ROUND(((E8-$E$3)+1)/30,0)+1,)</f>
        <v>1</v>
      </c>
      <c r="H8" s="370">
        <f t="shared" si="0"/>
        <v>0</v>
      </c>
      <c r="I8" s="514">
        <v>5</v>
      </c>
      <c r="J8" s="370">
        <f t="shared" ref="J8:J11" si="1">H8+I8</f>
        <v>5</v>
      </c>
    </row>
    <row r="9" spans="1:10" x14ac:dyDescent="0.2">
      <c r="A9" s="877"/>
      <c r="B9" s="876"/>
      <c r="C9" s="370" t="str">
        <f>IFERROR(IF(ISTEXT(B8),"Nákupo HW a krabicový SW",""),)</f>
        <v>Nákupo HW a krabicový SW</v>
      </c>
      <c r="D9" s="367"/>
      <c r="E9" s="367"/>
      <c r="F9" s="367"/>
      <c r="G9" s="514"/>
      <c r="H9" s="370">
        <f t="shared" ref="H9" si="2">G9-1</f>
        <v>-1</v>
      </c>
      <c r="I9" s="514"/>
      <c r="J9" s="370">
        <f t="shared" si="1"/>
        <v>-1</v>
      </c>
    </row>
    <row r="10" spans="1:10" x14ac:dyDescent="0.2">
      <c r="A10" s="877"/>
      <c r="B10" s="876"/>
      <c r="C10" s="370" t="str">
        <f>IFERROR(IF(ISTEXT(B8),"Implementácia",""),)</f>
        <v>Implementácia</v>
      </c>
      <c r="D10" s="367"/>
      <c r="E10" s="367"/>
      <c r="F10" s="367"/>
      <c r="G10" s="514">
        <v>6</v>
      </c>
      <c r="H10" s="370">
        <f t="shared" si="0"/>
        <v>5</v>
      </c>
      <c r="I10" s="514">
        <v>6</v>
      </c>
      <c r="J10" s="370">
        <f t="shared" si="1"/>
        <v>11</v>
      </c>
    </row>
    <row r="11" spans="1:10" x14ac:dyDescent="0.2">
      <c r="A11" s="877"/>
      <c r="B11" s="876"/>
      <c r="C11" s="370" t="str">
        <f>IFERROR(IF(ISTEXT(B8),"Testovanie",""),)</f>
        <v>Testovanie</v>
      </c>
      <c r="D11" s="367"/>
      <c r="E11" s="367"/>
      <c r="F11" s="367"/>
      <c r="G11" s="514">
        <v>6</v>
      </c>
      <c r="H11" s="370">
        <f t="shared" si="0"/>
        <v>5</v>
      </c>
      <c r="I11" s="514">
        <v>6</v>
      </c>
      <c r="J11" s="370">
        <f t="shared" si="1"/>
        <v>11</v>
      </c>
    </row>
    <row r="12" spans="1:10" x14ac:dyDescent="0.2">
      <c r="A12" s="877"/>
      <c r="B12" s="876"/>
      <c r="C12" s="370" t="str">
        <f>IFERROR(IF(ISTEXT(B8),"Nasadenie",""),)</f>
        <v>Nasadenie</v>
      </c>
      <c r="D12" s="367"/>
      <c r="E12" s="367"/>
      <c r="F12" s="367"/>
      <c r="G12" s="514">
        <v>12</v>
      </c>
      <c r="H12" s="370">
        <f t="shared" si="0"/>
        <v>11</v>
      </c>
      <c r="I12" s="370">
        <f>J12-H12</f>
        <v>4</v>
      </c>
      <c r="J12" s="370">
        <f>IFERROR(ROUND((F8-$E$3+1)/30,0),)</f>
        <v>15</v>
      </c>
    </row>
    <row r="13" spans="1:10" x14ac:dyDescent="0.2">
      <c r="A13" s="877">
        <v>3</v>
      </c>
      <c r="B13" s="876" t="s">
        <v>252</v>
      </c>
      <c r="C13" s="370" t="str">
        <f>IFERROR(IF(ISTEXT(B13),"Analýza a dizajn",""),)</f>
        <v>Analýza a dizajn</v>
      </c>
      <c r="D13" s="370" t="str">
        <f>IFERROR(VLOOKUP(B13,MODULY_CBA!$B$3:$I$23,6,0),"")</f>
        <v>Inkrement 1</v>
      </c>
      <c r="E13" s="371">
        <f>IFERROR(VLOOKUP(D13,INKREMENTY!$A$2:$F$21,2,0),"")</f>
        <v>45809</v>
      </c>
      <c r="F13" s="371">
        <f>IFERROR(VLOOKUP(D13,INKREMENTY!$A$2:$F$21,4,0),"")</f>
        <v>46265</v>
      </c>
      <c r="G13" s="370">
        <f>IFERROR(ROUND(((E13-$E$3)+1)/30,0)+1,)</f>
        <v>1</v>
      </c>
      <c r="H13" s="370">
        <f t="shared" si="0"/>
        <v>0</v>
      </c>
      <c r="I13" s="514">
        <v>5</v>
      </c>
      <c r="J13" s="370">
        <f t="shared" ref="J13:J16" si="3">H13+I13</f>
        <v>5</v>
      </c>
    </row>
    <row r="14" spans="1:10" x14ac:dyDescent="0.2">
      <c r="A14" s="877"/>
      <c r="B14" s="876"/>
      <c r="C14" s="370" t="str">
        <f>IFERROR(IF(ISTEXT(B13),"Nákupo HW a krabicový SW",""),)</f>
        <v>Nákupo HW a krabicový SW</v>
      </c>
      <c r="D14" s="367"/>
      <c r="E14" s="367"/>
      <c r="F14" s="367"/>
      <c r="G14" s="514"/>
      <c r="H14" s="370">
        <f t="shared" ref="H14" si="4">G14-1</f>
        <v>-1</v>
      </c>
      <c r="I14" s="514"/>
      <c r="J14" s="370">
        <f t="shared" si="3"/>
        <v>-1</v>
      </c>
    </row>
    <row r="15" spans="1:10" x14ac:dyDescent="0.2">
      <c r="A15" s="877"/>
      <c r="B15" s="876"/>
      <c r="C15" s="370" t="str">
        <f>IFERROR(IF(ISTEXT(B13),"Implementácia",""),)</f>
        <v>Implementácia</v>
      </c>
      <c r="D15" s="367"/>
      <c r="E15" s="367"/>
      <c r="F15" s="367"/>
      <c r="G15" s="514">
        <v>6</v>
      </c>
      <c r="H15" s="370">
        <f t="shared" si="0"/>
        <v>5</v>
      </c>
      <c r="I15" s="514">
        <v>6</v>
      </c>
      <c r="J15" s="370">
        <f t="shared" si="3"/>
        <v>11</v>
      </c>
    </row>
    <row r="16" spans="1:10" x14ac:dyDescent="0.2">
      <c r="A16" s="877"/>
      <c r="B16" s="876"/>
      <c r="C16" s="370" t="str">
        <f>IFERROR(IF(ISTEXT(B13),"Testovanie",""),)</f>
        <v>Testovanie</v>
      </c>
      <c r="D16" s="367"/>
      <c r="E16" s="367"/>
      <c r="F16" s="367"/>
      <c r="G16" s="514">
        <v>6</v>
      </c>
      <c r="H16" s="370">
        <f t="shared" si="0"/>
        <v>5</v>
      </c>
      <c r="I16" s="514">
        <v>6</v>
      </c>
      <c r="J16" s="370">
        <f t="shared" si="3"/>
        <v>11</v>
      </c>
    </row>
    <row r="17" spans="1:10" x14ac:dyDescent="0.2">
      <c r="A17" s="877"/>
      <c r="B17" s="876"/>
      <c r="C17" s="370" t="str">
        <f>IFERROR(IF(ISTEXT(B13),"Nasadenie",""),)</f>
        <v>Nasadenie</v>
      </c>
      <c r="D17" s="367"/>
      <c r="E17" s="367"/>
      <c r="F17" s="367"/>
      <c r="G17" s="514">
        <v>12</v>
      </c>
      <c r="H17" s="370">
        <f t="shared" si="0"/>
        <v>11</v>
      </c>
      <c r="I17" s="370">
        <f>J17-H17</f>
        <v>4</v>
      </c>
      <c r="J17" s="370">
        <f>IFERROR(ROUND((F13-$E$3+1)/30,0),)</f>
        <v>15</v>
      </c>
    </row>
    <row r="18" spans="1:10" x14ac:dyDescent="0.2">
      <c r="A18" s="877">
        <v>4</v>
      </c>
      <c r="B18" s="876" t="s">
        <v>254</v>
      </c>
      <c r="C18" s="370" t="str">
        <f>IFERROR(IF(ISTEXT(B18),"Analýza a dizajn",""),)</f>
        <v>Analýza a dizajn</v>
      </c>
      <c r="D18" s="370" t="str">
        <f>IFERROR(VLOOKUP(B18,MODULY_CBA!$B$3:$I$23,6,0),"")</f>
        <v>Inkrement 1</v>
      </c>
      <c r="E18" s="371">
        <f>IFERROR(VLOOKUP(D18,INKREMENTY!$A$2:$F$21,2,0),"")</f>
        <v>45809</v>
      </c>
      <c r="F18" s="371">
        <f>IFERROR(VLOOKUP(D18,INKREMENTY!$A$2:$F$21,4,0),"")</f>
        <v>46265</v>
      </c>
      <c r="G18" s="370">
        <f>IFERROR(ROUND(((E18-$E$3)+1)/30,0)+1,)</f>
        <v>1</v>
      </c>
      <c r="H18" s="370">
        <f t="shared" si="0"/>
        <v>0</v>
      </c>
      <c r="I18" s="514">
        <v>5</v>
      </c>
      <c r="J18" s="370">
        <f t="shared" ref="J18:J21" si="5">H18+I18</f>
        <v>5</v>
      </c>
    </row>
    <row r="19" spans="1:10" x14ac:dyDescent="0.2">
      <c r="A19" s="877"/>
      <c r="B19" s="876"/>
      <c r="C19" s="370" t="str">
        <f>IFERROR(IF(ISTEXT(B18),"Nákupo HW a krabicový SW",""),)</f>
        <v>Nákupo HW a krabicový SW</v>
      </c>
      <c r="D19" s="367"/>
      <c r="E19" s="367"/>
      <c r="F19" s="367"/>
      <c r="G19" s="514"/>
      <c r="H19" s="370">
        <f t="shared" ref="H19" si="6">G19-1</f>
        <v>-1</v>
      </c>
      <c r="I19" s="514"/>
      <c r="J19" s="370">
        <f t="shared" si="5"/>
        <v>-1</v>
      </c>
    </row>
    <row r="20" spans="1:10" x14ac:dyDescent="0.2">
      <c r="A20" s="877"/>
      <c r="B20" s="876"/>
      <c r="C20" s="370" t="str">
        <f>IFERROR(IF(ISTEXT(B18),"Implementácia",""),)</f>
        <v>Implementácia</v>
      </c>
      <c r="D20" s="367"/>
      <c r="E20" s="367"/>
      <c r="F20" s="367"/>
      <c r="G20" s="514">
        <v>6</v>
      </c>
      <c r="H20" s="370">
        <f t="shared" si="0"/>
        <v>5</v>
      </c>
      <c r="I20" s="514">
        <v>6</v>
      </c>
      <c r="J20" s="370">
        <f t="shared" si="5"/>
        <v>11</v>
      </c>
    </row>
    <row r="21" spans="1:10" x14ac:dyDescent="0.2">
      <c r="A21" s="877"/>
      <c r="B21" s="876"/>
      <c r="C21" s="370" t="str">
        <f>IFERROR(IF(ISTEXT(B18),"Testovanie",""),)</f>
        <v>Testovanie</v>
      </c>
      <c r="D21" s="367"/>
      <c r="E21" s="367"/>
      <c r="F21" s="367"/>
      <c r="G21" s="514">
        <v>6</v>
      </c>
      <c r="H21" s="370">
        <f t="shared" si="0"/>
        <v>5</v>
      </c>
      <c r="I21" s="514">
        <v>6</v>
      </c>
      <c r="J21" s="370">
        <f t="shared" si="5"/>
        <v>11</v>
      </c>
    </row>
    <row r="22" spans="1:10" x14ac:dyDescent="0.2">
      <c r="A22" s="877"/>
      <c r="B22" s="876"/>
      <c r="C22" s="370" t="str">
        <f>IFERROR(IF(ISTEXT(B18),"Nasadenie",""),)</f>
        <v>Nasadenie</v>
      </c>
      <c r="D22" s="367"/>
      <c r="E22" s="367"/>
      <c r="F22" s="367"/>
      <c r="G22" s="514">
        <v>12</v>
      </c>
      <c r="H22" s="370">
        <f t="shared" si="0"/>
        <v>11</v>
      </c>
      <c r="I22" s="370">
        <f>J22-H22</f>
        <v>4</v>
      </c>
      <c r="J22" s="370">
        <f>IFERROR(ROUND((F18-$E$3+1)/30,0),)</f>
        <v>15</v>
      </c>
    </row>
    <row r="23" spans="1:10" x14ac:dyDescent="0.2">
      <c r="A23" s="877">
        <v>5</v>
      </c>
      <c r="B23" s="876" t="s">
        <v>256</v>
      </c>
      <c r="C23" s="370" t="str">
        <f>IFERROR(IF(ISTEXT(B23),"Analýza a dizajn",""),)</f>
        <v>Analýza a dizajn</v>
      </c>
      <c r="D23" s="370" t="str">
        <f>IFERROR(VLOOKUP(B23,MODULY_CBA!$B$3:$I$23,6,0),"")</f>
        <v>Inkrement 1</v>
      </c>
      <c r="E23" s="371">
        <f>IFERROR(VLOOKUP(D23,INKREMENTY!$A$2:$F$21,2,0),"")</f>
        <v>45809</v>
      </c>
      <c r="F23" s="371">
        <f>IFERROR(VLOOKUP(D23,INKREMENTY!$A$2:$F$21,4,0),"")</f>
        <v>46265</v>
      </c>
      <c r="G23" s="370">
        <f>IFERROR(ROUND(((E23-$E$3)+1)/30,0)+1,)</f>
        <v>1</v>
      </c>
      <c r="H23" s="370">
        <f t="shared" si="0"/>
        <v>0</v>
      </c>
      <c r="I23" s="514">
        <v>5</v>
      </c>
      <c r="J23" s="370">
        <f t="shared" ref="J23:J26" si="7">H23+I23</f>
        <v>5</v>
      </c>
    </row>
    <row r="24" spans="1:10" x14ac:dyDescent="0.2">
      <c r="A24" s="877"/>
      <c r="B24" s="876"/>
      <c r="C24" s="370" t="str">
        <f>IFERROR(IF(ISTEXT(B23),"Nákupo HW a krabicový SW",""),)</f>
        <v>Nákupo HW a krabicový SW</v>
      </c>
      <c r="D24" s="367"/>
      <c r="E24" s="367"/>
      <c r="F24" s="367"/>
      <c r="G24" s="514"/>
      <c r="H24" s="370">
        <f t="shared" ref="H24" si="8">G24-1</f>
        <v>-1</v>
      </c>
      <c r="I24" s="514"/>
      <c r="J24" s="370">
        <f t="shared" si="7"/>
        <v>-1</v>
      </c>
    </row>
    <row r="25" spans="1:10" x14ac:dyDescent="0.2">
      <c r="A25" s="877"/>
      <c r="B25" s="876"/>
      <c r="C25" s="370" t="str">
        <f>IFERROR(IF(ISTEXT(B23),"Implementácia",""),)</f>
        <v>Implementácia</v>
      </c>
      <c r="D25" s="367"/>
      <c r="E25" s="367"/>
      <c r="F25" s="367"/>
      <c r="G25" s="514">
        <v>6</v>
      </c>
      <c r="H25" s="370">
        <f t="shared" si="0"/>
        <v>5</v>
      </c>
      <c r="I25" s="514">
        <v>6</v>
      </c>
      <c r="J25" s="370">
        <f t="shared" si="7"/>
        <v>11</v>
      </c>
    </row>
    <row r="26" spans="1:10" x14ac:dyDescent="0.2">
      <c r="A26" s="877"/>
      <c r="B26" s="876"/>
      <c r="C26" s="370" t="str">
        <f>IFERROR(IF(ISTEXT(B23),"Testovanie",""),)</f>
        <v>Testovanie</v>
      </c>
      <c r="D26" s="367"/>
      <c r="E26" s="367"/>
      <c r="F26" s="367"/>
      <c r="G26" s="514">
        <v>6</v>
      </c>
      <c r="H26" s="370">
        <f t="shared" si="0"/>
        <v>5</v>
      </c>
      <c r="I26" s="514">
        <v>6</v>
      </c>
      <c r="J26" s="370">
        <f t="shared" si="7"/>
        <v>11</v>
      </c>
    </row>
    <row r="27" spans="1:10" x14ac:dyDescent="0.2">
      <c r="A27" s="877"/>
      <c r="B27" s="876"/>
      <c r="C27" s="370" t="str">
        <f>IFERROR(IF(ISTEXT(B23),"Nasadenie",""),)</f>
        <v>Nasadenie</v>
      </c>
      <c r="D27" s="367"/>
      <c r="E27" s="367"/>
      <c r="F27" s="367"/>
      <c r="G27" s="514">
        <v>12</v>
      </c>
      <c r="H27" s="370">
        <f t="shared" si="0"/>
        <v>11</v>
      </c>
      <c r="I27" s="370">
        <f>J27-H27</f>
        <v>4</v>
      </c>
      <c r="J27" s="370">
        <f>IFERROR(ROUND((F23-$E$3+1)/30,0),)</f>
        <v>15</v>
      </c>
    </row>
    <row r="28" spans="1:10" x14ac:dyDescent="0.2">
      <c r="A28" s="877">
        <v>6</v>
      </c>
      <c r="B28" s="876" t="s">
        <v>258</v>
      </c>
      <c r="C28" s="370" t="str">
        <f>IFERROR(IF(ISTEXT(B28),"Analýza a dizajn",""),)</f>
        <v>Analýza a dizajn</v>
      </c>
      <c r="D28" s="370" t="str">
        <f>IFERROR(VLOOKUP(B28,MODULY_CBA!$B$3:$I$23,6,0),"")</f>
        <v>Inkrement 1</v>
      </c>
      <c r="E28" s="371">
        <f>IFERROR(VLOOKUP(D28,INKREMENTY!$A$2:$F$21,2,0),"")</f>
        <v>45809</v>
      </c>
      <c r="F28" s="371">
        <f>IFERROR(VLOOKUP(D28,INKREMENTY!$A$2:$F$21,4,0),"")</f>
        <v>46265</v>
      </c>
      <c r="G28" s="370">
        <f>IFERROR(ROUND(((E28-$E$3)+1)/30,0)+1,)</f>
        <v>1</v>
      </c>
      <c r="H28" s="370">
        <f t="shared" ref="H28:H91" si="9">G28-1</f>
        <v>0</v>
      </c>
      <c r="I28" s="514">
        <v>5</v>
      </c>
      <c r="J28" s="370">
        <f t="shared" ref="J28:J31" si="10">H28+I28</f>
        <v>5</v>
      </c>
    </row>
    <row r="29" spans="1:10" x14ac:dyDescent="0.2">
      <c r="A29" s="877"/>
      <c r="B29" s="876"/>
      <c r="C29" s="370" t="str">
        <f>IFERROR(IF(ISTEXT(B28),"Nákupo HW a krabicový SW",""),)</f>
        <v>Nákupo HW a krabicový SW</v>
      </c>
      <c r="D29" s="367"/>
      <c r="E29" s="367"/>
      <c r="F29" s="367"/>
      <c r="G29" s="514"/>
      <c r="H29" s="370">
        <f t="shared" si="9"/>
        <v>-1</v>
      </c>
      <c r="I29" s="514"/>
      <c r="J29" s="370">
        <f t="shared" si="10"/>
        <v>-1</v>
      </c>
    </row>
    <row r="30" spans="1:10" x14ac:dyDescent="0.2">
      <c r="A30" s="877"/>
      <c r="B30" s="876"/>
      <c r="C30" s="370" t="str">
        <f>IFERROR(IF(ISTEXT(B28),"Implementácia",""),)</f>
        <v>Implementácia</v>
      </c>
      <c r="D30" s="367"/>
      <c r="E30" s="367"/>
      <c r="F30" s="367"/>
      <c r="G30" s="514">
        <v>6</v>
      </c>
      <c r="H30" s="370">
        <f t="shared" si="9"/>
        <v>5</v>
      </c>
      <c r="I30" s="514">
        <v>6</v>
      </c>
      <c r="J30" s="370">
        <f t="shared" si="10"/>
        <v>11</v>
      </c>
    </row>
    <row r="31" spans="1:10" x14ac:dyDescent="0.2">
      <c r="A31" s="877"/>
      <c r="B31" s="876"/>
      <c r="C31" s="370" t="str">
        <f>IFERROR(IF(ISTEXT(B28),"Testovanie",""),)</f>
        <v>Testovanie</v>
      </c>
      <c r="D31" s="367"/>
      <c r="E31" s="367"/>
      <c r="F31" s="367"/>
      <c r="G31" s="514">
        <v>6</v>
      </c>
      <c r="H31" s="370">
        <f t="shared" si="9"/>
        <v>5</v>
      </c>
      <c r="I31" s="514">
        <v>6</v>
      </c>
      <c r="J31" s="370">
        <f t="shared" si="10"/>
        <v>11</v>
      </c>
    </row>
    <row r="32" spans="1:10" x14ac:dyDescent="0.2">
      <c r="A32" s="877"/>
      <c r="B32" s="876"/>
      <c r="C32" s="370" t="str">
        <f>IFERROR(IF(ISTEXT(B28),"Nasadenie",""),)</f>
        <v>Nasadenie</v>
      </c>
      <c r="D32" s="367"/>
      <c r="E32" s="367"/>
      <c r="F32" s="367"/>
      <c r="G32" s="514">
        <v>12</v>
      </c>
      <c r="H32" s="370">
        <f t="shared" si="9"/>
        <v>11</v>
      </c>
      <c r="I32" s="370">
        <f>J32-H32</f>
        <v>4</v>
      </c>
      <c r="J32" s="370">
        <f>IFERROR(ROUND((F28-$E$3+1)/30,0),)</f>
        <v>15</v>
      </c>
    </row>
    <row r="33" spans="1:10" x14ac:dyDescent="0.2">
      <c r="A33" s="877">
        <v>7</v>
      </c>
      <c r="B33" s="876" t="s">
        <v>1136</v>
      </c>
      <c r="C33" s="370" t="str">
        <f>IFERROR(IF(ISTEXT(B33),"Analýza a dizajn",""),)</f>
        <v>Analýza a dizajn</v>
      </c>
      <c r="D33" s="370" t="str">
        <f>IFERROR(VLOOKUP(B33,MODULY_CBA!$B$3:$I$23,6,0),"")</f>
        <v/>
      </c>
      <c r="E33" s="371" t="str">
        <f>IFERROR(VLOOKUP(D33,INKREMENTY!$A$2:$F$21,2,0),"")</f>
        <v/>
      </c>
      <c r="F33" s="371" t="str">
        <f>IFERROR(VLOOKUP(D33,INKREMENTY!$A$2:$F$21,4,0),"")</f>
        <v/>
      </c>
      <c r="G33" s="370">
        <f>IFERROR(ROUND(((E33-$E$3)+1)/30,0)+1,)</f>
        <v>0</v>
      </c>
      <c r="H33" s="370">
        <f t="shared" si="9"/>
        <v>-1</v>
      </c>
      <c r="I33" s="514">
        <v>5</v>
      </c>
      <c r="J33" s="370">
        <f t="shared" ref="J33:J36" si="11">H33+I33</f>
        <v>4</v>
      </c>
    </row>
    <row r="34" spans="1:10" x14ac:dyDescent="0.2">
      <c r="A34" s="877"/>
      <c r="B34" s="876"/>
      <c r="C34" s="370" t="str">
        <f>IFERROR(IF(ISTEXT(B33),"Nákupo HW a krabicový SW",""),)</f>
        <v>Nákupo HW a krabicový SW</v>
      </c>
      <c r="D34" s="367"/>
      <c r="E34" s="367"/>
      <c r="F34" s="367"/>
      <c r="G34" s="514"/>
      <c r="H34" s="370">
        <f t="shared" si="9"/>
        <v>-1</v>
      </c>
      <c r="I34" s="514"/>
      <c r="J34" s="370">
        <f t="shared" si="11"/>
        <v>-1</v>
      </c>
    </row>
    <row r="35" spans="1:10" x14ac:dyDescent="0.2">
      <c r="A35" s="877"/>
      <c r="B35" s="876"/>
      <c r="C35" s="370" t="str">
        <f>IFERROR(IF(ISTEXT(B33),"Implementácia",""),)</f>
        <v>Implementácia</v>
      </c>
      <c r="D35" s="367"/>
      <c r="E35" s="367"/>
      <c r="F35" s="367"/>
      <c r="G35" s="514">
        <v>6</v>
      </c>
      <c r="H35" s="370">
        <f t="shared" si="9"/>
        <v>5</v>
      </c>
      <c r="I35" s="514">
        <v>6</v>
      </c>
      <c r="J35" s="370">
        <f t="shared" si="11"/>
        <v>11</v>
      </c>
    </row>
    <row r="36" spans="1:10" x14ac:dyDescent="0.2">
      <c r="A36" s="877"/>
      <c r="B36" s="876"/>
      <c r="C36" s="370" t="str">
        <f>IFERROR(IF(ISTEXT(B33),"Testovanie",""),)</f>
        <v>Testovanie</v>
      </c>
      <c r="D36" s="367"/>
      <c r="E36" s="367"/>
      <c r="F36" s="367"/>
      <c r="G36" s="514">
        <v>6</v>
      </c>
      <c r="H36" s="370">
        <f t="shared" si="9"/>
        <v>5</v>
      </c>
      <c r="I36" s="514">
        <v>6</v>
      </c>
      <c r="J36" s="370">
        <f t="shared" si="11"/>
        <v>11</v>
      </c>
    </row>
    <row r="37" spans="1:10" x14ac:dyDescent="0.2">
      <c r="A37" s="877"/>
      <c r="B37" s="876"/>
      <c r="C37" s="370" t="str">
        <f>IFERROR(IF(ISTEXT(B33),"Nasadenie",""),)</f>
        <v>Nasadenie</v>
      </c>
      <c r="D37" s="367"/>
      <c r="E37" s="367"/>
      <c r="F37" s="367"/>
      <c r="G37" s="514">
        <v>12</v>
      </c>
      <c r="H37" s="370">
        <f t="shared" si="9"/>
        <v>11</v>
      </c>
      <c r="I37" s="370">
        <f>J37-H37</f>
        <v>-11</v>
      </c>
      <c r="J37" s="370">
        <f>IFERROR(ROUND((F33-$E$3+1)/30,0),)</f>
        <v>0</v>
      </c>
    </row>
    <row r="38" spans="1:10" x14ac:dyDescent="0.2">
      <c r="A38" s="877">
        <v>8</v>
      </c>
      <c r="B38" s="876"/>
      <c r="C38" s="370" t="str">
        <f>IFERROR(IF(ISTEXT(B38),"Analýza a dizajn",""),)</f>
        <v/>
      </c>
      <c r="D38" s="370" t="str">
        <f>IFERROR(VLOOKUP(B38,MODULY_CBA!$B$3:$I$23,6,0),"")</f>
        <v/>
      </c>
      <c r="E38" s="371" t="str">
        <f>IFERROR(VLOOKUP(D38,INKREMENTY!$A$2:$F$21,2,0),"")</f>
        <v/>
      </c>
      <c r="F38" s="371" t="str">
        <f>IFERROR(VLOOKUP(D38,INKREMENTY!$A$2:$F$21,4,0),"")</f>
        <v/>
      </c>
      <c r="G38" s="370">
        <f>IFERROR(ROUND(((E38-$E$3)+1)/30,0)+1,)</f>
        <v>0</v>
      </c>
      <c r="H38" s="370">
        <f t="shared" si="9"/>
        <v>-1</v>
      </c>
      <c r="I38" s="514"/>
      <c r="J38" s="370">
        <f t="shared" ref="J38:J41" si="12">H38+I38</f>
        <v>-1</v>
      </c>
    </row>
    <row r="39" spans="1:10" x14ac:dyDescent="0.2">
      <c r="A39" s="877"/>
      <c r="B39" s="876"/>
      <c r="C39" s="370" t="str">
        <f>IFERROR(IF(ISTEXT(B38),"Nákupo HW a krabicový SW",""),)</f>
        <v/>
      </c>
      <c r="D39" s="367"/>
      <c r="E39" s="367"/>
      <c r="F39" s="367"/>
      <c r="G39" s="514"/>
      <c r="H39" s="370">
        <f t="shared" si="9"/>
        <v>-1</v>
      </c>
      <c r="I39" s="514"/>
      <c r="J39" s="370">
        <f t="shared" si="12"/>
        <v>-1</v>
      </c>
    </row>
    <row r="40" spans="1:10" x14ac:dyDescent="0.2">
      <c r="A40" s="877"/>
      <c r="B40" s="876"/>
      <c r="C40" s="370" t="str">
        <f>IFERROR(IF(ISTEXT(B38),"Implementácia",""),)</f>
        <v/>
      </c>
      <c r="D40" s="367"/>
      <c r="E40" s="367"/>
      <c r="F40" s="367"/>
      <c r="G40" s="514"/>
      <c r="H40" s="370">
        <f t="shared" si="9"/>
        <v>-1</v>
      </c>
      <c r="I40" s="514"/>
      <c r="J40" s="370">
        <f t="shared" si="12"/>
        <v>-1</v>
      </c>
    </row>
    <row r="41" spans="1:10" x14ac:dyDescent="0.2">
      <c r="A41" s="877"/>
      <c r="B41" s="876"/>
      <c r="C41" s="370" t="str">
        <f>IFERROR(IF(ISTEXT(B38),"Testovanie",""),)</f>
        <v/>
      </c>
      <c r="D41" s="367"/>
      <c r="E41" s="367"/>
      <c r="F41" s="367"/>
      <c r="G41" s="514"/>
      <c r="H41" s="370">
        <f t="shared" si="9"/>
        <v>-1</v>
      </c>
      <c r="I41" s="514"/>
      <c r="J41" s="370">
        <f t="shared" si="12"/>
        <v>-1</v>
      </c>
    </row>
    <row r="42" spans="1:10" x14ac:dyDescent="0.2">
      <c r="A42" s="877"/>
      <c r="B42" s="876"/>
      <c r="C42" s="370" t="str">
        <f>IFERROR(IF(ISTEXT(B38),"Nasadenie",""),)</f>
        <v/>
      </c>
      <c r="D42" s="367"/>
      <c r="E42" s="367"/>
      <c r="F42" s="367"/>
      <c r="G42" s="514"/>
      <c r="H42" s="370">
        <f t="shared" si="9"/>
        <v>-1</v>
      </c>
      <c r="I42" s="370">
        <f>J42-H42</f>
        <v>1</v>
      </c>
      <c r="J42" s="370">
        <f>IFERROR(ROUND((F38-$E$3+1)/30,0),)</f>
        <v>0</v>
      </c>
    </row>
    <row r="43" spans="1:10" x14ac:dyDescent="0.2">
      <c r="A43" s="877">
        <v>9</v>
      </c>
      <c r="B43" s="876"/>
      <c r="C43" s="370" t="str">
        <f>IFERROR(IF(ISTEXT(B43),"Analýza a dizajn",""),)</f>
        <v/>
      </c>
      <c r="D43" s="370" t="str">
        <f>IFERROR(VLOOKUP(B43,MODULY_CBA!$B$3:$I$23,6,0),"")</f>
        <v/>
      </c>
      <c r="E43" s="371" t="str">
        <f>IFERROR(VLOOKUP(D43,INKREMENTY!$A$2:$F$21,2,0),"")</f>
        <v/>
      </c>
      <c r="F43" s="371" t="str">
        <f>IFERROR(VLOOKUP(D43,INKREMENTY!$A$2:$F$21,4,0),"")</f>
        <v/>
      </c>
      <c r="G43" s="370">
        <f>IFERROR(ROUND(((E43-$E$3)+1)/30,0)+1,)</f>
        <v>0</v>
      </c>
      <c r="H43" s="370">
        <f t="shared" si="9"/>
        <v>-1</v>
      </c>
      <c r="I43" s="514"/>
      <c r="J43" s="370">
        <f t="shared" ref="J43:J46" si="13">H43+I43</f>
        <v>-1</v>
      </c>
    </row>
    <row r="44" spans="1:10" x14ac:dyDescent="0.2">
      <c r="A44" s="877"/>
      <c r="B44" s="876"/>
      <c r="C44" s="370" t="str">
        <f>IFERROR(IF(ISTEXT(B43),"Nákupo HW a krabicový SW",""),)</f>
        <v/>
      </c>
      <c r="D44" s="367"/>
      <c r="E44" s="367"/>
      <c r="F44" s="367"/>
      <c r="G44" s="514"/>
      <c r="H44" s="370">
        <f t="shared" si="9"/>
        <v>-1</v>
      </c>
      <c r="I44" s="514"/>
      <c r="J44" s="370">
        <f t="shared" si="13"/>
        <v>-1</v>
      </c>
    </row>
    <row r="45" spans="1:10" x14ac:dyDescent="0.2">
      <c r="A45" s="877"/>
      <c r="B45" s="876"/>
      <c r="C45" s="370" t="str">
        <f>IFERROR(IF(ISTEXT(B43),"Implementácia",""),)</f>
        <v/>
      </c>
      <c r="D45" s="367"/>
      <c r="E45" s="367"/>
      <c r="F45" s="367"/>
      <c r="G45" s="514"/>
      <c r="H45" s="370">
        <f t="shared" si="9"/>
        <v>-1</v>
      </c>
      <c r="I45" s="514"/>
      <c r="J45" s="370">
        <f t="shared" si="13"/>
        <v>-1</v>
      </c>
    </row>
    <row r="46" spans="1:10" x14ac:dyDescent="0.2">
      <c r="A46" s="877"/>
      <c r="B46" s="876"/>
      <c r="C46" s="370" t="str">
        <f>IFERROR(IF(ISTEXT(B43),"Testovanie",""),)</f>
        <v/>
      </c>
      <c r="D46" s="367"/>
      <c r="E46" s="367"/>
      <c r="F46" s="367"/>
      <c r="G46" s="514"/>
      <c r="H46" s="370">
        <f t="shared" si="9"/>
        <v>-1</v>
      </c>
      <c r="I46" s="514"/>
      <c r="J46" s="370">
        <f t="shared" si="13"/>
        <v>-1</v>
      </c>
    </row>
    <row r="47" spans="1:10" x14ac:dyDescent="0.2">
      <c r="A47" s="877"/>
      <c r="B47" s="876"/>
      <c r="C47" s="370" t="str">
        <f>IFERROR(IF(ISTEXT(B43),"Nasadenie",""),)</f>
        <v/>
      </c>
      <c r="D47" s="367"/>
      <c r="E47" s="367"/>
      <c r="F47" s="367"/>
      <c r="G47" s="514"/>
      <c r="H47" s="370">
        <f t="shared" si="9"/>
        <v>-1</v>
      </c>
      <c r="I47" s="370">
        <f>J47-H47</f>
        <v>1</v>
      </c>
      <c r="J47" s="370">
        <f>IFERROR(ROUND((F43-$E$3+1)/30,0),)</f>
        <v>0</v>
      </c>
    </row>
    <row r="48" spans="1:10" x14ac:dyDescent="0.2">
      <c r="A48" s="877">
        <v>10</v>
      </c>
      <c r="B48" s="876"/>
      <c r="C48" s="370" t="str">
        <f>IFERROR(IF(ISTEXT(B48),"Analýza a dizajn",""),)</f>
        <v/>
      </c>
      <c r="D48" s="370" t="str">
        <f>IFERROR(VLOOKUP(B48,MODULY_CBA!$B$3:$I$23,6,0),"")</f>
        <v/>
      </c>
      <c r="E48" s="371" t="str">
        <f>IFERROR(VLOOKUP(D48,INKREMENTY!$A$2:$F$21,2,0),"")</f>
        <v/>
      </c>
      <c r="F48" s="371" t="str">
        <f>IFERROR(VLOOKUP(D48,INKREMENTY!$A$2:$F$21,4,0),"")</f>
        <v/>
      </c>
      <c r="G48" s="370">
        <f>IFERROR(ROUND(((E48-$E$3)+1)/30,0)+1,)</f>
        <v>0</v>
      </c>
      <c r="H48" s="370">
        <f t="shared" si="9"/>
        <v>-1</v>
      </c>
      <c r="I48" s="514"/>
      <c r="J48" s="370">
        <f t="shared" ref="J48:J51" si="14">H48+I48</f>
        <v>-1</v>
      </c>
    </row>
    <row r="49" spans="1:10" x14ac:dyDescent="0.2">
      <c r="A49" s="877"/>
      <c r="B49" s="876"/>
      <c r="C49" s="370" t="str">
        <f>IFERROR(IF(ISTEXT(B48),"Nákupo HW a krabicový SW",""),)</f>
        <v/>
      </c>
      <c r="D49" s="367"/>
      <c r="E49" s="367"/>
      <c r="F49" s="367"/>
      <c r="G49" s="514"/>
      <c r="H49" s="370">
        <f t="shared" si="9"/>
        <v>-1</v>
      </c>
      <c r="I49" s="514"/>
      <c r="J49" s="370">
        <f t="shared" si="14"/>
        <v>-1</v>
      </c>
    </row>
    <row r="50" spans="1:10" x14ac:dyDescent="0.2">
      <c r="A50" s="877"/>
      <c r="B50" s="876"/>
      <c r="C50" s="370" t="str">
        <f>IFERROR(IF(ISTEXT(B48),"Implementácia",""),)</f>
        <v/>
      </c>
      <c r="D50" s="367"/>
      <c r="E50" s="367"/>
      <c r="F50" s="367"/>
      <c r="G50" s="514"/>
      <c r="H50" s="370">
        <f t="shared" si="9"/>
        <v>-1</v>
      </c>
      <c r="I50" s="514"/>
      <c r="J50" s="370">
        <f t="shared" si="14"/>
        <v>-1</v>
      </c>
    </row>
    <row r="51" spans="1:10" x14ac:dyDescent="0.2">
      <c r="A51" s="877"/>
      <c r="B51" s="876"/>
      <c r="C51" s="370" t="str">
        <f>IFERROR(IF(ISTEXT(B48),"Testovanie",""),)</f>
        <v/>
      </c>
      <c r="D51" s="367"/>
      <c r="E51" s="367"/>
      <c r="F51" s="367"/>
      <c r="G51" s="514"/>
      <c r="H51" s="370">
        <f t="shared" si="9"/>
        <v>-1</v>
      </c>
      <c r="I51" s="514"/>
      <c r="J51" s="370">
        <f t="shared" si="14"/>
        <v>-1</v>
      </c>
    </row>
    <row r="52" spans="1:10" x14ac:dyDescent="0.2">
      <c r="A52" s="877"/>
      <c r="B52" s="876"/>
      <c r="C52" s="370" t="str">
        <f>IFERROR(IF(ISTEXT(B48),"Nasadenie",""),)</f>
        <v/>
      </c>
      <c r="D52" s="367"/>
      <c r="E52" s="367"/>
      <c r="F52" s="367"/>
      <c r="G52" s="514"/>
      <c r="H52" s="370">
        <f t="shared" si="9"/>
        <v>-1</v>
      </c>
      <c r="I52" s="370">
        <f>J52-H52</f>
        <v>1</v>
      </c>
      <c r="J52" s="370">
        <f>IFERROR(ROUND((F48-$E$3+1)/30,0),)</f>
        <v>0</v>
      </c>
    </row>
    <row r="53" spans="1:10" x14ac:dyDescent="0.2">
      <c r="A53" s="877">
        <v>11</v>
      </c>
      <c r="B53" s="876"/>
      <c r="C53" s="370" t="str">
        <f>IFERROR(IF(ISTEXT(B53),"Analýza a dizajn",""),)</f>
        <v/>
      </c>
      <c r="D53" s="370" t="str">
        <f>IFERROR(VLOOKUP(B53,MODULY_CBA!$B$3:$I$23,6,0),"")</f>
        <v/>
      </c>
      <c r="E53" s="371" t="str">
        <f>IFERROR(VLOOKUP(D53,INKREMENTY!$A$2:$F$21,2,0),"")</f>
        <v/>
      </c>
      <c r="F53" s="371" t="str">
        <f>IFERROR(VLOOKUP(D53,INKREMENTY!$A$2:$F$21,4,0),"")</f>
        <v/>
      </c>
      <c r="G53" s="370">
        <f>IFERROR(ROUND(((E53-$E$3)+1)/30,0)+1,)</f>
        <v>0</v>
      </c>
      <c r="H53" s="370">
        <f t="shared" si="9"/>
        <v>-1</v>
      </c>
      <c r="I53" s="514"/>
      <c r="J53" s="370">
        <f t="shared" ref="J53:J56" si="15">H53+I53</f>
        <v>-1</v>
      </c>
    </row>
    <row r="54" spans="1:10" x14ac:dyDescent="0.2">
      <c r="A54" s="877"/>
      <c r="B54" s="876"/>
      <c r="C54" s="370" t="str">
        <f>IFERROR(IF(ISTEXT(B53),"Nákupo HW a krabicový SW",""),)</f>
        <v/>
      </c>
      <c r="D54" s="367"/>
      <c r="E54" s="367"/>
      <c r="F54" s="367"/>
      <c r="G54" s="514"/>
      <c r="H54" s="370">
        <f t="shared" si="9"/>
        <v>-1</v>
      </c>
      <c r="I54" s="514"/>
      <c r="J54" s="370">
        <f t="shared" si="15"/>
        <v>-1</v>
      </c>
    </row>
    <row r="55" spans="1:10" x14ac:dyDescent="0.2">
      <c r="A55" s="877"/>
      <c r="B55" s="876"/>
      <c r="C55" s="370" t="str">
        <f>IFERROR(IF(ISTEXT(B53),"Implementácia",""),)</f>
        <v/>
      </c>
      <c r="D55" s="367"/>
      <c r="E55" s="367"/>
      <c r="F55" s="367"/>
      <c r="G55" s="514"/>
      <c r="H55" s="370">
        <f t="shared" si="9"/>
        <v>-1</v>
      </c>
      <c r="I55" s="514"/>
      <c r="J55" s="370">
        <f t="shared" si="15"/>
        <v>-1</v>
      </c>
    </row>
    <row r="56" spans="1:10" x14ac:dyDescent="0.2">
      <c r="A56" s="877"/>
      <c r="B56" s="876"/>
      <c r="C56" s="370" t="str">
        <f>IFERROR(IF(ISTEXT(B53),"Testovanie",""),)</f>
        <v/>
      </c>
      <c r="D56" s="367"/>
      <c r="E56" s="367"/>
      <c r="F56" s="367"/>
      <c r="G56" s="514"/>
      <c r="H56" s="370">
        <f t="shared" si="9"/>
        <v>-1</v>
      </c>
      <c r="I56" s="514"/>
      <c r="J56" s="370">
        <f t="shared" si="15"/>
        <v>-1</v>
      </c>
    </row>
    <row r="57" spans="1:10" x14ac:dyDescent="0.2">
      <c r="A57" s="877"/>
      <c r="B57" s="876"/>
      <c r="C57" s="370" t="str">
        <f>IFERROR(IF(ISTEXT(B53),"Nasadenie",""),)</f>
        <v/>
      </c>
      <c r="D57" s="367"/>
      <c r="E57" s="367"/>
      <c r="F57" s="367"/>
      <c r="G57" s="514"/>
      <c r="H57" s="370">
        <f t="shared" si="9"/>
        <v>-1</v>
      </c>
      <c r="I57" s="370">
        <f>J57-H57</f>
        <v>1</v>
      </c>
      <c r="J57" s="370">
        <f>IFERROR(ROUND((F53-$E$3+1)/30,0),)</f>
        <v>0</v>
      </c>
    </row>
    <row r="58" spans="1:10" x14ac:dyDescent="0.2">
      <c r="A58" s="877">
        <v>12</v>
      </c>
      <c r="B58" s="876"/>
      <c r="C58" s="370" t="str">
        <f>IFERROR(IF(ISTEXT(B58),"Analýza a dizajn",""),)</f>
        <v/>
      </c>
      <c r="D58" s="370" t="str">
        <f>IFERROR(VLOOKUP(B58,MODULY_CBA!$B$3:$I$23,6,0),"")</f>
        <v/>
      </c>
      <c r="E58" s="371" t="str">
        <f>IFERROR(VLOOKUP(D58,INKREMENTY!$A$2:$F$21,2,0),"")</f>
        <v/>
      </c>
      <c r="F58" s="371" t="str">
        <f>IFERROR(VLOOKUP(D58,INKREMENTY!$A$2:$F$21,4,0),"")</f>
        <v/>
      </c>
      <c r="G58" s="370">
        <f>IFERROR(ROUND(((E58-$E$3)+1)/30,0)+1,)</f>
        <v>0</v>
      </c>
      <c r="H58" s="370">
        <f t="shared" si="9"/>
        <v>-1</v>
      </c>
      <c r="I58" s="514"/>
      <c r="J58" s="370">
        <f t="shared" ref="J58:J61" si="16">H58+I58</f>
        <v>-1</v>
      </c>
    </row>
    <row r="59" spans="1:10" x14ac:dyDescent="0.2">
      <c r="A59" s="877"/>
      <c r="B59" s="876"/>
      <c r="C59" s="370" t="str">
        <f>IFERROR(IF(ISTEXT(B58),"Nákupo HW a krabicový SW",""),)</f>
        <v/>
      </c>
      <c r="D59" s="367"/>
      <c r="E59" s="367"/>
      <c r="F59" s="367"/>
      <c r="G59" s="514"/>
      <c r="H59" s="370">
        <f t="shared" si="9"/>
        <v>-1</v>
      </c>
      <c r="I59" s="514"/>
      <c r="J59" s="370">
        <f t="shared" si="16"/>
        <v>-1</v>
      </c>
    </row>
    <row r="60" spans="1:10" x14ac:dyDescent="0.2">
      <c r="A60" s="877"/>
      <c r="B60" s="876"/>
      <c r="C60" s="370" t="str">
        <f>IFERROR(IF(ISTEXT(B58),"Implementácia",""),)</f>
        <v/>
      </c>
      <c r="D60" s="367"/>
      <c r="E60" s="367"/>
      <c r="F60" s="367"/>
      <c r="G60" s="514"/>
      <c r="H60" s="370">
        <f t="shared" si="9"/>
        <v>-1</v>
      </c>
      <c r="I60" s="514"/>
      <c r="J60" s="370">
        <f t="shared" si="16"/>
        <v>-1</v>
      </c>
    </row>
    <row r="61" spans="1:10" x14ac:dyDescent="0.2">
      <c r="A61" s="877"/>
      <c r="B61" s="876"/>
      <c r="C61" s="370" t="str">
        <f>IFERROR(IF(ISTEXT(B58),"Testovanie",""),)</f>
        <v/>
      </c>
      <c r="D61" s="367"/>
      <c r="E61" s="367"/>
      <c r="F61" s="367"/>
      <c r="G61" s="514"/>
      <c r="H61" s="370">
        <f t="shared" si="9"/>
        <v>-1</v>
      </c>
      <c r="I61" s="514"/>
      <c r="J61" s="370">
        <f t="shared" si="16"/>
        <v>-1</v>
      </c>
    </row>
    <row r="62" spans="1:10" x14ac:dyDescent="0.2">
      <c r="A62" s="877"/>
      <c r="B62" s="876"/>
      <c r="C62" s="370" t="str">
        <f>IFERROR(IF(ISTEXT(B58),"Nasadenie",""),)</f>
        <v/>
      </c>
      <c r="D62" s="367"/>
      <c r="E62" s="367"/>
      <c r="F62" s="367"/>
      <c r="G62" s="514"/>
      <c r="H62" s="370">
        <f t="shared" si="9"/>
        <v>-1</v>
      </c>
      <c r="I62" s="370">
        <f>J62-H62</f>
        <v>1</v>
      </c>
      <c r="J62" s="370">
        <f>IFERROR(ROUND((F58-$E$3+1)/30,0),)</f>
        <v>0</v>
      </c>
    </row>
    <row r="63" spans="1:10" x14ac:dyDescent="0.2">
      <c r="A63" s="877">
        <v>13</v>
      </c>
      <c r="B63" s="876"/>
      <c r="C63" s="370" t="str">
        <f>IFERROR(IF(ISTEXT(B63),"Analýza a dizajn",""),)</f>
        <v/>
      </c>
      <c r="D63" s="370" t="str">
        <f>IFERROR(VLOOKUP(B63,MODULY_CBA!$B$3:$I$23,6,0),"")</f>
        <v/>
      </c>
      <c r="E63" s="371" t="str">
        <f>IFERROR(VLOOKUP(D63,INKREMENTY!$A$2:$F$21,2,0),"")</f>
        <v/>
      </c>
      <c r="F63" s="371" t="str">
        <f>IFERROR(VLOOKUP(D63,INKREMENTY!$A$2:$F$21,4,0),"")</f>
        <v/>
      </c>
      <c r="G63" s="370">
        <f>IFERROR(ROUND(((E63-$E$3)+1)/30,0)+1,)</f>
        <v>0</v>
      </c>
      <c r="H63" s="370">
        <f t="shared" si="9"/>
        <v>-1</v>
      </c>
      <c r="I63" s="514"/>
      <c r="J63" s="370">
        <f t="shared" ref="J63:J66" si="17">H63+I63</f>
        <v>-1</v>
      </c>
    </row>
    <row r="64" spans="1:10" x14ac:dyDescent="0.2">
      <c r="A64" s="877"/>
      <c r="B64" s="876"/>
      <c r="C64" s="370" t="str">
        <f>IFERROR(IF(ISTEXT(B63),"Nákupo HW a krabicový SW",""),)</f>
        <v/>
      </c>
      <c r="D64" s="367"/>
      <c r="E64" s="367"/>
      <c r="F64" s="367"/>
      <c r="G64" s="514"/>
      <c r="H64" s="370">
        <f t="shared" si="9"/>
        <v>-1</v>
      </c>
      <c r="I64" s="514"/>
      <c r="J64" s="370">
        <f t="shared" si="17"/>
        <v>-1</v>
      </c>
    </row>
    <row r="65" spans="1:10" x14ac:dyDescent="0.2">
      <c r="A65" s="877"/>
      <c r="B65" s="876"/>
      <c r="C65" s="370" t="str">
        <f>IFERROR(IF(ISTEXT(B63),"Implementácia",""),)</f>
        <v/>
      </c>
      <c r="D65" s="367"/>
      <c r="E65" s="367"/>
      <c r="F65" s="367"/>
      <c r="G65" s="514"/>
      <c r="H65" s="370">
        <f t="shared" si="9"/>
        <v>-1</v>
      </c>
      <c r="I65" s="514"/>
      <c r="J65" s="370">
        <f t="shared" si="17"/>
        <v>-1</v>
      </c>
    </row>
    <row r="66" spans="1:10" x14ac:dyDescent="0.2">
      <c r="A66" s="877"/>
      <c r="B66" s="876"/>
      <c r="C66" s="370" t="str">
        <f>IFERROR(IF(ISTEXT(B63),"Testovanie",""),)</f>
        <v/>
      </c>
      <c r="D66" s="367"/>
      <c r="E66" s="367"/>
      <c r="F66" s="367"/>
      <c r="G66" s="514"/>
      <c r="H66" s="370">
        <f t="shared" si="9"/>
        <v>-1</v>
      </c>
      <c r="I66" s="514"/>
      <c r="J66" s="370">
        <f t="shared" si="17"/>
        <v>-1</v>
      </c>
    </row>
    <row r="67" spans="1:10" x14ac:dyDescent="0.2">
      <c r="A67" s="877"/>
      <c r="B67" s="876"/>
      <c r="C67" s="370" t="str">
        <f>IFERROR(IF(ISTEXT(B63),"Nasadenie",""),)</f>
        <v/>
      </c>
      <c r="D67" s="367"/>
      <c r="E67" s="367"/>
      <c r="F67" s="367"/>
      <c r="G67" s="514"/>
      <c r="H67" s="370">
        <f t="shared" si="9"/>
        <v>-1</v>
      </c>
      <c r="I67" s="370">
        <f>J67-H67</f>
        <v>1</v>
      </c>
      <c r="J67" s="370">
        <f>IFERROR(ROUND((F63-$E$3+1)/30,0),)</f>
        <v>0</v>
      </c>
    </row>
    <row r="68" spans="1:10" x14ac:dyDescent="0.2">
      <c r="A68" s="877">
        <v>14</v>
      </c>
      <c r="B68" s="876"/>
      <c r="C68" s="370" t="str">
        <f>IFERROR(IF(ISTEXT(B68),"Analýza a dizajn",""),)</f>
        <v/>
      </c>
      <c r="D68" s="370" t="str">
        <f>IFERROR(VLOOKUP(B68,MODULY_CBA!$B$3:$I$23,6,0),"")</f>
        <v/>
      </c>
      <c r="E68" s="371" t="str">
        <f>IFERROR(VLOOKUP(D68,INKREMENTY!$A$2:$F$21,2,0),"")</f>
        <v/>
      </c>
      <c r="F68" s="371" t="str">
        <f>IFERROR(VLOOKUP(D68,INKREMENTY!$A$2:$F$21,4,0),"")</f>
        <v/>
      </c>
      <c r="G68" s="370">
        <f>IFERROR(ROUND(((E68-$E$3)+1)/30,0)+1,)</f>
        <v>0</v>
      </c>
      <c r="H68" s="370">
        <f t="shared" si="9"/>
        <v>-1</v>
      </c>
      <c r="I68" s="514"/>
      <c r="J68" s="370">
        <f t="shared" ref="J68:J71" si="18">H68+I68</f>
        <v>-1</v>
      </c>
    </row>
    <row r="69" spans="1:10" x14ac:dyDescent="0.2">
      <c r="A69" s="877"/>
      <c r="B69" s="876"/>
      <c r="C69" s="370" t="str">
        <f>IFERROR(IF(ISTEXT(B68),"Nákupo HW a krabicový SW",""),)</f>
        <v/>
      </c>
      <c r="D69" s="367"/>
      <c r="E69" s="367"/>
      <c r="F69" s="367"/>
      <c r="G69" s="514"/>
      <c r="H69" s="370">
        <f t="shared" si="9"/>
        <v>-1</v>
      </c>
      <c r="I69" s="514"/>
      <c r="J69" s="370">
        <f t="shared" si="18"/>
        <v>-1</v>
      </c>
    </row>
    <row r="70" spans="1:10" x14ac:dyDescent="0.2">
      <c r="A70" s="877"/>
      <c r="B70" s="876"/>
      <c r="C70" s="370" t="str">
        <f>IFERROR(IF(ISTEXT(B68),"Implementácia",""),)</f>
        <v/>
      </c>
      <c r="D70" s="367"/>
      <c r="E70" s="367"/>
      <c r="F70" s="367"/>
      <c r="G70" s="514"/>
      <c r="H70" s="370">
        <f t="shared" si="9"/>
        <v>-1</v>
      </c>
      <c r="I70" s="514"/>
      <c r="J70" s="370">
        <f t="shared" si="18"/>
        <v>-1</v>
      </c>
    </row>
    <row r="71" spans="1:10" x14ac:dyDescent="0.2">
      <c r="A71" s="877"/>
      <c r="B71" s="876"/>
      <c r="C71" s="370" t="str">
        <f>IFERROR(IF(ISTEXT(B68),"Testovanie",""),)</f>
        <v/>
      </c>
      <c r="D71" s="367"/>
      <c r="E71" s="367"/>
      <c r="F71" s="367"/>
      <c r="G71" s="514"/>
      <c r="H71" s="370">
        <f t="shared" si="9"/>
        <v>-1</v>
      </c>
      <c r="I71" s="514"/>
      <c r="J71" s="370">
        <f t="shared" si="18"/>
        <v>-1</v>
      </c>
    </row>
    <row r="72" spans="1:10" x14ac:dyDescent="0.2">
      <c r="A72" s="877"/>
      <c r="B72" s="876"/>
      <c r="C72" s="370" t="str">
        <f>IFERROR(IF(ISTEXT(B68),"Nasadenie",""),)</f>
        <v/>
      </c>
      <c r="D72" s="367"/>
      <c r="E72" s="367"/>
      <c r="F72" s="367"/>
      <c r="G72" s="514"/>
      <c r="H72" s="370">
        <f t="shared" si="9"/>
        <v>-1</v>
      </c>
      <c r="I72" s="370">
        <f>J72-H72</f>
        <v>1</v>
      </c>
      <c r="J72" s="370">
        <f>IFERROR(ROUND((F68-$E$3+1)/30,0),)</f>
        <v>0</v>
      </c>
    </row>
    <row r="73" spans="1:10" x14ac:dyDescent="0.2">
      <c r="A73" s="877">
        <v>15</v>
      </c>
      <c r="B73" s="876"/>
      <c r="C73" s="370" t="str">
        <f>IFERROR(IF(ISTEXT(B73),"Analýza a dizajn",""),)</f>
        <v/>
      </c>
      <c r="D73" s="370" t="str">
        <f>IFERROR(VLOOKUP(B73,MODULY_CBA!$B$3:$I$23,6,0),"")</f>
        <v/>
      </c>
      <c r="E73" s="371" t="str">
        <f>IFERROR(VLOOKUP(D73,INKREMENTY!$A$2:$F$21,2,0),"")</f>
        <v/>
      </c>
      <c r="F73" s="371" t="str">
        <f>IFERROR(VLOOKUP(D73,INKREMENTY!$A$2:$F$21,4,0),"")</f>
        <v/>
      </c>
      <c r="G73" s="370">
        <f>IFERROR(ROUND(((E73-$E$3)+1)/30,0)+1,)</f>
        <v>0</v>
      </c>
      <c r="H73" s="370">
        <f t="shared" si="9"/>
        <v>-1</v>
      </c>
      <c r="I73" s="514"/>
      <c r="J73" s="370">
        <f t="shared" ref="J73:J76" si="19">H73+I73</f>
        <v>-1</v>
      </c>
    </row>
    <row r="74" spans="1:10" x14ac:dyDescent="0.2">
      <c r="A74" s="877"/>
      <c r="B74" s="876"/>
      <c r="C74" s="370" t="str">
        <f>IFERROR(IF(ISTEXT(B73),"Nákupo HW a krabicový SW",""),)</f>
        <v/>
      </c>
      <c r="D74" s="367"/>
      <c r="E74" s="367"/>
      <c r="F74" s="367"/>
      <c r="G74" s="514"/>
      <c r="H74" s="370">
        <f t="shared" si="9"/>
        <v>-1</v>
      </c>
      <c r="I74" s="514"/>
      <c r="J74" s="370">
        <f t="shared" si="19"/>
        <v>-1</v>
      </c>
    </row>
    <row r="75" spans="1:10" x14ac:dyDescent="0.2">
      <c r="A75" s="877"/>
      <c r="B75" s="876"/>
      <c r="C75" s="370" t="str">
        <f>IFERROR(IF(ISTEXT(B73),"Implementácia",""),)</f>
        <v/>
      </c>
      <c r="D75" s="367"/>
      <c r="E75" s="367"/>
      <c r="F75" s="367"/>
      <c r="G75" s="514"/>
      <c r="H75" s="370">
        <f t="shared" si="9"/>
        <v>-1</v>
      </c>
      <c r="I75" s="514"/>
      <c r="J75" s="370">
        <f t="shared" si="19"/>
        <v>-1</v>
      </c>
    </row>
    <row r="76" spans="1:10" x14ac:dyDescent="0.2">
      <c r="A76" s="877"/>
      <c r="B76" s="876"/>
      <c r="C76" s="370" t="str">
        <f>IFERROR(IF(ISTEXT(B73),"Testovanie",""),)</f>
        <v/>
      </c>
      <c r="D76" s="367"/>
      <c r="E76" s="367"/>
      <c r="F76" s="367"/>
      <c r="G76" s="514"/>
      <c r="H76" s="370">
        <f t="shared" si="9"/>
        <v>-1</v>
      </c>
      <c r="I76" s="514"/>
      <c r="J76" s="370">
        <f t="shared" si="19"/>
        <v>-1</v>
      </c>
    </row>
    <row r="77" spans="1:10" x14ac:dyDescent="0.2">
      <c r="A77" s="877"/>
      <c r="B77" s="876"/>
      <c r="C77" s="370" t="str">
        <f>IFERROR(IF(ISTEXT(B73),"Nasadenie",""),)</f>
        <v/>
      </c>
      <c r="D77" s="367"/>
      <c r="E77" s="367"/>
      <c r="F77" s="367"/>
      <c r="G77" s="514"/>
      <c r="H77" s="370">
        <f t="shared" si="9"/>
        <v>-1</v>
      </c>
      <c r="I77" s="370">
        <f>J77-H77</f>
        <v>1</v>
      </c>
      <c r="J77" s="370">
        <f>IFERROR(ROUND((F73-$E$3+1)/30,0),)</f>
        <v>0</v>
      </c>
    </row>
    <row r="78" spans="1:10" x14ac:dyDescent="0.2">
      <c r="A78" s="877">
        <v>16</v>
      </c>
      <c r="B78" s="876"/>
      <c r="C78" s="370" t="str">
        <f>IFERROR(IF(ISTEXT(B78),"Analýza a dizajn",""),)</f>
        <v/>
      </c>
      <c r="D78" s="370" t="str">
        <f>IFERROR(VLOOKUP(B78,MODULY_CBA!$B$3:$I$23,6,0),"")</f>
        <v/>
      </c>
      <c r="E78" s="371" t="str">
        <f>IFERROR(VLOOKUP(D78,INKREMENTY!$A$2:$F$21,2,0),"")</f>
        <v/>
      </c>
      <c r="F78" s="371" t="str">
        <f>IFERROR(VLOOKUP(D78,INKREMENTY!$A$2:$F$21,4,0),"")</f>
        <v/>
      </c>
      <c r="G78" s="370">
        <f>IFERROR(ROUND(((E78-$E$3)+1)/30,0)+1,)</f>
        <v>0</v>
      </c>
      <c r="H78" s="370">
        <f t="shared" si="9"/>
        <v>-1</v>
      </c>
      <c r="I78" s="514"/>
      <c r="J78" s="370">
        <f t="shared" ref="J78:J81" si="20">H78+I78</f>
        <v>-1</v>
      </c>
    </row>
    <row r="79" spans="1:10" x14ac:dyDescent="0.2">
      <c r="A79" s="877"/>
      <c r="B79" s="876"/>
      <c r="C79" s="370" t="str">
        <f>IFERROR(IF(ISTEXT(B78),"Nákupo HW a krabicový SW",""),)</f>
        <v/>
      </c>
      <c r="D79" s="367"/>
      <c r="E79" s="367"/>
      <c r="F79" s="367"/>
      <c r="G79" s="514"/>
      <c r="H79" s="370">
        <f t="shared" si="9"/>
        <v>-1</v>
      </c>
      <c r="I79" s="514"/>
      <c r="J79" s="370">
        <f t="shared" si="20"/>
        <v>-1</v>
      </c>
    </row>
    <row r="80" spans="1:10" x14ac:dyDescent="0.2">
      <c r="A80" s="877"/>
      <c r="B80" s="876"/>
      <c r="C80" s="370" t="str">
        <f>IFERROR(IF(ISTEXT(B78),"Implementácia",""),)</f>
        <v/>
      </c>
      <c r="D80" s="367"/>
      <c r="E80" s="367"/>
      <c r="F80" s="367"/>
      <c r="G80" s="514"/>
      <c r="H80" s="370">
        <f t="shared" si="9"/>
        <v>-1</v>
      </c>
      <c r="I80" s="514"/>
      <c r="J80" s="370">
        <f t="shared" si="20"/>
        <v>-1</v>
      </c>
    </row>
    <row r="81" spans="1:10" x14ac:dyDescent="0.2">
      <c r="A81" s="877"/>
      <c r="B81" s="876"/>
      <c r="C81" s="370" t="str">
        <f>IFERROR(IF(ISTEXT(B78),"Testovanie",""),)</f>
        <v/>
      </c>
      <c r="D81" s="367"/>
      <c r="E81" s="367"/>
      <c r="F81" s="367"/>
      <c r="G81" s="514"/>
      <c r="H81" s="370">
        <f t="shared" si="9"/>
        <v>-1</v>
      </c>
      <c r="I81" s="514"/>
      <c r="J81" s="370">
        <f t="shared" si="20"/>
        <v>-1</v>
      </c>
    </row>
    <row r="82" spans="1:10" x14ac:dyDescent="0.2">
      <c r="A82" s="877"/>
      <c r="B82" s="876"/>
      <c r="C82" s="370" t="str">
        <f>IFERROR(IF(ISTEXT(B78),"Nasadenie",""),)</f>
        <v/>
      </c>
      <c r="D82" s="367"/>
      <c r="E82" s="367"/>
      <c r="F82" s="367"/>
      <c r="G82" s="514"/>
      <c r="H82" s="370">
        <f t="shared" si="9"/>
        <v>-1</v>
      </c>
      <c r="I82" s="370">
        <f>J82-H82</f>
        <v>1</v>
      </c>
      <c r="J82" s="370">
        <f>IFERROR(ROUND((F78-$E$3+1)/30,0),)</f>
        <v>0</v>
      </c>
    </row>
    <row r="83" spans="1:10" x14ac:dyDescent="0.2">
      <c r="A83" s="877">
        <v>17</v>
      </c>
      <c r="B83" s="876"/>
      <c r="C83" s="370" t="str">
        <f>IFERROR(IF(ISTEXT(B83),"Analýza a dizajn",""),)</f>
        <v/>
      </c>
      <c r="D83" s="370" t="str">
        <f>IFERROR(VLOOKUP(B83,MODULY_CBA!$B$3:$I$23,6,0),"")</f>
        <v/>
      </c>
      <c r="E83" s="371" t="str">
        <f>IFERROR(VLOOKUP(D83,INKREMENTY!$A$2:$F$21,2,0),"")</f>
        <v/>
      </c>
      <c r="F83" s="371" t="str">
        <f>IFERROR(VLOOKUP(D83,INKREMENTY!$A$2:$F$21,4,0),"")</f>
        <v/>
      </c>
      <c r="G83" s="370">
        <f>IFERROR(ROUND(((E83-$E$3)+1)/30,0)+1,)</f>
        <v>0</v>
      </c>
      <c r="H83" s="370">
        <f t="shared" si="9"/>
        <v>-1</v>
      </c>
      <c r="I83" s="514"/>
      <c r="J83" s="370">
        <f t="shared" ref="J83:J86" si="21">H83+I83</f>
        <v>-1</v>
      </c>
    </row>
    <row r="84" spans="1:10" x14ac:dyDescent="0.2">
      <c r="A84" s="877"/>
      <c r="B84" s="876"/>
      <c r="C84" s="370" t="str">
        <f>IFERROR(IF(ISTEXT(B83),"Nákupo HW a krabicový SW",""),)</f>
        <v/>
      </c>
      <c r="D84" s="367"/>
      <c r="E84" s="367"/>
      <c r="F84" s="367"/>
      <c r="G84" s="514"/>
      <c r="H84" s="370">
        <f t="shared" si="9"/>
        <v>-1</v>
      </c>
      <c r="I84" s="514"/>
      <c r="J84" s="370">
        <f t="shared" si="21"/>
        <v>-1</v>
      </c>
    </row>
    <row r="85" spans="1:10" x14ac:dyDescent="0.2">
      <c r="A85" s="877"/>
      <c r="B85" s="876"/>
      <c r="C85" s="370" t="str">
        <f>IFERROR(IF(ISTEXT(B83),"Implementácia",""),)</f>
        <v/>
      </c>
      <c r="D85" s="367"/>
      <c r="E85" s="367"/>
      <c r="F85" s="367"/>
      <c r="G85" s="514"/>
      <c r="H85" s="370">
        <f t="shared" si="9"/>
        <v>-1</v>
      </c>
      <c r="I85" s="514"/>
      <c r="J85" s="370">
        <f t="shared" si="21"/>
        <v>-1</v>
      </c>
    </row>
    <row r="86" spans="1:10" x14ac:dyDescent="0.2">
      <c r="A86" s="877"/>
      <c r="B86" s="876"/>
      <c r="C86" s="370" t="str">
        <f>IFERROR(IF(ISTEXT(B83),"Testovanie",""),)</f>
        <v/>
      </c>
      <c r="D86" s="367"/>
      <c r="E86" s="367"/>
      <c r="F86" s="367"/>
      <c r="G86" s="514"/>
      <c r="H86" s="370">
        <f t="shared" si="9"/>
        <v>-1</v>
      </c>
      <c r="I86" s="514"/>
      <c r="J86" s="370">
        <f t="shared" si="21"/>
        <v>-1</v>
      </c>
    </row>
    <row r="87" spans="1:10" x14ac:dyDescent="0.2">
      <c r="A87" s="877"/>
      <c r="B87" s="876"/>
      <c r="C87" s="370" t="str">
        <f>IFERROR(IF(ISTEXT(B83),"Nasadenie",""),)</f>
        <v/>
      </c>
      <c r="D87" s="367"/>
      <c r="E87" s="367"/>
      <c r="F87" s="367"/>
      <c r="G87" s="514"/>
      <c r="H87" s="370">
        <f t="shared" si="9"/>
        <v>-1</v>
      </c>
      <c r="I87" s="370">
        <f>J87-H87</f>
        <v>1</v>
      </c>
      <c r="J87" s="370">
        <f>IFERROR(ROUND((F83-$E$3+1)/30,0),)</f>
        <v>0</v>
      </c>
    </row>
    <row r="88" spans="1:10" x14ac:dyDescent="0.2">
      <c r="A88" s="877">
        <v>18</v>
      </c>
      <c r="B88" s="876"/>
      <c r="C88" s="370" t="str">
        <f>IFERROR(IF(ISTEXT(B88),"Analýza a dizajn",""),)</f>
        <v/>
      </c>
      <c r="D88" s="370" t="str">
        <f>IFERROR(VLOOKUP(B88,MODULY_CBA!$B$3:$I$23,6,0),"")</f>
        <v/>
      </c>
      <c r="E88" s="371" t="str">
        <f>IFERROR(VLOOKUP(D88,INKREMENTY!$A$2:$F$21,2,0),"")</f>
        <v/>
      </c>
      <c r="F88" s="371" t="str">
        <f>IFERROR(VLOOKUP(D88,INKREMENTY!$A$2:$F$21,4,0),"")</f>
        <v/>
      </c>
      <c r="G88" s="370">
        <f>IFERROR(ROUND(((E88-$E$3)+1)/30,0)+1,)</f>
        <v>0</v>
      </c>
      <c r="H88" s="370">
        <f t="shared" si="9"/>
        <v>-1</v>
      </c>
      <c r="I88" s="514"/>
      <c r="J88" s="370">
        <f t="shared" ref="J88:J91" si="22">H88+I88</f>
        <v>-1</v>
      </c>
    </row>
    <row r="89" spans="1:10" x14ac:dyDescent="0.2">
      <c r="A89" s="877"/>
      <c r="B89" s="876"/>
      <c r="C89" s="370" t="str">
        <f>IFERROR(IF(ISTEXT(B88),"Nákupo HW a krabicový SW",""),)</f>
        <v/>
      </c>
      <c r="D89" s="367"/>
      <c r="E89" s="367"/>
      <c r="F89" s="367"/>
      <c r="G89" s="514"/>
      <c r="H89" s="370">
        <f t="shared" si="9"/>
        <v>-1</v>
      </c>
      <c r="I89" s="514"/>
      <c r="J89" s="370">
        <f t="shared" si="22"/>
        <v>-1</v>
      </c>
    </row>
    <row r="90" spans="1:10" x14ac:dyDescent="0.2">
      <c r="A90" s="877"/>
      <c r="B90" s="876"/>
      <c r="C90" s="370" t="str">
        <f>IFERROR(IF(ISTEXT(B88),"Implementácia",""),)</f>
        <v/>
      </c>
      <c r="D90" s="367"/>
      <c r="E90" s="367"/>
      <c r="F90" s="367"/>
      <c r="G90" s="514"/>
      <c r="H90" s="370">
        <f t="shared" si="9"/>
        <v>-1</v>
      </c>
      <c r="I90" s="514"/>
      <c r="J90" s="370">
        <f t="shared" si="22"/>
        <v>-1</v>
      </c>
    </row>
    <row r="91" spans="1:10" x14ac:dyDescent="0.2">
      <c r="A91" s="877"/>
      <c r="B91" s="876"/>
      <c r="C91" s="370" t="str">
        <f>IFERROR(IF(ISTEXT(B88),"Testovanie",""),)</f>
        <v/>
      </c>
      <c r="D91" s="367"/>
      <c r="E91" s="367"/>
      <c r="F91" s="367"/>
      <c r="G91" s="514"/>
      <c r="H91" s="370">
        <f t="shared" si="9"/>
        <v>-1</v>
      </c>
      <c r="I91" s="514"/>
      <c r="J91" s="370">
        <f t="shared" si="22"/>
        <v>-1</v>
      </c>
    </row>
    <row r="92" spans="1:10" x14ac:dyDescent="0.2">
      <c r="A92" s="877"/>
      <c r="B92" s="876"/>
      <c r="C92" s="370" t="str">
        <f>IFERROR(IF(ISTEXT(B88),"Nasadenie",""),)</f>
        <v/>
      </c>
      <c r="D92" s="367"/>
      <c r="E92" s="367"/>
      <c r="F92" s="367"/>
      <c r="G92" s="514"/>
      <c r="H92" s="370">
        <f t="shared" ref="H92:H107" si="23">G92-1</f>
        <v>-1</v>
      </c>
      <c r="I92" s="370">
        <f>J92-H92</f>
        <v>1</v>
      </c>
      <c r="J92" s="370">
        <f>IFERROR(ROUND((F88-$E$3+1)/30,0),)</f>
        <v>0</v>
      </c>
    </row>
    <row r="93" spans="1:10" x14ac:dyDescent="0.2">
      <c r="A93" s="877">
        <v>19</v>
      </c>
      <c r="B93" s="876"/>
      <c r="C93" s="370" t="str">
        <f>IFERROR(IF(ISTEXT(B93),"Analýza a dizajn",""),)</f>
        <v/>
      </c>
      <c r="D93" s="370" t="str">
        <f>IFERROR(VLOOKUP(B93,MODULY_CBA!$B$3:$I$23,6,0),"")</f>
        <v/>
      </c>
      <c r="E93" s="371" t="str">
        <f>IFERROR(VLOOKUP(D93,INKREMENTY!$A$2:$F$21,2,0),"")</f>
        <v/>
      </c>
      <c r="F93" s="371" t="str">
        <f>IFERROR(VLOOKUP(D93,INKREMENTY!$A$2:$F$21,4,0),"")</f>
        <v/>
      </c>
      <c r="G93" s="370">
        <f>IFERROR(ROUND(((E93-$E$3)+1)/30,0)+1,)</f>
        <v>0</v>
      </c>
      <c r="H93" s="370">
        <f t="shared" si="23"/>
        <v>-1</v>
      </c>
      <c r="I93" s="514"/>
      <c r="J93" s="370">
        <f t="shared" ref="J93:J96" si="24">H93+I93</f>
        <v>-1</v>
      </c>
    </row>
    <row r="94" spans="1:10" x14ac:dyDescent="0.2">
      <c r="A94" s="877"/>
      <c r="B94" s="876"/>
      <c r="C94" s="370" t="str">
        <f>IFERROR(IF(ISTEXT(B93),"Nákupo HW a krabicový SW",""),)</f>
        <v/>
      </c>
      <c r="D94" s="367"/>
      <c r="E94" s="367"/>
      <c r="F94" s="367"/>
      <c r="G94" s="514"/>
      <c r="H94" s="370">
        <f t="shared" si="23"/>
        <v>-1</v>
      </c>
      <c r="I94" s="514"/>
      <c r="J94" s="370">
        <f t="shared" si="24"/>
        <v>-1</v>
      </c>
    </row>
    <row r="95" spans="1:10" x14ac:dyDescent="0.2">
      <c r="A95" s="877"/>
      <c r="B95" s="876"/>
      <c r="C95" s="370" t="str">
        <f>IFERROR(IF(ISTEXT(B93),"Implementácia",""),)</f>
        <v/>
      </c>
      <c r="D95" s="367"/>
      <c r="E95" s="367"/>
      <c r="F95" s="367"/>
      <c r="G95" s="514"/>
      <c r="H95" s="370">
        <f t="shared" si="23"/>
        <v>-1</v>
      </c>
      <c r="I95" s="514"/>
      <c r="J95" s="370">
        <f t="shared" si="24"/>
        <v>-1</v>
      </c>
    </row>
    <row r="96" spans="1:10" x14ac:dyDescent="0.2">
      <c r="A96" s="877"/>
      <c r="B96" s="876"/>
      <c r="C96" s="370" t="str">
        <f>IFERROR(IF(ISTEXT(B93),"Testovanie",""),)</f>
        <v/>
      </c>
      <c r="D96" s="367"/>
      <c r="E96" s="367"/>
      <c r="F96" s="367"/>
      <c r="G96" s="514"/>
      <c r="H96" s="370">
        <f t="shared" si="23"/>
        <v>-1</v>
      </c>
      <c r="I96" s="514"/>
      <c r="J96" s="370">
        <f t="shared" si="24"/>
        <v>-1</v>
      </c>
    </row>
    <row r="97" spans="1:10" x14ac:dyDescent="0.2">
      <c r="A97" s="877"/>
      <c r="B97" s="876"/>
      <c r="C97" s="370" t="str">
        <f>IFERROR(IF(ISTEXT(B93),"Nasadenie",""),)</f>
        <v/>
      </c>
      <c r="D97" s="367"/>
      <c r="E97" s="367"/>
      <c r="F97" s="367"/>
      <c r="G97" s="514"/>
      <c r="H97" s="370">
        <f t="shared" si="23"/>
        <v>-1</v>
      </c>
      <c r="I97" s="370">
        <f>J97-H97</f>
        <v>1</v>
      </c>
      <c r="J97" s="370">
        <f>IFERROR(ROUND((F93-$E$3+1)/30,0),)</f>
        <v>0</v>
      </c>
    </row>
    <row r="98" spans="1:10" x14ac:dyDescent="0.2">
      <c r="A98" s="877">
        <v>20</v>
      </c>
      <c r="B98" s="876"/>
      <c r="C98" s="370" t="str">
        <f>IFERROR(IF(ISTEXT(B98),"Analýza a dizajn",""),)</f>
        <v/>
      </c>
      <c r="D98" s="370" t="str">
        <f>IFERROR(VLOOKUP(B98,MODULY_CBA!$B$3:$I$23,6,0),"")</f>
        <v/>
      </c>
      <c r="E98" s="371" t="str">
        <f>IFERROR(VLOOKUP(D98,INKREMENTY!$A$2:$F$21,2,0),"")</f>
        <v/>
      </c>
      <c r="F98" s="371" t="str">
        <f>IFERROR(VLOOKUP(D98,INKREMENTY!$A$2:$F$21,4,0),"")</f>
        <v/>
      </c>
      <c r="G98" s="370">
        <f>IFERROR(ROUND(((E98-$E$3)+1)/30,0)+1,)</f>
        <v>0</v>
      </c>
      <c r="H98" s="370">
        <f t="shared" si="23"/>
        <v>-1</v>
      </c>
      <c r="I98" s="514"/>
      <c r="J98" s="370">
        <f t="shared" ref="J98:J101" si="25">H98+I98</f>
        <v>-1</v>
      </c>
    </row>
    <row r="99" spans="1:10" x14ac:dyDescent="0.2">
      <c r="A99" s="877"/>
      <c r="B99" s="876"/>
      <c r="C99" s="370" t="str">
        <f>IFERROR(IF(ISTEXT(B98),"Nákupo HW a krabicový SW",""),)</f>
        <v/>
      </c>
      <c r="D99" s="367"/>
      <c r="E99" s="367"/>
      <c r="F99" s="367"/>
      <c r="G99" s="514"/>
      <c r="H99" s="370">
        <f t="shared" si="23"/>
        <v>-1</v>
      </c>
      <c r="I99" s="514"/>
      <c r="J99" s="370">
        <f t="shared" si="25"/>
        <v>-1</v>
      </c>
    </row>
    <row r="100" spans="1:10" x14ac:dyDescent="0.2">
      <c r="A100" s="877"/>
      <c r="B100" s="876"/>
      <c r="C100" s="370" t="str">
        <f>IFERROR(IF(ISTEXT(B98),"Implementácia",""),)</f>
        <v/>
      </c>
      <c r="D100" s="367"/>
      <c r="E100" s="367"/>
      <c r="F100" s="367"/>
      <c r="G100" s="514"/>
      <c r="H100" s="370">
        <f t="shared" si="23"/>
        <v>-1</v>
      </c>
      <c r="I100" s="514"/>
      <c r="J100" s="370">
        <f t="shared" si="25"/>
        <v>-1</v>
      </c>
    </row>
    <row r="101" spans="1:10" x14ac:dyDescent="0.2">
      <c r="A101" s="877"/>
      <c r="B101" s="876"/>
      <c r="C101" s="370" t="str">
        <f>IFERROR(IF(ISTEXT(B98),"Testovanie",""),)</f>
        <v/>
      </c>
      <c r="D101" s="367"/>
      <c r="E101" s="367"/>
      <c r="F101" s="367"/>
      <c r="G101" s="514"/>
      <c r="H101" s="370">
        <f t="shared" si="23"/>
        <v>-1</v>
      </c>
      <c r="I101" s="514"/>
      <c r="J101" s="370">
        <f t="shared" si="25"/>
        <v>-1</v>
      </c>
    </row>
    <row r="102" spans="1:10" x14ac:dyDescent="0.2">
      <c r="A102" s="877"/>
      <c r="B102" s="876"/>
      <c r="C102" s="370" t="str">
        <f>IFERROR(IF(ISTEXT(B98),"Nasadenie",""),)</f>
        <v/>
      </c>
      <c r="D102" s="367"/>
      <c r="E102" s="367"/>
      <c r="F102" s="367"/>
      <c r="G102" s="514"/>
      <c r="H102" s="370">
        <f t="shared" si="23"/>
        <v>-1</v>
      </c>
      <c r="I102" s="370">
        <f>J102-H102</f>
        <v>1</v>
      </c>
      <c r="J102" s="370">
        <f>IFERROR(ROUND((F98-$E$3+1)/30,0),)</f>
        <v>0</v>
      </c>
    </row>
    <row r="103" spans="1:10" x14ac:dyDescent="0.2">
      <c r="A103" s="877">
        <v>21</v>
      </c>
      <c r="B103" s="876"/>
      <c r="C103" s="370" t="str">
        <f>IFERROR(IF(ISTEXT(B103),"Analýza a dizajn",""),)</f>
        <v/>
      </c>
      <c r="D103" s="370" t="str">
        <f>IFERROR(VLOOKUP(B103,MODULY_CBA!$B$3:$I$23,6,0),"")</f>
        <v/>
      </c>
      <c r="E103" s="371" t="str">
        <f>IFERROR(VLOOKUP(D103,INKREMENTY!$A$2:$F$21,2,0),"")</f>
        <v/>
      </c>
      <c r="F103" s="371" t="str">
        <f>IFERROR(VLOOKUP(D103,INKREMENTY!$A$2:$F$21,4,0),"")</f>
        <v/>
      </c>
      <c r="G103" s="370">
        <f>IFERROR(ROUND(((E103-$E$3)+1)/30,0)+1,)</f>
        <v>0</v>
      </c>
      <c r="H103" s="370">
        <f t="shared" si="23"/>
        <v>-1</v>
      </c>
      <c r="I103" s="514"/>
      <c r="J103" s="370">
        <f t="shared" ref="J103:J106" si="26">H103+I103</f>
        <v>-1</v>
      </c>
    </row>
    <row r="104" spans="1:10" x14ac:dyDescent="0.2">
      <c r="A104" s="877"/>
      <c r="B104" s="876"/>
      <c r="C104" s="370" t="str">
        <f>IFERROR(IF(ISTEXT(B103),"Nákupo HW a krabicový SW",""),)</f>
        <v/>
      </c>
      <c r="D104" s="367"/>
      <c r="E104" s="367"/>
      <c r="F104" s="367"/>
      <c r="G104" s="514"/>
      <c r="H104" s="370">
        <f t="shared" si="23"/>
        <v>-1</v>
      </c>
      <c r="I104" s="514"/>
      <c r="J104" s="370">
        <f t="shared" si="26"/>
        <v>-1</v>
      </c>
    </row>
    <row r="105" spans="1:10" x14ac:dyDescent="0.2">
      <c r="A105" s="877"/>
      <c r="B105" s="876"/>
      <c r="C105" s="370" t="str">
        <f>IFERROR(IF(ISTEXT(B103),"Implementácia",""),)</f>
        <v/>
      </c>
      <c r="D105" s="367"/>
      <c r="E105" s="367"/>
      <c r="F105" s="367"/>
      <c r="G105" s="514"/>
      <c r="H105" s="370">
        <f t="shared" si="23"/>
        <v>-1</v>
      </c>
      <c r="I105" s="514"/>
      <c r="J105" s="370">
        <f t="shared" si="26"/>
        <v>-1</v>
      </c>
    </row>
    <row r="106" spans="1:10" x14ac:dyDescent="0.2">
      <c r="A106" s="877"/>
      <c r="B106" s="876"/>
      <c r="C106" s="370" t="str">
        <f>IFERROR(IF(ISTEXT(B103),"Testovanie",""),)</f>
        <v/>
      </c>
      <c r="D106" s="367"/>
      <c r="E106" s="367"/>
      <c r="F106" s="367"/>
      <c r="G106" s="514"/>
      <c r="H106" s="370">
        <f t="shared" si="23"/>
        <v>-1</v>
      </c>
      <c r="I106" s="514"/>
      <c r="J106" s="370">
        <f t="shared" si="26"/>
        <v>-1</v>
      </c>
    </row>
    <row r="107" spans="1:10" x14ac:dyDescent="0.2">
      <c r="A107" s="877"/>
      <c r="B107" s="876"/>
      <c r="C107" s="370" t="str">
        <f>IFERROR(IF(ISTEXT(B103),"Nasadenie",""),)</f>
        <v/>
      </c>
      <c r="D107" s="367"/>
      <c r="E107" s="367"/>
      <c r="F107" s="367"/>
      <c r="G107" s="514"/>
      <c r="H107" s="370">
        <f t="shared" si="23"/>
        <v>-1</v>
      </c>
      <c r="I107" s="370">
        <f>J107-H107</f>
        <v>1</v>
      </c>
      <c r="J107" s="370">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3:C32">
    <cfRule type="expression" dxfId="2" priority="1">
      <formula>ISTEXT($B$28)</formula>
    </cfRule>
  </conditionalFormatting>
  <dataValidations count="1">
    <dataValidation type="list" allowBlank="1" showInputMessage="1" showErrorMessage="1" sqref="B3:B107" xr:uid="{00000000-0002-0000-1400-000000000000}">
      <formula1>MODULY</formula1>
    </dataValidation>
  </dataValidation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0515-2022-7744-A12C-FFFCC6918F15}">
  <dimension ref="A1:H11"/>
  <sheetViews>
    <sheetView workbookViewId="0">
      <selection activeCell="B15" sqref="B15"/>
    </sheetView>
  </sheetViews>
  <sheetFormatPr baseColWidth="10" defaultRowHeight="15" x14ac:dyDescent="0.2"/>
  <cols>
    <col min="1" max="1" width="16" customWidth="1"/>
    <col min="2" max="2" width="23.5" bestFit="1" customWidth="1"/>
  </cols>
  <sheetData>
    <row r="1" spans="1:8" x14ac:dyDescent="0.2">
      <c r="A1" s="721" t="s">
        <v>1291</v>
      </c>
      <c r="B1" s="721" t="s">
        <v>985</v>
      </c>
      <c r="C1" s="721" t="s">
        <v>1042</v>
      </c>
      <c r="D1" s="721" t="s">
        <v>1292</v>
      </c>
      <c r="E1" s="721" t="s">
        <v>1293</v>
      </c>
      <c r="F1" s="721"/>
      <c r="G1" s="721" t="s">
        <v>1292</v>
      </c>
      <c r="H1" s="721" t="s">
        <v>1293</v>
      </c>
    </row>
    <row r="2" spans="1:8" x14ac:dyDescent="0.2">
      <c r="A2" s="721" t="s">
        <v>1294</v>
      </c>
      <c r="B2" s="722">
        <f>'Rozpocet - Vyvoj aplikacii'!I1</f>
        <v>154994.4</v>
      </c>
      <c r="C2" s="721" t="s">
        <v>1008</v>
      </c>
      <c r="D2" s="722">
        <f>SUM(POZICIE_INTERNE!I4:I15)*ZIADOST!$G$2</f>
        <v>54248.583839999992</v>
      </c>
      <c r="E2" s="722">
        <f>SUM(POZICIE_INTERNE!I4:I15)*$H$2</f>
        <v>8293.0161599999992</v>
      </c>
      <c r="F2" s="721"/>
      <c r="G2" s="723">
        <v>0.86739999999999995</v>
      </c>
      <c r="H2" s="723">
        <v>0.1326</v>
      </c>
    </row>
    <row r="3" spans="1:8" x14ac:dyDescent="0.2">
      <c r="A3" s="721"/>
      <c r="B3" s="721"/>
      <c r="C3" s="721" t="s">
        <v>1021</v>
      </c>
      <c r="D3" s="722">
        <f>SUM(POZICIE_INTERNE!I16:I27)*ZIADOST!$G$2</f>
        <v>53776.85702399999</v>
      </c>
      <c r="E3" s="722">
        <f>SUM(POZICIE_INTERNE!I16:I27)*$H$2</f>
        <v>8220.9029759999994</v>
      </c>
      <c r="F3" s="721"/>
      <c r="G3" s="721"/>
      <c r="H3" s="721"/>
    </row>
    <row r="4" spans="1:8" x14ac:dyDescent="0.2">
      <c r="A4" s="721"/>
      <c r="B4" s="721"/>
      <c r="C4" s="721" t="s">
        <v>1028</v>
      </c>
      <c r="D4" s="722">
        <f>SUM(POZICIE_INTERNE!I28:I39)*ZIADOST!$G$2</f>
        <v>26416.701696000004</v>
      </c>
      <c r="E4" s="722">
        <f>SUM(POZICIE_INTERNE!I28:I39)*$H$2</f>
        <v>4038.3383040000003</v>
      </c>
      <c r="F4" s="721"/>
      <c r="G4" s="721"/>
      <c r="H4" s="721"/>
    </row>
    <row r="5" spans="1:8" x14ac:dyDescent="0.2">
      <c r="A5" s="721" t="s">
        <v>1160</v>
      </c>
      <c r="B5" s="722">
        <f>SUM('Rozpocet - Vyvoj aplikacii'!J1)</f>
        <v>3003489.03</v>
      </c>
      <c r="C5" s="721" t="s">
        <v>1008</v>
      </c>
      <c r="D5" s="722">
        <f>SUM(AKTIVITY_POZICIE!M4:M15)*1.23*ZIADOST!G2</f>
        <v>293694.64875599998</v>
      </c>
      <c r="E5" s="722">
        <f>SUM(AKTIVITY_POZICIE!M4:M15)*1.23*ZIADOST!H2</f>
        <v>44897.291244</v>
      </c>
      <c r="F5" s="721"/>
      <c r="G5" s="721"/>
      <c r="H5" s="721"/>
    </row>
    <row r="6" spans="1:8" x14ac:dyDescent="0.2">
      <c r="A6" s="721"/>
      <c r="B6" s="721"/>
      <c r="C6" s="721" t="s">
        <v>1021</v>
      </c>
      <c r="D6" s="722">
        <f>SUM(AKTIVITY_POZICIE!M16:M27)*1.23*ZIADOST!G2</f>
        <v>1930080.1300019999</v>
      </c>
      <c r="E6" s="722">
        <f>SUM(AKTIVITY_POZICIE!M16:M27)*1.23*ZIADOST!H2</f>
        <v>295052.59999799996</v>
      </c>
      <c r="F6" s="721"/>
      <c r="G6" s="721"/>
      <c r="H6" s="721"/>
    </row>
    <row r="7" spans="1:8" x14ac:dyDescent="0.2">
      <c r="A7" s="721"/>
      <c r="B7" s="721"/>
      <c r="C7" s="721" t="s">
        <v>1028</v>
      </c>
      <c r="D7" s="722">
        <f>SUM(AKTIVITY_POZICIE!M28:M38)*1.23*ZIADOST!G2</f>
        <v>381451.60586399998</v>
      </c>
      <c r="E7" s="722">
        <f>SUM(AKTIVITY_POZICIE!M28:M38)*1.23*ZIADOST!H2</f>
        <v>58312.754135999996</v>
      </c>
      <c r="F7" s="721"/>
      <c r="G7" s="721"/>
      <c r="H7" s="721"/>
    </row>
    <row r="8" spans="1:8" ht="64" x14ac:dyDescent="0.2">
      <c r="A8" s="724" t="s">
        <v>1188</v>
      </c>
      <c r="B8" s="722">
        <f>SUM('Rozpočet - HW a licencie'!J5:J6)</f>
        <v>0</v>
      </c>
      <c r="C8" s="721" t="s">
        <v>1295</v>
      </c>
      <c r="D8" s="722">
        <f>B8*$G$2</f>
        <v>0</v>
      </c>
      <c r="E8" s="722">
        <f>B8*$H$2</f>
        <v>0</v>
      </c>
      <c r="F8" s="721"/>
      <c r="G8" s="721"/>
      <c r="H8" s="721"/>
    </row>
    <row r="9" spans="1:8" x14ac:dyDescent="0.2">
      <c r="A9" s="721" t="s">
        <v>1160</v>
      </c>
      <c r="B9" s="722">
        <f>SUM('Rozpočet - HW a licencie'!J3:J4)</f>
        <v>0</v>
      </c>
      <c r="C9" s="721" t="s">
        <v>1295</v>
      </c>
      <c r="D9" s="722">
        <f>B9*$G$2</f>
        <v>0</v>
      </c>
      <c r="E9" s="722">
        <f>B9*$H$2</f>
        <v>0</v>
      </c>
      <c r="F9" s="721"/>
      <c r="G9" s="721"/>
      <c r="H9" s="721"/>
    </row>
    <row r="10" spans="1:8" x14ac:dyDescent="0.2">
      <c r="A10" s="721" t="s">
        <v>1296</v>
      </c>
      <c r="B10" s="722">
        <f>POZICIE_INTERNE!I64</f>
        <v>221093.8401</v>
      </c>
      <c r="C10" s="721" t="s">
        <v>144</v>
      </c>
      <c r="D10" s="722">
        <f>B10*$G$2</f>
        <v>191776.79690274</v>
      </c>
      <c r="E10" s="722">
        <f>B10*$H$2</f>
        <v>29317.043197259998</v>
      </c>
      <c r="F10" s="721"/>
      <c r="G10" s="721"/>
      <c r="H10" s="721"/>
    </row>
    <row r="11" spans="1:8" x14ac:dyDescent="0.2">
      <c r="A11" s="721" t="s">
        <v>985</v>
      </c>
      <c r="B11" s="722">
        <f>SUM(B2:B10)</f>
        <v>3379577.2700999998</v>
      </c>
      <c r="C11" s="721"/>
      <c r="D11" s="722">
        <f>SUM(D2:D10)</f>
        <v>2931445.3240847397</v>
      </c>
      <c r="E11" s="722">
        <f>SUM(E2:E10)</f>
        <v>448131.94601525995</v>
      </c>
      <c r="F11" s="721"/>
      <c r="G11" s="721"/>
      <c r="H11" s="72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9">
    <tabColor theme="0" tint="-0.34998626667073579"/>
    <outlinePr summaryBelow="0" summaryRight="0"/>
  </sheetPr>
  <dimension ref="A1:M44"/>
  <sheetViews>
    <sheetView workbookViewId="0"/>
  </sheetViews>
  <sheetFormatPr baseColWidth="10" defaultColWidth="8.6640625" defaultRowHeight="15" outlineLevelCol="1" x14ac:dyDescent="0.2"/>
  <cols>
    <col min="2" max="2" width="54.1640625" customWidth="1"/>
    <col min="3" max="3" width="18.6640625" customWidth="1"/>
    <col min="4" max="13" width="16" customWidth="1" outlineLevel="1"/>
  </cols>
  <sheetData>
    <row r="1" spans="1:13" ht="21" x14ac:dyDescent="0.25">
      <c r="A1" s="94" t="s">
        <v>1137</v>
      </c>
      <c r="B1" s="95"/>
      <c r="E1" s="84"/>
      <c r="F1" s="84"/>
      <c r="G1" s="84"/>
      <c r="H1" s="84"/>
      <c r="I1" s="84"/>
      <c r="J1" s="84"/>
      <c r="K1" s="84"/>
      <c r="L1" s="84"/>
      <c r="M1" s="80"/>
    </row>
    <row r="2" spans="1:13" ht="16" x14ac:dyDescent="0.2">
      <c r="A2" s="96"/>
      <c r="B2" s="82"/>
      <c r="D2" s="82"/>
      <c r="E2" s="82"/>
      <c r="F2" s="82"/>
      <c r="G2" s="82"/>
      <c r="H2" s="82"/>
      <c r="I2" s="82"/>
      <c r="J2" s="82"/>
      <c r="K2" s="82"/>
      <c r="L2" s="82"/>
      <c r="M2" s="76"/>
    </row>
    <row r="3" spans="1:13" ht="16" x14ac:dyDescent="0.2">
      <c r="A3" s="160" t="s">
        <v>1138</v>
      </c>
      <c r="B3" s="82"/>
      <c r="D3" s="76"/>
      <c r="E3" s="76"/>
      <c r="F3" s="76"/>
      <c r="G3" s="76"/>
      <c r="H3" s="76"/>
      <c r="I3" s="76"/>
      <c r="J3" s="76"/>
      <c r="K3" s="76"/>
      <c r="L3" s="76"/>
      <c r="M3" s="76"/>
    </row>
    <row r="4" spans="1:13" x14ac:dyDescent="0.2">
      <c r="D4" s="77"/>
      <c r="E4" s="77"/>
      <c r="F4" s="77"/>
      <c r="G4" s="77"/>
      <c r="H4" s="77"/>
      <c r="I4" s="77"/>
      <c r="J4" s="77"/>
      <c r="K4" s="77"/>
      <c r="L4" s="77"/>
      <c r="M4" s="77"/>
    </row>
    <row r="5" spans="1:13" ht="16" thickBot="1" x14ac:dyDescent="0.25">
      <c r="B5" s="77"/>
      <c r="C5" s="81"/>
      <c r="D5" s="878" t="s">
        <v>191</v>
      </c>
      <c r="E5" s="878"/>
      <c r="F5" s="878"/>
      <c r="G5" s="878"/>
      <c r="H5" s="878"/>
      <c r="I5" s="878"/>
      <c r="J5" s="878"/>
      <c r="K5" s="878"/>
      <c r="L5" s="878"/>
      <c r="M5" s="878"/>
    </row>
    <row r="6" spans="1:13" ht="16" x14ac:dyDescent="0.2">
      <c r="A6" s="130"/>
      <c r="B6" s="155" t="s">
        <v>161</v>
      </c>
      <c r="C6" s="88" t="s">
        <v>96</v>
      </c>
      <c r="D6" s="100" t="s">
        <v>163</v>
      </c>
      <c r="E6" s="101" t="s">
        <v>164</v>
      </c>
      <c r="F6" s="101" t="s">
        <v>165</v>
      </c>
      <c r="G6" s="101" t="s">
        <v>166</v>
      </c>
      <c r="H6" s="101" t="s">
        <v>167</v>
      </c>
      <c r="I6" s="101" t="s">
        <v>168</v>
      </c>
      <c r="J6" s="101" t="s">
        <v>169</v>
      </c>
      <c r="K6" s="101" t="s">
        <v>170</v>
      </c>
      <c r="L6" s="101" t="s">
        <v>171</v>
      </c>
      <c r="M6" s="102" t="s">
        <v>172</v>
      </c>
    </row>
    <row r="7" spans="1:13" x14ac:dyDescent="0.2">
      <c r="A7" s="158"/>
      <c r="B7" s="156" t="s">
        <v>1139</v>
      </c>
      <c r="C7" s="89">
        <f t="shared" ref="C7:C14" si="0">SUM(D7:M7)</f>
        <v>0</v>
      </c>
      <c r="D7" s="103">
        <f>'TCO TO BE- SW'!$E6+'TCO TO BE- SW'!$E26+'TCO TO BE- SW'!$E16</f>
        <v>0</v>
      </c>
      <c r="E7" s="86">
        <f>'TCO TO BE- SW'!$E7+'TCO TO BE- SW'!$E27+'TCO TO BE- SW'!$E17</f>
        <v>0</v>
      </c>
      <c r="F7" s="86">
        <f>'TCO TO BE- SW'!$E8+'TCO TO BE- SW'!$E28+'TCO TO BE- SW'!$E18</f>
        <v>0</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x14ac:dyDescent="0.2">
      <c r="A8" s="158"/>
      <c r="B8" s="156" t="s">
        <v>1140</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x14ac:dyDescent="0.2">
      <c r="A9" s="158"/>
      <c r="B9" s="156" t="s">
        <v>1141</v>
      </c>
      <c r="C9" s="89">
        <f t="shared" si="0"/>
        <v>3158483.4299999997</v>
      </c>
      <c r="D9" s="103">
        <f>'TCO TO BE- SW'!$E37+'TCO TO BE- SW'!$E47+'TCO TO BE- SW'!$E67+'TCO TO BE- SW'!E57</f>
        <v>0</v>
      </c>
      <c r="E9" s="86">
        <f>'TCO TO BE- SW'!$E38+'TCO TO BE- SW'!$E48+'TCO TO BE- SW'!$E68+'TCO TO BE- SW'!E58</f>
        <v>3158483.4299999997</v>
      </c>
      <c r="F9" s="86">
        <f>'TCO TO BE- SW'!$E39+'TCO TO BE- SW'!$E49+'TCO TO BE- SW'!$E69+'TCO TO BE- SW'!E59</f>
        <v>0</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x14ac:dyDescent="0.2">
      <c r="A10" s="158"/>
      <c r="B10" s="156" t="s">
        <v>1142</v>
      </c>
      <c r="C10" s="89">
        <f t="shared" si="0"/>
        <v>3243768.1524000005</v>
      </c>
      <c r="D10" s="103">
        <f>'TCO TO BE- SW'!$E100+'TCO TO BE- SW'!$E110+'TCO TO BE- SW'!$E120+'TCO TO BE- SW'!$E130+'TCO TO BE- SW'!$E140</f>
        <v>0</v>
      </c>
      <c r="E10" s="86">
        <f>'TCO TO BE- SW'!$E101+'TCO TO BE- SW'!$E111+'TCO TO BE- SW'!$E121+'TCO TO BE- SW'!$E131+'TCO TO BE- SW'!$E141</f>
        <v>360418.68360000005</v>
      </c>
      <c r="F10" s="86">
        <f>'TCO TO BE- SW'!$E102+'TCO TO BE- SW'!$E112+'TCO TO BE- SW'!$E122+'TCO TO BE- SW'!$E132+'TCO TO BE- SW'!$E142</f>
        <v>360418.68360000005</v>
      </c>
      <c r="G10" s="86">
        <f>'TCO TO BE- SW'!$E103+'TCO TO BE- SW'!$E113+'TCO TO BE- SW'!$E123+'TCO TO BE- SW'!$E133+'TCO TO BE- SW'!$E143</f>
        <v>360418.68360000005</v>
      </c>
      <c r="H10" s="86">
        <f>'TCO TO BE- SW'!$E104+'TCO TO BE- SW'!$E114+'TCO TO BE- SW'!$E124+'TCO TO BE- SW'!$E134+'TCO TO BE- SW'!$E144</f>
        <v>360418.68360000005</v>
      </c>
      <c r="I10" s="86">
        <f>'TCO TO BE- SW'!$E105+'TCO TO BE- SW'!$E115+'TCO TO BE- SW'!$E125+'TCO TO BE- SW'!$E135+'TCO TO BE- SW'!$E145</f>
        <v>360418.68360000005</v>
      </c>
      <c r="J10" s="86">
        <f>'TCO TO BE- SW'!$E106+'TCO TO BE- SW'!$E116+'TCO TO BE- SW'!$E126+'TCO TO BE- SW'!$E136+'TCO TO BE- SW'!$E146</f>
        <v>360418.68360000005</v>
      </c>
      <c r="K10" s="86">
        <f>'TCO TO BE- SW'!$E107+'TCO TO BE- SW'!$E117+'TCO TO BE- SW'!$E127+'TCO TO BE- SW'!$E137+'TCO TO BE- SW'!$E147</f>
        <v>360418.68360000005</v>
      </c>
      <c r="L10" s="86">
        <f>'TCO TO BE- SW'!$E108+'TCO TO BE- SW'!$E118+'TCO TO BE- SW'!$E128+'TCO TO BE- SW'!$E138+'TCO TO BE- SW'!$E148</f>
        <v>360418.68360000005</v>
      </c>
      <c r="M10" s="104">
        <f>'TCO TO BE- SW'!$E109+'TCO TO BE- SW'!$E119+'TCO TO BE- SW'!$E129+'TCO TO BE- SW'!$E139+'TCO TO BE- SW'!$E149</f>
        <v>360418.68360000005</v>
      </c>
    </row>
    <row r="11" spans="1:13" x14ac:dyDescent="0.2">
      <c r="A11" s="158"/>
      <c r="B11" s="156" t="s">
        <v>1143</v>
      </c>
      <c r="C11" s="89">
        <f t="shared" si="0"/>
        <v>0</v>
      </c>
      <c r="D11" s="103">
        <f>'TCO TO BE- SW'!E172+'TCO TO BE- SW'!E182</f>
        <v>0</v>
      </c>
      <c r="E11" s="86">
        <f>'TCO TO BE- SW'!E173+'TCO TO BE- SW'!E183</f>
        <v>0</v>
      </c>
      <c r="F11" s="86">
        <f>'TCO TO BE- SW'!E174+'TCO TO BE- SW'!E184</f>
        <v>0</v>
      </c>
      <c r="G11" s="86">
        <f>'TCO TO BE- SW'!E175+'TCO TO BE- SW'!E185</f>
        <v>0</v>
      </c>
      <c r="H11" s="86">
        <f>'TCO TO BE- SW'!E176+'TCO TO BE- SW'!E186</f>
        <v>0</v>
      </c>
      <c r="I11" s="86">
        <f>'TCO TO BE- SW'!E177+'TCO TO BE- SW'!E187</f>
        <v>0</v>
      </c>
      <c r="J11" s="86">
        <f>'TCO TO BE- SW'!E178+'TCO TO BE- SW'!E188</f>
        <v>0</v>
      </c>
      <c r="K11" s="86">
        <f>'TCO TO BE- SW'!E179+'TCO TO BE- SW'!E189</f>
        <v>0</v>
      </c>
      <c r="L11" s="86">
        <f>'TCO TO BE- SW'!E180+'TCO TO BE- SW'!E190</f>
        <v>0</v>
      </c>
      <c r="M11" s="104">
        <f>'TCO TO BE- SW'!E181+'TCO TO BE- SW'!E191</f>
        <v>0</v>
      </c>
    </row>
    <row r="12" spans="1:13" x14ac:dyDescent="0.2">
      <c r="A12" s="158"/>
      <c r="B12" s="156" t="s">
        <v>1144</v>
      </c>
      <c r="C12" s="89">
        <f t="shared" si="0"/>
        <v>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x14ac:dyDescent="0.2">
      <c r="A13" s="158"/>
      <c r="B13" s="156" t="s">
        <v>1145</v>
      </c>
      <c r="C13" s="89">
        <f t="shared" si="0"/>
        <v>0</v>
      </c>
      <c r="D13" s="103">
        <f>'TCO TO BE - HW'!$E56+'TCO TO BE - HW'!$E66+'TCO TO BE - HW'!$E76+'TCO TO BE - HW'!$E86+'TCO TO BE - HW'!$E96</f>
        <v>0</v>
      </c>
      <c r="E13" s="86">
        <f>'TCO TO BE - HW'!$E57+'TCO TO BE - HW'!$E67+'TCO TO BE - HW'!$E77+'TCO TO BE - HW'!$E87+'TCO TO BE - HW'!$E97</f>
        <v>0</v>
      </c>
      <c r="F13" s="86">
        <f>'TCO TO BE - HW'!$E58+'TCO TO BE - HW'!$E68+'TCO TO BE - HW'!$E78+'TCO TO BE - HW'!$E88+'TCO TO BE - HW'!$E98</f>
        <v>0</v>
      </c>
      <c r="G13" s="86">
        <f>'TCO TO BE - HW'!$E59+'TCO TO BE - HW'!$E69+'TCO TO BE - HW'!$E79+'TCO TO BE - HW'!$E89+'TCO TO BE - HW'!$E99</f>
        <v>0</v>
      </c>
      <c r="H13" s="86">
        <f>'TCO TO BE - HW'!$E60+'TCO TO BE - HW'!$E70+'TCO TO BE - HW'!$E80+'TCO TO BE - HW'!$E90+'TCO TO BE - HW'!$E100</f>
        <v>0</v>
      </c>
      <c r="I13" s="86">
        <f>'TCO TO BE - HW'!$E61+'TCO TO BE - HW'!$E71+'TCO TO BE - HW'!$E81+'TCO TO BE - HW'!$E91+'TCO TO BE - HW'!$E101</f>
        <v>0</v>
      </c>
      <c r="J13" s="86">
        <f>'TCO TO BE - HW'!$E62+'TCO TO BE - HW'!$E72+'TCO TO BE - HW'!$E82+'TCO TO BE - HW'!$E92+'TCO TO BE - HW'!$E102</f>
        <v>0</v>
      </c>
      <c r="K13" s="86">
        <f>'TCO TO BE - HW'!$E63+'TCO TO BE - HW'!$E73+'TCO TO BE - HW'!$E83+'TCO TO BE - HW'!$E93+'TCO TO BE - HW'!$E103</f>
        <v>0</v>
      </c>
      <c r="L13" s="86">
        <f>'TCO TO BE - HW'!$E64+'TCO TO BE - HW'!$E74+'TCO TO BE - HW'!$E84+'TCO TO BE - HW'!$E94+'TCO TO BE - HW'!$E104</f>
        <v>0</v>
      </c>
      <c r="M13" s="104">
        <f>'TCO TO BE - HW'!$E65+'TCO TO BE - HW'!$E75+'TCO TO BE - HW'!$E85+'TCO TO BE - HW'!$E95+'TCO TO BE - HW'!$E105</f>
        <v>0</v>
      </c>
    </row>
    <row r="14" spans="1:13" ht="16" thickBot="1" x14ac:dyDescent="0.25">
      <c r="A14" s="158"/>
      <c r="B14" s="319" t="s">
        <v>104</v>
      </c>
      <c r="C14" s="320">
        <f t="shared" si="0"/>
        <v>221093.84010000003</v>
      </c>
      <c r="D14" s="321">
        <f>'TCO TO BE- SW'!E151+'TCO TO BE- SW'!E161</f>
        <v>176875.07208000001</v>
      </c>
      <c r="E14" s="322">
        <f>'TCO TO BE- SW'!E152+'TCO TO BE- SW'!E162</f>
        <v>44218.768020000003</v>
      </c>
      <c r="F14" s="322">
        <f>'TCO TO BE- SW'!E153+'TCO TO BE- SW'!E163</f>
        <v>0</v>
      </c>
      <c r="G14" s="322">
        <f>'TCO TO BE- SW'!E154+'TCO TO BE- SW'!E164</f>
        <v>0</v>
      </c>
      <c r="H14" s="322">
        <f>'TCO TO BE- SW'!E155+'TCO TO BE- SW'!E165</f>
        <v>0</v>
      </c>
      <c r="I14" s="322">
        <f>'TCO TO BE- SW'!E156+'TCO TO BE- SW'!E166</f>
        <v>0</v>
      </c>
      <c r="J14" s="322">
        <f>'TCO TO BE- SW'!E157+'TCO TO BE- SW'!E167</f>
        <v>0</v>
      </c>
      <c r="K14" s="322">
        <f>'TCO TO BE- SW'!E158+'TCO TO BE- SW'!E168</f>
        <v>0</v>
      </c>
      <c r="L14" s="322">
        <f>'TCO TO BE- SW'!E159+'TCO TO BE- SW'!E169</f>
        <v>0</v>
      </c>
      <c r="M14" s="323">
        <f>'TCO TO BE- SW'!E160+'TCO TO BE- SW'!E170</f>
        <v>0</v>
      </c>
    </row>
    <row r="15" spans="1:13" ht="16" thickBot="1" x14ac:dyDescent="0.25">
      <c r="A15" s="159"/>
      <c r="B15" s="157" t="s">
        <v>1146</v>
      </c>
      <c r="C15" s="91">
        <f>SUM(C7:C14)</f>
        <v>6623345.4224999994</v>
      </c>
      <c r="D15" s="87">
        <f>SUM(D7:D14)</f>
        <v>176875.07208000001</v>
      </c>
      <c r="E15" s="87">
        <f t="shared" ref="E15:M15" si="1">SUM(E7:E14)</f>
        <v>3563120.8816199997</v>
      </c>
      <c r="F15" s="87">
        <f t="shared" si="1"/>
        <v>360418.68360000005</v>
      </c>
      <c r="G15" s="87">
        <f t="shared" si="1"/>
        <v>360418.68360000005</v>
      </c>
      <c r="H15" s="87">
        <f t="shared" si="1"/>
        <v>360418.68360000005</v>
      </c>
      <c r="I15" s="87">
        <f t="shared" si="1"/>
        <v>360418.68360000005</v>
      </c>
      <c r="J15" s="87">
        <f t="shared" si="1"/>
        <v>360418.68360000005</v>
      </c>
      <c r="K15" s="87">
        <f t="shared" si="1"/>
        <v>360418.68360000005</v>
      </c>
      <c r="L15" s="87">
        <f t="shared" si="1"/>
        <v>360418.68360000005</v>
      </c>
      <c r="M15" s="87">
        <f t="shared" si="1"/>
        <v>360418.68360000005</v>
      </c>
    </row>
    <row r="16" spans="1:13" x14ac:dyDescent="0.2">
      <c r="A16" s="77"/>
      <c r="B16" s="77"/>
      <c r="C16" s="77"/>
      <c r="D16" s="77"/>
      <c r="E16" s="77"/>
      <c r="F16" s="77"/>
      <c r="G16" s="77"/>
      <c r="H16" s="77"/>
      <c r="I16" s="77"/>
      <c r="J16" s="77"/>
      <c r="K16" s="77"/>
      <c r="L16" s="77"/>
      <c r="M16" s="77"/>
    </row>
    <row r="17" spans="1:13" x14ac:dyDescent="0.2">
      <c r="A17" s="77"/>
      <c r="B17" s="77"/>
      <c r="C17" s="77"/>
      <c r="D17" s="77"/>
      <c r="E17" s="77"/>
      <c r="F17" s="77"/>
      <c r="G17" s="77"/>
      <c r="H17" s="77"/>
      <c r="I17" s="77"/>
      <c r="J17" s="77"/>
      <c r="K17" s="77"/>
      <c r="L17" s="77"/>
      <c r="M17" s="77"/>
    </row>
    <row r="18" spans="1:13" ht="32.25" customHeight="1" x14ac:dyDescent="0.2">
      <c r="A18" s="879" t="s">
        <v>1147</v>
      </c>
      <c r="B18" s="879"/>
      <c r="C18" s="879"/>
      <c r="D18" s="83"/>
      <c r="E18" s="82"/>
      <c r="F18" s="82"/>
      <c r="G18" s="82"/>
      <c r="H18" s="82"/>
      <c r="I18" s="82"/>
      <c r="J18" s="82"/>
      <c r="K18" s="82"/>
      <c r="L18" s="82"/>
      <c r="M18" s="76"/>
    </row>
    <row r="19" spans="1:13" x14ac:dyDescent="0.2">
      <c r="A19" s="77"/>
      <c r="B19" s="77"/>
      <c r="C19" s="77"/>
      <c r="D19" s="77"/>
      <c r="E19" s="77"/>
      <c r="F19" s="77"/>
      <c r="G19" s="77"/>
      <c r="H19" s="77"/>
      <c r="I19" s="77"/>
      <c r="J19" s="77"/>
      <c r="K19" s="77"/>
      <c r="L19" s="77"/>
      <c r="M19" s="77"/>
    </row>
    <row r="20" spans="1:13" ht="16" thickBot="1" x14ac:dyDescent="0.25">
      <c r="B20" s="77"/>
      <c r="C20" s="81"/>
      <c r="D20" s="878" t="s">
        <v>191</v>
      </c>
      <c r="E20" s="878"/>
      <c r="F20" s="878"/>
      <c r="G20" s="878"/>
      <c r="H20" s="878"/>
      <c r="I20" s="878"/>
      <c r="J20" s="878"/>
      <c r="K20" s="878"/>
      <c r="L20" s="878"/>
      <c r="M20" s="878"/>
    </row>
    <row r="21" spans="1:13" ht="17" customHeight="1" x14ac:dyDescent="0.2">
      <c r="A21" s="130"/>
      <c r="B21" s="154" t="s">
        <v>160</v>
      </c>
      <c r="C21" s="88" t="s">
        <v>96</v>
      </c>
      <c r="D21" s="100" t="s">
        <v>163</v>
      </c>
      <c r="E21" s="101" t="s">
        <v>164</v>
      </c>
      <c r="F21" s="101" t="s">
        <v>165</v>
      </c>
      <c r="G21" s="101" t="s">
        <v>166</v>
      </c>
      <c r="H21" s="101" t="s">
        <v>167</v>
      </c>
      <c r="I21" s="101" t="s">
        <v>168</v>
      </c>
      <c r="J21" s="101" t="s">
        <v>169</v>
      </c>
      <c r="K21" s="101" t="s">
        <v>170</v>
      </c>
      <c r="L21" s="101" t="s">
        <v>171</v>
      </c>
      <c r="M21" s="102" t="s">
        <v>172</v>
      </c>
    </row>
    <row r="22" spans="1:13" ht="15" customHeight="1" x14ac:dyDescent="0.2">
      <c r="A22" s="158"/>
      <c r="B22" s="98" t="s">
        <v>1139</v>
      </c>
      <c r="C22" s="89">
        <v>0</v>
      </c>
      <c r="D22" s="103">
        <v>0</v>
      </c>
      <c r="E22" s="86">
        <v>0</v>
      </c>
      <c r="F22" s="86">
        <v>0</v>
      </c>
      <c r="G22" s="86">
        <v>0</v>
      </c>
      <c r="H22" s="86">
        <v>0</v>
      </c>
      <c r="I22" s="86">
        <v>0</v>
      </c>
      <c r="J22" s="86">
        <v>0</v>
      </c>
      <c r="K22" s="86">
        <v>0</v>
      </c>
      <c r="L22" s="86">
        <v>0</v>
      </c>
      <c r="M22" s="104">
        <v>0</v>
      </c>
    </row>
    <row r="23" spans="1:13" ht="17.25" customHeight="1" x14ac:dyDescent="0.2">
      <c r="A23" s="158"/>
      <c r="B23" s="98" t="s">
        <v>1140</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x14ac:dyDescent="0.2">
      <c r="A24" s="158"/>
      <c r="B24" s="98" t="s">
        <v>1141</v>
      </c>
      <c r="C24" s="89">
        <v>0</v>
      </c>
      <c r="D24" s="103">
        <v>0</v>
      </c>
      <c r="E24" s="86">
        <v>0</v>
      </c>
      <c r="F24" s="86">
        <v>0</v>
      </c>
      <c r="G24" s="86">
        <v>0</v>
      </c>
      <c r="H24" s="86">
        <v>0</v>
      </c>
      <c r="I24" s="86">
        <v>0</v>
      </c>
      <c r="J24" s="86">
        <v>0</v>
      </c>
      <c r="K24" s="86">
        <v>0</v>
      </c>
      <c r="L24" s="86">
        <v>0</v>
      </c>
      <c r="M24" s="104">
        <v>0</v>
      </c>
    </row>
    <row r="25" spans="1:13" x14ac:dyDescent="0.2">
      <c r="A25" s="158"/>
      <c r="B25" s="98" t="s">
        <v>1142</v>
      </c>
      <c r="C25" s="89">
        <f>SUM(D25:M25)</f>
        <v>78682</v>
      </c>
      <c r="D25" s="103">
        <f>'TCO AS IS - SW'!E26+'TCO AS IS - SW'!E36+'TCO AS IS - SW'!E46+'TCO AS IS - SW'!E56+'TCO AS IS - SW'!E66</f>
        <v>0</v>
      </c>
      <c r="E25" s="86">
        <f>'TCO AS IS - SW'!E27+'TCO AS IS - SW'!E37+'TCO AS IS - SW'!E47+'TCO AS IS - SW'!E57+'TCO AS IS - SW'!E67</f>
        <v>10582</v>
      </c>
      <c r="F25" s="86">
        <f>'TCO AS IS - SW'!E28+'TCO AS IS - SW'!E38+'TCO AS IS - SW'!E48+'TCO AS IS - SW'!E58+'TCO AS IS - SW'!E68</f>
        <v>0</v>
      </c>
      <c r="G25" s="86">
        <f>'TCO AS IS - SW'!E29+'TCO AS IS - SW'!E39+'TCO AS IS - SW'!E49+'TCO AS IS - SW'!E59+'TCO AS IS - SW'!E69</f>
        <v>55600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12500</v>
      </c>
      <c r="M25" s="104">
        <f>'TCO AS IS - SW'!E35+'TCO AS IS - SW'!E45+'TCO AS IS - SW'!E55+'TCO AS IS - SW'!E65+'TCO AS IS - SW'!E75</f>
        <v>0</v>
      </c>
    </row>
    <row r="26" spans="1:13" x14ac:dyDescent="0.2">
      <c r="A26" s="158"/>
      <c r="B26" s="98" t="s">
        <v>1144</v>
      </c>
      <c r="C26" s="89">
        <v>0</v>
      </c>
      <c r="D26" s="103">
        <v>0</v>
      </c>
      <c r="E26" s="86">
        <v>0</v>
      </c>
      <c r="F26" s="86">
        <v>0</v>
      </c>
      <c r="G26" s="86">
        <v>0</v>
      </c>
      <c r="H26" s="86">
        <v>0</v>
      </c>
      <c r="I26" s="86">
        <v>0</v>
      </c>
      <c r="J26" s="86">
        <v>0</v>
      </c>
      <c r="K26" s="86">
        <v>0</v>
      </c>
      <c r="L26" s="86">
        <v>0</v>
      </c>
      <c r="M26" s="104">
        <v>0</v>
      </c>
    </row>
    <row r="27" spans="1:13" ht="16" thickBot="1" x14ac:dyDescent="0.25">
      <c r="A27" s="158"/>
      <c r="B27" s="99" t="s">
        <v>1145</v>
      </c>
      <c r="C27" s="90">
        <f>SUM(D27:M27)</f>
        <v>258500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250000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8500</v>
      </c>
      <c r="L27" s="106">
        <f>'TCO AS IS - HW'!E12+'TCO AS IS - HW'!E22+'TCO AS IS - HW'!E32+'TCO AS IS - HW'!E42+'TCO AS IS - HW'!E52</f>
        <v>0</v>
      </c>
      <c r="M27" s="107">
        <f>'TCO AS IS - HW'!E13+'TCO AS IS - HW'!E23+'TCO AS IS - HW'!E33+'TCO AS IS - HW'!E43+'TCO AS IS - HW'!E53</f>
        <v>0</v>
      </c>
    </row>
    <row r="28" spans="1:13" ht="16" thickBot="1" x14ac:dyDescent="0.25">
      <c r="A28" s="159"/>
      <c r="B28" s="85" t="s">
        <v>1146</v>
      </c>
      <c r="C28" s="91">
        <f t="shared" ref="C28:M28" si="2">SUM(C22:C27)</f>
        <v>337182</v>
      </c>
      <c r="D28" s="87">
        <f t="shared" si="2"/>
        <v>0</v>
      </c>
      <c r="E28" s="79">
        <f t="shared" si="2"/>
        <v>10582</v>
      </c>
      <c r="F28" s="79">
        <f t="shared" si="2"/>
        <v>0</v>
      </c>
      <c r="G28" s="79">
        <f t="shared" si="2"/>
        <v>55600</v>
      </c>
      <c r="H28" s="79">
        <f t="shared" si="2"/>
        <v>250000</v>
      </c>
      <c r="I28" s="79">
        <f t="shared" si="2"/>
        <v>0</v>
      </c>
      <c r="J28" s="79">
        <f t="shared" si="2"/>
        <v>0</v>
      </c>
      <c r="K28" s="79">
        <f t="shared" si="2"/>
        <v>8500</v>
      </c>
      <c r="L28" s="93">
        <f t="shared" si="2"/>
        <v>12500</v>
      </c>
      <c r="M28" s="92">
        <f t="shared" si="2"/>
        <v>0</v>
      </c>
    </row>
    <row r="29" spans="1:13" x14ac:dyDescent="0.2">
      <c r="A29" s="151"/>
      <c r="B29" s="152"/>
      <c r="C29" s="153"/>
      <c r="D29" s="153"/>
      <c r="E29" s="153"/>
      <c r="F29" s="153"/>
      <c r="G29" s="153"/>
      <c r="H29" s="153"/>
      <c r="I29" s="153"/>
      <c r="J29" s="153"/>
      <c r="K29" s="153"/>
      <c r="L29" s="153"/>
      <c r="M29" s="153"/>
    </row>
    <row r="32" spans="1:13" ht="15.75" customHeight="1" x14ac:dyDescent="0.2">
      <c r="A32" s="879" t="s">
        <v>1148</v>
      </c>
      <c r="B32" s="879"/>
      <c r="C32" s="879"/>
    </row>
    <row r="34" spans="1:13" ht="16" thickBot="1" x14ac:dyDescent="0.25"/>
    <row r="35" spans="1:13" ht="16" x14ac:dyDescent="0.2">
      <c r="A35" s="130"/>
      <c r="B35" s="154" t="s">
        <v>207</v>
      </c>
      <c r="C35" s="117" t="s">
        <v>96</v>
      </c>
      <c r="D35" s="118" t="s">
        <v>163</v>
      </c>
      <c r="E35" s="119" t="s">
        <v>164</v>
      </c>
      <c r="F35" s="119" t="s">
        <v>165</v>
      </c>
      <c r="G35" s="119" t="s">
        <v>166</v>
      </c>
      <c r="H35" s="119" t="s">
        <v>167</v>
      </c>
      <c r="I35" s="119" t="s">
        <v>168</v>
      </c>
      <c r="J35" s="119" t="s">
        <v>169</v>
      </c>
      <c r="K35" s="119" t="s">
        <v>170</v>
      </c>
      <c r="L35" s="119" t="s">
        <v>171</v>
      </c>
      <c r="M35" s="120" t="s">
        <v>172</v>
      </c>
    </row>
    <row r="36" spans="1:13" x14ac:dyDescent="0.2">
      <c r="A36" s="158"/>
      <c r="B36" s="121" t="s">
        <v>1139</v>
      </c>
      <c r="C36" s="89">
        <f>SUM(D36:M36)</f>
        <v>0</v>
      </c>
      <c r="D36" s="103">
        <f t="shared" ref="D36:M36" si="3">D7-D22</f>
        <v>0</v>
      </c>
      <c r="E36" s="86">
        <f t="shared" si="3"/>
        <v>0</v>
      </c>
      <c r="F36" s="86">
        <f t="shared" si="3"/>
        <v>0</v>
      </c>
      <c r="G36" s="86">
        <f t="shared" si="3"/>
        <v>0</v>
      </c>
      <c r="H36" s="86">
        <f t="shared" si="3"/>
        <v>0</v>
      </c>
      <c r="I36" s="86">
        <f t="shared" si="3"/>
        <v>0</v>
      </c>
      <c r="J36" s="86">
        <f t="shared" si="3"/>
        <v>0</v>
      </c>
      <c r="K36" s="86">
        <f t="shared" si="3"/>
        <v>0</v>
      </c>
      <c r="L36" s="86">
        <f t="shared" si="3"/>
        <v>0</v>
      </c>
      <c r="M36" s="122">
        <f t="shared" si="3"/>
        <v>0</v>
      </c>
    </row>
    <row r="37" spans="1:13" x14ac:dyDescent="0.2">
      <c r="A37" s="158"/>
      <c r="B37" s="98" t="s">
        <v>1140</v>
      </c>
      <c r="C37" s="89">
        <f t="shared" ref="C37:C43" si="4">SUM(D37:M37)</f>
        <v>0</v>
      </c>
      <c r="D37" s="103">
        <f t="shared" ref="D37:M37" si="5">D8-D23</f>
        <v>0</v>
      </c>
      <c r="E37" s="86">
        <f t="shared" si="5"/>
        <v>0</v>
      </c>
      <c r="F37" s="86">
        <f t="shared" si="5"/>
        <v>0</v>
      </c>
      <c r="G37" s="86">
        <f t="shared" si="5"/>
        <v>0</v>
      </c>
      <c r="H37" s="86">
        <f t="shared" si="5"/>
        <v>0</v>
      </c>
      <c r="I37" s="86">
        <f t="shared" si="5"/>
        <v>0</v>
      </c>
      <c r="J37" s="86">
        <f t="shared" si="5"/>
        <v>0</v>
      </c>
      <c r="K37" s="86">
        <f t="shared" si="5"/>
        <v>0</v>
      </c>
      <c r="L37" s="123">
        <f t="shared" si="5"/>
        <v>0</v>
      </c>
      <c r="M37" s="104">
        <f t="shared" si="5"/>
        <v>0</v>
      </c>
    </row>
    <row r="38" spans="1:13" x14ac:dyDescent="0.2">
      <c r="A38" s="158"/>
      <c r="B38" s="121" t="s">
        <v>1141</v>
      </c>
      <c r="C38" s="89">
        <f t="shared" si="4"/>
        <v>3158483.4299999997</v>
      </c>
      <c r="D38" s="103">
        <f t="shared" ref="D38:M38" si="6">D9-D24</f>
        <v>0</v>
      </c>
      <c r="E38" s="86">
        <f t="shared" si="6"/>
        <v>3158483.4299999997</v>
      </c>
      <c r="F38" s="86">
        <f t="shared" si="6"/>
        <v>0</v>
      </c>
      <c r="G38" s="86">
        <f t="shared" si="6"/>
        <v>0</v>
      </c>
      <c r="H38" s="86">
        <f t="shared" si="6"/>
        <v>0</v>
      </c>
      <c r="I38" s="86">
        <f t="shared" si="6"/>
        <v>0</v>
      </c>
      <c r="J38" s="86">
        <f t="shared" si="6"/>
        <v>0</v>
      </c>
      <c r="K38" s="86">
        <f t="shared" si="6"/>
        <v>0</v>
      </c>
      <c r="L38" s="123">
        <f t="shared" si="6"/>
        <v>0</v>
      </c>
      <c r="M38" s="104">
        <f t="shared" si="6"/>
        <v>0</v>
      </c>
    </row>
    <row r="39" spans="1:13" x14ac:dyDescent="0.2">
      <c r="A39" s="158"/>
      <c r="B39" s="98" t="s">
        <v>1142</v>
      </c>
      <c r="C39" s="89">
        <f t="shared" si="4"/>
        <v>3165086.1524000005</v>
      </c>
      <c r="D39" s="103">
        <f t="shared" ref="D39:M39" si="7">D10-D25</f>
        <v>0</v>
      </c>
      <c r="E39" s="86">
        <f t="shared" si="7"/>
        <v>349836.68360000005</v>
      </c>
      <c r="F39" s="86">
        <f t="shared" si="7"/>
        <v>360418.68360000005</v>
      </c>
      <c r="G39" s="86">
        <f t="shared" si="7"/>
        <v>304818.68360000005</v>
      </c>
      <c r="H39" s="86">
        <f t="shared" si="7"/>
        <v>360418.68360000005</v>
      </c>
      <c r="I39" s="86">
        <f t="shared" si="7"/>
        <v>360418.68360000005</v>
      </c>
      <c r="J39" s="86">
        <f t="shared" si="7"/>
        <v>360418.68360000005</v>
      </c>
      <c r="K39" s="86">
        <f t="shared" si="7"/>
        <v>360418.68360000005</v>
      </c>
      <c r="L39" s="123">
        <f t="shared" si="7"/>
        <v>347918.68360000005</v>
      </c>
      <c r="M39" s="104">
        <f t="shared" si="7"/>
        <v>360418.68360000005</v>
      </c>
    </row>
    <row r="40" spans="1:13" x14ac:dyDescent="0.2">
      <c r="A40" s="158"/>
      <c r="B40" s="98" t="s">
        <v>1143</v>
      </c>
      <c r="C40" s="89">
        <f t="shared" si="4"/>
        <v>0</v>
      </c>
      <c r="D40" s="103">
        <f t="shared" ref="D40:M40" si="8">D11</f>
        <v>0</v>
      </c>
      <c r="E40" s="86">
        <f t="shared" si="8"/>
        <v>0</v>
      </c>
      <c r="F40" s="86">
        <f t="shared" si="8"/>
        <v>0</v>
      </c>
      <c r="G40" s="86">
        <f t="shared" si="8"/>
        <v>0</v>
      </c>
      <c r="H40" s="86">
        <f t="shared" si="8"/>
        <v>0</v>
      </c>
      <c r="I40" s="86">
        <f t="shared" si="8"/>
        <v>0</v>
      </c>
      <c r="J40" s="86">
        <f t="shared" si="8"/>
        <v>0</v>
      </c>
      <c r="K40" s="86">
        <f t="shared" si="8"/>
        <v>0</v>
      </c>
      <c r="L40" s="123">
        <f t="shared" si="8"/>
        <v>0</v>
      </c>
      <c r="M40" s="104">
        <f t="shared" si="8"/>
        <v>0</v>
      </c>
    </row>
    <row r="41" spans="1:13" x14ac:dyDescent="0.2">
      <c r="A41" s="158"/>
      <c r="B41" s="98" t="s">
        <v>1149</v>
      </c>
      <c r="C41" s="89">
        <f t="shared" si="4"/>
        <v>0</v>
      </c>
      <c r="D41" s="103">
        <f t="shared" ref="D41:M41" si="9">D12-D26</f>
        <v>0</v>
      </c>
      <c r="E41" s="86">
        <f t="shared" si="9"/>
        <v>0</v>
      </c>
      <c r="F41" s="86">
        <f t="shared" si="9"/>
        <v>0</v>
      </c>
      <c r="G41" s="86">
        <f t="shared" si="9"/>
        <v>0</v>
      </c>
      <c r="H41" s="86">
        <f t="shared" si="9"/>
        <v>0</v>
      </c>
      <c r="I41" s="86">
        <f t="shared" si="9"/>
        <v>0</v>
      </c>
      <c r="J41" s="86">
        <f t="shared" si="9"/>
        <v>0</v>
      </c>
      <c r="K41" s="86">
        <f t="shared" si="9"/>
        <v>0</v>
      </c>
      <c r="L41" s="123">
        <f t="shared" si="9"/>
        <v>0</v>
      </c>
      <c r="M41" s="104">
        <f t="shared" si="9"/>
        <v>0</v>
      </c>
    </row>
    <row r="42" spans="1:13" x14ac:dyDescent="0.2">
      <c r="A42" s="158"/>
      <c r="B42" s="99" t="s">
        <v>1150</v>
      </c>
      <c r="C42" s="90">
        <f t="shared" si="4"/>
        <v>-258500</v>
      </c>
      <c r="D42" s="103">
        <f t="shared" ref="D42:M42" si="10">D13-D27</f>
        <v>0</v>
      </c>
      <c r="E42" s="86">
        <f t="shared" si="10"/>
        <v>0</v>
      </c>
      <c r="F42" s="86">
        <f t="shared" si="10"/>
        <v>0</v>
      </c>
      <c r="G42" s="86">
        <f t="shared" si="10"/>
        <v>0</v>
      </c>
      <c r="H42" s="86">
        <f t="shared" si="10"/>
        <v>-250000</v>
      </c>
      <c r="I42" s="86">
        <f t="shared" si="10"/>
        <v>0</v>
      </c>
      <c r="J42" s="86">
        <f t="shared" si="10"/>
        <v>0</v>
      </c>
      <c r="K42" s="86">
        <f t="shared" si="10"/>
        <v>-8500</v>
      </c>
      <c r="L42" s="123">
        <f t="shared" si="10"/>
        <v>0</v>
      </c>
      <c r="M42" s="104">
        <f t="shared" si="10"/>
        <v>0</v>
      </c>
    </row>
    <row r="43" spans="1:13" ht="16" thickBot="1" x14ac:dyDescent="0.25">
      <c r="A43" s="158"/>
      <c r="B43" s="98" t="s">
        <v>104</v>
      </c>
      <c r="C43" s="89">
        <f t="shared" si="4"/>
        <v>221093.84010000003</v>
      </c>
      <c r="D43" s="103">
        <f t="shared" ref="D43:M43" si="11">D14</f>
        <v>176875.07208000001</v>
      </c>
      <c r="E43" s="86">
        <f t="shared" si="11"/>
        <v>44218.768020000003</v>
      </c>
      <c r="F43" s="86">
        <f t="shared" si="11"/>
        <v>0</v>
      </c>
      <c r="G43" s="86">
        <f t="shared" si="11"/>
        <v>0</v>
      </c>
      <c r="H43" s="86">
        <f t="shared" si="11"/>
        <v>0</v>
      </c>
      <c r="I43" s="86">
        <f t="shared" si="11"/>
        <v>0</v>
      </c>
      <c r="J43" s="86">
        <f t="shared" si="11"/>
        <v>0</v>
      </c>
      <c r="K43" s="86">
        <f t="shared" si="11"/>
        <v>0</v>
      </c>
      <c r="L43" s="123">
        <f t="shared" si="11"/>
        <v>0</v>
      </c>
      <c r="M43" s="104">
        <f t="shared" si="11"/>
        <v>0</v>
      </c>
    </row>
    <row r="44" spans="1:13" ht="16" thickBot="1" x14ac:dyDescent="0.25">
      <c r="A44" s="159"/>
      <c r="B44" s="85" t="s">
        <v>1146</v>
      </c>
      <c r="C44" s="91">
        <f>SUM(D44:M44)</f>
        <v>6241944.65448</v>
      </c>
      <c r="D44" s="87">
        <f>SUM(D36:D43)</f>
        <v>176875.07208000001</v>
      </c>
      <c r="E44" s="79">
        <f t="shared" ref="E44:M44" si="12">SUM(E36:E42)</f>
        <v>3508320.1135999998</v>
      </c>
      <c r="F44" s="79">
        <f t="shared" si="12"/>
        <v>360418.68360000005</v>
      </c>
      <c r="G44" s="79">
        <f t="shared" si="12"/>
        <v>304818.68360000005</v>
      </c>
      <c r="H44" s="79">
        <f t="shared" si="12"/>
        <v>110418.68360000005</v>
      </c>
      <c r="I44" s="79">
        <f t="shared" si="12"/>
        <v>360418.68360000005</v>
      </c>
      <c r="J44" s="79">
        <f t="shared" si="12"/>
        <v>360418.68360000005</v>
      </c>
      <c r="K44" s="79">
        <f t="shared" si="12"/>
        <v>351918.68360000005</v>
      </c>
      <c r="L44" s="93">
        <f t="shared" si="12"/>
        <v>347918.68360000005</v>
      </c>
      <c r="M44" s="92">
        <f t="shared" si="12"/>
        <v>360418.68360000005</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0">
    <tabColor rgb="FFFFFF00"/>
    <outlinePr summaryBelow="0" summaryRight="0"/>
  </sheetPr>
  <dimension ref="A1:E75"/>
  <sheetViews>
    <sheetView workbookViewId="0">
      <selection activeCell="G39" sqref="G39"/>
    </sheetView>
  </sheetViews>
  <sheetFormatPr baseColWidth="10" defaultColWidth="8.6640625" defaultRowHeight="15" outlineLevelRow="2" x14ac:dyDescent="0.2"/>
  <cols>
    <col min="1" max="1" width="22.5" customWidth="1"/>
    <col min="2" max="2" width="24.6640625" customWidth="1"/>
    <col min="3" max="3" width="22.5" customWidth="1"/>
    <col min="4" max="4" width="11" customWidth="1"/>
    <col min="5" max="5" width="17.6640625" customWidth="1"/>
  </cols>
  <sheetData>
    <row r="1" spans="1:5" ht="25.25" customHeight="1" thickBot="1" x14ac:dyDescent="0.3">
      <c r="A1" s="880" t="s">
        <v>1151</v>
      </c>
      <c r="B1" s="880"/>
      <c r="C1" s="880"/>
      <c r="D1" s="881"/>
      <c r="E1" s="66" t="s">
        <v>149</v>
      </c>
    </row>
    <row r="2" spans="1:5" ht="16" collapsed="1" thickBot="1" x14ac:dyDescent="0.25">
      <c r="A2" s="36" t="s">
        <v>1152</v>
      </c>
      <c r="B2" s="70" t="s">
        <v>1153</v>
      </c>
      <c r="C2" s="70" t="s">
        <v>1154</v>
      </c>
      <c r="D2" s="70" t="s">
        <v>159</v>
      </c>
      <c r="E2" s="17"/>
    </row>
    <row r="3" spans="1:5" ht="16" thickBot="1" x14ac:dyDescent="0.25">
      <c r="A3" s="882" t="s">
        <v>1155</v>
      </c>
      <c r="B3" s="883"/>
      <c r="C3" s="883"/>
      <c r="D3" s="75"/>
      <c r="E3" s="72">
        <f>E4+E25</f>
        <v>78682</v>
      </c>
    </row>
    <row r="4" spans="1:5" ht="16" outlineLevel="1" thickBot="1" x14ac:dyDescent="0.25">
      <c r="A4" s="17" t="s">
        <v>1156</v>
      </c>
      <c r="B4" s="17"/>
      <c r="C4" s="17"/>
      <c r="D4" s="27"/>
      <c r="E4" s="108">
        <f>SUM(E5:E24)</f>
        <v>0</v>
      </c>
    </row>
    <row r="5" spans="1:5" ht="16" outlineLevel="2" x14ac:dyDescent="0.2">
      <c r="A5" s="884" t="s">
        <v>1157</v>
      </c>
      <c r="B5" s="885" t="s">
        <v>1158</v>
      </c>
      <c r="C5" s="885">
        <v>635009</v>
      </c>
      <c r="D5" s="63" t="s">
        <v>163</v>
      </c>
      <c r="E5" s="530">
        <v>0</v>
      </c>
    </row>
    <row r="6" spans="1:5" ht="16" outlineLevel="2" x14ac:dyDescent="0.2">
      <c r="A6" s="884"/>
      <c r="B6" s="885"/>
      <c r="C6" s="885"/>
      <c r="D6" s="64" t="s">
        <v>164</v>
      </c>
      <c r="E6" s="531">
        <v>0</v>
      </c>
    </row>
    <row r="7" spans="1:5" ht="16" outlineLevel="2" x14ac:dyDescent="0.2">
      <c r="A7" s="884"/>
      <c r="B7" s="885"/>
      <c r="C7" s="885"/>
      <c r="D7" s="64" t="s">
        <v>165</v>
      </c>
      <c r="E7" s="531">
        <v>0</v>
      </c>
    </row>
    <row r="8" spans="1:5" ht="16" outlineLevel="2" x14ac:dyDescent="0.2">
      <c r="A8" s="884"/>
      <c r="B8" s="885"/>
      <c r="C8" s="885"/>
      <c r="D8" s="64" t="s">
        <v>166</v>
      </c>
      <c r="E8" s="531">
        <v>0</v>
      </c>
    </row>
    <row r="9" spans="1:5" ht="16" outlineLevel="2" x14ac:dyDescent="0.2">
      <c r="A9" s="884"/>
      <c r="B9" s="885"/>
      <c r="C9" s="885"/>
      <c r="D9" s="64" t="s">
        <v>167</v>
      </c>
      <c r="E9" s="531">
        <v>0</v>
      </c>
    </row>
    <row r="10" spans="1:5" ht="16" outlineLevel="2" x14ac:dyDescent="0.2">
      <c r="A10" s="884"/>
      <c r="B10" s="885"/>
      <c r="C10" s="885"/>
      <c r="D10" s="64" t="s">
        <v>168</v>
      </c>
      <c r="E10" s="531">
        <v>0</v>
      </c>
    </row>
    <row r="11" spans="1:5" ht="16" outlineLevel="2" x14ac:dyDescent="0.2">
      <c r="A11" s="884"/>
      <c r="B11" s="885"/>
      <c r="C11" s="885"/>
      <c r="D11" s="64" t="s">
        <v>169</v>
      </c>
      <c r="E11" s="531">
        <v>0</v>
      </c>
    </row>
    <row r="12" spans="1:5" ht="16" outlineLevel="2" x14ac:dyDescent="0.2">
      <c r="A12" s="884"/>
      <c r="B12" s="885"/>
      <c r="C12" s="885"/>
      <c r="D12" s="64" t="s">
        <v>170</v>
      </c>
      <c r="E12" s="531">
        <v>0</v>
      </c>
    </row>
    <row r="13" spans="1:5" ht="16" outlineLevel="2" x14ac:dyDescent="0.2">
      <c r="A13" s="884"/>
      <c r="B13" s="885"/>
      <c r="C13" s="885"/>
      <c r="D13" s="64" t="s">
        <v>171</v>
      </c>
      <c r="E13" s="531">
        <v>0</v>
      </c>
    </row>
    <row r="14" spans="1:5" ht="17" outlineLevel="2" thickBot="1" x14ac:dyDescent="0.25">
      <c r="A14" s="884"/>
      <c r="B14" s="885"/>
      <c r="C14" s="885"/>
      <c r="D14" s="65" t="s">
        <v>172</v>
      </c>
      <c r="E14" s="532">
        <v>0</v>
      </c>
    </row>
    <row r="15" spans="1:5" ht="16" outlineLevel="2" x14ac:dyDescent="0.2">
      <c r="A15" s="884" t="s">
        <v>1159</v>
      </c>
      <c r="B15" s="885" t="s">
        <v>1160</v>
      </c>
      <c r="C15" s="885">
        <v>718006</v>
      </c>
      <c r="D15" s="63" t="s">
        <v>163</v>
      </c>
      <c r="E15" s="531">
        <v>0</v>
      </c>
    </row>
    <row r="16" spans="1:5" ht="16" outlineLevel="2" x14ac:dyDescent="0.2">
      <c r="A16" s="884"/>
      <c r="B16" s="885"/>
      <c r="C16" s="885"/>
      <c r="D16" s="64" t="s">
        <v>164</v>
      </c>
      <c r="E16" s="531">
        <v>0</v>
      </c>
    </row>
    <row r="17" spans="1:5" ht="16" outlineLevel="2" x14ac:dyDescent="0.2">
      <c r="A17" s="884"/>
      <c r="B17" s="885"/>
      <c r="C17" s="885"/>
      <c r="D17" s="64" t="s">
        <v>165</v>
      </c>
      <c r="E17" s="531">
        <v>0</v>
      </c>
    </row>
    <row r="18" spans="1:5" ht="16" outlineLevel="2" x14ac:dyDescent="0.2">
      <c r="A18" s="884"/>
      <c r="B18" s="885"/>
      <c r="C18" s="885"/>
      <c r="D18" s="64" t="s">
        <v>166</v>
      </c>
      <c r="E18" s="531">
        <v>0</v>
      </c>
    </row>
    <row r="19" spans="1:5" ht="16" outlineLevel="2" x14ac:dyDescent="0.2">
      <c r="A19" s="884"/>
      <c r="B19" s="885"/>
      <c r="C19" s="885"/>
      <c r="D19" s="64" t="s">
        <v>167</v>
      </c>
      <c r="E19" s="531">
        <v>0</v>
      </c>
    </row>
    <row r="20" spans="1:5" ht="16" outlineLevel="2" x14ac:dyDescent="0.2">
      <c r="A20" s="884"/>
      <c r="B20" s="885"/>
      <c r="C20" s="885"/>
      <c r="D20" s="64" t="s">
        <v>168</v>
      </c>
      <c r="E20" s="531">
        <v>0</v>
      </c>
    </row>
    <row r="21" spans="1:5" ht="16" outlineLevel="2" x14ac:dyDescent="0.2">
      <c r="A21" s="884"/>
      <c r="B21" s="885"/>
      <c r="C21" s="885"/>
      <c r="D21" s="64" t="s">
        <v>169</v>
      </c>
      <c r="E21" s="531">
        <v>0</v>
      </c>
    </row>
    <row r="22" spans="1:5" ht="16" outlineLevel="2" x14ac:dyDescent="0.2">
      <c r="A22" s="884"/>
      <c r="B22" s="885"/>
      <c r="C22" s="885"/>
      <c r="D22" s="64" t="s">
        <v>170</v>
      </c>
      <c r="E22" s="531">
        <v>0</v>
      </c>
    </row>
    <row r="23" spans="1:5" ht="16" outlineLevel="2" x14ac:dyDescent="0.2">
      <c r="A23" s="884"/>
      <c r="B23" s="885"/>
      <c r="C23" s="885"/>
      <c r="D23" s="64" t="s">
        <v>171</v>
      </c>
      <c r="E23" s="531">
        <v>0</v>
      </c>
    </row>
    <row r="24" spans="1:5" ht="17" outlineLevel="2" thickBot="1" x14ac:dyDescent="0.25">
      <c r="A24" s="884"/>
      <c r="B24" s="885"/>
      <c r="C24" s="885"/>
      <c r="D24" s="65" t="s">
        <v>172</v>
      </c>
      <c r="E24" s="532">
        <v>0</v>
      </c>
    </row>
    <row r="25" spans="1:5" ht="16" outlineLevel="1" thickBot="1" x14ac:dyDescent="0.25">
      <c r="A25" s="17" t="s">
        <v>100</v>
      </c>
      <c r="B25" s="17"/>
      <c r="C25" s="17"/>
      <c r="D25" s="27"/>
      <c r="E25" s="110">
        <f>SUM(E26:E75)</f>
        <v>78682</v>
      </c>
    </row>
    <row r="26" spans="1:5" ht="16" outlineLevel="2" x14ac:dyDescent="0.2">
      <c r="A26" s="884" t="s">
        <v>1161</v>
      </c>
      <c r="B26" s="885" t="s">
        <v>1158</v>
      </c>
      <c r="C26" s="885">
        <v>635009</v>
      </c>
      <c r="D26" s="63" t="s">
        <v>163</v>
      </c>
      <c r="E26" s="533">
        <v>0</v>
      </c>
    </row>
    <row r="27" spans="1:5" ht="16" outlineLevel="2" x14ac:dyDescent="0.2">
      <c r="A27" s="884"/>
      <c r="B27" s="885"/>
      <c r="C27" s="885"/>
      <c r="D27" s="64" t="s">
        <v>164</v>
      </c>
      <c r="E27" s="534">
        <v>10582</v>
      </c>
    </row>
    <row r="28" spans="1:5" ht="16" outlineLevel="2" x14ac:dyDescent="0.2">
      <c r="A28" s="884"/>
      <c r="B28" s="885"/>
      <c r="C28" s="885"/>
      <c r="D28" s="64" t="s">
        <v>165</v>
      </c>
      <c r="E28" s="534">
        <v>0</v>
      </c>
    </row>
    <row r="29" spans="1:5" ht="16" outlineLevel="2" x14ac:dyDescent="0.2">
      <c r="A29" s="884"/>
      <c r="B29" s="885"/>
      <c r="C29" s="885"/>
      <c r="D29" s="64" t="s">
        <v>166</v>
      </c>
      <c r="E29" s="534">
        <v>55600</v>
      </c>
    </row>
    <row r="30" spans="1:5" ht="16" outlineLevel="2" x14ac:dyDescent="0.2">
      <c r="A30" s="884"/>
      <c r="B30" s="885"/>
      <c r="C30" s="885"/>
      <c r="D30" s="64" t="s">
        <v>167</v>
      </c>
      <c r="E30" s="534">
        <v>0</v>
      </c>
    </row>
    <row r="31" spans="1:5" ht="16" outlineLevel="2" x14ac:dyDescent="0.2">
      <c r="A31" s="884"/>
      <c r="B31" s="885"/>
      <c r="C31" s="885"/>
      <c r="D31" s="64" t="s">
        <v>168</v>
      </c>
      <c r="E31" s="534">
        <v>0</v>
      </c>
    </row>
    <row r="32" spans="1:5" ht="16" outlineLevel="2" x14ac:dyDescent="0.2">
      <c r="A32" s="884"/>
      <c r="B32" s="885"/>
      <c r="C32" s="885"/>
      <c r="D32" s="64" t="s">
        <v>169</v>
      </c>
      <c r="E32" s="534">
        <v>0</v>
      </c>
    </row>
    <row r="33" spans="1:5" ht="16" outlineLevel="2" x14ac:dyDescent="0.2">
      <c r="A33" s="884"/>
      <c r="B33" s="885"/>
      <c r="C33" s="885"/>
      <c r="D33" s="64" t="s">
        <v>170</v>
      </c>
      <c r="E33" s="534">
        <v>0</v>
      </c>
    </row>
    <row r="34" spans="1:5" ht="16" outlineLevel="2" x14ac:dyDescent="0.2">
      <c r="A34" s="884"/>
      <c r="B34" s="885"/>
      <c r="C34" s="885"/>
      <c r="D34" s="64" t="s">
        <v>171</v>
      </c>
      <c r="E34" s="534">
        <v>12500</v>
      </c>
    </row>
    <row r="35" spans="1:5" ht="17" outlineLevel="2" thickBot="1" x14ac:dyDescent="0.25">
      <c r="A35" s="884"/>
      <c r="B35" s="885"/>
      <c r="C35" s="885"/>
      <c r="D35" s="65" t="s">
        <v>172</v>
      </c>
      <c r="E35" s="535">
        <v>0</v>
      </c>
    </row>
    <row r="36" spans="1:5" ht="16" outlineLevel="2" x14ac:dyDescent="0.2">
      <c r="A36" s="884" t="s">
        <v>1162</v>
      </c>
      <c r="B36" s="885" t="s">
        <v>1158</v>
      </c>
      <c r="C36" s="885">
        <v>635009</v>
      </c>
      <c r="D36" s="63" t="s">
        <v>163</v>
      </c>
      <c r="E36" s="533">
        <v>0</v>
      </c>
    </row>
    <row r="37" spans="1:5" ht="16" outlineLevel="2" x14ac:dyDescent="0.2">
      <c r="A37" s="884"/>
      <c r="B37" s="885"/>
      <c r="C37" s="885"/>
      <c r="D37" s="64" t="s">
        <v>164</v>
      </c>
      <c r="E37" s="534">
        <v>0</v>
      </c>
    </row>
    <row r="38" spans="1:5" ht="16" outlineLevel="2" x14ac:dyDescent="0.2">
      <c r="A38" s="884"/>
      <c r="B38" s="885"/>
      <c r="C38" s="885"/>
      <c r="D38" s="64" t="s">
        <v>165</v>
      </c>
      <c r="E38" s="534">
        <v>0</v>
      </c>
    </row>
    <row r="39" spans="1:5" ht="16" outlineLevel="2" x14ac:dyDescent="0.2">
      <c r="A39" s="884"/>
      <c r="B39" s="885"/>
      <c r="C39" s="885"/>
      <c r="D39" s="64" t="s">
        <v>166</v>
      </c>
      <c r="E39" s="534">
        <v>0</v>
      </c>
    </row>
    <row r="40" spans="1:5" ht="16" outlineLevel="2" x14ac:dyDescent="0.2">
      <c r="A40" s="884"/>
      <c r="B40" s="885"/>
      <c r="C40" s="885"/>
      <c r="D40" s="64" t="s">
        <v>167</v>
      </c>
      <c r="E40" s="534">
        <v>0</v>
      </c>
    </row>
    <row r="41" spans="1:5" ht="16" outlineLevel="2" x14ac:dyDescent="0.2">
      <c r="A41" s="884"/>
      <c r="B41" s="885"/>
      <c r="C41" s="885"/>
      <c r="D41" s="64" t="s">
        <v>168</v>
      </c>
      <c r="E41" s="534">
        <v>0</v>
      </c>
    </row>
    <row r="42" spans="1:5" ht="16" outlineLevel="2" x14ac:dyDescent="0.2">
      <c r="A42" s="884"/>
      <c r="B42" s="885"/>
      <c r="C42" s="885"/>
      <c r="D42" s="64" t="s">
        <v>169</v>
      </c>
      <c r="E42" s="534">
        <v>0</v>
      </c>
    </row>
    <row r="43" spans="1:5" ht="16" outlineLevel="2" x14ac:dyDescent="0.2">
      <c r="A43" s="884"/>
      <c r="B43" s="885"/>
      <c r="C43" s="885"/>
      <c r="D43" s="64" t="s">
        <v>170</v>
      </c>
      <c r="E43" s="534">
        <v>0</v>
      </c>
    </row>
    <row r="44" spans="1:5" ht="16" outlineLevel="2" x14ac:dyDescent="0.2">
      <c r="A44" s="884"/>
      <c r="B44" s="885"/>
      <c r="C44" s="885"/>
      <c r="D44" s="64" t="s">
        <v>171</v>
      </c>
      <c r="E44" s="534">
        <v>0</v>
      </c>
    </row>
    <row r="45" spans="1:5" ht="17" outlineLevel="2" thickBot="1" x14ac:dyDescent="0.25">
      <c r="A45" s="884"/>
      <c r="B45" s="885"/>
      <c r="C45" s="885"/>
      <c r="D45" s="65" t="s">
        <v>172</v>
      </c>
      <c r="E45" s="535">
        <v>0</v>
      </c>
    </row>
    <row r="46" spans="1:5" ht="16" outlineLevel="2" x14ac:dyDescent="0.2">
      <c r="A46" s="884" t="s">
        <v>1163</v>
      </c>
      <c r="B46" s="885" t="s">
        <v>1160</v>
      </c>
      <c r="C46" s="885">
        <v>718006</v>
      </c>
      <c r="D46" s="63" t="s">
        <v>163</v>
      </c>
      <c r="E46" s="534">
        <v>0</v>
      </c>
    </row>
    <row r="47" spans="1:5" ht="16" outlineLevel="2" x14ac:dyDescent="0.2">
      <c r="A47" s="884"/>
      <c r="B47" s="885"/>
      <c r="C47" s="885"/>
      <c r="D47" s="64" t="s">
        <v>164</v>
      </c>
      <c r="E47" s="534">
        <v>0</v>
      </c>
    </row>
    <row r="48" spans="1:5" ht="16" outlineLevel="2" x14ac:dyDescent="0.2">
      <c r="A48" s="884"/>
      <c r="B48" s="885"/>
      <c r="C48" s="885"/>
      <c r="D48" s="64" t="s">
        <v>165</v>
      </c>
      <c r="E48" s="534">
        <v>0</v>
      </c>
    </row>
    <row r="49" spans="1:5" ht="16" outlineLevel="2" x14ac:dyDescent="0.2">
      <c r="A49" s="884"/>
      <c r="B49" s="885"/>
      <c r="C49" s="885"/>
      <c r="D49" s="64" t="s">
        <v>166</v>
      </c>
      <c r="E49" s="534">
        <v>0</v>
      </c>
    </row>
    <row r="50" spans="1:5" ht="16" outlineLevel="2" x14ac:dyDescent="0.2">
      <c r="A50" s="884"/>
      <c r="B50" s="885"/>
      <c r="C50" s="885"/>
      <c r="D50" s="64" t="s">
        <v>167</v>
      </c>
      <c r="E50" s="534">
        <v>0</v>
      </c>
    </row>
    <row r="51" spans="1:5" ht="16" outlineLevel="2" x14ac:dyDescent="0.2">
      <c r="A51" s="884"/>
      <c r="B51" s="885"/>
      <c r="C51" s="885"/>
      <c r="D51" s="64" t="s">
        <v>168</v>
      </c>
      <c r="E51" s="534">
        <v>0</v>
      </c>
    </row>
    <row r="52" spans="1:5" ht="16" outlineLevel="2" x14ac:dyDescent="0.2">
      <c r="A52" s="884"/>
      <c r="B52" s="885"/>
      <c r="C52" s="885"/>
      <c r="D52" s="64" t="s">
        <v>169</v>
      </c>
      <c r="E52" s="534">
        <v>0</v>
      </c>
    </row>
    <row r="53" spans="1:5" ht="16" outlineLevel="2" x14ac:dyDescent="0.2">
      <c r="A53" s="884"/>
      <c r="B53" s="885"/>
      <c r="C53" s="885"/>
      <c r="D53" s="64" t="s">
        <v>170</v>
      </c>
      <c r="E53" s="534">
        <v>0</v>
      </c>
    </row>
    <row r="54" spans="1:5" ht="16" outlineLevel="2" x14ac:dyDescent="0.2">
      <c r="A54" s="884"/>
      <c r="B54" s="885"/>
      <c r="C54" s="885"/>
      <c r="D54" s="64" t="s">
        <v>171</v>
      </c>
      <c r="E54" s="534">
        <v>0</v>
      </c>
    </row>
    <row r="55" spans="1:5" ht="17" outlineLevel="2" thickBot="1" x14ac:dyDescent="0.25">
      <c r="A55" s="884"/>
      <c r="B55" s="885"/>
      <c r="C55" s="885"/>
      <c r="D55" s="65" t="s">
        <v>172</v>
      </c>
      <c r="E55" s="534">
        <v>0</v>
      </c>
    </row>
    <row r="56" spans="1:5" ht="16" outlineLevel="2" x14ac:dyDescent="0.2">
      <c r="A56" s="884" t="s">
        <v>1164</v>
      </c>
      <c r="B56" s="885" t="s">
        <v>1165</v>
      </c>
      <c r="C56" s="885">
        <v>610</v>
      </c>
      <c r="D56" s="63" t="s">
        <v>163</v>
      </c>
      <c r="E56" s="533">
        <v>0</v>
      </c>
    </row>
    <row r="57" spans="1:5" ht="16" outlineLevel="2" x14ac:dyDescent="0.2">
      <c r="A57" s="884"/>
      <c r="B57" s="885"/>
      <c r="C57" s="885"/>
      <c r="D57" s="64" t="s">
        <v>164</v>
      </c>
      <c r="E57" s="534">
        <v>0</v>
      </c>
    </row>
    <row r="58" spans="1:5" ht="16" outlineLevel="2" x14ac:dyDescent="0.2">
      <c r="A58" s="884"/>
      <c r="B58" s="885"/>
      <c r="C58" s="885"/>
      <c r="D58" s="64" t="s">
        <v>165</v>
      </c>
      <c r="E58" s="534">
        <v>0</v>
      </c>
    </row>
    <row r="59" spans="1:5" ht="16" outlineLevel="2" x14ac:dyDescent="0.2">
      <c r="A59" s="884"/>
      <c r="B59" s="885"/>
      <c r="C59" s="885"/>
      <c r="D59" s="64" t="s">
        <v>166</v>
      </c>
      <c r="E59" s="534">
        <v>0</v>
      </c>
    </row>
    <row r="60" spans="1:5" ht="16" outlineLevel="2" x14ac:dyDescent="0.2">
      <c r="A60" s="884"/>
      <c r="B60" s="885"/>
      <c r="C60" s="885"/>
      <c r="D60" s="64" t="s">
        <v>167</v>
      </c>
      <c r="E60" s="534">
        <v>0</v>
      </c>
    </row>
    <row r="61" spans="1:5" ht="16" outlineLevel="2" x14ac:dyDescent="0.2">
      <c r="A61" s="884"/>
      <c r="B61" s="885"/>
      <c r="C61" s="885"/>
      <c r="D61" s="64" t="s">
        <v>168</v>
      </c>
      <c r="E61" s="534">
        <v>0</v>
      </c>
    </row>
    <row r="62" spans="1:5" ht="16" outlineLevel="2" x14ac:dyDescent="0.2">
      <c r="A62" s="884"/>
      <c r="B62" s="885"/>
      <c r="C62" s="885"/>
      <c r="D62" s="64" t="s">
        <v>169</v>
      </c>
      <c r="E62" s="534">
        <v>0</v>
      </c>
    </row>
    <row r="63" spans="1:5" ht="16" outlineLevel="2" x14ac:dyDescent="0.2">
      <c r="A63" s="884"/>
      <c r="B63" s="885"/>
      <c r="C63" s="885"/>
      <c r="D63" s="64" t="s">
        <v>170</v>
      </c>
      <c r="E63" s="534">
        <v>0</v>
      </c>
    </row>
    <row r="64" spans="1:5" ht="16" outlineLevel="2" x14ac:dyDescent="0.2">
      <c r="A64" s="884"/>
      <c r="B64" s="885"/>
      <c r="C64" s="885"/>
      <c r="D64" s="64" t="s">
        <v>171</v>
      </c>
      <c r="E64" s="534">
        <v>0</v>
      </c>
    </row>
    <row r="65" spans="1:5" ht="17" outlineLevel="2" thickBot="1" x14ac:dyDescent="0.25">
      <c r="A65" s="884"/>
      <c r="B65" s="885"/>
      <c r="C65" s="885"/>
      <c r="D65" s="65" t="s">
        <v>172</v>
      </c>
      <c r="E65" s="535">
        <v>0</v>
      </c>
    </row>
    <row r="66" spans="1:5" ht="16" outlineLevel="2" x14ac:dyDescent="0.2">
      <c r="A66" s="884" t="s">
        <v>1166</v>
      </c>
      <c r="B66" s="885" t="s">
        <v>1167</v>
      </c>
      <c r="C66" s="885">
        <v>637040</v>
      </c>
      <c r="D66" s="63" t="s">
        <v>163</v>
      </c>
      <c r="E66" s="534">
        <v>0</v>
      </c>
    </row>
    <row r="67" spans="1:5" ht="16" outlineLevel="2" x14ac:dyDescent="0.2">
      <c r="A67" s="884"/>
      <c r="B67" s="885"/>
      <c r="C67" s="885"/>
      <c r="D67" s="64" t="s">
        <v>164</v>
      </c>
      <c r="E67" s="534">
        <v>0</v>
      </c>
    </row>
    <row r="68" spans="1:5" ht="16" outlineLevel="2" x14ac:dyDescent="0.2">
      <c r="A68" s="884"/>
      <c r="B68" s="885"/>
      <c r="C68" s="885"/>
      <c r="D68" s="64" t="s">
        <v>165</v>
      </c>
      <c r="E68" s="534">
        <v>0</v>
      </c>
    </row>
    <row r="69" spans="1:5" ht="16" outlineLevel="2" x14ac:dyDescent="0.2">
      <c r="A69" s="884"/>
      <c r="B69" s="885"/>
      <c r="C69" s="885"/>
      <c r="D69" s="64" t="s">
        <v>166</v>
      </c>
      <c r="E69" s="534">
        <v>0</v>
      </c>
    </row>
    <row r="70" spans="1:5" ht="16" outlineLevel="2" x14ac:dyDescent="0.2">
      <c r="A70" s="884"/>
      <c r="B70" s="885"/>
      <c r="C70" s="885"/>
      <c r="D70" s="64" t="s">
        <v>167</v>
      </c>
      <c r="E70" s="534">
        <v>0</v>
      </c>
    </row>
    <row r="71" spans="1:5" ht="16" outlineLevel="2" x14ac:dyDescent="0.2">
      <c r="A71" s="884"/>
      <c r="B71" s="885"/>
      <c r="C71" s="885"/>
      <c r="D71" s="64" t="s">
        <v>168</v>
      </c>
      <c r="E71" s="534">
        <v>0</v>
      </c>
    </row>
    <row r="72" spans="1:5" ht="16" outlineLevel="2" x14ac:dyDescent="0.2">
      <c r="A72" s="884"/>
      <c r="B72" s="885"/>
      <c r="C72" s="885"/>
      <c r="D72" s="64" t="s">
        <v>169</v>
      </c>
      <c r="E72" s="534">
        <v>0</v>
      </c>
    </row>
    <row r="73" spans="1:5" ht="16" outlineLevel="2" x14ac:dyDescent="0.2">
      <c r="A73" s="884"/>
      <c r="B73" s="885"/>
      <c r="C73" s="885"/>
      <c r="D73" s="64" t="s">
        <v>170</v>
      </c>
      <c r="E73" s="534">
        <v>0</v>
      </c>
    </row>
    <row r="74" spans="1:5" ht="16" outlineLevel="2" x14ac:dyDescent="0.2">
      <c r="A74" s="884"/>
      <c r="B74" s="885"/>
      <c r="C74" s="885"/>
      <c r="D74" s="64" t="s">
        <v>171</v>
      </c>
      <c r="E74" s="534">
        <v>0</v>
      </c>
    </row>
    <row r="75" spans="1:5" ht="17" outlineLevel="2" thickBot="1" x14ac:dyDescent="0.25">
      <c r="A75" s="884"/>
      <c r="B75" s="885"/>
      <c r="C75" s="885"/>
      <c r="D75" s="65" t="s">
        <v>172</v>
      </c>
      <c r="E75" s="535">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1">
    <tabColor rgb="FFFFFF00"/>
    <outlinePr summaryBelow="0" summaryRight="0"/>
  </sheetPr>
  <dimension ref="A1:E53"/>
  <sheetViews>
    <sheetView workbookViewId="0">
      <selection sqref="A1:D1"/>
    </sheetView>
  </sheetViews>
  <sheetFormatPr baseColWidth="10" defaultColWidth="8.6640625" defaultRowHeight="15" outlineLevelRow="1" x14ac:dyDescent="0.2"/>
  <cols>
    <col min="1" max="1" width="22.5" customWidth="1"/>
    <col min="2" max="2" width="23.33203125" customWidth="1"/>
    <col min="3" max="3" width="22.5" customWidth="1"/>
    <col min="5" max="5" width="17.6640625" customWidth="1"/>
  </cols>
  <sheetData>
    <row r="1" spans="1:5" ht="25.25" customHeight="1" thickBot="1" x14ac:dyDescent="0.3">
      <c r="A1" s="880" t="s">
        <v>1168</v>
      </c>
      <c r="B1" s="880"/>
      <c r="C1" s="880"/>
      <c r="D1" s="881"/>
      <c r="E1" s="66" t="s">
        <v>149</v>
      </c>
    </row>
    <row r="2" spans="1:5" ht="16" thickBot="1" x14ac:dyDescent="0.25">
      <c r="A2" s="36" t="s">
        <v>1152</v>
      </c>
      <c r="B2" s="70" t="s">
        <v>1153</v>
      </c>
      <c r="C2" s="70" t="s">
        <v>1154</v>
      </c>
      <c r="D2" s="70" t="s">
        <v>159</v>
      </c>
      <c r="E2" s="17"/>
    </row>
    <row r="3" spans="1:5" ht="16" thickBot="1" x14ac:dyDescent="0.25">
      <c r="A3" s="886" t="s">
        <v>1169</v>
      </c>
      <c r="B3" s="886"/>
      <c r="C3" s="886"/>
      <c r="D3" s="71"/>
      <c r="E3" s="72">
        <f>SUM(E4:E53)</f>
        <v>258500</v>
      </c>
    </row>
    <row r="4" spans="1:5" ht="16" outlineLevel="1" x14ac:dyDescent="0.2">
      <c r="A4" s="884" t="s">
        <v>1170</v>
      </c>
      <c r="B4" s="885" t="s">
        <v>1158</v>
      </c>
      <c r="C4" s="885">
        <v>635002</v>
      </c>
      <c r="D4" s="63" t="s">
        <v>163</v>
      </c>
      <c r="E4" s="533">
        <v>0</v>
      </c>
    </row>
    <row r="5" spans="1:5" ht="16" outlineLevel="1" x14ac:dyDescent="0.2">
      <c r="A5" s="884"/>
      <c r="B5" s="885"/>
      <c r="C5" s="885"/>
      <c r="D5" s="64" t="s">
        <v>164</v>
      </c>
      <c r="E5" s="534">
        <v>0</v>
      </c>
    </row>
    <row r="6" spans="1:5" ht="16" outlineLevel="1" x14ac:dyDescent="0.2">
      <c r="A6" s="884"/>
      <c r="B6" s="885"/>
      <c r="C6" s="885"/>
      <c r="D6" s="64" t="s">
        <v>165</v>
      </c>
      <c r="E6" s="534">
        <v>0</v>
      </c>
    </row>
    <row r="7" spans="1:5" ht="16" outlineLevel="1" x14ac:dyDescent="0.2">
      <c r="A7" s="884"/>
      <c r="B7" s="885"/>
      <c r="C7" s="885"/>
      <c r="D7" s="64" t="s">
        <v>166</v>
      </c>
      <c r="E7" s="534">
        <v>0</v>
      </c>
    </row>
    <row r="8" spans="1:5" ht="16" outlineLevel="1" x14ac:dyDescent="0.2">
      <c r="A8" s="884"/>
      <c r="B8" s="885"/>
      <c r="C8" s="885"/>
      <c r="D8" s="64" t="s">
        <v>167</v>
      </c>
      <c r="E8" s="534">
        <v>250000</v>
      </c>
    </row>
    <row r="9" spans="1:5" ht="16" outlineLevel="1" x14ac:dyDescent="0.2">
      <c r="A9" s="884"/>
      <c r="B9" s="885"/>
      <c r="C9" s="885"/>
      <c r="D9" s="64" t="s">
        <v>168</v>
      </c>
      <c r="E9" s="534">
        <v>0</v>
      </c>
    </row>
    <row r="10" spans="1:5" ht="16" outlineLevel="1" x14ac:dyDescent="0.2">
      <c r="A10" s="884"/>
      <c r="B10" s="885"/>
      <c r="C10" s="885"/>
      <c r="D10" s="64" t="s">
        <v>169</v>
      </c>
      <c r="E10" s="534">
        <v>0</v>
      </c>
    </row>
    <row r="11" spans="1:5" ht="16" outlineLevel="1" x14ac:dyDescent="0.2">
      <c r="A11" s="884"/>
      <c r="B11" s="885"/>
      <c r="C11" s="885"/>
      <c r="D11" s="64" t="s">
        <v>170</v>
      </c>
      <c r="E11" s="534">
        <v>8500</v>
      </c>
    </row>
    <row r="12" spans="1:5" ht="16" outlineLevel="1" x14ac:dyDescent="0.2">
      <c r="A12" s="884"/>
      <c r="B12" s="885"/>
      <c r="C12" s="885"/>
      <c r="D12" s="64" t="s">
        <v>171</v>
      </c>
      <c r="E12" s="534">
        <v>0</v>
      </c>
    </row>
    <row r="13" spans="1:5" ht="17" outlineLevel="1" thickBot="1" x14ac:dyDescent="0.25">
      <c r="A13" s="884"/>
      <c r="B13" s="885"/>
      <c r="C13" s="885"/>
      <c r="D13" s="65" t="s">
        <v>172</v>
      </c>
      <c r="E13" s="535">
        <v>0</v>
      </c>
    </row>
    <row r="14" spans="1:5" ht="16" outlineLevel="1" x14ac:dyDescent="0.2">
      <c r="A14" s="884" t="s">
        <v>1171</v>
      </c>
      <c r="B14" s="884" t="s">
        <v>1172</v>
      </c>
      <c r="C14" s="885">
        <v>718002</v>
      </c>
      <c r="D14" s="63" t="s">
        <v>163</v>
      </c>
      <c r="E14" s="534">
        <v>0</v>
      </c>
    </row>
    <row r="15" spans="1:5" ht="16" outlineLevel="1" x14ac:dyDescent="0.2">
      <c r="A15" s="884"/>
      <c r="B15" s="885"/>
      <c r="C15" s="885"/>
      <c r="D15" s="64" t="s">
        <v>164</v>
      </c>
      <c r="E15" s="534">
        <v>0</v>
      </c>
    </row>
    <row r="16" spans="1:5" ht="16" outlineLevel="1" x14ac:dyDescent="0.2">
      <c r="A16" s="884"/>
      <c r="B16" s="885"/>
      <c r="C16" s="885"/>
      <c r="D16" s="64" t="s">
        <v>165</v>
      </c>
      <c r="E16" s="534">
        <v>0</v>
      </c>
    </row>
    <row r="17" spans="1:5" ht="16" outlineLevel="1" x14ac:dyDescent="0.2">
      <c r="A17" s="884"/>
      <c r="B17" s="885"/>
      <c r="C17" s="885"/>
      <c r="D17" s="64" t="s">
        <v>166</v>
      </c>
      <c r="E17" s="534">
        <v>0</v>
      </c>
    </row>
    <row r="18" spans="1:5" ht="16" outlineLevel="1" x14ac:dyDescent="0.2">
      <c r="A18" s="884"/>
      <c r="B18" s="885"/>
      <c r="C18" s="885"/>
      <c r="D18" s="64" t="s">
        <v>167</v>
      </c>
      <c r="E18" s="534">
        <v>0</v>
      </c>
    </row>
    <row r="19" spans="1:5" ht="16" outlineLevel="1" x14ac:dyDescent="0.2">
      <c r="A19" s="884"/>
      <c r="B19" s="885"/>
      <c r="C19" s="885"/>
      <c r="D19" s="64" t="s">
        <v>168</v>
      </c>
      <c r="E19" s="534">
        <v>0</v>
      </c>
    </row>
    <row r="20" spans="1:5" ht="16" outlineLevel="1" x14ac:dyDescent="0.2">
      <c r="A20" s="884"/>
      <c r="B20" s="885"/>
      <c r="C20" s="885"/>
      <c r="D20" s="64" t="s">
        <v>169</v>
      </c>
      <c r="E20" s="534">
        <v>0</v>
      </c>
    </row>
    <row r="21" spans="1:5" ht="16" outlineLevel="1" x14ac:dyDescent="0.2">
      <c r="A21" s="884"/>
      <c r="B21" s="885"/>
      <c r="C21" s="885"/>
      <c r="D21" s="64" t="s">
        <v>170</v>
      </c>
      <c r="E21" s="534">
        <v>0</v>
      </c>
    </row>
    <row r="22" spans="1:5" ht="16" outlineLevel="1" x14ac:dyDescent="0.2">
      <c r="A22" s="884"/>
      <c r="B22" s="885"/>
      <c r="C22" s="885"/>
      <c r="D22" s="64" t="s">
        <v>171</v>
      </c>
      <c r="E22" s="534">
        <v>0</v>
      </c>
    </row>
    <row r="23" spans="1:5" ht="17" outlineLevel="1" thickBot="1" x14ac:dyDescent="0.25">
      <c r="A23" s="884"/>
      <c r="B23" s="885"/>
      <c r="C23" s="885"/>
      <c r="D23" s="65" t="s">
        <v>172</v>
      </c>
      <c r="E23" s="535">
        <v>0</v>
      </c>
    </row>
    <row r="24" spans="1:5" ht="16" outlineLevel="1" x14ac:dyDescent="0.2">
      <c r="A24" s="884" t="s">
        <v>1173</v>
      </c>
      <c r="B24" s="885"/>
      <c r="C24" s="885"/>
      <c r="D24" s="63" t="s">
        <v>163</v>
      </c>
      <c r="E24" s="534">
        <v>0</v>
      </c>
    </row>
    <row r="25" spans="1:5" ht="16" outlineLevel="1" x14ac:dyDescent="0.2">
      <c r="A25" s="884"/>
      <c r="B25" s="885"/>
      <c r="C25" s="885"/>
      <c r="D25" s="64" t="s">
        <v>164</v>
      </c>
      <c r="E25" s="534">
        <v>0</v>
      </c>
    </row>
    <row r="26" spans="1:5" ht="16" outlineLevel="1" x14ac:dyDescent="0.2">
      <c r="A26" s="884"/>
      <c r="B26" s="885"/>
      <c r="C26" s="885"/>
      <c r="D26" s="64" t="s">
        <v>165</v>
      </c>
      <c r="E26" s="534">
        <v>0</v>
      </c>
    </row>
    <row r="27" spans="1:5" ht="16" outlineLevel="1" x14ac:dyDescent="0.2">
      <c r="A27" s="884"/>
      <c r="B27" s="885"/>
      <c r="C27" s="885"/>
      <c r="D27" s="64" t="s">
        <v>166</v>
      </c>
      <c r="E27" s="534">
        <v>0</v>
      </c>
    </row>
    <row r="28" spans="1:5" ht="16" outlineLevel="1" x14ac:dyDescent="0.2">
      <c r="A28" s="884"/>
      <c r="B28" s="885"/>
      <c r="C28" s="885"/>
      <c r="D28" s="64" t="s">
        <v>167</v>
      </c>
      <c r="E28" s="534">
        <v>0</v>
      </c>
    </row>
    <row r="29" spans="1:5" ht="16" outlineLevel="1" x14ac:dyDescent="0.2">
      <c r="A29" s="884"/>
      <c r="B29" s="885"/>
      <c r="C29" s="885"/>
      <c r="D29" s="64" t="s">
        <v>168</v>
      </c>
      <c r="E29" s="534">
        <v>0</v>
      </c>
    </row>
    <row r="30" spans="1:5" ht="16" outlineLevel="1" x14ac:dyDescent="0.2">
      <c r="A30" s="884"/>
      <c r="B30" s="885"/>
      <c r="C30" s="885"/>
      <c r="D30" s="64" t="s">
        <v>169</v>
      </c>
      <c r="E30" s="534">
        <v>0</v>
      </c>
    </row>
    <row r="31" spans="1:5" ht="16" outlineLevel="1" x14ac:dyDescent="0.2">
      <c r="A31" s="884"/>
      <c r="B31" s="885"/>
      <c r="C31" s="885"/>
      <c r="D31" s="64" t="s">
        <v>170</v>
      </c>
      <c r="E31" s="534">
        <v>0</v>
      </c>
    </row>
    <row r="32" spans="1:5" ht="16" outlineLevel="1" x14ac:dyDescent="0.2">
      <c r="A32" s="884"/>
      <c r="B32" s="885"/>
      <c r="C32" s="885"/>
      <c r="D32" s="64" t="s">
        <v>171</v>
      </c>
      <c r="E32" s="534">
        <v>0</v>
      </c>
    </row>
    <row r="33" spans="1:5" ht="17" outlineLevel="1" thickBot="1" x14ac:dyDescent="0.25">
      <c r="A33" s="884"/>
      <c r="B33" s="885"/>
      <c r="C33" s="885"/>
      <c r="D33" s="65" t="s">
        <v>172</v>
      </c>
      <c r="E33" s="535">
        <v>0</v>
      </c>
    </row>
    <row r="34" spans="1:5" ht="16" outlineLevel="1" x14ac:dyDescent="0.2">
      <c r="A34" s="884" t="s">
        <v>1174</v>
      </c>
      <c r="B34" s="885" t="s">
        <v>1165</v>
      </c>
      <c r="C34" s="885">
        <v>610</v>
      </c>
      <c r="D34" s="63" t="s">
        <v>163</v>
      </c>
      <c r="E34" s="534">
        <v>0</v>
      </c>
    </row>
    <row r="35" spans="1:5" ht="16" outlineLevel="1" x14ac:dyDescent="0.2">
      <c r="A35" s="884"/>
      <c r="B35" s="885"/>
      <c r="C35" s="885"/>
      <c r="D35" s="64" t="s">
        <v>164</v>
      </c>
      <c r="E35" s="534">
        <v>0</v>
      </c>
    </row>
    <row r="36" spans="1:5" ht="16" outlineLevel="1" x14ac:dyDescent="0.2">
      <c r="A36" s="884"/>
      <c r="B36" s="885"/>
      <c r="C36" s="885"/>
      <c r="D36" s="64" t="s">
        <v>165</v>
      </c>
      <c r="E36" s="534">
        <v>0</v>
      </c>
    </row>
    <row r="37" spans="1:5" ht="16" outlineLevel="1" x14ac:dyDescent="0.2">
      <c r="A37" s="884"/>
      <c r="B37" s="885"/>
      <c r="C37" s="885"/>
      <c r="D37" s="64" t="s">
        <v>166</v>
      </c>
      <c r="E37" s="534">
        <v>0</v>
      </c>
    </row>
    <row r="38" spans="1:5" ht="16" outlineLevel="1" x14ac:dyDescent="0.2">
      <c r="A38" s="884"/>
      <c r="B38" s="885"/>
      <c r="C38" s="885"/>
      <c r="D38" s="64" t="s">
        <v>167</v>
      </c>
      <c r="E38" s="534">
        <v>0</v>
      </c>
    </row>
    <row r="39" spans="1:5" ht="16" outlineLevel="1" x14ac:dyDescent="0.2">
      <c r="A39" s="884"/>
      <c r="B39" s="885"/>
      <c r="C39" s="885"/>
      <c r="D39" s="64" t="s">
        <v>168</v>
      </c>
      <c r="E39" s="534">
        <v>0</v>
      </c>
    </row>
    <row r="40" spans="1:5" ht="16" outlineLevel="1" x14ac:dyDescent="0.2">
      <c r="A40" s="884"/>
      <c r="B40" s="885"/>
      <c r="C40" s="885"/>
      <c r="D40" s="64" t="s">
        <v>169</v>
      </c>
      <c r="E40" s="534">
        <v>0</v>
      </c>
    </row>
    <row r="41" spans="1:5" ht="16" outlineLevel="1" x14ac:dyDescent="0.2">
      <c r="A41" s="884"/>
      <c r="B41" s="885"/>
      <c r="C41" s="885"/>
      <c r="D41" s="64" t="s">
        <v>170</v>
      </c>
      <c r="E41" s="534">
        <v>0</v>
      </c>
    </row>
    <row r="42" spans="1:5" ht="16" outlineLevel="1" x14ac:dyDescent="0.2">
      <c r="A42" s="884"/>
      <c r="B42" s="885"/>
      <c r="C42" s="885"/>
      <c r="D42" s="64" t="s">
        <v>171</v>
      </c>
      <c r="E42" s="534">
        <v>0</v>
      </c>
    </row>
    <row r="43" spans="1:5" ht="17" outlineLevel="1" thickBot="1" x14ac:dyDescent="0.25">
      <c r="A43" s="884"/>
      <c r="B43" s="885"/>
      <c r="C43" s="885"/>
      <c r="D43" s="65" t="s">
        <v>172</v>
      </c>
      <c r="E43" s="535">
        <v>0</v>
      </c>
    </row>
    <row r="44" spans="1:5" ht="16" outlineLevel="1" x14ac:dyDescent="0.2">
      <c r="A44" s="884" t="s">
        <v>1175</v>
      </c>
      <c r="B44" s="885" t="s">
        <v>1167</v>
      </c>
      <c r="C44" s="885">
        <v>637040</v>
      </c>
      <c r="D44" s="63" t="s">
        <v>163</v>
      </c>
      <c r="E44" s="534">
        <v>0</v>
      </c>
    </row>
    <row r="45" spans="1:5" ht="16" outlineLevel="1" x14ac:dyDescent="0.2">
      <c r="A45" s="884"/>
      <c r="B45" s="885"/>
      <c r="C45" s="885"/>
      <c r="D45" s="64" t="s">
        <v>164</v>
      </c>
      <c r="E45" s="534">
        <v>0</v>
      </c>
    </row>
    <row r="46" spans="1:5" ht="16" outlineLevel="1" x14ac:dyDescent="0.2">
      <c r="A46" s="884"/>
      <c r="B46" s="885"/>
      <c r="C46" s="885"/>
      <c r="D46" s="64" t="s">
        <v>165</v>
      </c>
      <c r="E46" s="534">
        <v>0</v>
      </c>
    </row>
    <row r="47" spans="1:5" ht="16" outlineLevel="1" x14ac:dyDescent="0.2">
      <c r="A47" s="884"/>
      <c r="B47" s="885"/>
      <c r="C47" s="885"/>
      <c r="D47" s="64" t="s">
        <v>166</v>
      </c>
      <c r="E47" s="534">
        <v>0</v>
      </c>
    </row>
    <row r="48" spans="1:5" ht="16" outlineLevel="1" x14ac:dyDescent="0.2">
      <c r="A48" s="884"/>
      <c r="B48" s="885"/>
      <c r="C48" s="885"/>
      <c r="D48" s="64" t="s">
        <v>167</v>
      </c>
      <c r="E48" s="534">
        <v>0</v>
      </c>
    </row>
    <row r="49" spans="1:5" ht="16" outlineLevel="1" x14ac:dyDescent="0.2">
      <c r="A49" s="884"/>
      <c r="B49" s="885"/>
      <c r="C49" s="885"/>
      <c r="D49" s="64" t="s">
        <v>168</v>
      </c>
      <c r="E49" s="534">
        <v>0</v>
      </c>
    </row>
    <row r="50" spans="1:5" ht="16" outlineLevel="1" x14ac:dyDescent="0.2">
      <c r="A50" s="884"/>
      <c r="B50" s="885"/>
      <c r="C50" s="885"/>
      <c r="D50" s="64" t="s">
        <v>169</v>
      </c>
      <c r="E50" s="534">
        <v>0</v>
      </c>
    </row>
    <row r="51" spans="1:5" ht="16" outlineLevel="1" x14ac:dyDescent="0.2">
      <c r="A51" s="884"/>
      <c r="B51" s="885"/>
      <c r="C51" s="885"/>
      <c r="D51" s="64" t="s">
        <v>170</v>
      </c>
      <c r="E51" s="534">
        <v>0</v>
      </c>
    </row>
    <row r="52" spans="1:5" ht="16" outlineLevel="1" x14ac:dyDescent="0.2">
      <c r="A52" s="884"/>
      <c r="B52" s="885"/>
      <c r="C52" s="885"/>
      <c r="D52" s="64" t="s">
        <v>171</v>
      </c>
      <c r="E52" s="534">
        <v>0</v>
      </c>
    </row>
    <row r="53" spans="1:5" ht="17" outlineLevel="1" thickBot="1" x14ac:dyDescent="0.25">
      <c r="A53" s="884"/>
      <c r="B53" s="885"/>
      <c r="C53" s="885"/>
      <c r="D53" s="65" t="s">
        <v>172</v>
      </c>
      <c r="E53" s="535">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12">
    <tabColor rgb="FFFFFF00"/>
    <outlinePr summaryBelow="0" summaryRight="0"/>
  </sheetPr>
  <dimension ref="A1:AA191"/>
  <sheetViews>
    <sheetView workbookViewId="0">
      <selection sqref="A1:D1"/>
    </sheetView>
  </sheetViews>
  <sheetFormatPr baseColWidth="10" defaultColWidth="8.6640625" defaultRowHeight="15" outlineLevelRow="2" outlineLevelCol="1" x14ac:dyDescent="0.2"/>
  <cols>
    <col min="1" max="1" width="22.5" customWidth="1"/>
    <col min="2" max="2" width="23.33203125" customWidth="1"/>
    <col min="3" max="3" width="22.5" customWidth="1"/>
    <col min="5" max="5" width="17.6640625" customWidth="1"/>
    <col min="6" max="26" width="18" customWidth="1" outlineLevel="1"/>
  </cols>
  <sheetData>
    <row r="1" spans="1:26" ht="26" x14ac:dyDescent="0.3">
      <c r="A1" s="890"/>
      <c r="B1" s="890"/>
      <c r="C1" s="890"/>
      <c r="D1" s="890"/>
      <c r="F1" s="887" t="s">
        <v>232</v>
      </c>
      <c r="G1" s="887"/>
      <c r="H1" s="887"/>
      <c r="I1" s="887"/>
      <c r="J1" s="887"/>
      <c r="K1" s="887"/>
      <c r="L1" s="887"/>
      <c r="M1" s="887"/>
      <c r="N1" s="887"/>
      <c r="O1" s="887"/>
      <c r="P1" s="887"/>
      <c r="Q1" s="887"/>
      <c r="R1" s="887"/>
      <c r="S1" s="887"/>
      <c r="T1" s="887"/>
      <c r="U1" s="887"/>
      <c r="V1" s="887"/>
      <c r="W1" s="887"/>
      <c r="X1" s="887"/>
      <c r="Y1" s="887"/>
      <c r="Z1" s="887"/>
    </row>
    <row r="2" spans="1:26" ht="35.25" customHeight="1" thickBot="1" x14ac:dyDescent="0.3">
      <c r="A2" s="880" t="s">
        <v>1151</v>
      </c>
      <c r="B2" s="880"/>
      <c r="C2" s="880"/>
      <c r="D2" s="881"/>
      <c r="E2" s="66" t="s">
        <v>149</v>
      </c>
      <c r="F2" s="536" t="str">
        <f>MODULY_CBA!$B3</f>
        <v>Modul MyData</v>
      </c>
      <c r="G2" s="536" t="str">
        <f>MODULY_CBA!$B4</f>
        <v>Transformačný modul</v>
      </c>
      <c r="H2" s="536" t="str">
        <f>MODULY_CBA!$B5</f>
        <v xml:space="preserve">Modul kvality a čistenia údajov </v>
      </c>
      <c r="I2" s="536" t="str">
        <f>MODULY_CBA!$B6</f>
        <v>Centrálny integračný komponent </v>
      </c>
      <c r="J2" s="536" t="str">
        <f>MODULY_CBA!$B7</f>
        <v xml:space="preserve">Centrálna správa kmeňových údajov </v>
      </c>
      <c r="K2" s="536" t="str">
        <f>MODULY_CBA!$B8</f>
        <v>Centrálna správa agendových číselníkov</v>
      </c>
      <c r="L2" s="536" t="str">
        <f>MODULY_CBA!$B9</f>
        <v>Lokálny katalóg otvorených údajov</v>
      </c>
      <c r="M2" s="536">
        <f>MODULY_CBA!$B10</f>
        <v>0</v>
      </c>
      <c r="N2" s="536">
        <f>MODULY_CBA!$B11</f>
        <v>0</v>
      </c>
      <c r="O2" s="536">
        <f>MODULY_CBA!$B12</f>
        <v>0</v>
      </c>
      <c r="P2" s="536">
        <f>MODULY_CBA!$B13</f>
        <v>0</v>
      </c>
      <c r="Q2" s="536">
        <f>MODULY_CBA!$B14</f>
        <v>0</v>
      </c>
      <c r="R2" s="536">
        <f>MODULY_CBA!$B15</f>
        <v>0</v>
      </c>
      <c r="S2" s="536">
        <f>MODULY_CBA!$B16</f>
        <v>0</v>
      </c>
      <c r="T2" s="536">
        <f>MODULY_CBA!$B17</f>
        <v>0</v>
      </c>
      <c r="U2" s="536">
        <f>MODULY_CBA!$B18</f>
        <v>0</v>
      </c>
      <c r="V2" s="536">
        <f>MODULY_CBA!$B19</f>
        <v>0</v>
      </c>
      <c r="W2" s="536">
        <f>MODULY_CBA!$B20</f>
        <v>0</v>
      </c>
      <c r="X2" s="536">
        <f>MODULY_CBA!$B21</f>
        <v>0</v>
      </c>
      <c r="Y2" s="536">
        <f>MODULY_CBA!$B22</f>
        <v>0</v>
      </c>
      <c r="Z2" s="536">
        <f>MODULY_CBA!$B23</f>
        <v>0</v>
      </c>
    </row>
    <row r="3" spans="1:26" ht="16" thickBot="1" x14ac:dyDescent="0.25">
      <c r="A3" s="36" t="s">
        <v>1152</v>
      </c>
      <c r="B3" s="70" t="s">
        <v>1153</v>
      </c>
      <c r="C3" s="70" t="s">
        <v>1154</v>
      </c>
      <c r="D3" s="70" t="s">
        <v>159</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888" t="s">
        <v>1176</v>
      </c>
      <c r="B4" s="889"/>
      <c r="C4" s="889"/>
      <c r="D4" s="74"/>
      <c r="E4" s="72">
        <f t="shared" ref="E4:F4" si="0">E5+E36</f>
        <v>3158483.4299999997</v>
      </c>
      <c r="F4" s="73">
        <f t="shared" si="0"/>
        <v>1142053.8368321822</v>
      </c>
      <c r="G4" s="73">
        <f t="shared" ref="G4:Z4" si="1">G5+G36</f>
        <v>353169.97845249204</v>
      </c>
      <c r="H4" s="73">
        <f t="shared" si="1"/>
        <v>551275.3419917865</v>
      </c>
      <c r="I4" s="73">
        <f t="shared" si="1"/>
        <v>682166.38575882034</v>
      </c>
      <c r="J4" s="73">
        <f t="shared" si="1"/>
        <v>272394.87486652978</v>
      </c>
      <c r="K4" s="73">
        <f t="shared" si="1"/>
        <v>83133.500770953906</v>
      </c>
      <c r="L4" s="73">
        <f t="shared" si="1"/>
        <v>74289.511327235392</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6" outlineLevel="1" thickBot="1" x14ac:dyDescent="0.25">
      <c r="A5" s="17" t="s">
        <v>1156</v>
      </c>
      <c r="B5" s="17"/>
      <c r="C5" s="17"/>
      <c r="D5" s="27"/>
      <c r="E5" s="72">
        <f t="shared" ref="E5:F5" si="2">SUM(E6:E35)</f>
        <v>0</v>
      </c>
      <c r="F5" s="73">
        <f t="shared" si="2"/>
        <v>0</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x14ac:dyDescent="0.2">
      <c r="A6" s="884" t="s">
        <v>1177</v>
      </c>
      <c r="B6" s="885" t="s">
        <v>1160</v>
      </c>
      <c r="C6" s="885">
        <v>711003</v>
      </c>
      <c r="D6" s="63">
        <v>1</v>
      </c>
      <c r="E6" s="60">
        <f>SUM(F6:Z6)</f>
        <v>0</v>
      </c>
      <c r="F6" s="539">
        <f>IFERROR(SUMIFS('Rozpočet - HW a licencie'!$J$3:$J$102,'Rozpočet - HW a licencie'!$A$3:$A$102,'TCO TO BE- SW'!F$2,'Rozpočet - HW a licencie'!$D$3:$D$102,"SW",'Rozpočet - HW a licencie'!$H$3:$H$102,'TCO TO BE- SW'!$D6,'Rozpočet - HW a licencie'!$E$3:$E$102,$B$6),)</f>
        <v>0</v>
      </c>
      <c r="G6" s="539">
        <f>IFERROR(SUMIFS('Rozpočet - HW a licencie'!$J$3:$J$102,'Rozpočet - HW a licencie'!$A$3:$A$102,'TCO TO BE- SW'!G$2,'Rozpočet - HW a licencie'!$D$3:$D$102,"SW",'Rozpočet - HW a licencie'!$H$3:$H$102,'TCO TO BE- SW'!$D6,'Rozpočet - HW a licencie'!$E$3:$E$102,$B$6),)</f>
        <v>0</v>
      </c>
      <c r="H6" s="539">
        <f>IFERROR(SUMIFS('Rozpočet - HW a licencie'!$J$3:$J$102,'Rozpočet - HW a licencie'!$A$3:$A$102,'TCO TO BE- SW'!H$2,'Rozpočet - HW a licencie'!$D$3:$D$102,"SW",'Rozpočet - HW a licencie'!$H$3:$H$102,'TCO TO BE- SW'!$D6,'Rozpočet - HW a licencie'!$E$3:$E$102,$B$6),)</f>
        <v>0</v>
      </c>
      <c r="I6" s="539">
        <f>IFERROR(SUMIFS('Rozpočet - HW a licencie'!$J$3:$J$102,'Rozpočet - HW a licencie'!$A$3:$A$102,'TCO TO BE- SW'!I$2,'Rozpočet - HW a licencie'!$D$3:$D$102,"SW",'Rozpočet - HW a licencie'!$H$3:$H$102,'TCO TO BE- SW'!$D6,'Rozpočet - HW a licencie'!$E$3:$E$102,$B$6),)</f>
        <v>0</v>
      </c>
      <c r="J6" s="539">
        <f>IFERROR(SUMIFS('Rozpočet - HW a licencie'!$J$3:$J$102,'Rozpočet - HW a licencie'!$A$3:$A$102,'TCO TO BE- SW'!J$2,'Rozpočet - HW a licencie'!$D$3:$D$102,"SW",'Rozpočet - HW a licencie'!$H$3:$H$102,'TCO TO BE- SW'!$D6,'Rozpočet - HW a licencie'!$E$3:$E$102,$B$6),)</f>
        <v>0</v>
      </c>
      <c r="K6" s="539">
        <f>IFERROR(SUMIFS('Rozpočet - HW a licencie'!$J$3:$J$102,'Rozpočet - HW a licencie'!$A$3:$A$102,'TCO TO BE- SW'!K$2,'Rozpočet - HW a licencie'!$D$3:$D$102,"SW",'Rozpočet - HW a licencie'!$H$3:$H$102,'TCO TO BE- SW'!$D6,'Rozpočet - HW a licencie'!$E$3:$E$102,$B$6),)</f>
        <v>0</v>
      </c>
      <c r="L6" s="539">
        <f>IFERROR(SUMIFS('Rozpočet - HW a licencie'!$J$3:$J$102,'Rozpočet - HW a licencie'!$A$3:$A$102,'TCO TO BE- SW'!L$2,'Rozpočet - HW a licencie'!$D$3:$D$102,"SW",'Rozpočet - HW a licencie'!$H$3:$H$102,'TCO TO BE- SW'!$D6,'Rozpočet - HW a licencie'!$E$3:$E$102,$B$6),)</f>
        <v>0</v>
      </c>
      <c r="M6" s="539">
        <f>IFERROR(SUMIFS('Rozpočet - HW a licencie'!$J$3:$J$102,'Rozpočet - HW a licencie'!$A$3:$A$102,'TCO TO BE- SW'!M$2,'Rozpočet - HW a licencie'!$D$3:$D$102,"SW",'Rozpočet - HW a licencie'!$H$3:$H$102,'TCO TO BE- SW'!$D6,'Rozpočet - HW a licencie'!$E$3:$E$102,$B$6),)</f>
        <v>0</v>
      </c>
      <c r="N6" s="539">
        <f>IFERROR(SUMIFS('Rozpočet - HW a licencie'!$J$3:$J$102,'Rozpočet - HW a licencie'!$A$3:$A$102,'TCO TO BE- SW'!N$2,'Rozpočet - HW a licencie'!$D$3:$D$102,"SW",'Rozpočet - HW a licencie'!$H$3:$H$102,'TCO TO BE- SW'!$D6,'Rozpočet - HW a licencie'!$E$3:$E$102,$B$6),)</f>
        <v>0</v>
      </c>
      <c r="O6" s="539">
        <f>IFERROR(SUMIFS('Rozpočet - HW a licencie'!$J$3:$J$102,'Rozpočet - HW a licencie'!$A$3:$A$102,'TCO TO BE- SW'!O$2,'Rozpočet - HW a licencie'!$D$3:$D$102,"SW",'Rozpočet - HW a licencie'!$H$3:$H$102,'TCO TO BE- SW'!$D6,'Rozpočet - HW a licencie'!$E$3:$E$102,$B$6),)</f>
        <v>0</v>
      </c>
      <c r="P6" s="539">
        <f>IFERROR(SUMIFS('Rozpočet - HW a licencie'!$J$3:$J$102,'Rozpočet - HW a licencie'!$A$3:$A$102,'TCO TO BE- SW'!P$2,'Rozpočet - HW a licencie'!$D$3:$D$102,"SW",'Rozpočet - HW a licencie'!$H$3:$H$102,'TCO TO BE- SW'!$D6,'Rozpočet - HW a licencie'!$E$3:$E$102,$B$6),)</f>
        <v>0</v>
      </c>
      <c r="Q6" s="539">
        <f>IFERROR(SUMIFS('Rozpočet - HW a licencie'!$J$3:$J$102,'Rozpočet - HW a licencie'!$A$3:$A$102,'TCO TO BE- SW'!Q$2,'Rozpočet - HW a licencie'!$D$3:$D$102,"SW",'Rozpočet - HW a licencie'!$H$3:$H$102,'TCO TO BE- SW'!$D6,'Rozpočet - HW a licencie'!$E$3:$E$102,$B$6),)</f>
        <v>0</v>
      </c>
      <c r="R6" s="539">
        <f>IFERROR(SUMIFS('Rozpočet - HW a licencie'!$J$3:$J$102,'Rozpočet - HW a licencie'!$A$3:$A$102,'TCO TO BE- SW'!R$2,'Rozpočet - HW a licencie'!$D$3:$D$102,"SW",'Rozpočet - HW a licencie'!$H$3:$H$102,'TCO TO BE- SW'!$D6,'Rozpočet - HW a licencie'!$E$3:$E$102,$B$6),)</f>
        <v>0</v>
      </c>
      <c r="S6" s="539">
        <f>IFERROR(SUMIFS('Rozpočet - HW a licencie'!$J$3:$J$102,'Rozpočet - HW a licencie'!$A$3:$A$102,'TCO TO BE- SW'!S$2,'Rozpočet - HW a licencie'!$D$3:$D$102,"SW",'Rozpočet - HW a licencie'!$H$3:$H$102,'TCO TO BE- SW'!$D6,'Rozpočet - HW a licencie'!$E$3:$E$102,$B$6),)</f>
        <v>0</v>
      </c>
      <c r="T6" s="539">
        <f>IFERROR(SUMIFS('Rozpočet - HW a licencie'!$J$3:$J$102,'Rozpočet - HW a licencie'!$A$3:$A$102,'TCO TO BE- SW'!T$2,'Rozpočet - HW a licencie'!$D$3:$D$102,"SW",'Rozpočet - HW a licencie'!$H$3:$H$102,'TCO TO BE- SW'!$D6,'Rozpočet - HW a licencie'!$E$3:$E$102,$B$6),)</f>
        <v>0</v>
      </c>
      <c r="U6" s="539">
        <f>IFERROR(SUMIFS('Rozpočet - HW a licencie'!$J$3:$J$102,'Rozpočet - HW a licencie'!$A$3:$A$102,'TCO TO BE- SW'!U$2,'Rozpočet - HW a licencie'!$D$3:$D$102,"SW",'Rozpočet - HW a licencie'!$H$3:$H$102,'TCO TO BE- SW'!$D6,'Rozpočet - HW a licencie'!$E$3:$E$102,$B$6),)</f>
        <v>0</v>
      </c>
      <c r="V6" s="539">
        <f>IFERROR(SUMIFS('Rozpočet - HW a licencie'!$J$3:$J$102,'Rozpočet - HW a licencie'!$A$3:$A$102,'TCO TO BE- SW'!V$2,'Rozpočet - HW a licencie'!$D$3:$D$102,"SW",'Rozpočet - HW a licencie'!$H$3:$H$102,'TCO TO BE- SW'!$D6,'Rozpočet - HW a licencie'!$E$3:$E$102,$B$6),)</f>
        <v>0</v>
      </c>
      <c r="W6" s="539">
        <f>IFERROR(SUMIFS('Rozpočet - HW a licencie'!$J$3:$J$102,'Rozpočet - HW a licencie'!$A$3:$A$102,'TCO TO BE- SW'!W$2,'Rozpočet - HW a licencie'!$D$3:$D$102,"SW",'Rozpočet - HW a licencie'!$H$3:$H$102,'TCO TO BE- SW'!$D6,'Rozpočet - HW a licencie'!$E$3:$E$102,$B$6),)</f>
        <v>0</v>
      </c>
      <c r="X6" s="539">
        <f>IFERROR(SUMIFS('Rozpočet - HW a licencie'!$J$3:$J$102,'Rozpočet - HW a licencie'!$A$3:$A$102,'TCO TO BE- SW'!X$2,'Rozpočet - HW a licencie'!$D$3:$D$102,"SW",'Rozpočet - HW a licencie'!$H$3:$H$102,'TCO TO BE- SW'!$D6,'Rozpočet - HW a licencie'!$E$3:$E$102,$B$6),)</f>
        <v>0</v>
      </c>
      <c r="Y6" s="539">
        <f>IFERROR(SUMIFS('Rozpočet - HW a licencie'!$J$3:$J$102,'Rozpočet - HW a licencie'!$A$3:$A$102,'TCO TO BE- SW'!Y$2,'Rozpočet - HW a licencie'!$D$3:$D$102,"SW",'Rozpočet - HW a licencie'!$H$3:$H$102,'TCO TO BE- SW'!$D6,'Rozpočet - HW a licencie'!$E$3:$E$102,$B$6),)</f>
        <v>0</v>
      </c>
      <c r="Z6" s="539">
        <f>IFERROR(SUMIFS('Rozpočet - HW a licencie'!$J$3:$J$102,'Rozpočet - HW a licencie'!$A$3:$A$102,'TCO TO BE- SW'!Z$2,'Rozpočet - HW a licencie'!$D$3:$D$102,"SW",'Rozpočet - HW a licencie'!$H$3:$H$102,'TCO TO BE- SW'!$D6,'Rozpočet - HW a licencie'!$E$3:$E$102,$B$6),)</f>
        <v>0</v>
      </c>
    </row>
    <row r="7" spans="1:26" outlineLevel="2" x14ac:dyDescent="0.2">
      <c r="A7" s="884"/>
      <c r="B7" s="885"/>
      <c r="C7" s="885"/>
      <c r="D7" s="64">
        <v>2</v>
      </c>
      <c r="E7" s="61">
        <f t="shared" ref="E7:E35" si="4">SUM(F7:Z7)</f>
        <v>0</v>
      </c>
      <c r="F7" s="540">
        <f>IFERROR(SUMIFS('Rozpočet - HW a licencie'!$J$3:$J$102,'Rozpočet - HW a licencie'!$A$3:$A$102,'TCO TO BE- SW'!F$2,'Rozpočet - HW a licencie'!$D$3:$D$102,"SW",'Rozpočet - HW a licencie'!$H$3:$H$102,'TCO TO BE- SW'!$D7,'Rozpočet - HW a licencie'!$E$3:$E$102,$B$6),)</f>
        <v>0</v>
      </c>
      <c r="G7" s="540">
        <f>IFERROR(SUMIFS('Rozpočet - HW a licencie'!$J$3:$J$102,'Rozpočet - HW a licencie'!$A$3:$A$102,'TCO TO BE- SW'!G$2,'Rozpočet - HW a licencie'!$D$3:$D$102,"SW",'Rozpočet - HW a licencie'!$H$3:$H$102,'TCO TO BE- SW'!$D7,'Rozpočet - HW a licencie'!$E$3:$E$102,$B$6),)</f>
        <v>0</v>
      </c>
      <c r="H7" s="540">
        <f>IFERROR(SUMIFS('Rozpočet - HW a licencie'!$J$3:$J$102,'Rozpočet - HW a licencie'!$A$3:$A$102,'TCO TO BE- SW'!H$2,'Rozpočet - HW a licencie'!$D$3:$D$102,"SW",'Rozpočet - HW a licencie'!$H$3:$H$102,'TCO TO BE- SW'!$D7,'Rozpočet - HW a licencie'!$E$3:$E$102,$B$6),)</f>
        <v>0</v>
      </c>
      <c r="I7" s="540">
        <f>IFERROR(SUMIFS('Rozpočet - HW a licencie'!$J$3:$J$102,'Rozpočet - HW a licencie'!$A$3:$A$102,'TCO TO BE- SW'!I$2,'Rozpočet - HW a licencie'!$D$3:$D$102,"SW",'Rozpočet - HW a licencie'!$H$3:$H$102,'TCO TO BE- SW'!$D7,'Rozpočet - HW a licencie'!$E$3:$E$102,$B$6),)</f>
        <v>0</v>
      </c>
      <c r="J7" s="540">
        <f>IFERROR(SUMIFS('Rozpočet - HW a licencie'!$J$3:$J$102,'Rozpočet - HW a licencie'!$A$3:$A$102,'TCO TO BE- SW'!J$2,'Rozpočet - HW a licencie'!$D$3:$D$102,"SW",'Rozpočet - HW a licencie'!$H$3:$H$102,'TCO TO BE- SW'!$D7,'Rozpočet - HW a licencie'!$E$3:$E$102,$B$6),)</f>
        <v>0</v>
      </c>
      <c r="K7" s="540">
        <f>IFERROR(SUMIFS('Rozpočet - HW a licencie'!$J$3:$J$102,'Rozpočet - HW a licencie'!$A$3:$A$102,'TCO TO BE- SW'!K$2,'Rozpočet - HW a licencie'!$D$3:$D$102,"SW",'Rozpočet - HW a licencie'!$H$3:$H$102,'TCO TO BE- SW'!$D7,'Rozpočet - HW a licencie'!$E$3:$E$102,$B$6),)</f>
        <v>0</v>
      </c>
      <c r="L7" s="540">
        <f>IFERROR(SUMIFS('Rozpočet - HW a licencie'!$J$3:$J$102,'Rozpočet - HW a licencie'!$A$3:$A$102,'TCO TO BE- SW'!L$2,'Rozpočet - HW a licencie'!$D$3:$D$102,"SW",'Rozpočet - HW a licencie'!$H$3:$H$102,'TCO TO BE- SW'!$D7,'Rozpočet - HW a licencie'!$E$3:$E$102,$B$6),)</f>
        <v>0</v>
      </c>
      <c r="M7" s="540">
        <f>IFERROR(SUMIFS('Rozpočet - HW a licencie'!$J$3:$J$102,'Rozpočet - HW a licencie'!$A$3:$A$102,'TCO TO BE- SW'!M$2,'Rozpočet - HW a licencie'!$D$3:$D$102,"SW",'Rozpočet - HW a licencie'!$H$3:$H$102,'TCO TO BE- SW'!$D7,'Rozpočet - HW a licencie'!$E$3:$E$102,$B$6),)</f>
        <v>0</v>
      </c>
      <c r="N7" s="540">
        <f>IFERROR(SUMIFS('Rozpočet - HW a licencie'!$J$3:$J$102,'Rozpočet - HW a licencie'!$A$3:$A$102,'TCO TO BE- SW'!N$2,'Rozpočet - HW a licencie'!$D$3:$D$102,"SW",'Rozpočet - HW a licencie'!$H$3:$H$102,'TCO TO BE- SW'!$D7,'Rozpočet - HW a licencie'!$E$3:$E$102,$B$6),)</f>
        <v>0</v>
      </c>
      <c r="O7" s="540">
        <f>IFERROR(SUMIFS('Rozpočet - HW a licencie'!$J$3:$J$102,'Rozpočet - HW a licencie'!$A$3:$A$102,'TCO TO BE- SW'!O$2,'Rozpočet - HW a licencie'!$D$3:$D$102,"SW",'Rozpočet - HW a licencie'!$H$3:$H$102,'TCO TO BE- SW'!$D7,'Rozpočet - HW a licencie'!$E$3:$E$102,$B$6),)</f>
        <v>0</v>
      </c>
      <c r="P7" s="540">
        <f>IFERROR(SUMIFS('Rozpočet - HW a licencie'!$J$3:$J$102,'Rozpočet - HW a licencie'!$A$3:$A$102,'TCO TO BE- SW'!P$2,'Rozpočet - HW a licencie'!$D$3:$D$102,"SW",'Rozpočet - HW a licencie'!$H$3:$H$102,'TCO TO BE- SW'!$D7,'Rozpočet - HW a licencie'!$E$3:$E$102,$B$6),)</f>
        <v>0</v>
      </c>
      <c r="Q7" s="540">
        <f>IFERROR(SUMIFS('Rozpočet - HW a licencie'!$J$3:$J$102,'Rozpočet - HW a licencie'!$A$3:$A$102,'TCO TO BE- SW'!Q$2,'Rozpočet - HW a licencie'!$D$3:$D$102,"SW",'Rozpočet - HW a licencie'!$H$3:$H$102,'TCO TO BE- SW'!$D7,'Rozpočet - HW a licencie'!$E$3:$E$102,$B$6),)</f>
        <v>0</v>
      </c>
      <c r="R7" s="540">
        <f>IFERROR(SUMIFS('Rozpočet - HW a licencie'!$J$3:$J$102,'Rozpočet - HW a licencie'!$A$3:$A$102,'TCO TO BE- SW'!R$2,'Rozpočet - HW a licencie'!$D$3:$D$102,"SW",'Rozpočet - HW a licencie'!$H$3:$H$102,'TCO TO BE- SW'!$D7,'Rozpočet - HW a licencie'!$E$3:$E$102,$B$6),)</f>
        <v>0</v>
      </c>
      <c r="S7" s="540">
        <f>IFERROR(SUMIFS('Rozpočet - HW a licencie'!$J$3:$J$102,'Rozpočet - HW a licencie'!$A$3:$A$102,'TCO TO BE- SW'!S$2,'Rozpočet - HW a licencie'!$D$3:$D$102,"SW",'Rozpočet - HW a licencie'!$H$3:$H$102,'TCO TO BE- SW'!$D7,'Rozpočet - HW a licencie'!$E$3:$E$102,$B$6),)</f>
        <v>0</v>
      </c>
      <c r="T7" s="540">
        <f>IFERROR(SUMIFS('Rozpočet - HW a licencie'!$J$3:$J$102,'Rozpočet - HW a licencie'!$A$3:$A$102,'TCO TO BE- SW'!T$2,'Rozpočet - HW a licencie'!$D$3:$D$102,"SW",'Rozpočet - HW a licencie'!$H$3:$H$102,'TCO TO BE- SW'!$D7,'Rozpočet - HW a licencie'!$E$3:$E$102,$B$6),)</f>
        <v>0</v>
      </c>
      <c r="U7" s="540">
        <f>IFERROR(SUMIFS('Rozpočet - HW a licencie'!$J$3:$J$102,'Rozpočet - HW a licencie'!$A$3:$A$102,'TCO TO BE- SW'!U$2,'Rozpočet - HW a licencie'!$D$3:$D$102,"SW",'Rozpočet - HW a licencie'!$H$3:$H$102,'TCO TO BE- SW'!$D7,'Rozpočet - HW a licencie'!$E$3:$E$102,$B$6),)</f>
        <v>0</v>
      </c>
      <c r="V7" s="540">
        <f>IFERROR(SUMIFS('Rozpočet - HW a licencie'!$J$3:$J$102,'Rozpočet - HW a licencie'!$A$3:$A$102,'TCO TO BE- SW'!V$2,'Rozpočet - HW a licencie'!$D$3:$D$102,"SW",'Rozpočet - HW a licencie'!$H$3:$H$102,'TCO TO BE- SW'!$D7,'Rozpočet - HW a licencie'!$E$3:$E$102,$B$6),)</f>
        <v>0</v>
      </c>
      <c r="W7" s="540">
        <f>IFERROR(SUMIFS('Rozpočet - HW a licencie'!$J$3:$J$102,'Rozpočet - HW a licencie'!$A$3:$A$102,'TCO TO BE- SW'!W$2,'Rozpočet - HW a licencie'!$D$3:$D$102,"SW",'Rozpočet - HW a licencie'!$H$3:$H$102,'TCO TO BE- SW'!$D7,'Rozpočet - HW a licencie'!$E$3:$E$102,$B$6),)</f>
        <v>0</v>
      </c>
      <c r="X7" s="540">
        <f>IFERROR(SUMIFS('Rozpočet - HW a licencie'!$J$3:$J$102,'Rozpočet - HW a licencie'!$A$3:$A$102,'TCO TO BE- SW'!X$2,'Rozpočet - HW a licencie'!$D$3:$D$102,"SW",'Rozpočet - HW a licencie'!$H$3:$H$102,'TCO TO BE- SW'!$D7,'Rozpočet - HW a licencie'!$E$3:$E$102,$B$6),)</f>
        <v>0</v>
      </c>
      <c r="Y7" s="540">
        <f>IFERROR(SUMIFS('Rozpočet - HW a licencie'!$J$3:$J$102,'Rozpočet - HW a licencie'!$A$3:$A$102,'TCO TO BE- SW'!Y$2,'Rozpočet - HW a licencie'!$D$3:$D$102,"SW",'Rozpočet - HW a licencie'!$H$3:$H$102,'TCO TO BE- SW'!$D7,'Rozpočet - HW a licencie'!$E$3:$E$102,$B$6),)</f>
        <v>0</v>
      </c>
      <c r="Z7" s="540">
        <f>IFERROR(SUMIFS('Rozpočet - HW a licencie'!$J$3:$J$102,'Rozpočet - HW a licencie'!$A$3:$A$102,'TCO TO BE- SW'!Z$2,'Rozpočet - HW a licencie'!$D$3:$D$102,"SW",'Rozpočet - HW a licencie'!$H$3:$H$102,'TCO TO BE- SW'!$D7,'Rozpočet - HW a licencie'!$E$3:$E$102,$B$6),)</f>
        <v>0</v>
      </c>
    </row>
    <row r="8" spans="1:26" outlineLevel="2" x14ac:dyDescent="0.2">
      <c r="A8" s="884"/>
      <c r="B8" s="885"/>
      <c r="C8" s="885"/>
      <c r="D8" s="64">
        <v>3</v>
      </c>
      <c r="E8" s="61">
        <f t="shared" si="4"/>
        <v>0</v>
      </c>
      <c r="F8" s="540">
        <f>IFERROR(SUMIFS('Rozpočet - HW a licencie'!$J$3:$J$102,'Rozpočet - HW a licencie'!$A$3:$A$102,'TCO TO BE- SW'!F$2,'Rozpočet - HW a licencie'!$D$3:$D$102,"SW",'Rozpočet - HW a licencie'!$H$3:$H$102,'TCO TO BE- SW'!$D8,'Rozpočet - HW a licencie'!$E$3:$E$102,$B$6),)</f>
        <v>0</v>
      </c>
      <c r="G8" s="540">
        <f>IFERROR(SUMIFS('Rozpočet - HW a licencie'!$J$3:$J$102,'Rozpočet - HW a licencie'!$A$3:$A$102,'TCO TO BE- SW'!G$2,'Rozpočet - HW a licencie'!$D$3:$D$102,"SW",'Rozpočet - HW a licencie'!$H$3:$H$102,'TCO TO BE- SW'!$D8,'Rozpočet - HW a licencie'!$E$3:$E$102,$B$6),)</f>
        <v>0</v>
      </c>
      <c r="H8" s="540">
        <f>IFERROR(SUMIFS('Rozpočet - HW a licencie'!$J$3:$J$102,'Rozpočet - HW a licencie'!$A$3:$A$102,'TCO TO BE- SW'!H$2,'Rozpočet - HW a licencie'!$D$3:$D$102,"SW",'Rozpočet - HW a licencie'!$H$3:$H$102,'TCO TO BE- SW'!$D8,'Rozpočet - HW a licencie'!$E$3:$E$102,$B$6),)</f>
        <v>0</v>
      </c>
      <c r="I8" s="540">
        <f>IFERROR(SUMIFS('Rozpočet - HW a licencie'!$J$3:$J$102,'Rozpočet - HW a licencie'!$A$3:$A$102,'TCO TO BE- SW'!I$2,'Rozpočet - HW a licencie'!$D$3:$D$102,"SW",'Rozpočet - HW a licencie'!$H$3:$H$102,'TCO TO BE- SW'!$D8,'Rozpočet - HW a licencie'!$E$3:$E$102,$B$6),)</f>
        <v>0</v>
      </c>
      <c r="J8" s="540">
        <f>IFERROR(SUMIFS('Rozpočet - HW a licencie'!$J$3:$J$102,'Rozpočet - HW a licencie'!$A$3:$A$102,'TCO TO BE- SW'!J$2,'Rozpočet - HW a licencie'!$D$3:$D$102,"SW",'Rozpočet - HW a licencie'!$H$3:$H$102,'TCO TO BE- SW'!$D8,'Rozpočet - HW a licencie'!$E$3:$E$102,$B$6),)</f>
        <v>0</v>
      </c>
      <c r="K8" s="540">
        <f>IFERROR(SUMIFS('Rozpočet - HW a licencie'!$J$3:$J$102,'Rozpočet - HW a licencie'!$A$3:$A$102,'TCO TO BE- SW'!K$2,'Rozpočet - HW a licencie'!$D$3:$D$102,"SW",'Rozpočet - HW a licencie'!$H$3:$H$102,'TCO TO BE- SW'!$D8,'Rozpočet - HW a licencie'!$E$3:$E$102,$B$6),)</f>
        <v>0</v>
      </c>
      <c r="L8" s="540">
        <f>IFERROR(SUMIFS('Rozpočet - HW a licencie'!$J$3:$J$102,'Rozpočet - HW a licencie'!$A$3:$A$102,'TCO TO BE- SW'!L$2,'Rozpočet - HW a licencie'!$D$3:$D$102,"SW",'Rozpočet - HW a licencie'!$H$3:$H$102,'TCO TO BE- SW'!$D8,'Rozpočet - HW a licencie'!$E$3:$E$102,$B$6),)</f>
        <v>0</v>
      </c>
      <c r="M8" s="540">
        <f>IFERROR(SUMIFS('Rozpočet - HW a licencie'!$J$3:$J$102,'Rozpočet - HW a licencie'!$A$3:$A$102,'TCO TO BE- SW'!M$2,'Rozpočet - HW a licencie'!$D$3:$D$102,"SW",'Rozpočet - HW a licencie'!$H$3:$H$102,'TCO TO BE- SW'!$D8,'Rozpočet - HW a licencie'!$E$3:$E$102,$B$6),)</f>
        <v>0</v>
      </c>
      <c r="N8" s="540">
        <f>IFERROR(SUMIFS('Rozpočet - HW a licencie'!$J$3:$J$102,'Rozpočet - HW a licencie'!$A$3:$A$102,'TCO TO BE- SW'!N$2,'Rozpočet - HW a licencie'!$D$3:$D$102,"SW",'Rozpočet - HW a licencie'!$H$3:$H$102,'TCO TO BE- SW'!$D8,'Rozpočet - HW a licencie'!$E$3:$E$102,$B$6),)</f>
        <v>0</v>
      </c>
      <c r="O8" s="540">
        <f>IFERROR(SUMIFS('Rozpočet - HW a licencie'!$J$3:$J$102,'Rozpočet - HW a licencie'!$A$3:$A$102,'TCO TO BE- SW'!O$2,'Rozpočet - HW a licencie'!$D$3:$D$102,"SW",'Rozpočet - HW a licencie'!$H$3:$H$102,'TCO TO BE- SW'!$D8,'Rozpočet - HW a licencie'!$E$3:$E$102,$B$6),)</f>
        <v>0</v>
      </c>
      <c r="P8" s="540">
        <f>IFERROR(SUMIFS('Rozpočet - HW a licencie'!$J$3:$J$102,'Rozpočet - HW a licencie'!$A$3:$A$102,'TCO TO BE- SW'!P$2,'Rozpočet - HW a licencie'!$D$3:$D$102,"SW",'Rozpočet - HW a licencie'!$H$3:$H$102,'TCO TO BE- SW'!$D8,'Rozpočet - HW a licencie'!$E$3:$E$102,$B$6),)</f>
        <v>0</v>
      </c>
      <c r="Q8" s="540">
        <f>IFERROR(SUMIFS('Rozpočet - HW a licencie'!$J$3:$J$102,'Rozpočet - HW a licencie'!$A$3:$A$102,'TCO TO BE- SW'!Q$2,'Rozpočet - HW a licencie'!$D$3:$D$102,"SW",'Rozpočet - HW a licencie'!$H$3:$H$102,'TCO TO BE- SW'!$D8,'Rozpočet - HW a licencie'!$E$3:$E$102,$B$6),)</f>
        <v>0</v>
      </c>
      <c r="R8" s="540">
        <f>IFERROR(SUMIFS('Rozpočet - HW a licencie'!$J$3:$J$102,'Rozpočet - HW a licencie'!$A$3:$A$102,'TCO TO BE- SW'!R$2,'Rozpočet - HW a licencie'!$D$3:$D$102,"SW",'Rozpočet - HW a licencie'!$H$3:$H$102,'TCO TO BE- SW'!$D8,'Rozpočet - HW a licencie'!$E$3:$E$102,$B$6),)</f>
        <v>0</v>
      </c>
      <c r="S8" s="540">
        <f>IFERROR(SUMIFS('Rozpočet - HW a licencie'!$J$3:$J$102,'Rozpočet - HW a licencie'!$A$3:$A$102,'TCO TO BE- SW'!S$2,'Rozpočet - HW a licencie'!$D$3:$D$102,"SW",'Rozpočet - HW a licencie'!$H$3:$H$102,'TCO TO BE- SW'!$D8,'Rozpočet - HW a licencie'!$E$3:$E$102,$B$6),)</f>
        <v>0</v>
      </c>
      <c r="T8" s="540">
        <f>IFERROR(SUMIFS('Rozpočet - HW a licencie'!$J$3:$J$102,'Rozpočet - HW a licencie'!$A$3:$A$102,'TCO TO BE- SW'!T$2,'Rozpočet - HW a licencie'!$D$3:$D$102,"SW",'Rozpočet - HW a licencie'!$H$3:$H$102,'TCO TO BE- SW'!$D8,'Rozpočet - HW a licencie'!$E$3:$E$102,$B$6),)</f>
        <v>0</v>
      </c>
      <c r="U8" s="540">
        <f>IFERROR(SUMIFS('Rozpočet - HW a licencie'!$J$3:$J$102,'Rozpočet - HW a licencie'!$A$3:$A$102,'TCO TO BE- SW'!U$2,'Rozpočet - HW a licencie'!$D$3:$D$102,"SW",'Rozpočet - HW a licencie'!$H$3:$H$102,'TCO TO BE- SW'!$D8,'Rozpočet - HW a licencie'!$E$3:$E$102,$B$6),)</f>
        <v>0</v>
      </c>
      <c r="V8" s="540">
        <f>IFERROR(SUMIFS('Rozpočet - HW a licencie'!$J$3:$J$102,'Rozpočet - HW a licencie'!$A$3:$A$102,'TCO TO BE- SW'!V$2,'Rozpočet - HW a licencie'!$D$3:$D$102,"SW",'Rozpočet - HW a licencie'!$H$3:$H$102,'TCO TO BE- SW'!$D8,'Rozpočet - HW a licencie'!$E$3:$E$102,$B$6),)</f>
        <v>0</v>
      </c>
      <c r="W8" s="540">
        <f>IFERROR(SUMIFS('Rozpočet - HW a licencie'!$J$3:$J$102,'Rozpočet - HW a licencie'!$A$3:$A$102,'TCO TO BE- SW'!W$2,'Rozpočet - HW a licencie'!$D$3:$D$102,"SW",'Rozpočet - HW a licencie'!$H$3:$H$102,'TCO TO BE- SW'!$D8,'Rozpočet - HW a licencie'!$E$3:$E$102,$B$6),)</f>
        <v>0</v>
      </c>
      <c r="X8" s="540">
        <f>IFERROR(SUMIFS('Rozpočet - HW a licencie'!$J$3:$J$102,'Rozpočet - HW a licencie'!$A$3:$A$102,'TCO TO BE- SW'!X$2,'Rozpočet - HW a licencie'!$D$3:$D$102,"SW",'Rozpočet - HW a licencie'!$H$3:$H$102,'TCO TO BE- SW'!$D8,'Rozpočet - HW a licencie'!$E$3:$E$102,$B$6),)</f>
        <v>0</v>
      </c>
      <c r="Y8" s="540">
        <f>IFERROR(SUMIFS('Rozpočet - HW a licencie'!$J$3:$J$102,'Rozpočet - HW a licencie'!$A$3:$A$102,'TCO TO BE- SW'!Y$2,'Rozpočet - HW a licencie'!$D$3:$D$102,"SW",'Rozpočet - HW a licencie'!$H$3:$H$102,'TCO TO BE- SW'!$D8,'Rozpočet - HW a licencie'!$E$3:$E$102,$B$6),)</f>
        <v>0</v>
      </c>
      <c r="Z8" s="540">
        <f>IFERROR(SUMIFS('Rozpočet - HW a licencie'!$J$3:$J$102,'Rozpočet - HW a licencie'!$A$3:$A$102,'TCO TO BE- SW'!Z$2,'Rozpočet - HW a licencie'!$D$3:$D$102,"SW",'Rozpočet - HW a licencie'!$H$3:$H$102,'TCO TO BE- SW'!$D8,'Rozpočet - HW a licencie'!$E$3:$E$102,$B$6),)</f>
        <v>0</v>
      </c>
    </row>
    <row r="9" spans="1:26" outlineLevel="2" x14ac:dyDescent="0.2">
      <c r="A9" s="884"/>
      <c r="B9" s="885"/>
      <c r="C9" s="885"/>
      <c r="D9" s="64">
        <v>4</v>
      </c>
      <c r="E9" s="61">
        <f t="shared" si="4"/>
        <v>0</v>
      </c>
      <c r="F9" s="540">
        <f>IFERROR(SUMIFS('Rozpočet - HW a licencie'!$J$3:$J$102,'Rozpočet - HW a licencie'!$A$3:$A$102,'TCO TO BE- SW'!F$2,'Rozpočet - HW a licencie'!$D$3:$D$102,"SW",'Rozpočet - HW a licencie'!$H$3:$H$102,'TCO TO BE- SW'!$D9,'Rozpočet - HW a licencie'!$E$3:$E$102,$B$6),)</f>
        <v>0</v>
      </c>
      <c r="G9" s="540">
        <f>IFERROR(SUMIFS('Rozpočet - HW a licencie'!$J$3:$J$102,'Rozpočet - HW a licencie'!$A$3:$A$102,'TCO TO BE- SW'!G$2,'Rozpočet - HW a licencie'!$D$3:$D$102,"SW",'Rozpočet - HW a licencie'!$H$3:$H$102,'TCO TO BE- SW'!$D9,'Rozpočet - HW a licencie'!$E$3:$E$102,$B$6),)</f>
        <v>0</v>
      </c>
      <c r="H9" s="540">
        <f>IFERROR(SUMIFS('Rozpočet - HW a licencie'!$J$3:$J$102,'Rozpočet - HW a licencie'!$A$3:$A$102,'TCO TO BE- SW'!H$2,'Rozpočet - HW a licencie'!$D$3:$D$102,"SW",'Rozpočet - HW a licencie'!$H$3:$H$102,'TCO TO BE- SW'!$D9,'Rozpočet - HW a licencie'!$E$3:$E$102,$B$6),)</f>
        <v>0</v>
      </c>
      <c r="I9" s="540">
        <f>IFERROR(SUMIFS('Rozpočet - HW a licencie'!$J$3:$J$102,'Rozpočet - HW a licencie'!$A$3:$A$102,'TCO TO BE- SW'!I$2,'Rozpočet - HW a licencie'!$D$3:$D$102,"SW",'Rozpočet - HW a licencie'!$H$3:$H$102,'TCO TO BE- SW'!$D9,'Rozpočet - HW a licencie'!$E$3:$E$102,$B$6),)</f>
        <v>0</v>
      </c>
      <c r="J9" s="540">
        <f>IFERROR(SUMIFS('Rozpočet - HW a licencie'!$J$3:$J$102,'Rozpočet - HW a licencie'!$A$3:$A$102,'TCO TO BE- SW'!J$2,'Rozpočet - HW a licencie'!$D$3:$D$102,"SW",'Rozpočet - HW a licencie'!$H$3:$H$102,'TCO TO BE- SW'!$D9,'Rozpočet - HW a licencie'!$E$3:$E$102,$B$6),)</f>
        <v>0</v>
      </c>
      <c r="K9" s="540">
        <f>IFERROR(SUMIFS('Rozpočet - HW a licencie'!$J$3:$J$102,'Rozpočet - HW a licencie'!$A$3:$A$102,'TCO TO BE- SW'!K$2,'Rozpočet - HW a licencie'!$D$3:$D$102,"SW",'Rozpočet - HW a licencie'!$H$3:$H$102,'TCO TO BE- SW'!$D9,'Rozpočet - HW a licencie'!$E$3:$E$102,$B$6),)</f>
        <v>0</v>
      </c>
      <c r="L9" s="540">
        <f>IFERROR(SUMIFS('Rozpočet - HW a licencie'!$J$3:$J$102,'Rozpočet - HW a licencie'!$A$3:$A$102,'TCO TO BE- SW'!L$2,'Rozpočet - HW a licencie'!$D$3:$D$102,"SW",'Rozpočet - HW a licencie'!$H$3:$H$102,'TCO TO BE- SW'!$D9,'Rozpočet - HW a licencie'!$E$3:$E$102,$B$6),)</f>
        <v>0</v>
      </c>
      <c r="M9" s="540">
        <f>IFERROR(SUMIFS('Rozpočet - HW a licencie'!$J$3:$J$102,'Rozpočet - HW a licencie'!$A$3:$A$102,'TCO TO BE- SW'!M$2,'Rozpočet - HW a licencie'!$D$3:$D$102,"SW",'Rozpočet - HW a licencie'!$H$3:$H$102,'TCO TO BE- SW'!$D9,'Rozpočet - HW a licencie'!$E$3:$E$102,$B$6),)</f>
        <v>0</v>
      </c>
      <c r="N9" s="540">
        <f>IFERROR(SUMIFS('Rozpočet - HW a licencie'!$J$3:$J$102,'Rozpočet - HW a licencie'!$A$3:$A$102,'TCO TO BE- SW'!N$2,'Rozpočet - HW a licencie'!$D$3:$D$102,"SW",'Rozpočet - HW a licencie'!$H$3:$H$102,'TCO TO BE- SW'!$D9,'Rozpočet - HW a licencie'!$E$3:$E$102,$B$6),)</f>
        <v>0</v>
      </c>
      <c r="O9" s="540">
        <f>IFERROR(SUMIFS('Rozpočet - HW a licencie'!$J$3:$J$102,'Rozpočet - HW a licencie'!$A$3:$A$102,'TCO TO BE- SW'!O$2,'Rozpočet - HW a licencie'!$D$3:$D$102,"SW",'Rozpočet - HW a licencie'!$H$3:$H$102,'TCO TO BE- SW'!$D9,'Rozpočet - HW a licencie'!$E$3:$E$102,$B$6),)</f>
        <v>0</v>
      </c>
      <c r="P9" s="540">
        <f>IFERROR(SUMIFS('Rozpočet - HW a licencie'!$J$3:$J$102,'Rozpočet - HW a licencie'!$A$3:$A$102,'TCO TO BE- SW'!P$2,'Rozpočet - HW a licencie'!$D$3:$D$102,"SW",'Rozpočet - HW a licencie'!$H$3:$H$102,'TCO TO BE- SW'!$D9,'Rozpočet - HW a licencie'!$E$3:$E$102,$B$6),)</f>
        <v>0</v>
      </c>
      <c r="Q9" s="540">
        <f>IFERROR(SUMIFS('Rozpočet - HW a licencie'!$J$3:$J$102,'Rozpočet - HW a licencie'!$A$3:$A$102,'TCO TO BE- SW'!Q$2,'Rozpočet - HW a licencie'!$D$3:$D$102,"SW",'Rozpočet - HW a licencie'!$H$3:$H$102,'TCO TO BE- SW'!$D9,'Rozpočet - HW a licencie'!$E$3:$E$102,$B$6),)</f>
        <v>0</v>
      </c>
      <c r="R9" s="540">
        <f>IFERROR(SUMIFS('Rozpočet - HW a licencie'!$J$3:$J$102,'Rozpočet - HW a licencie'!$A$3:$A$102,'TCO TO BE- SW'!R$2,'Rozpočet - HW a licencie'!$D$3:$D$102,"SW",'Rozpočet - HW a licencie'!$H$3:$H$102,'TCO TO BE- SW'!$D9,'Rozpočet - HW a licencie'!$E$3:$E$102,$B$6),)</f>
        <v>0</v>
      </c>
      <c r="S9" s="540">
        <f>IFERROR(SUMIFS('Rozpočet - HW a licencie'!$J$3:$J$102,'Rozpočet - HW a licencie'!$A$3:$A$102,'TCO TO BE- SW'!S$2,'Rozpočet - HW a licencie'!$D$3:$D$102,"SW",'Rozpočet - HW a licencie'!$H$3:$H$102,'TCO TO BE- SW'!$D9,'Rozpočet - HW a licencie'!$E$3:$E$102,$B$6),)</f>
        <v>0</v>
      </c>
      <c r="T9" s="540">
        <f>IFERROR(SUMIFS('Rozpočet - HW a licencie'!$J$3:$J$102,'Rozpočet - HW a licencie'!$A$3:$A$102,'TCO TO BE- SW'!T$2,'Rozpočet - HW a licencie'!$D$3:$D$102,"SW",'Rozpočet - HW a licencie'!$H$3:$H$102,'TCO TO BE- SW'!$D9,'Rozpočet - HW a licencie'!$E$3:$E$102,$B$6),)</f>
        <v>0</v>
      </c>
      <c r="U9" s="540">
        <f>IFERROR(SUMIFS('Rozpočet - HW a licencie'!$J$3:$J$102,'Rozpočet - HW a licencie'!$A$3:$A$102,'TCO TO BE- SW'!U$2,'Rozpočet - HW a licencie'!$D$3:$D$102,"SW",'Rozpočet - HW a licencie'!$H$3:$H$102,'TCO TO BE- SW'!$D9,'Rozpočet - HW a licencie'!$E$3:$E$102,$B$6),)</f>
        <v>0</v>
      </c>
      <c r="V9" s="540">
        <f>IFERROR(SUMIFS('Rozpočet - HW a licencie'!$J$3:$J$102,'Rozpočet - HW a licencie'!$A$3:$A$102,'TCO TO BE- SW'!V$2,'Rozpočet - HW a licencie'!$D$3:$D$102,"SW",'Rozpočet - HW a licencie'!$H$3:$H$102,'TCO TO BE- SW'!$D9,'Rozpočet - HW a licencie'!$E$3:$E$102,$B$6),)</f>
        <v>0</v>
      </c>
      <c r="W9" s="540">
        <f>IFERROR(SUMIFS('Rozpočet - HW a licencie'!$J$3:$J$102,'Rozpočet - HW a licencie'!$A$3:$A$102,'TCO TO BE- SW'!W$2,'Rozpočet - HW a licencie'!$D$3:$D$102,"SW",'Rozpočet - HW a licencie'!$H$3:$H$102,'TCO TO BE- SW'!$D9,'Rozpočet - HW a licencie'!$E$3:$E$102,$B$6),)</f>
        <v>0</v>
      </c>
      <c r="X9" s="540">
        <f>IFERROR(SUMIFS('Rozpočet - HW a licencie'!$J$3:$J$102,'Rozpočet - HW a licencie'!$A$3:$A$102,'TCO TO BE- SW'!X$2,'Rozpočet - HW a licencie'!$D$3:$D$102,"SW",'Rozpočet - HW a licencie'!$H$3:$H$102,'TCO TO BE- SW'!$D9,'Rozpočet - HW a licencie'!$E$3:$E$102,$B$6),)</f>
        <v>0</v>
      </c>
      <c r="Y9" s="540">
        <f>IFERROR(SUMIFS('Rozpočet - HW a licencie'!$J$3:$J$102,'Rozpočet - HW a licencie'!$A$3:$A$102,'TCO TO BE- SW'!Y$2,'Rozpočet - HW a licencie'!$D$3:$D$102,"SW",'Rozpočet - HW a licencie'!$H$3:$H$102,'TCO TO BE- SW'!$D9,'Rozpočet - HW a licencie'!$E$3:$E$102,$B$6),)</f>
        <v>0</v>
      </c>
      <c r="Z9" s="540">
        <f>IFERROR(SUMIFS('Rozpočet - HW a licencie'!$J$3:$J$102,'Rozpočet - HW a licencie'!$A$3:$A$102,'TCO TO BE- SW'!Z$2,'Rozpočet - HW a licencie'!$D$3:$D$102,"SW",'Rozpočet - HW a licencie'!$H$3:$H$102,'TCO TO BE- SW'!$D9,'Rozpočet - HW a licencie'!$E$3:$E$102,$B$6),)</f>
        <v>0</v>
      </c>
    </row>
    <row r="10" spans="1:26" outlineLevel="2" x14ac:dyDescent="0.2">
      <c r="A10" s="884"/>
      <c r="B10" s="885"/>
      <c r="C10" s="885"/>
      <c r="D10" s="64">
        <v>5</v>
      </c>
      <c r="E10" s="61">
        <f t="shared" si="4"/>
        <v>0</v>
      </c>
      <c r="F10" s="540">
        <f>IFERROR(SUMIFS('Rozpočet - HW a licencie'!$J$3:$J$102,'Rozpočet - HW a licencie'!$A$3:$A$102,'TCO TO BE- SW'!F$2,'Rozpočet - HW a licencie'!$D$3:$D$102,"SW",'Rozpočet - HW a licencie'!$H$3:$H$102,'TCO TO BE- SW'!$D10,'Rozpočet - HW a licencie'!$E$3:$E$102,$B$6),)</f>
        <v>0</v>
      </c>
      <c r="G10" s="540">
        <f>IFERROR(SUMIFS('Rozpočet - HW a licencie'!$J$3:$J$102,'Rozpočet - HW a licencie'!$A$3:$A$102,'TCO TO BE- SW'!G$2,'Rozpočet - HW a licencie'!$D$3:$D$102,"SW",'Rozpočet - HW a licencie'!$H$3:$H$102,'TCO TO BE- SW'!$D10,'Rozpočet - HW a licencie'!$E$3:$E$102,$B$6),)</f>
        <v>0</v>
      </c>
      <c r="H10" s="540">
        <f>IFERROR(SUMIFS('Rozpočet - HW a licencie'!$J$3:$J$102,'Rozpočet - HW a licencie'!$A$3:$A$102,'TCO TO BE- SW'!H$2,'Rozpočet - HW a licencie'!$D$3:$D$102,"SW",'Rozpočet - HW a licencie'!$H$3:$H$102,'TCO TO BE- SW'!$D10,'Rozpočet - HW a licencie'!$E$3:$E$102,$B$6),)</f>
        <v>0</v>
      </c>
      <c r="I10" s="540">
        <f>IFERROR(SUMIFS('Rozpočet - HW a licencie'!$J$3:$J$102,'Rozpočet - HW a licencie'!$A$3:$A$102,'TCO TO BE- SW'!I$2,'Rozpočet - HW a licencie'!$D$3:$D$102,"SW",'Rozpočet - HW a licencie'!$H$3:$H$102,'TCO TO BE- SW'!$D10,'Rozpočet - HW a licencie'!$E$3:$E$102,$B$6),)</f>
        <v>0</v>
      </c>
      <c r="J10" s="540">
        <f>IFERROR(SUMIFS('Rozpočet - HW a licencie'!$J$3:$J$102,'Rozpočet - HW a licencie'!$A$3:$A$102,'TCO TO BE- SW'!J$2,'Rozpočet - HW a licencie'!$D$3:$D$102,"SW",'Rozpočet - HW a licencie'!$H$3:$H$102,'TCO TO BE- SW'!$D10,'Rozpočet - HW a licencie'!$E$3:$E$102,$B$6),)</f>
        <v>0</v>
      </c>
      <c r="K10" s="540">
        <f>IFERROR(SUMIFS('Rozpočet - HW a licencie'!$J$3:$J$102,'Rozpočet - HW a licencie'!$A$3:$A$102,'TCO TO BE- SW'!K$2,'Rozpočet - HW a licencie'!$D$3:$D$102,"SW",'Rozpočet - HW a licencie'!$H$3:$H$102,'TCO TO BE- SW'!$D10,'Rozpočet - HW a licencie'!$E$3:$E$102,$B$6),)</f>
        <v>0</v>
      </c>
      <c r="L10" s="540">
        <f>IFERROR(SUMIFS('Rozpočet - HW a licencie'!$J$3:$J$102,'Rozpočet - HW a licencie'!$A$3:$A$102,'TCO TO BE- SW'!L$2,'Rozpočet - HW a licencie'!$D$3:$D$102,"SW",'Rozpočet - HW a licencie'!$H$3:$H$102,'TCO TO BE- SW'!$D10,'Rozpočet - HW a licencie'!$E$3:$E$102,$B$6),)</f>
        <v>0</v>
      </c>
      <c r="M10" s="540">
        <f>IFERROR(SUMIFS('Rozpočet - HW a licencie'!$J$3:$J$102,'Rozpočet - HW a licencie'!$A$3:$A$102,'TCO TO BE- SW'!M$2,'Rozpočet - HW a licencie'!$D$3:$D$102,"SW",'Rozpočet - HW a licencie'!$H$3:$H$102,'TCO TO BE- SW'!$D10,'Rozpočet - HW a licencie'!$E$3:$E$102,$B$6),)</f>
        <v>0</v>
      </c>
      <c r="N10" s="540">
        <f>IFERROR(SUMIFS('Rozpočet - HW a licencie'!$J$3:$J$102,'Rozpočet - HW a licencie'!$A$3:$A$102,'TCO TO BE- SW'!N$2,'Rozpočet - HW a licencie'!$D$3:$D$102,"SW",'Rozpočet - HW a licencie'!$H$3:$H$102,'TCO TO BE- SW'!$D10,'Rozpočet - HW a licencie'!$E$3:$E$102,$B$6),)</f>
        <v>0</v>
      </c>
      <c r="O10" s="540">
        <f>IFERROR(SUMIFS('Rozpočet - HW a licencie'!$J$3:$J$102,'Rozpočet - HW a licencie'!$A$3:$A$102,'TCO TO BE- SW'!O$2,'Rozpočet - HW a licencie'!$D$3:$D$102,"SW",'Rozpočet - HW a licencie'!$H$3:$H$102,'TCO TO BE- SW'!$D10,'Rozpočet - HW a licencie'!$E$3:$E$102,$B$6),)</f>
        <v>0</v>
      </c>
      <c r="P10" s="540">
        <f>IFERROR(SUMIFS('Rozpočet - HW a licencie'!$J$3:$J$102,'Rozpočet - HW a licencie'!$A$3:$A$102,'TCO TO BE- SW'!P$2,'Rozpočet - HW a licencie'!$D$3:$D$102,"SW",'Rozpočet - HW a licencie'!$H$3:$H$102,'TCO TO BE- SW'!$D10,'Rozpočet - HW a licencie'!$E$3:$E$102,$B$6),)</f>
        <v>0</v>
      </c>
      <c r="Q10" s="540">
        <f>IFERROR(SUMIFS('Rozpočet - HW a licencie'!$J$3:$J$102,'Rozpočet - HW a licencie'!$A$3:$A$102,'TCO TO BE- SW'!Q$2,'Rozpočet - HW a licencie'!$D$3:$D$102,"SW",'Rozpočet - HW a licencie'!$H$3:$H$102,'TCO TO BE- SW'!$D10,'Rozpočet - HW a licencie'!$E$3:$E$102,$B$6),)</f>
        <v>0</v>
      </c>
      <c r="R10" s="540">
        <f>IFERROR(SUMIFS('Rozpočet - HW a licencie'!$J$3:$J$102,'Rozpočet - HW a licencie'!$A$3:$A$102,'TCO TO BE- SW'!R$2,'Rozpočet - HW a licencie'!$D$3:$D$102,"SW",'Rozpočet - HW a licencie'!$H$3:$H$102,'TCO TO BE- SW'!$D10,'Rozpočet - HW a licencie'!$E$3:$E$102,$B$6),)</f>
        <v>0</v>
      </c>
      <c r="S10" s="540">
        <f>IFERROR(SUMIFS('Rozpočet - HW a licencie'!$J$3:$J$102,'Rozpočet - HW a licencie'!$A$3:$A$102,'TCO TO BE- SW'!S$2,'Rozpočet - HW a licencie'!$D$3:$D$102,"SW",'Rozpočet - HW a licencie'!$H$3:$H$102,'TCO TO BE- SW'!$D10,'Rozpočet - HW a licencie'!$E$3:$E$102,$B$6),)</f>
        <v>0</v>
      </c>
      <c r="T10" s="540">
        <f>IFERROR(SUMIFS('Rozpočet - HW a licencie'!$J$3:$J$102,'Rozpočet - HW a licencie'!$A$3:$A$102,'TCO TO BE- SW'!T$2,'Rozpočet - HW a licencie'!$D$3:$D$102,"SW",'Rozpočet - HW a licencie'!$H$3:$H$102,'TCO TO BE- SW'!$D10,'Rozpočet - HW a licencie'!$E$3:$E$102,$B$6),)</f>
        <v>0</v>
      </c>
      <c r="U10" s="540">
        <f>IFERROR(SUMIFS('Rozpočet - HW a licencie'!$J$3:$J$102,'Rozpočet - HW a licencie'!$A$3:$A$102,'TCO TO BE- SW'!U$2,'Rozpočet - HW a licencie'!$D$3:$D$102,"SW",'Rozpočet - HW a licencie'!$H$3:$H$102,'TCO TO BE- SW'!$D10,'Rozpočet - HW a licencie'!$E$3:$E$102,$B$6),)</f>
        <v>0</v>
      </c>
      <c r="V10" s="540">
        <f>IFERROR(SUMIFS('Rozpočet - HW a licencie'!$J$3:$J$102,'Rozpočet - HW a licencie'!$A$3:$A$102,'TCO TO BE- SW'!V$2,'Rozpočet - HW a licencie'!$D$3:$D$102,"SW",'Rozpočet - HW a licencie'!$H$3:$H$102,'TCO TO BE- SW'!$D10,'Rozpočet - HW a licencie'!$E$3:$E$102,$B$6),)</f>
        <v>0</v>
      </c>
      <c r="W10" s="540">
        <f>IFERROR(SUMIFS('Rozpočet - HW a licencie'!$J$3:$J$102,'Rozpočet - HW a licencie'!$A$3:$A$102,'TCO TO BE- SW'!W$2,'Rozpočet - HW a licencie'!$D$3:$D$102,"SW",'Rozpočet - HW a licencie'!$H$3:$H$102,'TCO TO BE- SW'!$D10,'Rozpočet - HW a licencie'!$E$3:$E$102,$B$6),)</f>
        <v>0</v>
      </c>
      <c r="X10" s="540">
        <f>IFERROR(SUMIFS('Rozpočet - HW a licencie'!$J$3:$J$102,'Rozpočet - HW a licencie'!$A$3:$A$102,'TCO TO BE- SW'!X$2,'Rozpočet - HW a licencie'!$D$3:$D$102,"SW",'Rozpočet - HW a licencie'!$H$3:$H$102,'TCO TO BE- SW'!$D10,'Rozpočet - HW a licencie'!$E$3:$E$102,$B$6),)</f>
        <v>0</v>
      </c>
      <c r="Y10" s="540">
        <f>IFERROR(SUMIFS('Rozpočet - HW a licencie'!$J$3:$J$102,'Rozpočet - HW a licencie'!$A$3:$A$102,'TCO TO BE- SW'!Y$2,'Rozpočet - HW a licencie'!$D$3:$D$102,"SW",'Rozpočet - HW a licencie'!$H$3:$H$102,'TCO TO BE- SW'!$D10,'Rozpočet - HW a licencie'!$E$3:$E$102,$B$6),)</f>
        <v>0</v>
      </c>
      <c r="Z10" s="540">
        <f>IFERROR(SUMIFS('Rozpočet - HW a licencie'!$J$3:$J$102,'Rozpočet - HW a licencie'!$A$3:$A$102,'TCO TO BE- SW'!Z$2,'Rozpočet - HW a licencie'!$D$3:$D$102,"SW",'Rozpočet - HW a licencie'!$H$3:$H$102,'TCO TO BE- SW'!$D10,'Rozpočet - HW a licencie'!$E$3:$E$102,$B$6),)</f>
        <v>0</v>
      </c>
    </row>
    <row r="11" spans="1:26" outlineLevel="2" x14ac:dyDescent="0.2">
      <c r="A11" s="884"/>
      <c r="B11" s="885"/>
      <c r="C11" s="885"/>
      <c r="D11" s="64">
        <v>6</v>
      </c>
      <c r="E11" s="61">
        <f t="shared" si="4"/>
        <v>0</v>
      </c>
      <c r="F11" s="540">
        <f>IFERROR(SUMIFS('Rozpočet - HW a licencie'!$J$3:$J$102,'Rozpočet - HW a licencie'!$A$3:$A$102,'TCO TO BE- SW'!F$2,'Rozpočet - HW a licencie'!$D$3:$D$102,"SW",'Rozpočet - HW a licencie'!$H$3:$H$102,'TCO TO BE- SW'!$D11,'Rozpočet - HW a licencie'!$E$3:$E$102,$B$6),)</f>
        <v>0</v>
      </c>
      <c r="G11" s="540">
        <f>IFERROR(SUMIFS('Rozpočet - HW a licencie'!$J$3:$J$102,'Rozpočet - HW a licencie'!$A$3:$A$102,'TCO TO BE- SW'!G$2,'Rozpočet - HW a licencie'!$D$3:$D$102,"SW",'Rozpočet - HW a licencie'!$H$3:$H$102,'TCO TO BE- SW'!$D11,'Rozpočet - HW a licencie'!$E$3:$E$102,$B$6),)</f>
        <v>0</v>
      </c>
      <c r="H11" s="540">
        <f>IFERROR(SUMIFS('Rozpočet - HW a licencie'!$J$3:$J$102,'Rozpočet - HW a licencie'!$A$3:$A$102,'TCO TO BE- SW'!H$2,'Rozpočet - HW a licencie'!$D$3:$D$102,"SW",'Rozpočet - HW a licencie'!$H$3:$H$102,'TCO TO BE- SW'!$D11,'Rozpočet - HW a licencie'!$E$3:$E$102,$B$6),)</f>
        <v>0</v>
      </c>
      <c r="I11" s="540">
        <f>IFERROR(SUMIFS('Rozpočet - HW a licencie'!$J$3:$J$102,'Rozpočet - HW a licencie'!$A$3:$A$102,'TCO TO BE- SW'!I$2,'Rozpočet - HW a licencie'!$D$3:$D$102,"SW",'Rozpočet - HW a licencie'!$H$3:$H$102,'TCO TO BE- SW'!$D11,'Rozpočet - HW a licencie'!$E$3:$E$102,$B$6),)</f>
        <v>0</v>
      </c>
      <c r="J11" s="540">
        <f>IFERROR(SUMIFS('Rozpočet - HW a licencie'!$J$3:$J$102,'Rozpočet - HW a licencie'!$A$3:$A$102,'TCO TO BE- SW'!J$2,'Rozpočet - HW a licencie'!$D$3:$D$102,"SW",'Rozpočet - HW a licencie'!$H$3:$H$102,'TCO TO BE- SW'!$D11,'Rozpočet - HW a licencie'!$E$3:$E$102,$B$6),)</f>
        <v>0</v>
      </c>
      <c r="K11" s="540">
        <f>IFERROR(SUMIFS('Rozpočet - HW a licencie'!$J$3:$J$102,'Rozpočet - HW a licencie'!$A$3:$A$102,'TCO TO BE- SW'!K$2,'Rozpočet - HW a licencie'!$D$3:$D$102,"SW",'Rozpočet - HW a licencie'!$H$3:$H$102,'TCO TO BE- SW'!$D11,'Rozpočet - HW a licencie'!$E$3:$E$102,$B$6),)</f>
        <v>0</v>
      </c>
      <c r="L11" s="540">
        <f>IFERROR(SUMIFS('Rozpočet - HW a licencie'!$J$3:$J$102,'Rozpočet - HW a licencie'!$A$3:$A$102,'TCO TO BE- SW'!L$2,'Rozpočet - HW a licencie'!$D$3:$D$102,"SW",'Rozpočet - HW a licencie'!$H$3:$H$102,'TCO TO BE- SW'!$D11,'Rozpočet - HW a licencie'!$E$3:$E$102,$B$6),)</f>
        <v>0</v>
      </c>
      <c r="M11" s="540">
        <f>IFERROR(SUMIFS('Rozpočet - HW a licencie'!$J$3:$J$102,'Rozpočet - HW a licencie'!$A$3:$A$102,'TCO TO BE- SW'!M$2,'Rozpočet - HW a licencie'!$D$3:$D$102,"SW",'Rozpočet - HW a licencie'!$H$3:$H$102,'TCO TO BE- SW'!$D11,'Rozpočet - HW a licencie'!$E$3:$E$102,$B$6),)</f>
        <v>0</v>
      </c>
      <c r="N11" s="540">
        <f>IFERROR(SUMIFS('Rozpočet - HW a licencie'!$J$3:$J$102,'Rozpočet - HW a licencie'!$A$3:$A$102,'TCO TO BE- SW'!N$2,'Rozpočet - HW a licencie'!$D$3:$D$102,"SW",'Rozpočet - HW a licencie'!$H$3:$H$102,'TCO TO BE- SW'!$D11,'Rozpočet - HW a licencie'!$E$3:$E$102,$B$6),)</f>
        <v>0</v>
      </c>
      <c r="O11" s="540">
        <f>IFERROR(SUMIFS('Rozpočet - HW a licencie'!$J$3:$J$102,'Rozpočet - HW a licencie'!$A$3:$A$102,'TCO TO BE- SW'!O$2,'Rozpočet - HW a licencie'!$D$3:$D$102,"SW",'Rozpočet - HW a licencie'!$H$3:$H$102,'TCO TO BE- SW'!$D11,'Rozpočet - HW a licencie'!$E$3:$E$102,$B$6),)</f>
        <v>0</v>
      </c>
      <c r="P11" s="540">
        <f>IFERROR(SUMIFS('Rozpočet - HW a licencie'!$J$3:$J$102,'Rozpočet - HW a licencie'!$A$3:$A$102,'TCO TO BE- SW'!P$2,'Rozpočet - HW a licencie'!$D$3:$D$102,"SW",'Rozpočet - HW a licencie'!$H$3:$H$102,'TCO TO BE- SW'!$D11,'Rozpočet - HW a licencie'!$E$3:$E$102,$B$6),)</f>
        <v>0</v>
      </c>
      <c r="Q11" s="540">
        <f>IFERROR(SUMIFS('Rozpočet - HW a licencie'!$J$3:$J$102,'Rozpočet - HW a licencie'!$A$3:$A$102,'TCO TO BE- SW'!Q$2,'Rozpočet - HW a licencie'!$D$3:$D$102,"SW",'Rozpočet - HW a licencie'!$H$3:$H$102,'TCO TO BE- SW'!$D11,'Rozpočet - HW a licencie'!$E$3:$E$102,$B$6),)</f>
        <v>0</v>
      </c>
      <c r="R11" s="540">
        <f>IFERROR(SUMIFS('Rozpočet - HW a licencie'!$J$3:$J$102,'Rozpočet - HW a licencie'!$A$3:$A$102,'TCO TO BE- SW'!R$2,'Rozpočet - HW a licencie'!$D$3:$D$102,"SW",'Rozpočet - HW a licencie'!$H$3:$H$102,'TCO TO BE- SW'!$D11,'Rozpočet - HW a licencie'!$E$3:$E$102,$B$6),)</f>
        <v>0</v>
      </c>
      <c r="S11" s="540">
        <f>IFERROR(SUMIFS('Rozpočet - HW a licencie'!$J$3:$J$102,'Rozpočet - HW a licencie'!$A$3:$A$102,'TCO TO BE- SW'!S$2,'Rozpočet - HW a licencie'!$D$3:$D$102,"SW",'Rozpočet - HW a licencie'!$H$3:$H$102,'TCO TO BE- SW'!$D11,'Rozpočet - HW a licencie'!$E$3:$E$102,$B$6),)</f>
        <v>0</v>
      </c>
      <c r="T11" s="540">
        <f>IFERROR(SUMIFS('Rozpočet - HW a licencie'!$J$3:$J$102,'Rozpočet - HW a licencie'!$A$3:$A$102,'TCO TO BE- SW'!T$2,'Rozpočet - HW a licencie'!$D$3:$D$102,"SW",'Rozpočet - HW a licencie'!$H$3:$H$102,'TCO TO BE- SW'!$D11,'Rozpočet - HW a licencie'!$E$3:$E$102,$B$6),)</f>
        <v>0</v>
      </c>
      <c r="U11" s="540">
        <f>IFERROR(SUMIFS('Rozpočet - HW a licencie'!$J$3:$J$102,'Rozpočet - HW a licencie'!$A$3:$A$102,'TCO TO BE- SW'!U$2,'Rozpočet - HW a licencie'!$D$3:$D$102,"SW",'Rozpočet - HW a licencie'!$H$3:$H$102,'TCO TO BE- SW'!$D11,'Rozpočet - HW a licencie'!$E$3:$E$102,$B$6),)</f>
        <v>0</v>
      </c>
      <c r="V11" s="540">
        <f>IFERROR(SUMIFS('Rozpočet - HW a licencie'!$J$3:$J$102,'Rozpočet - HW a licencie'!$A$3:$A$102,'TCO TO BE- SW'!V$2,'Rozpočet - HW a licencie'!$D$3:$D$102,"SW",'Rozpočet - HW a licencie'!$H$3:$H$102,'TCO TO BE- SW'!$D11,'Rozpočet - HW a licencie'!$E$3:$E$102,$B$6),)</f>
        <v>0</v>
      </c>
      <c r="W11" s="540">
        <f>IFERROR(SUMIFS('Rozpočet - HW a licencie'!$J$3:$J$102,'Rozpočet - HW a licencie'!$A$3:$A$102,'TCO TO BE- SW'!W$2,'Rozpočet - HW a licencie'!$D$3:$D$102,"SW",'Rozpočet - HW a licencie'!$H$3:$H$102,'TCO TO BE- SW'!$D11,'Rozpočet - HW a licencie'!$E$3:$E$102,$B$6),)</f>
        <v>0</v>
      </c>
      <c r="X11" s="540">
        <f>IFERROR(SUMIFS('Rozpočet - HW a licencie'!$J$3:$J$102,'Rozpočet - HW a licencie'!$A$3:$A$102,'TCO TO BE- SW'!X$2,'Rozpočet - HW a licencie'!$D$3:$D$102,"SW",'Rozpočet - HW a licencie'!$H$3:$H$102,'TCO TO BE- SW'!$D11,'Rozpočet - HW a licencie'!$E$3:$E$102,$B$6),)</f>
        <v>0</v>
      </c>
      <c r="Y11" s="540">
        <f>IFERROR(SUMIFS('Rozpočet - HW a licencie'!$J$3:$J$102,'Rozpočet - HW a licencie'!$A$3:$A$102,'TCO TO BE- SW'!Y$2,'Rozpočet - HW a licencie'!$D$3:$D$102,"SW",'Rozpočet - HW a licencie'!$H$3:$H$102,'TCO TO BE- SW'!$D11,'Rozpočet - HW a licencie'!$E$3:$E$102,$B$6),)</f>
        <v>0</v>
      </c>
      <c r="Z11" s="540">
        <f>IFERROR(SUMIFS('Rozpočet - HW a licencie'!$J$3:$J$102,'Rozpočet - HW a licencie'!$A$3:$A$102,'TCO TO BE- SW'!Z$2,'Rozpočet - HW a licencie'!$D$3:$D$102,"SW",'Rozpočet - HW a licencie'!$H$3:$H$102,'TCO TO BE- SW'!$D11,'Rozpočet - HW a licencie'!$E$3:$E$102,$B$6),)</f>
        <v>0</v>
      </c>
    </row>
    <row r="12" spans="1:26" outlineLevel="2" x14ac:dyDescent="0.2">
      <c r="A12" s="884"/>
      <c r="B12" s="885"/>
      <c r="C12" s="885"/>
      <c r="D12" s="64">
        <v>7</v>
      </c>
      <c r="E12" s="61">
        <f t="shared" si="4"/>
        <v>0</v>
      </c>
      <c r="F12" s="540">
        <f>IFERROR(SUMIFS('Rozpočet - HW a licencie'!$J$3:$J$102,'Rozpočet - HW a licencie'!$A$3:$A$102,'TCO TO BE- SW'!F$2,'Rozpočet - HW a licencie'!$D$3:$D$102,"SW",'Rozpočet - HW a licencie'!$H$3:$H$102,'TCO TO BE- SW'!$D12,'Rozpočet - HW a licencie'!$E$3:$E$102,$B$6),)</f>
        <v>0</v>
      </c>
      <c r="G12" s="540">
        <f>IFERROR(SUMIFS('Rozpočet - HW a licencie'!$J$3:$J$102,'Rozpočet - HW a licencie'!$A$3:$A$102,'TCO TO BE- SW'!G$2,'Rozpočet - HW a licencie'!$D$3:$D$102,"SW",'Rozpočet - HW a licencie'!$H$3:$H$102,'TCO TO BE- SW'!$D12,'Rozpočet - HW a licencie'!$E$3:$E$102,$B$6),)</f>
        <v>0</v>
      </c>
      <c r="H12" s="540">
        <f>IFERROR(SUMIFS('Rozpočet - HW a licencie'!$J$3:$J$102,'Rozpočet - HW a licencie'!$A$3:$A$102,'TCO TO BE- SW'!H$2,'Rozpočet - HW a licencie'!$D$3:$D$102,"SW",'Rozpočet - HW a licencie'!$H$3:$H$102,'TCO TO BE- SW'!$D12,'Rozpočet - HW a licencie'!$E$3:$E$102,$B$6),)</f>
        <v>0</v>
      </c>
      <c r="I12" s="540">
        <f>IFERROR(SUMIFS('Rozpočet - HW a licencie'!$J$3:$J$102,'Rozpočet - HW a licencie'!$A$3:$A$102,'TCO TO BE- SW'!I$2,'Rozpočet - HW a licencie'!$D$3:$D$102,"SW",'Rozpočet - HW a licencie'!$H$3:$H$102,'TCO TO BE- SW'!$D12,'Rozpočet - HW a licencie'!$E$3:$E$102,$B$6),)</f>
        <v>0</v>
      </c>
      <c r="J12" s="540">
        <f>IFERROR(SUMIFS('Rozpočet - HW a licencie'!$J$3:$J$102,'Rozpočet - HW a licencie'!$A$3:$A$102,'TCO TO BE- SW'!J$2,'Rozpočet - HW a licencie'!$D$3:$D$102,"SW",'Rozpočet - HW a licencie'!$H$3:$H$102,'TCO TO BE- SW'!$D12,'Rozpočet - HW a licencie'!$E$3:$E$102,$B$6),)</f>
        <v>0</v>
      </c>
      <c r="K12" s="540">
        <f>IFERROR(SUMIFS('Rozpočet - HW a licencie'!$J$3:$J$102,'Rozpočet - HW a licencie'!$A$3:$A$102,'TCO TO BE- SW'!K$2,'Rozpočet - HW a licencie'!$D$3:$D$102,"SW",'Rozpočet - HW a licencie'!$H$3:$H$102,'TCO TO BE- SW'!$D12,'Rozpočet - HW a licencie'!$E$3:$E$102,$B$6),)</f>
        <v>0</v>
      </c>
      <c r="L12" s="540">
        <f>IFERROR(SUMIFS('Rozpočet - HW a licencie'!$J$3:$J$102,'Rozpočet - HW a licencie'!$A$3:$A$102,'TCO TO BE- SW'!L$2,'Rozpočet - HW a licencie'!$D$3:$D$102,"SW",'Rozpočet - HW a licencie'!$H$3:$H$102,'TCO TO BE- SW'!$D12,'Rozpočet - HW a licencie'!$E$3:$E$102,$B$6),)</f>
        <v>0</v>
      </c>
      <c r="M12" s="540">
        <f>IFERROR(SUMIFS('Rozpočet - HW a licencie'!$J$3:$J$102,'Rozpočet - HW a licencie'!$A$3:$A$102,'TCO TO BE- SW'!M$2,'Rozpočet - HW a licencie'!$D$3:$D$102,"SW",'Rozpočet - HW a licencie'!$H$3:$H$102,'TCO TO BE- SW'!$D12,'Rozpočet - HW a licencie'!$E$3:$E$102,$B$6),)</f>
        <v>0</v>
      </c>
      <c r="N12" s="540">
        <f>IFERROR(SUMIFS('Rozpočet - HW a licencie'!$J$3:$J$102,'Rozpočet - HW a licencie'!$A$3:$A$102,'TCO TO BE- SW'!N$2,'Rozpočet - HW a licencie'!$D$3:$D$102,"SW",'Rozpočet - HW a licencie'!$H$3:$H$102,'TCO TO BE- SW'!$D12,'Rozpočet - HW a licencie'!$E$3:$E$102,$B$6),)</f>
        <v>0</v>
      </c>
      <c r="O12" s="540">
        <f>IFERROR(SUMIFS('Rozpočet - HW a licencie'!$J$3:$J$102,'Rozpočet - HW a licencie'!$A$3:$A$102,'TCO TO BE- SW'!O$2,'Rozpočet - HW a licencie'!$D$3:$D$102,"SW",'Rozpočet - HW a licencie'!$H$3:$H$102,'TCO TO BE- SW'!$D12,'Rozpočet - HW a licencie'!$E$3:$E$102,$B$6),)</f>
        <v>0</v>
      </c>
      <c r="P12" s="540">
        <f>IFERROR(SUMIFS('Rozpočet - HW a licencie'!$J$3:$J$102,'Rozpočet - HW a licencie'!$A$3:$A$102,'TCO TO BE- SW'!P$2,'Rozpočet - HW a licencie'!$D$3:$D$102,"SW",'Rozpočet - HW a licencie'!$H$3:$H$102,'TCO TO BE- SW'!$D12,'Rozpočet - HW a licencie'!$E$3:$E$102,$B$6),)</f>
        <v>0</v>
      </c>
      <c r="Q12" s="540">
        <f>IFERROR(SUMIFS('Rozpočet - HW a licencie'!$J$3:$J$102,'Rozpočet - HW a licencie'!$A$3:$A$102,'TCO TO BE- SW'!Q$2,'Rozpočet - HW a licencie'!$D$3:$D$102,"SW",'Rozpočet - HW a licencie'!$H$3:$H$102,'TCO TO BE- SW'!$D12,'Rozpočet - HW a licencie'!$E$3:$E$102,$B$6),)</f>
        <v>0</v>
      </c>
      <c r="R12" s="540">
        <f>IFERROR(SUMIFS('Rozpočet - HW a licencie'!$J$3:$J$102,'Rozpočet - HW a licencie'!$A$3:$A$102,'TCO TO BE- SW'!R$2,'Rozpočet - HW a licencie'!$D$3:$D$102,"SW",'Rozpočet - HW a licencie'!$H$3:$H$102,'TCO TO BE- SW'!$D12,'Rozpočet - HW a licencie'!$E$3:$E$102,$B$6),)</f>
        <v>0</v>
      </c>
      <c r="S12" s="540">
        <f>IFERROR(SUMIFS('Rozpočet - HW a licencie'!$J$3:$J$102,'Rozpočet - HW a licencie'!$A$3:$A$102,'TCO TO BE- SW'!S$2,'Rozpočet - HW a licencie'!$D$3:$D$102,"SW",'Rozpočet - HW a licencie'!$H$3:$H$102,'TCO TO BE- SW'!$D12,'Rozpočet - HW a licencie'!$E$3:$E$102,$B$6),)</f>
        <v>0</v>
      </c>
      <c r="T12" s="540">
        <f>IFERROR(SUMIFS('Rozpočet - HW a licencie'!$J$3:$J$102,'Rozpočet - HW a licencie'!$A$3:$A$102,'TCO TO BE- SW'!T$2,'Rozpočet - HW a licencie'!$D$3:$D$102,"SW",'Rozpočet - HW a licencie'!$H$3:$H$102,'TCO TO BE- SW'!$D12,'Rozpočet - HW a licencie'!$E$3:$E$102,$B$6),)</f>
        <v>0</v>
      </c>
      <c r="U12" s="540">
        <f>IFERROR(SUMIFS('Rozpočet - HW a licencie'!$J$3:$J$102,'Rozpočet - HW a licencie'!$A$3:$A$102,'TCO TO BE- SW'!U$2,'Rozpočet - HW a licencie'!$D$3:$D$102,"SW",'Rozpočet - HW a licencie'!$H$3:$H$102,'TCO TO BE- SW'!$D12,'Rozpočet - HW a licencie'!$E$3:$E$102,$B$6),)</f>
        <v>0</v>
      </c>
      <c r="V12" s="540">
        <f>IFERROR(SUMIFS('Rozpočet - HW a licencie'!$J$3:$J$102,'Rozpočet - HW a licencie'!$A$3:$A$102,'TCO TO BE- SW'!V$2,'Rozpočet - HW a licencie'!$D$3:$D$102,"SW",'Rozpočet - HW a licencie'!$H$3:$H$102,'TCO TO BE- SW'!$D12,'Rozpočet - HW a licencie'!$E$3:$E$102,$B$6),)</f>
        <v>0</v>
      </c>
      <c r="W12" s="540">
        <f>IFERROR(SUMIFS('Rozpočet - HW a licencie'!$J$3:$J$102,'Rozpočet - HW a licencie'!$A$3:$A$102,'TCO TO BE- SW'!W$2,'Rozpočet - HW a licencie'!$D$3:$D$102,"SW",'Rozpočet - HW a licencie'!$H$3:$H$102,'TCO TO BE- SW'!$D12,'Rozpočet - HW a licencie'!$E$3:$E$102,$B$6),)</f>
        <v>0</v>
      </c>
      <c r="X12" s="540">
        <f>IFERROR(SUMIFS('Rozpočet - HW a licencie'!$J$3:$J$102,'Rozpočet - HW a licencie'!$A$3:$A$102,'TCO TO BE- SW'!X$2,'Rozpočet - HW a licencie'!$D$3:$D$102,"SW",'Rozpočet - HW a licencie'!$H$3:$H$102,'TCO TO BE- SW'!$D12,'Rozpočet - HW a licencie'!$E$3:$E$102,$B$6),)</f>
        <v>0</v>
      </c>
      <c r="Y12" s="540">
        <f>IFERROR(SUMIFS('Rozpočet - HW a licencie'!$J$3:$J$102,'Rozpočet - HW a licencie'!$A$3:$A$102,'TCO TO BE- SW'!Y$2,'Rozpočet - HW a licencie'!$D$3:$D$102,"SW",'Rozpočet - HW a licencie'!$H$3:$H$102,'TCO TO BE- SW'!$D12,'Rozpočet - HW a licencie'!$E$3:$E$102,$B$6),)</f>
        <v>0</v>
      </c>
      <c r="Z12" s="540">
        <f>IFERROR(SUMIFS('Rozpočet - HW a licencie'!$J$3:$J$102,'Rozpočet - HW a licencie'!$A$3:$A$102,'TCO TO BE- SW'!Z$2,'Rozpočet - HW a licencie'!$D$3:$D$102,"SW",'Rozpočet - HW a licencie'!$H$3:$H$102,'TCO TO BE- SW'!$D12,'Rozpočet - HW a licencie'!$E$3:$E$102,$B$6),)</f>
        <v>0</v>
      </c>
    </row>
    <row r="13" spans="1:26" outlineLevel="2" x14ac:dyDescent="0.2">
      <c r="A13" s="884"/>
      <c r="B13" s="885"/>
      <c r="C13" s="885"/>
      <c r="D13" s="64">
        <v>8</v>
      </c>
      <c r="E13" s="61">
        <f t="shared" si="4"/>
        <v>0</v>
      </c>
      <c r="F13" s="540">
        <f>IFERROR(SUMIFS('Rozpočet - HW a licencie'!$J$3:$J$102,'Rozpočet - HW a licencie'!$A$3:$A$102,'TCO TO BE- SW'!F$2,'Rozpočet - HW a licencie'!$D$3:$D$102,"SW",'Rozpočet - HW a licencie'!$H$3:$H$102,'TCO TO BE- SW'!$D13,'Rozpočet - HW a licencie'!$E$3:$E$102,$B$6),)</f>
        <v>0</v>
      </c>
      <c r="G13" s="540">
        <f>IFERROR(SUMIFS('Rozpočet - HW a licencie'!$J$3:$J$102,'Rozpočet - HW a licencie'!$A$3:$A$102,'TCO TO BE- SW'!G$2,'Rozpočet - HW a licencie'!$D$3:$D$102,"SW",'Rozpočet - HW a licencie'!$H$3:$H$102,'TCO TO BE- SW'!$D13,'Rozpočet - HW a licencie'!$E$3:$E$102,$B$6),)</f>
        <v>0</v>
      </c>
      <c r="H13" s="540">
        <f>IFERROR(SUMIFS('Rozpočet - HW a licencie'!$J$3:$J$102,'Rozpočet - HW a licencie'!$A$3:$A$102,'TCO TO BE- SW'!H$2,'Rozpočet - HW a licencie'!$D$3:$D$102,"SW",'Rozpočet - HW a licencie'!$H$3:$H$102,'TCO TO BE- SW'!$D13,'Rozpočet - HW a licencie'!$E$3:$E$102,$B$6),)</f>
        <v>0</v>
      </c>
      <c r="I13" s="540">
        <f>IFERROR(SUMIFS('Rozpočet - HW a licencie'!$J$3:$J$102,'Rozpočet - HW a licencie'!$A$3:$A$102,'TCO TO BE- SW'!I$2,'Rozpočet - HW a licencie'!$D$3:$D$102,"SW",'Rozpočet - HW a licencie'!$H$3:$H$102,'TCO TO BE- SW'!$D13,'Rozpočet - HW a licencie'!$E$3:$E$102,$B$6),)</f>
        <v>0</v>
      </c>
      <c r="J13" s="540">
        <f>IFERROR(SUMIFS('Rozpočet - HW a licencie'!$J$3:$J$102,'Rozpočet - HW a licencie'!$A$3:$A$102,'TCO TO BE- SW'!J$2,'Rozpočet - HW a licencie'!$D$3:$D$102,"SW",'Rozpočet - HW a licencie'!$H$3:$H$102,'TCO TO BE- SW'!$D13,'Rozpočet - HW a licencie'!$E$3:$E$102,$B$6),)</f>
        <v>0</v>
      </c>
      <c r="K13" s="540">
        <f>IFERROR(SUMIFS('Rozpočet - HW a licencie'!$J$3:$J$102,'Rozpočet - HW a licencie'!$A$3:$A$102,'TCO TO BE- SW'!K$2,'Rozpočet - HW a licencie'!$D$3:$D$102,"SW",'Rozpočet - HW a licencie'!$H$3:$H$102,'TCO TO BE- SW'!$D13,'Rozpočet - HW a licencie'!$E$3:$E$102,$B$6),)</f>
        <v>0</v>
      </c>
      <c r="L13" s="540">
        <f>IFERROR(SUMIFS('Rozpočet - HW a licencie'!$J$3:$J$102,'Rozpočet - HW a licencie'!$A$3:$A$102,'TCO TO BE- SW'!L$2,'Rozpočet - HW a licencie'!$D$3:$D$102,"SW",'Rozpočet - HW a licencie'!$H$3:$H$102,'TCO TO BE- SW'!$D13,'Rozpočet - HW a licencie'!$E$3:$E$102,$B$6),)</f>
        <v>0</v>
      </c>
      <c r="M13" s="540">
        <f>IFERROR(SUMIFS('Rozpočet - HW a licencie'!$J$3:$J$102,'Rozpočet - HW a licencie'!$A$3:$A$102,'TCO TO BE- SW'!M$2,'Rozpočet - HW a licencie'!$D$3:$D$102,"SW",'Rozpočet - HW a licencie'!$H$3:$H$102,'TCO TO BE- SW'!$D13,'Rozpočet - HW a licencie'!$E$3:$E$102,$B$6),)</f>
        <v>0</v>
      </c>
      <c r="N13" s="540">
        <f>IFERROR(SUMIFS('Rozpočet - HW a licencie'!$J$3:$J$102,'Rozpočet - HW a licencie'!$A$3:$A$102,'TCO TO BE- SW'!N$2,'Rozpočet - HW a licencie'!$D$3:$D$102,"SW",'Rozpočet - HW a licencie'!$H$3:$H$102,'TCO TO BE- SW'!$D13,'Rozpočet - HW a licencie'!$E$3:$E$102,$B$6),)</f>
        <v>0</v>
      </c>
      <c r="O13" s="540">
        <f>IFERROR(SUMIFS('Rozpočet - HW a licencie'!$J$3:$J$102,'Rozpočet - HW a licencie'!$A$3:$A$102,'TCO TO BE- SW'!O$2,'Rozpočet - HW a licencie'!$D$3:$D$102,"SW",'Rozpočet - HW a licencie'!$H$3:$H$102,'TCO TO BE- SW'!$D13,'Rozpočet - HW a licencie'!$E$3:$E$102,$B$6),)</f>
        <v>0</v>
      </c>
      <c r="P13" s="540">
        <f>IFERROR(SUMIFS('Rozpočet - HW a licencie'!$J$3:$J$102,'Rozpočet - HW a licencie'!$A$3:$A$102,'TCO TO BE- SW'!P$2,'Rozpočet - HW a licencie'!$D$3:$D$102,"SW",'Rozpočet - HW a licencie'!$H$3:$H$102,'TCO TO BE- SW'!$D13,'Rozpočet - HW a licencie'!$E$3:$E$102,$B$6),)</f>
        <v>0</v>
      </c>
      <c r="Q13" s="540">
        <f>IFERROR(SUMIFS('Rozpočet - HW a licencie'!$J$3:$J$102,'Rozpočet - HW a licencie'!$A$3:$A$102,'TCO TO BE- SW'!Q$2,'Rozpočet - HW a licencie'!$D$3:$D$102,"SW",'Rozpočet - HW a licencie'!$H$3:$H$102,'TCO TO BE- SW'!$D13,'Rozpočet - HW a licencie'!$E$3:$E$102,$B$6),)</f>
        <v>0</v>
      </c>
      <c r="R13" s="540">
        <f>IFERROR(SUMIFS('Rozpočet - HW a licencie'!$J$3:$J$102,'Rozpočet - HW a licencie'!$A$3:$A$102,'TCO TO BE- SW'!R$2,'Rozpočet - HW a licencie'!$D$3:$D$102,"SW",'Rozpočet - HW a licencie'!$H$3:$H$102,'TCO TO BE- SW'!$D13,'Rozpočet - HW a licencie'!$E$3:$E$102,$B$6),)</f>
        <v>0</v>
      </c>
      <c r="S13" s="540">
        <f>IFERROR(SUMIFS('Rozpočet - HW a licencie'!$J$3:$J$102,'Rozpočet - HW a licencie'!$A$3:$A$102,'TCO TO BE- SW'!S$2,'Rozpočet - HW a licencie'!$D$3:$D$102,"SW",'Rozpočet - HW a licencie'!$H$3:$H$102,'TCO TO BE- SW'!$D13,'Rozpočet - HW a licencie'!$E$3:$E$102,$B$6),)</f>
        <v>0</v>
      </c>
      <c r="T13" s="540">
        <f>IFERROR(SUMIFS('Rozpočet - HW a licencie'!$J$3:$J$102,'Rozpočet - HW a licencie'!$A$3:$A$102,'TCO TO BE- SW'!T$2,'Rozpočet - HW a licencie'!$D$3:$D$102,"SW",'Rozpočet - HW a licencie'!$H$3:$H$102,'TCO TO BE- SW'!$D13,'Rozpočet - HW a licencie'!$E$3:$E$102,$B$6),)</f>
        <v>0</v>
      </c>
      <c r="U13" s="540">
        <f>IFERROR(SUMIFS('Rozpočet - HW a licencie'!$J$3:$J$102,'Rozpočet - HW a licencie'!$A$3:$A$102,'TCO TO BE- SW'!U$2,'Rozpočet - HW a licencie'!$D$3:$D$102,"SW",'Rozpočet - HW a licencie'!$H$3:$H$102,'TCO TO BE- SW'!$D13,'Rozpočet - HW a licencie'!$E$3:$E$102,$B$6),)</f>
        <v>0</v>
      </c>
      <c r="V13" s="540">
        <f>IFERROR(SUMIFS('Rozpočet - HW a licencie'!$J$3:$J$102,'Rozpočet - HW a licencie'!$A$3:$A$102,'TCO TO BE- SW'!V$2,'Rozpočet - HW a licencie'!$D$3:$D$102,"SW",'Rozpočet - HW a licencie'!$H$3:$H$102,'TCO TO BE- SW'!$D13,'Rozpočet - HW a licencie'!$E$3:$E$102,$B$6),)</f>
        <v>0</v>
      </c>
      <c r="W13" s="540">
        <f>IFERROR(SUMIFS('Rozpočet - HW a licencie'!$J$3:$J$102,'Rozpočet - HW a licencie'!$A$3:$A$102,'TCO TO BE- SW'!W$2,'Rozpočet - HW a licencie'!$D$3:$D$102,"SW",'Rozpočet - HW a licencie'!$H$3:$H$102,'TCO TO BE- SW'!$D13,'Rozpočet - HW a licencie'!$E$3:$E$102,$B$6),)</f>
        <v>0</v>
      </c>
      <c r="X13" s="540">
        <f>IFERROR(SUMIFS('Rozpočet - HW a licencie'!$J$3:$J$102,'Rozpočet - HW a licencie'!$A$3:$A$102,'TCO TO BE- SW'!X$2,'Rozpočet - HW a licencie'!$D$3:$D$102,"SW",'Rozpočet - HW a licencie'!$H$3:$H$102,'TCO TO BE- SW'!$D13,'Rozpočet - HW a licencie'!$E$3:$E$102,$B$6),)</f>
        <v>0</v>
      </c>
      <c r="Y13" s="540">
        <f>IFERROR(SUMIFS('Rozpočet - HW a licencie'!$J$3:$J$102,'Rozpočet - HW a licencie'!$A$3:$A$102,'TCO TO BE- SW'!Y$2,'Rozpočet - HW a licencie'!$D$3:$D$102,"SW",'Rozpočet - HW a licencie'!$H$3:$H$102,'TCO TO BE- SW'!$D13,'Rozpočet - HW a licencie'!$E$3:$E$102,$B$6),)</f>
        <v>0</v>
      </c>
      <c r="Z13" s="540">
        <f>IFERROR(SUMIFS('Rozpočet - HW a licencie'!$J$3:$J$102,'Rozpočet - HW a licencie'!$A$3:$A$102,'TCO TO BE- SW'!Z$2,'Rozpočet - HW a licencie'!$D$3:$D$102,"SW",'Rozpočet - HW a licencie'!$H$3:$H$102,'TCO TO BE- SW'!$D13,'Rozpočet - HW a licencie'!$E$3:$E$102,$B$6),)</f>
        <v>0</v>
      </c>
    </row>
    <row r="14" spans="1:26" outlineLevel="2" x14ac:dyDescent="0.2">
      <c r="A14" s="884"/>
      <c r="B14" s="885"/>
      <c r="C14" s="885"/>
      <c r="D14" s="64">
        <v>9</v>
      </c>
      <c r="E14" s="61">
        <f t="shared" si="4"/>
        <v>0</v>
      </c>
      <c r="F14" s="540">
        <f>IFERROR(SUMIFS('Rozpočet - HW a licencie'!$J$3:$J$102,'Rozpočet - HW a licencie'!$A$3:$A$102,'TCO TO BE- SW'!F$2,'Rozpočet - HW a licencie'!$D$3:$D$102,"SW",'Rozpočet - HW a licencie'!$H$3:$H$102,'TCO TO BE- SW'!$D14,'Rozpočet - HW a licencie'!$E$3:$E$102,$B$6),)</f>
        <v>0</v>
      </c>
      <c r="G14" s="540">
        <f>IFERROR(SUMIFS('Rozpočet - HW a licencie'!$J$3:$J$102,'Rozpočet - HW a licencie'!$A$3:$A$102,'TCO TO BE- SW'!G$2,'Rozpočet - HW a licencie'!$D$3:$D$102,"SW",'Rozpočet - HW a licencie'!$H$3:$H$102,'TCO TO BE- SW'!$D14,'Rozpočet - HW a licencie'!$E$3:$E$102,$B$6),)</f>
        <v>0</v>
      </c>
      <c r="H14" s="540">
        <f>IFERROR(SUMIFS('Rozpočet - HW a licencie'!$J$3:$J$102,'Rozpočet - HW a licencie'!$A$3:$A$102,'TCO TO BE- SW'!H$2,'Rozpočet - HW a licencie'!$D$3:$D$102,"SW",'Rozpočet - HW a licencie'!$H$3:$H$102,'TCO TO BE- SW'!$D14,'Rozpočet - HW a licencie'!$E$3:$E$102,$B$6),)</f>
        <v>0</v>
      </c>
      <c r="I14" s="540">
        <f>IFERROR(SUMIFS('Rozpočet - HW a licencie'!$J$3:$J$102,'Rozpočet - HW a licencie'!$A$3:$A$102,'TCO TO BE- SW'!I$2,'Rozpočet - HW a licencie'!$D$3:$D$102,"SW",'Rozpočet - HW a licencie'!$H$3:$H$102,'TCO TO BE- SW'!$D14,'Rozpočet - HW a licencie'!$E$3:$E$102,$B$6),)</f>
        <v>0</v>
      </c>
      <c r="J14" s="540">
        <f>IFERROR(SUMIFS('Rozpočet - HW a licencie'!$J$3:$J$102,'Rozpočet - HW a licencie'!$A$3:$A$102,'TCO TO BE- SW'!J$2,'Rozpočet - HW a licencie'!$D$3:$D$102,"SW",'Rozpočet - HW a licencie'!$H$3:$H$102,'TCO TO BE- SW'!$D14,'Rozpočet - HW a licencie'!$E$3:$E$102,$B$6),)</f>
        <v>0</v>
      </c>
      <c r="K14" s="540">
        <f>IFERROR(SUMIFS('Rozpočet - HW a licencie'!$J$3:$J$102,'Rozpočet - HW a licencie'!$A$3:$A$102,'TCO TO BE- SW'!K$2,'Rozpočet - HW a licencie'!$D$3:$D$102,"SW",'Rozpočet - HW a licencie'!$H$3:$H$102,'TCO TO BE- SW'!$D14,'Rozpočet - HW a licencie'!$E$3:$E$102,$B$6),)</f>
        <v>0</v>
      </c>
      <c r="L14" s="540">
        <f>IFERROR(SUMIFS('Rozpočet - HW a licencie'!$J$3:$J$102,'Rozpočet - HW a licencie'!$A$3:$A$102,'TCO TO BE- SW'!L$2,'Rozpočet - HW a licencie'!$D$3:$D$102,"SW",'Rozpočet - HW a licencie'!$H$3:$H$102,'TCO TO BE- SW'!$D14,'Rozpočet - HW a licencie'!$E$3:$E$102,$B$6),)</f>
        <v>0</v>
      </c>
      <c r="M14" s="540">
        <f>IFERROR(SUMIFS('Rozpočet - HW a licencie'!$J$3:$J$102,'Rozpočet - HW a licencie'!$A$3:$A$102,'TCO TO BE- SW'!M$2,'Rozpočet - HW a licencie'!$D$3:$D$102,"SW",'Rozpočet - HW a licencie'!$H$3:$H$102,'TCO TO BE- SW'!$D14,'Rozpočet - HW a licencie'!$E$3:$E$102,$B$6),)</f>
        <v>0</v>
      </c>
      <c r="N14" s="540">
        <f>IFERROR(SUMIFS('Rozpočet - HW a licencie'!$J$3:$J$102,'Rozpočet - HW a licencie'!$A$3:$A$102,'TCO TO BE- SW'!N$2,'Rozpočet - HW a licencie'!$D$3:$D$102,"SW",'Rozpočet - HW a licencie'!$H$3:$H$102,'TCO TO BE- SW'!$D14,'Rozpočet - HW a licencie'!$E$3:$E$102,$B$6),)</f>
        <v>0</v>
      </c>
      <c r="O14" s="540">
        <f>IFERROR(SUMIFS('Rozpočet - HW a licencie'!$J$3:$J$102,'Rozpočet - HW a licencie'!$A$3:$A$102,'TCO TO BE- SW'!O$2,'Rozpočet - HW a licencie'!$D$3:$D$102,"SW",'Rozpočet - HW a licencie'!$H$3:$H$102,'TCO TO BE- SW'!$D14,'Rozpočet - HW a licencie'!$E$3:$E$102,$B$6),)</f>
        <v>0</v>
      </c>
      <c r="P14" s="540">
        <f>IFERROR(SUMIFS('Rozpočet - HW a licencie'!$J$3:$J$102,'Rozpočet - HW a licencie'!$A$3:$A$102,'TCO TO BE- SW'!P$2,'Rozpočet - HW a licencie'!$D$3:$D$102,"SW",'Rozpočet - HW a licencie'!$H$3:$H$102,'TCO TO BE- SW'!$D14,'Rozpočet - HW a licencie'!$E$3:$E$102,$B$6),)</f>
        <v>0</v>
      </c>
      <c r="Q14" s="540">
        <f>IFERROR(SUMIFS('Rozpočet - HW a licencie'!$J$3:$J$102,'Rozpočet - HW a licencie'!$A$3:$A$102,'TCO TO BE- SW'!Q$2,'Rozpočet - HW a licencie'!$D$3:$D$102,"SW",'Rozpočet - HW a licencie'!$H$3:$H$102,'TCO TO BE- SW'!$D14,'Rozpočet - HW a licencie'!$E$3:$E$102,$B$6),)</f>
        <v>0</v>
      </c>
      <c r="R14" s="540">
        <f>IFERROR(SUMIFS('Rozpočet - HW a licencie'!$J$3:$J$102,'Rozpočet - HW a licencie'!$A$3:$A$102,'TCO TO BE- SW'!R$2,'Rozpočet - HW a licencie'!$D$3:$D$102,"SW",'Rozpočet - HW a licencie'!$H$3:$H$102,'TCO TO BE- SW'!$D14,'Rozpočet - HW a licencie'!$E$3:$E$102,$B$6),)</f>
        <v>0</v>
      </c>
      <c r="S14" s="540">
        <f>IFERROR(SUMIFS('Rozpočet - HW a licencie'!$J$3:$J$102,'Rozpočet - HW a licencie'!$A$3:$A$102,'TCO TO BE- SW'!S$2,'Rozpočet - HW a licencie'!$D$3:$D$102,"SW",'Rozpočet - HW a licencie'!$H$3:$H$102,'TCO TO BE- SW'!$D14,'Rozpočet - HW a licencie'!$E$3:$E$102,$B$6),)</f>
        <v>0</v>
      </c>
      <c r="T14" s="540">
        <f>IFERROR(SUMIFS('Rozpočet - HW a licencie'!$J$3:$J$102,'Rozpočet - HW a licencie'!$A$3:$A$102,'TCO TO BE- SW'!T$2,'Rozpočet - HW a licencie'!$D$3:$D$102,"SW",'Rozpočet - HW a licencie'!$H$3:$H$102,'TCO TO BE- SW'!$D14,'Rozpočet - HW a licencie'!$E$3:$E$102,$B$6),)</f>
        <v>0</v>
      </c>
      <c r="U14" s="540">
        <f>IFERROR(SUMIFS('Rozpočet - HW a licencie'!$J$3:$J$102,'Rozpočet - HW a licencie'!$A$3:$A$102,'TCO TO BE- SW'!U$2,'Rozpočet - HW a licencie'!$D$3:$D$102,"SW",'Rozpočet - HW a licencie'!$H$3:$H$102,'TCO TO BE- SW'!$D14,'Rozpočet - HW a licencie'!$E$3:$E$102,$B$6),)</f>
        <v>0</v>
      </c>
      <c r="V14" s="540">
        <f>IFERROR(SUMIFS('Rozpočet - HW a licencie'!$J$3:$J$102,'Rozpočet - HW a licencie'!$A$3:$A$102,'TCO TO BE- SW'!V$2,'Rozpočet - HW a licencie'!$D$3:$D$102,"SW",'Rozpočet - HW a licencie'!$H$3:$H$102,'TCO TO BE- SW'!$D14,'Rozpočet - HW a licencie'!$E$3:$E$102,$B$6),)</f>
        <v>0</v>
      </c>
      <c r="W14" s="540">
        <f>IFERROR(SUMIFS('Rozpočet - HW a licencie'!$J$3:$J$102,'Rozpočet - HW a licencie'!$A$3:$A$102,'TCO TO BE- SW'!W$2,'Rozpočet - HW a licencie'!$D$3:$D$102,"SW",'Rozpočet - HW a licencie'!$H$3:$H$102,'TCO TO BE- SW'!$D14,'Rozpočet - HW a licencie'!$E$3:$E$102,$B$6),)</f>
        <v>0</v>
      </c>
      <c r="X14" s="540">
        <f>IFERROR(SUMIFS('Rozpočet - HW a licencie'!$J$3:$J$102,'Rozpočet - HW a licencie'!$A$3:$A$102,'TCO TO BE- SW'!X$2,'Rozpočet - HW a licencie'!$D$3:$D$102,"SW",'Rozpočet - HW a licencie'!$H$3:$H$102,'TCO TO BE- SW'!$D14,'Rozpočet - HW a licencie'!$E$3:$E$102,$B$6),)</f>
        <v>0</v>
      </c>
      <c r="Y14" s="540">
        <f>IFERROR(SUMIFS('Rozpočet - HW a licencie'!$J$3:$J$102,'Rozpočet - HW a licencie'!$A$3:$A$102,'TCO TO BE- SW'!Y$2,'Rozpočet - HW a licencie'!$D$3:$D$102,"SW",'Rozpočet - HW a licencie'!$H$3:$H$102,'TCO TO BE- SW'!$D14,'Rozpočet - HW a licencie'!$E$3:$E$102,$B$6),)</f>
        <v>0</v>
      </c>
      <c r="Z14" s="540">
        <f>IFERROR(SUMIFS('Rozpočet - HW a licencie'!$J$3:$J$102,'Rozpočet - HW a licencie'!$A$3:$A$102,'TCO TO BE- SW'!Z$2,'Rozpočet - HW a licencie'!$D$3:$D$102,"SW",'Rozpočet - HW a licencie'!$H$3:$H$102,'TCO TO BE- SW'!$D14,'Rozpočet - HW a licencie'!$E$3:$E$102,$B$6),)</f>
        <v>0</v>
      </c>
    </row>
    <row r="15" spans="1:26" ht="16" outlineLevel="2" thickBot="1" x14ac:dyDescent="0.25">
      <c r="A15" s="884"/>
      <c r="B15" s="885"/>
      <c r="C15" s="885"/>
      <c r="D15" s="65">
        <v>10</v>
      </c>
      <c r="E15" s="61">
        <f t="shared" si="4"/>
        <v>0</v>
      </c>
      <c r="F15" s="541">
        <f>IFERROR(SUMIFS('Rozpočet - HW a licencie'!$J$3:$J$102,'Rozpočet - HW a licencie'!$A$3:$A$102,'TCO TO BE- SW'!F$2,'Rozpočet - HW a licencie'!$D$3:$D$102,"SW",'Rozpočet - HW a licencie'!$H$3:$H$102,'TCO TO BE- SW'!$D15,'Rozpočet - HW a licencie'!$E$3:$E$102,$B$6),)</f>
        <v>0</v>
      </c>
      <c r="G15" s="541">
        <f>IFERROR(SUMIFS('Rozpočet - HW a licencie'!$J$3:$J$102,'Rozpočet - HW a licencie'!$A$3:$A$102,'TCO TO BE- SW'!G$2,'Rozpočet - HW a licencie'!$D$3:$D$102,"SW",'Rozpočet - HW a licencie'!$H$3:$H$102,'TCO TO BE- SW'!$D15,'Rozpočet - HW a licencie'!$E$3:$E$102,$B$6),)</f>
        <v>0</v>
      </c>
      <c r="H15" s="541">
        <f>IFERROR(SUMIFS('Rozpočet - HW a licencie'!$J$3:$J$102,'Rozpočet - HW a licencie'!$A$3:$A$102,'TCO TO BE- SW'!H$2,'Rozpočet - HW a licencie'!$D$3:$D$102,"SW",'Rozpočet - HW a licencie'!$H$3:$H$102,'TCO TO BE- SW'!$D15,'Rozpočet - HW a licencie'!$E$3:$E$102,$B$6),)</f>
        <v>0</v>
      </c>
      <c r="I15" s="541">
        <f>IFERROR(SUMIFS('Rozpočet - HW a licencie'!$J$3:$J$102,'Rozpočet - HW a licencie'!$A$3:$A$102,'TCO TO BE- SW'!I$2,'Rozpočet - HW a licencie'!$D$3:$D$102,"SW",'Rozpočet - HW a licencie'!$H$3:$H$102,'TCO TO BE- SW'!$D15,'Rozpočet - HW a licencie'!$E$3:$E$102,$B$6),)</f>
        <v>0</v>
      </c>
      <c r="J15" s="541">
        <f>IFERROR(SUMIFS('Rozpočet - HW a licencie'!$J$3:$J$102,'Rozpočet - HW a licencie'!$A$3:$A$102,'TCO TO BE- SW'!J$2,'Rozpočet - HW a licencie'!$D$3:$D$102,"SW",'Rozpočet - HW a licencie'!$H$3:$H$102,'TCO TO BE- SW'!$D15,'Rozpočet - HW a licencie'!$E$3:$E$102,$B$6),)</f>
        <v>0</v>
      </c>
      <c r="K15" s="541">
        <f>IFERROR(SUMIFS('Rozpočet - HW a licencie'!$J$3:$J$102,'Rozpočet - HW a licencie'!$A$3:$A$102,'TCO TO BE- SW'!K$2,'Rozpočet - HW a licencie'!$D$3:$D$102,"SW",'Rozpočet - HW a licencie'!$H$3:$H$102,'TCO TO BE- SW'!$D15,'Rozpočet - HW a licencie'!$E$3:$E$102,$B$6),)</f>
        <v>0</v>
      </c>
      <c r="L15" s="541">
        <f>IFERROR(SUMIFS('Rozpočet - HW a licencie'!$J$3:$J$102,'Rozpočet - HW a licencie'!$A$3:$A$102,'TCO TO BE- SW'!L$2,'Rozpočet - HW a licencie'!$D$3:$D$102,"SW",'Rozpočet - HW a licencie'!$H$3:$H$102,'TCO TO BE- SW'!$D15,'Rozpočet - HW a licencie'!$E$3:$E$102,$B$6),)</f>
        <v>0</v>
      </c>
      <c r="M15" s="541">
        <f>IFERROR(SUMIFS('Rozpočet - HW a licencie'!$J$3:$J$102,'Rozpočet - HW a licencie'!$A$3:$A$102,'TCO TO BE- SW'!M$2,'Rozpočet - HW a licencie'!$D$3:$D$102,"SW",'Rozpočet - HW a licencie'!$H$3:$H$102,'TCO TO BE- SW'!$D15,'Rozpočet - HW a licencie'!$E$3:$E$102,$B$6),)</f>
        <v>0</v>
      </c>
      <c r="N15" s="541">
        <f>IFERROR(SUMIFS('Rozpočet - HW a licencie'!$J$3:$J$102,'Rozpočet - HW a licencie'!$A$3:$A$102,'TCO TO BE- SW'!N$2,'Rozpočet - HW a licencie'!$D$3:$D$102,"SW",'Rozpočet - HW a licencie'!$H$3:$H$102,'TCO TO BE- SW'!$D15,'Rozpočet - HW a licencie'!$E$3:$E$102,$B$6),)</f>
        <v>0</v>
      </c>
      <c r="O15" s="541">
        <f>IFERROR(SUMIFS('Rozpočet - HW a licencie'!$J$3:$J$102,'Rozpočet - HW a licencie'!$A$3:$A$102,'TCO TO BE- SW'!O$2,'Rozpočet - HW a licencie'!$D$3:$D$102,"SW",'Rozpočet - HW a licencie'!$H$3:$H$102,'TCO TO BE- SW'!$D15,'Rozpočet - HW a licencie'!$E$3:$E$102,$B$6),)</f>
        <v>0</v>
      </c>
      <c r="P15" s="541">
        <f>IFERROR(SUMIFS('Rozpočet - HW a licencie'!$J$3:$J$102,'Rozpočet - HW a licencie'!$A$3:$A$102,'TCO TO BE- SW'!P$2,'Rozpočet - HW a licencie'!$D$3:$D$102,"SW",'Rozpočet - HW a licencie'!$H$3:$H$102,'TCO TO BE- SW'!$D15,'Rozpočet - HW a licencie'!$E$3:$E$102,$B$6),)</f>
        <v>0</v>
      </c>
      <c r="Q15" s="541">
        <f>IFERROR(SUMIFS('Rozpočet - HW a licencie'!$J$3:$J$102,'Rozpočet - HW a licencie'!$A$3:$A$102,'TCO TO BE- SW'!Q$2,'Rozpočet - HW a licencie'!$D$3:$D$102,"SW",'Rozpočet - HW a licencie'!$H$3:$H$102,'TCO TO BE- SW'!$D15,'Rozpočet - HW a licencie'!$E$3:$E$102,$B$6),)</f>
        <v>0</v>
      </c>
      <c r="R15" s="541">
        <f>IFERROR(SUMIFS('Rozpočet - HW a licencie'!$J$3:$J$102,'Rozpočet - HW a licencie'!$A$3:$A$102,'TCO TO BE- SW'!R$2,'Rozpočet - HW a licencie'!$D$3:$D$102,"SW",'Rozpočet - HW a licencie'!$H$3:$H$102,'TCO TO BE- SW'!$D15,'Rozpočet - HW a licencie'!$E$3:$E$102,$B$6),)</f>
        <v>0</v>
      </c>
      <c r="S15" s="541">
        <f>IFERROR(SUMIFS('Rozpočet - HW a licencie'!$J$3:$J$102,'Rozpočet - HW a licencie'!$A$3:$A$102,'TCO TO BE- SW'!S$2,'Rozpočet - HW a licencie'!$D$3:$D$102,"SW",'Rozpočet - HW a licencie'!$H$3:$H$102,'TCO TO BE- SW'!$D15,'Rozpočet - HW a licencie'!$E$3:$E$102,$B$6),)</f>
        <v>0</v>
      </c>
      <c r="T15" s="541">
        <f>IFERROR(SUMIFS('Rozpočet - HW a licencie'!$J$3:$J$102,'Rozpočet - HW a licencie'!$A$3:$A$102,'TCO TO BE- SW'!T$2,'Rozpočet - HW a licencie'!$D$3:$D$102,"SW",'Rozpočet - HW a licencie'!$H$3:$H$102,'TCO TO BE- SW'!$D15,'Rozpočet - HW a licencie'!$E$3:$E$102,$B$6),)</f>
        <v>0</v>
      </c>
      <c r="U15" s="541">
        <f>IFERROR(SUMIFS('Rozpočet - HW a licencie'!$J$3:$J$102,'Rozpočet - HW a licencie'!$A$3:$A$102,'TCO TO BE- SW'!U$2,'Rozpočet - HW a licencie'!$D$3:$D$102,"SW",'Rozpočet - HW a licencie'!$H$3:$H$102,'TCO TO BE- SW'!$D15,'Rozpočet - HW a licencie'!$E$3:$E$102,$B$6),)</f>
        <v>0</v>
      </c>
      <c r="V15" s="541">
        <f>IFERROR(SUMIFS('Rozpočet - HW a licencie'!$J$3:$J$102,'Rozpočet - HW a licencie'!$A$3:$A$102,'TCO TO BE- SW'!V$2,'Rozpočet - HW a licencie'!$D$3:$D$102,"SW",'Rozpočet - HW a licencie'!$H$3:$H$102,'TCO TO BE- SW'!$D15,'Rozpočet - HW a licencie'!$E$3:$E$102,$B$6),)</f>
        <v>0</v>
      </c>
      <c r="W15" s="541">
        <f>IFERROR(SUMIFS('Rozpočet - HW a licencie'!$J$3:$J$102,'Rozpočet - HW a licencie'!$A$3:$A$102,'TCO TO BE- SW'!W$2,'Rozpočet - HW a licencie'!$D$3:$D$102,"SW",'Rozpočet - HW a licencie'!$H$3:$H$102,'TCO TO BE- SW'!$D15,'Rozpočet - HW a licencie'!$E$3:$E$102,$B$6),)</f>
        <v>0</v>
      </c>
      <c r="X15" s="541">
        <f>IFERROR(SUMIFS('Rozpočet - HW a licencie'!$J$3:$J$102,'Rozpočet - HW a licencie'!$A$3:$A$102,'TCO TO BE- SW'!X$2,'Rozpočet - HW a licencie'!$D$3:$D$102,"SW",'Rozpočet - HW a licencie'!$H$3:$H$102,'TCO TO BE- SW'!$D15,'Rozpočet - HW a licencie'!$E$3:$E$102,$B$6),)</f>
        <v>0</v>
      </c>
      <c r="Y15" s="541">
        <f>IFERROR(SUMIFS('Rozpočet - HW a licencie'!$J$3:$J$102,'Rozpočet - HW a licencie'!$A$3:$A$102,'TCO TO BE- SW'!Y$2,'Rozpočet - HW a licencie'!$D$3:$D$102,"SW",'Rozpočet - HW a licencie'!$H$3:$H$102,'TCO TO BE- SW'!$D15,'Rozpočet - HW a licencie'!$E$3:$E$102,$B$6),)</f>
        <v>0</v>
      </c>
      <c r="Z15" s="541">
        <f>IFERROR(SUMIFS('Rozpočet - HW a licencie'!$J$3:$J$102,'Rozpočet - HW a licencie'!$A$3:$A$102,'TCO TO BE- SW'!Z$2,'Rozpočet - HW a licencie'!$D$3:$D$102,"SW",'Rozpočet - HW a licencie'!$H$3:$H$102,'TCO TO BE- SW'!$D15,'Rozpočet - HW a licencie'!$E$3:$E$102,$B$6),)</f>
        <v>0</v>
      </c>
    </row>
    <row r="16" spans="1:26" outlineLevel="2" x14ac:dyDescent="0.2">
      <c r="A16" s="884" t="s">
        <v>1178</v>
      </c>
      <c r="B16" s="885" t="s">
        <v>1165</v>
      </c>
      <c r="C16" s="885">
        <v>610</v>
      </c>
      <c r="D16" s="63">
        <v>1</v>
      </c>
      <c r="E16" s="60">
        <f t="shared" si="4"/>
        <v>0</v>
      </c>
      <c r="F16" s="542">
        <v>0</v>
      </c>
      <c r="G16" s="542">
        <v>0</v>
      </c>
      <c r="H16" s="542">
        <v>0</v>
      </c>
      <c r="I16" s="542">
        <v>0</v>
      </c>
      <c r="J16" s="542">
        <v>0</v>
      </c>
      <c r="K16" s="542">
        <v>0</v>
      </c>
      <c r="L16" s="542">
        <v>0</v>
      </c>
      <c r="M16" s="542">
        <v>0</v>
      </c>
      <c r="N16" s="542">
        <v>0</v>
      </c>
      <c r="O16" s="542">
        <v>0</v>
      </c>
      <c r="P16" s="542">
        <v>0</v>
      </c>
      <c r="Q16" s="542">
        <v>0</v>
      </c>
      <c r="R16" s="542">
        <v>0</v>
      </c>
      <c r="S16" s="542">
        <v>0</v>
      </c>
      <c r="T16" s="542">
        <v>0</v>
      </c>
      <c r="U16" s="542">
        <v>0</v>
      </c>
      <c r="V16" s="542">
        <v>0</v>
      </c>
      <c r="W16" s="542">
        <v>0</v>
      </c>
      <c r="X16" s="542">
        <v>0</v>
      </c>
      <c r="Y16" s="542">
        <v>0</v>
      </c>
      <c r="Z16" s="542">
        <v>0</v>
      </c>
    </row>
    <row r="17" spans="1:26" outlineLevel="2" x14ac:dyDescent="0.2">
      <c r="A17" s="884"/>
      <c r="B17" s="885"/>
      <c r="C17" s="885"/>
      <c r="D17" s="64">
        <v>2</v>
      </c>
      <c r="E17" s="61">
        <f t="shared" si="4"/>
        <v>0</v>
      </c>
      <c r="F17" s="543">
        <v>0</v>
      </c>
      <c r="G17" s="543">
        <v>0</v>
      </c>
      <c r="H17" s="543">
        <v>0</v>
      </c>
      <c r="I17" s="543">
        <v>0</v>
      </c>
      <c r="J17" s="543">
        <v>0</v>
      </c>
      <c r="K17" s="543">
        <v>0</v>
      </c>
      <c r="L17" s="543">
        <v>0</v>
      </c>
      <c r="M17" s="543">
        <v>0</v>
      </c>
      <c r="N17" s="543">
        <v>0</v>
      </c>
      <c r="O17" s="543">
        <v>0</v>
      </c>
      <c r="P17" s="543">
        <v>0</v>
      </c>
      <c r="Q17" s="543">
        <v>0</v>
      </c>
      <c r="R17" s="543">
        <v>0</v>
      </c>
      <c r="S17" s="543">
        <v>0</v>
      </c>
      <c r="T17" s="543">
        <v>0</v>
      </c>
      <c r="U17" s="543">
        <v>0</v>
      </c>
      <c r="V17" s="543">
        <v>0</v>
      </c>
      <c r="W17" s="543">
        <v>0</v>
      </c>
      <c r="X17" s="543">
        <v>0</v>
      </c>
      <c r="Y17" s="543">
        <v>0</v>
      </c>
      <c r="Z17" s="543">
        <v>0</v>
      </c>
    </row>
    <row r="18" spans="1:26" outlineLevel="2" x14ac:dyDescent="0.2">
      <c r="A18" s="884"/>
      <c r="B18" s="885"/>
      <c r="C18" s="885"/>
      <c r="D18" s="64">
        <v>3</v>
      </c>
      <c r="E18" s="61">
        <f t="shared" si="4"/>
        <v>0</v>
      </c>
      <c r="F18" s="543">
        <v>0</v>
      </c>
      <c r="G18" s="543">
        <v>0</v>
      </c>
      <c r="H18" s="543">
        <v>0</v>
      </c>
      <c r="I18" s="543">
        <v>0</v>
      </c>
      <c r="J18" s="543">
        <v>0</v>
      </c>
      <c r="K18" s="543">
        <v>0</v>
      </c>
      <c r="L18" s="543">
        <v>0</v>
      </c>
      <c r="M18" s="543">
        <v>0</v>
      </c>
      <c r="N18" s="543">
        <v>0</v>
      </c>
      <c r="O18" s="543">
        <v>0</v>
      </c>
      <c r="P18" s="543">
        <v>0</v>
      </c>
      <c r="Q18" s="543">
        <v>0</v>
      </c>
      <c r="R18" s="543">
        <v>0</v>
      </c>
      <c r="S18" s="543">
        <v>0</v>
      </c>
      <c r="T18" s="543">
        <v>0</v>
      </c>
      <c r="U18" s="543">
        <v>0</v>
      </c>
      <c r="V18" s="543">
        <v>0</v>
      </c>
      <c r="W18" s="543">
        <v>0</v>
      </c>
      <c r="X18" s="543">
        <v>0</v>
      </c>
      <c r="Y18" s="543">
        <v>0</v>
      </c>
      <c r="Z18" s="543">
        <v>0</v>
      </c>
    </row>
    <row r="19" spans="1:26" outlineLevel="2" x14ac:dyDescent="0.2">
      <c r="A19" s="884"/>
      <c r="B19" s="885"/>
      <c r="C19" s="885"/>
      <c r="D19" s="64">
        <v>4</v>
      </c>
      <c r="E19" s="61">
        <f t="shared" si="4"/>
        <v>0</v>
      </c>
      <c r="F19" s="543">
        <v>0</v>
      </c>
      <c r="G19" s="543">
        <v>0</v>
      </c>
      <c r="H19" s="543">
        <v>0</v>
      </c>
      <c r="I19" s="543">
        <v>0</v>
      </c>
      <c r="J19" s="543">
        <v>0</v>
      </c>
      <c r="K19" s="543">
        <v>0</v>
      </c>
      <c r="L19" s="543">
        <v>0</v>
      </c>
      <c r="M19" s="543">
        <v>0</v>
      </c>
      <c r="N19" s="543">
        <v>0</v>
      </c>
      <c r="O19" s="543">
        <v>0</v>
      </c>
      <c r="P19" s="543">
        <v>0</v>
      </c>
      <c r="Q19" s="543">
        <v>0</v>
      </c>
      <c r="R19" s="543">
        <v>0</v>
      </c>
      <c r="S19" s="543">
        <v>0</v>
      </c>
      <c r="T19" s="543">
        <v>0</v>
      </c>
      <c r="U19" s="543">
        <v>0</v>
      </c>
      <c r="V19" s="543">
        <v>0</v>
      </c>
      <c r="W19" s="543">
        <v>0</v>
      </c>
      <c r="X19" s="543">
        <v>0</v>
      </c>
      <c r="Y19" s="543">
        <v>0</v>
      </c>
      <c r="Z19" s="543">
        <v>0</v>
      </c>
    </row>
    <row r="20" spans="1:26" outlineLevel="2" x14ac:dyDescent="0.2">
      <c r="A20" s="884"/>
      <c r="B20" s="885"/>
      <c r="C20" s="885"/>
      <c r="D20" s="64">
        <v>5</v>
      </c>
      <c r="E20" s="61">
        <f t="shared" si="4"/>
        <v>0</v>
      </c>
      <c r="F20" s="543">
        <v>0</v>
      </c>
      <c r="G20" s="543">
        <v>0</v>
      </c>
      <c r="H20" s="543">
        <v>0</v>
      </c>
      <c r="I20" s="543">
        <v>0</v>
      </c>
      <c r="J20" s="543">
        <v>0</v>
      </c>
      <c r="K20" s="543">
        <v>0</v>
      </c>
      <c r="L20" s="543">
        <v>0</v>
      </c>
      <c r="M20" s="543">
        <v>0</v>
      </c>
      <c r="N20" s="543">
        <v>0</v>
      </c>
      <c r="O20" s="543">
        <v>0</v>
      </c>
      <c r="P20" s="543">
        <v>0</v>
      </c>
      <c r="Q20" s="543">
        <v>0</v>
      </c>
      <c r="R20" s="543">
        <v>0</v>
      </c>
      <c r="S20" s="543">
        <v>0</v>
      </c>
      <c r="T20" s="543">
        <v>0</v>
      </c>
      <c r="U20" s="543">
        <v>0</v>
      </c>
      <c r="V20" s="543">
        <v>0</v>
      </c>
      <c r="W20" s="543">
        <v>0</v>
      </c>
      <c r="X20" s="543">
        <v>0</v>
      </c>
      <c r="Y20" s="543">
        <v>0</v>
      </c>
      <c r="Z20" s="543">
        <v>0</v>
      </c>
    </row>
    <row r="21" spans="1:26" outlineLevel="2" x14ac:dyDescent="0.2">
      <c r="A21" s="884"/>
      <c r="B21" s="885"/>
      <c r="C21" s="885"/>
      <c r="D21" s="64">
        <v>6</v>
      </c>
      <c r="E21" s="61">
        <f t="shared" si="4"/>
        <v>0</v>
      </c>
      <c r="F21" s="543">
        <v>0</v>
      </c>
      <c r="G21" s="543">
        <v>0</v>
      </c>
      <c r="H21" s="543">
        <v>0</v>
      </c>
      <c r="I21" s="543">
        <v>0</v>
      </c>
      <c r="J21" s="543">
        <v>0</v>
      </c>
      <c r="K21" s="543">
        <v>0</v>
      </c>
      <c r="L21" s="543">
        <v>0</v>
      </c>
      <c r="M21" s="543">
        <v>0</v>
      </c>
      <c r="N21" s="543">
        <v>0</v>
      </c>
      <c r="O21" s="543">
        <v>0</v>
      </c>
      <c r="P21" s="543">
        <v>0</v>
      </c>
      <c r="Q21" s="543">
        <v>0</v>
      </c>
      <c r="R21" s="543">
        <v>0</v>
      </c>
      <c r="S21" s="543">
        <v>0</v>
      </c>
      <c r="T21" s="543">
        <v>0</v>
      </c>
      <c r="U21" s="543">
        <v>0</v>
      </c>
      <c r="V21" s="543">
        <v>0</v>
      </c>
      <c r="W21" s="543">
        <v>0</v>
      </c>
      <c r="X21" s="543">
        <v>0</v>
      </c>
      <c r="Y21" s="543">
        <v>0</v>
      </c>
      <c r="Z21" s="543">
        <v>0</v>
      </c>
    </row>
    <row r="22" spans="1:26" outlineLevel="2" x14ac:dyDescent="0.2">
      <c r="A22" s="884"/>
      <c r="B22" s="885"/>
      <c r="C22" s="885"/>
      <c r="D22" s="64">
        <v>7</v>
      </c>
      <c r="E22" s="61">
        <f t="shared" si="4"/>
        <v>0</v>
      </c>
      <c r="F22" s="543">
        <v>0</v>
      </c>
      <c r="G22" s="543">
        <v>0</v>
      </c>
      <c r="H22" s="543">
        <v>0</v>
      </c>
      <c r="I22" s="543">
        <v>0</v>
      </c>
      <c r="J22" s="543">
        <v>0</v>
      </c>
      <c r="K22" s="543">
        <v>0</v>
      </c>
      <c r="L22" s="543">
        <v>0</v>
      </c>
      <c r="M22" s="543">
        <v>0</v>
      </c>
      <c r="N22" s="543">
        <v>0</v>
      </c>
      <c r="O22" s="543">
        <v>0</v>
      </c>
      <c r="P22" s="543">
        <v>0</v>
      </c>
      <c r="Q22" s="543">
        <v>0</v>
      </c>
      <c r="R22" s="543">
        <v>0</v>
      </c>
      <c r="S22" s="543">
        <v>0</v>
      </c>
      <c r="T22" s="543">
        <v>0</v>
      </c>
      <c r="U22" s="543">
        <v>0</v>
      </c>
      <c r="V22" s="543">
        <v>0</v>
      </c>
      <c r="W22" s="543">
        <v>0</v>
      </c>
      <c r="X22" s="543">
        <v>0</v>
      </c>
      <c r="Y22" s="543">
        <v>0</v>
      </c>
      <c r="Z22" s="543">
        <v>0</v>
      </c>
    </row>
    <row r="23" spans="1:26" outlineLevel="2" x14ac:dyDescent="0.2">
      <c r="A23" s="884"/>
      <c r="B23" s="885"/>
      <c r="C23" s="885"/>
      <c r="D23" s="64">
        <v>8</v>
      </c>
      <c r="E23" s="61">
        <f t="shared" si="4"/>
        <v>0</v>
      </c>
      <c r="F23" s="543">
        <v>0</v>
      </c>
      <c r="G23" s="543">
        <v>0</v>
      </c>
      <c r="H23" s="543">
        <v>0</v>
      </c>
      <c r="I23" s="543">
        <v>0</v>
      </c>
      <c r="J23" s="543">
        <v>0</v>
      </c>
      <c r="K23" s="543">
        <v>0</v>
      </c>
      <c r="L23" s="543">
        <v>0</v>
      </c>
      <c r="M23" s="543">
        <v>0</v>
      </c>
      <c r="N23" s="543">
        <v>0</v>
      </c>
      <c r="O23" s="543">
        <v>0</v>
      </c>
      <c r="P23" s="543">
        <v>0</v>
      </c>
      <c r="Q23" s="543">
        <v>0</v>
      </c>
      <c r="R23" s="543">
        <v>0</v>
      </c>
      <c r="S23" s="543">
        <v>0</v>
      </c>
      <c r="T23" s="543">
        <v>0</v>
      </c>
      <c r="U23" s="543">
        <v>0</v>
      </c>
      <c r="V23" s="543">
        <v>0</v>
      </c>
      <c r="W23" s="543">
        <v>0</v>
      </c>
      <c r="X23" s="543">
        <v>0</v>
      </c>
      <c r="Y23" s="543">
        <v>0</v>
      </c>
      <c r="Z23" s="543">
        <v>0</v>
      </c>
    </row>
    <row r="24" spans="1:26" outlineLevel="2" x14ac:dyDescent="0.2">
      <c r="A24" s="884"/>
      <c r="B24" s="885"/>
      <c r="C24" s="885"/>
      <c r="D24" s="64">
        <v>9</v>
      </c>
      <c r="E24" s="61">
        <f t="shared" si="4"/>
        <v>0</v>
      </c>
      <c r="F24" s="543">
        <v>0</v>
      </c>
      <c r="G24" s="543">
        <v>0</v>
      </c>
      <c r="H24" s="543">
        <v>0</v>
      </c>
      <c r="I24" s="543">
        <v>0</v>
      </c>
      <c r="J24" s="543">
        <v>0</v>
      </c>
      <c r="K24" s="543">
        <v>0</v>
      </c>
      <c r="L24" s="543">
        <v>0</v>
      </c>
      <c r="M24" s="543">
        <v>0</v>
      </c>
      <c r="N24" s="543">
        <v>0</v>
      </c>
      <c r="O24" s="543">
        <v>0</v>
      </c>
      <c r="P24" s="543">
        <v>0</v>
      </c>
      <c r="Q24" s="543">
        <v>0</v>
      </c>
      <c r="R24" s="543">
        <v>0</v>
      </c>
      <c r="S24" s="543">
        <v>0</v>
      </c>
      <c r="T24" s="543">
        <v>0</v>
      </c>
      <c r="U24" s="543">
        <v>0</v>
      </c>
      <c r="V24" s="543">
        <v>0</v>
      </c>
      <c r="W24" s="543">
        <v>0</v>
      </c>
      <c r="X24" s="543">
        <v>0</v>
      </c>
      <c r="Y24" s="543">
        <v>0</v>
      </c>
      <c r="Z24" s="543">
        <v>0</v>
      </c>
    </row>
    <row r="25" spans="1:26" ht="16" outlineLevel="2" thickBot="1" x14ac:dyDescent="0.25">
      <c r="A25" s="884"/>
      <c r="B25" s="885"/>
      <c r="C25" s="885"/>
      <c r="D25" s="65">
        <v>10</v>
      </c>
      <c r="E25" s="61">
        <f t="shared" si="4"/>
        <v>0</v>
      </c>
      <c r="F25" s="543">
        <v>0</v>
      </c>
      <c r="G25" s="543">
        <v>0</v>
      </c>
      <c r="H25" s="543">
        <v>0</v>
      </c>
      <c r="I25" s="543">
        <v>0</v>
      </c>
      <c r="J25" s="543">
        <v>0</v>
      </c>
      <c r="K25" s="543">
        <v>0</v>
      </c>
      <c r="L25" s="543">
        <v>0</v>
      </c>
      <c r="M25" s="543">
        <v>0</v>
      </c>
      <c r="N25" s="543">
        <v>0</v>
      </c>
      <c r="O25" s="543">
        <v>0</v>
      </c>
      <c r="P25" s="543">
        <v>0</v>
      </c>
      <c r="Q25" s="543">
        <v>0</v>
      </c>
      <c r="R25" s="543">
        <v>0</v>
      </c>
      <c r="S25" s="543">
        <v>0</v>
      </c>
      <c r="T25" s="543">
        <v>0</v>
      </c>
      <c r="U25" s="543">
        <v>0</v>
      </c>
      <c r="V25" s="543">
        <v>0</v>
      </c>
      <c r="W25" s="543">
        <v>0</v>
      </c>
      <c r="X25" s="543">
        <v>0</v>
      </c>
      <c r="Y25" s="543">
        <v>0</v>
      </c>
      <c r="Z25" s="543">
        <v>0</v>
      </c>
    </row>
    <row r="26" spans="1:26" outlineLevel="2" x14ac:dyDescent="0.2">
      <c r="A26" s="884" t="s">
        <v>1177</v>
      </c>
      <c r="B26" s="885" t="s">
        <v>1167</v>
      </c>
      <c r="C26" s="885">
        <v>633013</v>
      </c>
      <c r="D26" s="63">
        <v>1</v>
      </c>
      <c r="E26" s="60">
        <f t="shared" si="4"/>
        <v>0</v>
      </c>
      <c r="F26" s="544">
        <v>0</v>
      </c>
      <c r="G26" s="544">
        <v>0</v>
      </c>
      <c r="H26" s="544">
        <v>0</v>
      </c>
      <c r="I26" s="544">
        <v>0</v>
      </c>
      <c r="J26" s="544">
        <v>0</v>
      </c>
      <c r="K26" s="544">
        <v>0</v>
      </c>
      <c r="L26" s="544">
        <v>0</v>
      </c>
      <c r="M26" s="544">
        <v>0</v>
      </c>
      <c r="N26" s="544">
        <v>0</v>
      </c>
      <c r="O26" s="544">
        <v>0</v>
      </c>
      <c r="P26" s="544">
        <v>0</v>
      </c>
      <c r="Q26" s="544">
        <v>0</v>
      </c>
      <c r="R26" s="544">
        <v>0</v>
      </c>
      <c r="S26" s="544">
        <v>0</v>
      </c>
      <c r="T26" s="544">
        <v>0</v>
      </c>
      <c r="U26" s="544">
        <v>0</v>
      </c>
      <c r="V26" s="544">
        <v>0</v>
      </c>
      <c r="W26" s="544">
        <v>0</v>
      </c>
      <c r="X26" s="544">
        <v>0</v>
      </c>
      <c r="Y26" s="544">
        <v>0</v>
      </c>
      <c r="Z26" s="544">
        <v>0</v>
      </c>
    </row>
    <row r="27" spans="1:26" outlineLevel="2" x14ac:dyDescent="0.2">
      <c r="A27" s="884"/>
      <c r="B27" s="885"/>
      <c r="C27" s="885"/>
      <c r="D27" s="64">
        <v>2</v>
      </c>
      <c r="E27" s="61">
        <f t="shared" si="4"/>
        <v>0</v>
      </c>
      <c r="F27" s="545">
        <v>0</v>
      </c>
      <c r="G27" s="545">
        <v>0</v>
      </c>
      <c r="H27" s="545">
        <v>0</v>
      </c>
      <c r="I27" s="545">
        <v>0</v>
      </c>
      <c r="J27" s="545">
        <v>0</v>
      </c>
      <c r="K27" s="545">
        <v>0</v>
      </c>
      <c r="L27" s="545">
        <v>0</v>
      </c>
      <c r="M27" s="545">
        <v>0</v>
      </c>
      <c r="N27" s="545">
        <v>0</v>
      </c>
      <c r="O27" s="545">
        <v>0</v>
      </c>
      <c r="P27" s="545">
        <v>0</v>
      </c>
      <c r="Q27" s="545">
        <v>0</v>
      </c>
      <c r="R27" s="545">
        <v>0</v>
      </c>
      <c r="S27" s="545">
        <v>0</v>
      </c>
      <c r="T27" s="545">
        <v>0</v>
      </c>
      <c r="U27" s="545">
        <v>0</v>
      </c>
      <c r="V27" s="545">
        <v>0</v>
      </c>
      <c r="W27" s="545">
        <v>0</v>
      </c>
      <c r="X27" s="545">
        <v>0</v>
      </c>
      <c r="Y27" s="545">
        <v>0</v>
      </c>
      <c r="Z27" s="545">
        <v>0</v>
      </c>
    </row>
    <row r="28" spans="1:26" outlineLevel="2" x14ac:dyDescent="0.2">
      <c r="A28" s="884"/>
      <c r="B28" s="885"/>
      <c r="C28" s="885"/>
      <c r="D28" s="64">
        <v>3</v>
      </c>
      <c r="E28" s="61">
        <f t="shared" si="4"/>
        <v>0</v>
      </c>
      <c r="F28" s="545">
        <v>0</v>
      </c>
      <c r="G28" s="545">
        <v>0</v>
      </c>
      <c r="H28" s="545">
        <v>0</v>
      </c>
      <c r="I28" s="545">
        <v>0</v>
      </c>
      <c r="J28" s="545">
        <v>0</v>
      </c>
      <c r="K28" s="545">
        <v>0</v>
      </c>
      <c r="L28" s="545">
        <v>0</v>
      </c>
      <c r="M28" s="545">
        <v>0</v>
      </c>
      <c r="N28" s="545">
        <v>0</v>
      </c>
      <c r="O28" s="545">
        <v>0</v>
      </c>
      <c r="P28" s="545">
        <v>0</v>
      </c>
      <c r="Q28" s="545">
        <v>0</v>
      </c>
      <c r="R28" s="545">
        <v>0</v>
      </c>
      <c r="S28" s="545">
        <v>0</v>
      </c>
      <c r="T28" s="545">
        <v>0</v>
      </c>
      <c r="U28" s="545">
        <v>0</v>
      </c>
      <c r="V28" s="545">
        <v>0</v>
      </c>
      <c r="W28" s="545">
        <v>0</v>
      </c>
      <c r="X28" s="545">
        <v>0</v>
      </c>
      <c r="Y28" s="545">
        <v>0</v>
      </c>
      <c r="Z28" s="545">
        <v>0</v>
      </c>
    </row>
    <row r="29" spans="1:26" outlineLevel="2" x14ac:dyDescent="0.2">
      <c r="A29" s="884"/>
      <c r="B29" s="885"/>
      <c r="C29" s="885"/>
      <c r="D29" s="64">
        <v>4</v>
      </c>
      <c r="E29" s="61">
        <f t="shared" si="4"/>
        <v>0</v>
      </c>
      <c r="F29" s="545">
        <v>0</v>
      </c>
      <c r="G29" s="545">
        <v>0</v>
      </c>
      <c r="H29" s="545">
        <v>0</v>
      </c>
      <c r="I29" s="545">
        <v>0</v>
      </c>
      <c r="J29" s="545">
        <v>0</v>
      </c>
      <c r="K29" s="545">
        <v>0</v>
      </c>
      <c r="L29" s="545">
        <v>0</v>
      </c>
      <c r="M29" s="545">
        <v>0</v>
      </c>
      <c r="N29" s="545">
        <v>0</v>
      </c>
      <c r="O29" s="545">
        <v>0</v>
      </c>
      <c r="P29" s="545">
        <v>0</v>
      </c>
      <c r="Q29" s="545">
        <v>0</v>
      </c>
      <c r="R29" s="545">
        <v>0</v>
      </c>
      <c r="S29" s="545">
        <v>0</v>
      </c>
      <c r="T29" s="545">
        <v>0</v>
      </c>
      <c r="U29" s="545">
        <v>0</v>
      </c>
      <c r="V29" s="545">
        <v>0</v>
      </c>
      <c r="W29" s="545">
        <v>0</v>
      </c>
      <c r="X29" s="545">
        <v>0</v>
      </c>
      <c r="Y29" s="545">
        <v>0</v>
      </c>
      <c r="Z29" s="545">
        <v>0</v>
      </c>
    </row>
    <row r="30" spans="1:26" outlineLevel="2" x14ac:dyDescent="0.2">
      <c r="A30" s="884"/>
      <c r="B30" s="885"/>
      <c r="C30" s="885"/>
      <c r="D30" s="64">
        <v>5</v>
      </c>
      <c r="E30" s="61">
        <f t="shared" si="4"/>
        <v>0</v>
      </c>
      <c r="F30" s="545">
        <v>0</v>
      </c>
      <c r="G30" s="545">
        <v>0</v>
      </c>
      <c r="H30" s="545">
        <v>0</v>
      </c>
      <c r="I30" s="545">
        <v>0</v>
      </c>
      <c r="J30" s="545">
        <v>0</v>
      </c>
      <c r="K30" s="545">
        <v>0</v>
      </c>
      <c r="L30" s="545">
        <v>0</v>
      </c>
      <c r="M30" s="545">
        <v>0</v>
      </c>
      <c r="N30" s="545">
        <v>0</v>
      </c>
      <c r="O30" s="545">
        <v>0</v>
      </c>
      <c r="P30" s="545">
        <v>0</v>
      </c>
      <c r="Q30" s="545">
        <v>0</v>
      </c>
      <c r="R30" s="545">
        <v>0</v>
      </c>
      <c r="S30" s="545">
        <v>0</v>
      </c>
      <c r="T30" s="545">
        <v>0</v>
      </c>
      <c r="U30" s="545">
        <v>0</v>
      </c>
      <c r="V30" s="545">
        <v>0</v>
      </c>
      <c r="W30" s="545">
        <v>0</v>
      </c>
      <c r="X30" s="545">
        <v>0</v>
      </c>
      <c r="Y30" s="545">
        <v>0</v>
      </c>
      <c r="Z30" s="545">
        <v>0</v>
      </c>
    </row>
    <row r="31" spans="1:26" outlineLevel="2" x14ac:dyDescent="0.2">
      <c r="A31" s="884"/>
      <c r="B31" s="885"/>
      <c r="C31" s="885"/>
      <c r="D31" s="64">
        <v>6</v>
      </c>
      <c r="E31" s="61">
        <f t="shared" si="4"/>
        <v>0</v>
      </c>
      <c r="F31" s="545">
        <v>0</v>
      </c>
      <c r="G31" s="545">
        <v>0</v>
      </c>
      <c r="H31" s="545">
        <v>0</v>
      </c>
      <c r="I31" s="545">
        <v>0</v>
      </c>
      <c r="J31" s="545">
        <v>0</v>
      </c>
      <c r="K31" s="545">
        <v>0</v>
      </c>
      <c r="L31" s="545">
        <v>0</v>
      </c>
      <c r="M31" s="545">
        <v>0</v>
      </c>
      <c r="N31" s="545">
        <v>0</v>
      </c>
      <c r="O31" s="545">
        <v>0</v>
      </c>
      <c r="P31" s="545">
        <v>0</v>
      </c>
      <c r="Q31" s="545">
        <v>0</v>
      </c>
      <c r="R31" s="545">
        <v>0</v>
      </c>
      <c r="S31" s="545">
        <v>0</v>
      </c>
      <c r="T31" s="545">
        <v>0</v>
      </c>
      <c r="U31" s="545">
        <v>0</v>
      </c>
      <c r="V31" s="545">
        <v>0</v>
      </c>
      <c r="W31" s="545">
        <v>0</v>
      </c>
      <c r="X31" s="545">
        <v>0</v>
      </c>
      <c r="Y31" s="545">
        <v>0</v>
      </c>
      <c r="Z31" s="545">
        <v>0</v>
      </c>
    </row>
    <row r="32" spans="1:26" outlineLevel="2" x14ac:dyDescent="0.2">
      <c r="A32" s="884"/>
      <c r="B32" s="885"/>
      <c r="C32" s="885"/>
      <c r="D32" s="64">
        <v>7</v>
      </c>
      <c r="E32" s="61">
        <f t="shared" si="4"/>
        <v>0</v>
      </c>
      <c r="F32" s="545">
        <v>0</v>
      </c>
      <c r="G32" s="545">
        <v>0</v>
      </c>
      <c r="H32" s="545">
        <v>0</v>
      </c>
      <c r="I32" s="545">
        <v>0</v>
      </c>
      <c r="J32" s="545">
        <v>0</v>
      </c>
      <c r="K32" s="545">
        <v>0</v>
      </c>
      <c r="L32" s="545">
        <v>0</v>
      </c>
      <c r="M32" s="545">
        <v>0</v>
      </c>
      <c r="N32" s="545">
        <v>0</v>
      </c>
      <c r="O32" s="545">
        <v>0</v>
      </c>
      <c r="P32" s="545">
        <v>0</v>
      </c>
      <c r="Q32" s="545">
        <v>0</v>
      </c>
      <c r="R32" s="545">
        <v>0</v>
      </c>
      <c r="S32" s="545">
        <v>0</v>
      </c>
      <c r="T32" s="545">
        <v>0</v>
      </c>
      <c r="U32" s="545">
        <v>0</v>
      </c>
      <c r="V32" s="545">
        <v>0</v>
      </c>
      <c r="W32" s="545">
        <v>0</v>
      </c>
      <c r="X32" s="545">
        <v>0</v>
      </c>
      <c r="Y32" s="545">
        <v>0</v>
      </c>
      <c r="Z32" s="545">
        <v>0</v>
      </c>
    </row>
    <row r="33" spans="1:26" outlineLevel="2" x14ac:dyDescent="0.2">
      <c r="A33" s="884"/>
      <c r="B33" s="885"/>
      <c r="C33" s="885"/>
      <c r="D33" s="64">
        <v>8</v>
      </c>
      <c r="E33" s="61">
        <f t="shared" si="4"/>
        <v>0</v>
      </c>
      <c r="F33" s="545">
        <v>0</v>
      </c>
      <c r="G33" s="545">
        <v>0</v>
      </c>
      <c r="H33" s="545">
        <v>0</v>
      </c>
      <c r="I33" s="545">
        <v>0</v>
      </c>
      <c r="J33" s="545">
        <v>0</v>
      </c>
      <c r="K33" s="545">
        <v>0</v>
      </c>
      <c r="L33" s="545">
        <v>0</v>
      </c>
      <c r="M33" s="545">
        <v>0</v>
      </c>
      <c r="N33" s="545">
        <v>0</v>
      </c>
      <c r="O33" s="545">
        <v>0</v>
      </c>
      <c r="P33" s="545">
        <v>0</v>
      </c>
      <c r="Q33" s="545">
        <v>0</v>
      </c>
      <c r="R33" s="545">
        <v>0</v>
      </c>
      <c r="S33" s="545">
        <v>0</v>
      </c>
      <c r="T33" s="545">
        <v>0</v>
      </c>
      <c r="U33" s="545">
        <v>0</v>
      </c>
      <c r="V33" s="545">
        <v>0</v>
      </c>
      <c r="W33" s="545">
        <v>0</v>
      </c>
      <c r="X33" s="545">
        <v>0</v>
      </c>
      <c r="Y33" s="545">
        <v>0</v>
      </c>
      <c r="Z33" s="545">
        <v>0</v>
      </c>
    </row>
    <row r="34" spans="1:26" outlineLevel="2" x14ac:dyDescent="0.2">
      <c r="A34" s="884"/>
      <c r="B34" s="885"/>
      <c r="C34" s="885"/>
      <c r="D34" s="64">
        <v>9</v>
      </c>
      <c r="E34" s="61">
        <f t="shared" si="4"/>
        <v>0</v>
      </c>
      <c r="F34" s="545">
        <v>0</v>
      </c>
      <c r="G34" s="545">
        <v>0</v>
      </c>
      <c r="H34" s="545">
        <v>0</v>
      </c>
      <c r="I34" s="545">
        <v>0</v>
      </c>
      <c r="J34" s="545">
        <v>0</v>
      </c>
      <c r="K34" s="545">
        <v>0</v>
      </c>
      <c r="L34" s="545">
        <v>0</v>
      </c>
      <c r="M34" s="545">
        <v>0</v>
      </c>
      <c r="N34" s="545">
        <v>0</v>
      </c>
      <c r="O34" s="545">
        <v>0</v>
      </c>
      <c r="P34" s="545">
        <v>0</v>
      </c>
      <c r="Q34" s="545">
        <v>0</v>
      </c>
      <c r="R34" s="545">
        <v>0</v>
      </c>
      <c r="S34" s="545">
        <v>0</v>
      </c>
      <c r="T34" s="545">
        <v>0</v>
      </c>
      <c r="U34" s="545">
        <v>0</v>
      </c>
      <c r="V34" s="545">
        <v>0</v>
      </c>
      <c r="W34" s="545">
        <v>0</v>
      </c>
      <c r="X34" s="545">
        <v>0</v>
      </c>
      <c r="Y34" s="545">
        <v>0</v>
      </c>
      <c r="Z34" s="545">
        <v>0</v>
      </c>
    </row>
    <row r="35" spans="1:26" ht="16" outlineLevel="2" thickBot="1" x14ac:dyDescent="0.25">
      <c r="A35" s="884"/>
      <c r="B35" s="885"/>
      <c r="C35" s="885"/>
      <c r="D35" s="65">
        <v>10</v>
      </c>
      <c r="E35" s="62">
        <f t="shared" si="4"/>
        <v>0</v>
      </c>
      <c r="F35" s="546">
        <v>0</v>
      </c>
      <c r="G35" s="546">
        <v>0</v>
      </c>
      <c r="H35" s="546">
        <v>0</v>
      </c>
      <c r="I35" s="546">
        <v>0</v>
      </c>
      <c r="J35" s="546">
        <v>0</v>
      </c>
      <c r="K35" s="546">
        <v>0</v>
      </c>
      <c r="L35" s="546">
        <v>0</v>
      </c>
      <c r="M35" s="546">
        <v>0</v>
      </c>
      <c r="N35" s="546">
        <v>0</v>
      </c>
      <c r="O35" s="546">
        <v>0</v>
      </c>
      <c r="P35" s="546">
        <v>0</v>
      </c>
      <c r="Q35" s="546">
        <v>0</v>
      </c>
      <c r="R35" s="546">
        <v>0</v>
      </c>
      <c r="S35" s="546">
        <v>0</v>
      </c>
      <c r="T35" s="546">
        <v>0</v>
      </c>
      <c r="U35" s="546">
        <v>0</v>
      </c>
      <c r="V35" s="546">
        <v>0</v>
      </c>
      <c r="W35" s="546">
        <v>0</v>
      </c>
      <c r="X35" s="546">
        <v>0</v>
      </c>
      <c r="Y35" s="546">
        <v>0</v>
      </c>
      <c r="Z35" s="546">
        <v>0</v>
      </c>
    </row>
    <row r="36" spans="1:26" ht="16" outlineLevel="1" thickBot="1" x14ac:dyDescent="0.25">
      <c r="A36" s="17" t="s">
        <v>100</v>
      </c>
      <c r="B36" s="17"/>
      <c r="C36" s="17"/>
      <c r="D36" s="27"/>
      <c r="E36" s="112">
        <f t="shared" ref="E36:Z36" si="5">SUM(E37:E76)</f>
        <v>3158483.4299999997</v>
      </c>
      <c r="F36" s="113">
        <f t="shared" si="5"/>
        <v>1142053.8368321822</v>
      </c>
      <c r="G36" s="113">
        <f t="shared" si="5"/>
        <v>353169.97845249204</v>
      </c>
      <c r="H36" s="113">
        <f t="shared" si="5"/>
        <v>551275.3419917865</v>
      </c>
      <c r="I36" s="113">
        <f t="shared" si="5"/>
        <v>682166.38575882034</v>
      </c>
      <c r="J36" s="113">
        <f t="shared" si="5"/>
        <v>272394.87486652978</v>
      </c>
      <c r="K36" s="113">
        <f t="shared" si="5"/>
        <v>83133.500770953906</v>
      </c>
      <c r="L36" s="113">
        <f t="shared" si="5"/>
        <v>74289.511327235392</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x14ac:dyDescent="0.2">
      <c r="A37" s="884" t="s">
        <v>1179</v>
      </c>
      <c r="B37" s="885" t="s">
        <v>1160</v>
      </c>
      <c r="C37" s="885">
        <v>711003</v>
      </c>
      <c r="D37" s="63">
        <v>1</v>
      </c>
      <c r="E37" s="67">
        <f t="shared" ref="E37:E76" si="6">SUM(F37:Z37)</f>
        <v>0</v>
      </c>
      <c r="F37" s="539">
        <f>IFERROR(IF(VLOOKUP(F$2,MODULY_CBA!$B$3:$I$23,8,0)=$D37,SUMIF('Rozpocet - Vyvoj aplikacii'!$B$3:$B$179,'TCO TO BE- SW'!F$2,'Rozpocet - Vyvoj aplikacii'!$J$3:$J$179),0),0)</f>
        <v>0</v>
      </c>
      <c r="G37" s="539">
        <f>IFERROR(IF(VLOOKUP(G$2,MODULY_CBA!$B$3:$I$23,8,0)=$D37,SUMIF('Rozpocet - Vyvoj aplikacii'!$B$3:$B$179,'TCO TO BE- SW'!G$2,'Rozpocet - Vyvoj aplikacii'!$J$3:$J$179),0),0)</f>
        <v>0</v>
      </c>
      <c r="H37" s="539">
        <f>IFERROR(IF(VLOOKUP(H$2,MODULY_CBA!$B$3:$I$23,8,0)=$D37,SUMIF('Rozpocet - Vyvoj aplikacii'!$B$3:$B$179,'TCO TO BE- SW'!H$2,'Rozpocet - Vyvoj aplikacii'!$J$3:$J$179),0),0)</f>
        <v>0</v>
      </c>
      <c r="I37" s="539">
        <f>IFERROR(IF(VLOOKUP(I$2,MODULY_CBA!$B$3:$I$23,8,0)=$D37,SUMIF('Rozpocet - Vyvoj aplikacii'!$B$3:$B$179,'TCO TO BE- SW'!I$2,'Rozpocet - Vyvoj aplikacii'!$J$3:$J$179),0),0)</f>
        <v>0</v>
      </c>
      <c r="J37" s="539">
        <f>IFERROR(IF(VLOOKUP(J$2,MODULY_CBA!$B$3:$I$23,8,0)=$D37,SUMIF('Rozpocet - Vyvoj aplikacii'!$B$3:$B$179,'TCO TO BE- SW'!J$2,'Rozpocet - Vyvoj aplikacii'!$J$3:$J$179),0),0)</f>
        <v>0</v>
      </c>
      <c r="K37" s="539">
        <f>IFERROR(IF(VLOOKUP(K$2,MODULY_CBA!$B$3:$I$23,8,0)=$D37,SUMIF('Rozpocet - Vyvoj aplikacii'!$B$3:$B$179,'TCO TO BE- SW'!K$2,'Rozpocet - Vyvoj aplikacii'!$J$3:$J$179),0),0)</f>
        <v>0</v>
      </c>
      <c r="L37" s="539">
        <f>IFERROR(IF(VLOOKUP(L$2,MODULY_CBA!$B$3:$I$23,8,0)=$D37,SUMIF('Rozpocet - Vyvoj aplikacii'!$B$3:$B$179,'TCO TO BE- SW'!L$2,'Rozpocet - Vyvoj aplikacii'!$J$3:$J$179),0),0)</f>
        <v>0</v>
      </c>
      <c r="M37" s="539">
        <f>IFERROR(IF(VLOOKUP(M$2,MODULY_CBA!$B$3:$I$23,8,0)=$D37,SUMIF('Rozpocet - Vyvoj aplikacii'!$B$3:$B$179,'TCO TO BE- SW'!M$2,'Rozpocet - Vyvoj aplikacii'!$J$3:$J$179),0),0)</f>
        <v>0</v>
      </c>
      <c r="N37" s="539">
        <f>IFERROR(IF(VLOOKUP(N$2,MODULY_CBA!$B$3:$I$23,8,0)=$D37,SUMIF('Rozpocet - Vyvoj aplikacii'!$B$3:$B$179,'TCO TO BE- SW'!N$2,'Rozpocet - Vyvoj aplikacii'!$J$3:$J$179),0),0)</f>
        <v>0</v>
      </c>
      <c r="O37" s="539">
        <f>IFERROR(IF(VLOOKUP(O$2,MODULY_CBA!$B$3:$I$23,8,0)=$D37,SUMIF('Rozpocet - Vyvoj aplikacii'!$B$3:$B$179,'TCO TO BE- SW'!O$2,'Rozpocet - Vyvoj aplikacii'!$J$3:$J$179),0),0)</f>
        <v>0</v>
      </c>
      <c r="P37" s="539">
        <f>IFERROR(IF(VLOOKUP(P$2,MODULY_CBA!$B$3:$I$23,8,0)=$D37,SUMIF('Rozpocet - Vyvoj aplikacii'!$B$3:$B$179,'TCO TO BE- SW'!P$2,'Rozpocet - Vyvoj aplikacii'!$J$3:$J$179),0),0)</f>
        <v>0</v>
      </c>
      <c r="Q37" s="539">
        <f>IFERROR(IF(VLOOKUP(Q$2,MODULY_CBA!$B$3:$I$23,8,0)=$D37,SUMIF('Rozpocet - Vyvoj aplikacii'!$B$3:$B$179,'TCO TO BE- SW'!Q$2,'Rozpocet - Vyvoj aplikacii'!$J$3:$J$179),0),0)</f>
        <v>0</v>
      </c>
      <c r="R37" s="539">
        <f>IFERROR(IF(VLOOKUP(R$2,MODULY_CBA!$B$3:$I$23,8,0)=$D37,SUMIF('Rozpocet - Vyvoj aplikacii'!$B$3:$B$179,'TCO TO BE- SW'!R$2,'Rozpocet - Vyvoj aplikacii'!$J$3:$J$179),0),0)</f>
        <v>0</v>
      </c>
      <c r="S37" s="539">
        <f>IFERROR(IF(VLOOKUP(S$2,MODULY_CBA!$B$3:$I$23,8,0)=$D37,SUMIF('Rozpocet - Vyvoj aplikacii'!$B$3:$B$179,'TCO TO BE- SW'!S$2,'Rozpocet - Vyvoj aplikacii'!$J$3:$J$179),0),0)</f>
        <v>0</v>
      </c>
      <c r="T37" s="539">
        <f>IFERROR(IF(VLOOKUP(T$2,MODULY_CBA!$B$3:$I$23,8,0)=$D37,SUMIF('Rozpocet - Vyvoj aplikacii'!$B$3:$B$179,'TCO TO BE- SW'!T$2,'Rozpocet - Vyvoj aplikacii'!$J$3:$J$179),0),0)</f>
        <v>0</v>
      </c>
      <c r="U37" s="539">
        <f>IFERROR(IF(VLOOKUP(U$2,MODULY_CBA!$B$3:$I$23,8,0)=$D37,SUMIF('Rozpocet - Vyvoj aplikacii'!$B$3:$B$179,'TCO TO BE- SW'!U$2,'Rozpocet - Vyvoj aplikacii'!$J$3:$J$179),0),0)</f>
        <v>0</v>
      </c>
      <c r="V37" s="539">
        <f>IFERROR(IF(VLOOKUP(V$2,MODULY_CBA!$B$3:$I$23,8,0)=$D37,SUMIF('Rozpocet - Vyvoj aplikacii'!$B$3:$B$179,'TCO TO BE- SW'!V$2,'Rozpocet - Vyvoj aplikacii'!$J$3:$J$179),0),0)</f>
        <v>0</v>
      </c>
      <c r="W37" s="539">
        <f>IFERROR(IF(VLOOKUP(W$2,MODULY_CBA!$B$3:$I$23,8,0)=$D37,SUMIF('Rozpocet - Vyvoj aplikacii'!$B$3:$B$179,'TCO TO BE- SW'!W$2,'Rozpocet - Vyvoj aplikacii'!$J$3:$J$179),0),0)</f>
        <v>0</v>
      </c>
      <c r="X37" s="539">
        <f>IFERROR(IF(VLOOKUP(X$2,MODULY_CBA!$B$3:$I$23,8,0)=$D37,SUMIF('Rozpocet - Vyvoj aplikacii'!$B$3:$B$179,'TCO TO BE- SW'!X$2,'Rozpocet - Vyvoj aplikacii'!$J$3:$J$179),0),0)</f>
        <v>0</v>
      </c>
      <c r="Y37" s="539">
        <f>IFERROR(IF(VLOOKUP(Y$2,MODULY_CBA!$B$3:$I$23,8,0)=$D37,SUMIF('Rozpocet - Vyvoj aplikacii'!$B$3:$B$179,'TCO TO BE- SW'!Y$2,'Rozpocet - Vyvoj aplikacii'!$J$3:$J$179),0),0)</f>
        <v>0</v>
      </c>
      <c r="Z37" s="539">
        <f>IFERROR(IF(VLOOKUP(Z$2,MODULY_CBA!$B$3:$I$23,8,0)=$D37,SUMIF('Rozpocet - Vyvoj aplikacii'!$B$3:$B$179,'TCO TO BE- SW'!Z$2,'Rozpocet - Vyvoj aplikacii'!$J$3:$J$179),0),0)</f>
        <v>0</v>
      </c>
    </row>
    <row r="38" spans="1:26" outlineLevel="2" x14ac:dyDescent="0.2">
      <c r="A38" s="884"/>
      <c r="B38" s="885"/>
      <c r="C38" s="885"/>
      <c r="D38" s="64">
        <v>2</v>
      </c>
      <c r="E38" s="68">
        <f t="shared" si="6"/>
        <v>3003489.03</v>
      </c>
      <c r="F38" s="540">
        <f>IFERROR(IF(VLOOKUP(F$2,MODULY_CBA!$B$3:$I$23,8,0)=$D38,SUMIF('Rozpocet - Vyvoj aplikacii'!$B$3:$B$179,'TCO TO BE- SW'!F$2,'Rozpocet - Vyvoj aplikacii'!$J$3:$J$179),0),0)</f>
        <v>1086010.500487213</v>
      </c>
      <c r="G38" s="540">
        <f>IFERROR(IF(VLOOKUP(G$2,MODULY_CBA!$B$3:$I$23,8,0)=$D38,SUMIF('Rozpocet - Vyvoj aplikacii'!$B$3:$B$179,'TCO TO BE- SW'!G$2,'Rozpocet - Vyvoj aplikacii'!$J$3:$J$179),0),0)</f>
        <v>335839.07578308752</v>
      </c>
      <c r="H38" s="540">
        <f>IFERROR(IF(VLOOKUP(H$2,MODULY_CBA!$B$3:$I$23,8,0)=$D38,SUMIF('Rozpocet - Vyvoj aplikacii'!$B$3:$B$179,'TCO TO BE- SW'!H$2,'Rozpocet - Vyvoj aplikacii'!$J$3:$J$179),0),0)</f>
        <v>524222.93131416838</v>
      </c>
      <c r="I38" s="540">
        <f>IFERROR(IF(VLOOKUP(I$2,MODULY_CBA!$B$3:$I$23,8,0)=$D38,SUMIF('Rozpocet - Vyvoj aplikacii'!$B$3:$B$179,'TCO TO BE- SW'!I$2,'Rozpocet - Vyvoj aplikacii'!$J$3:$J$179),0),0)</f>
        <v>648690.83586148976</v>
      </c>
      <c r="J38" s="540">
        <f>IFERROR(IF(VLOOKUP(J$2,MODULY_CBA!$B$3:$I$23,8,0)=$D38,SUMIF('Rozpocet - Vyvoj aplikacii'!$B$3:$B$179,'TCO TO BE- SW'!J$2,'Rozpocet - Vyvoj aplikacii'!$J$3:$J$179),0),0)</f>
        <v>259027.80135523615</v>
      </c>
      <c r="K38" s="540">
        <f>IFERROR(IF(VLOOKUP(K$2,MODULY_CBA!$B$3:$I$23,8,0)=$D38,SUMIF('Rozpocet - Vyvoj aplikacii'!$B$3:$B$179,'TCO TO BE- SW'!K$2,'Rozpocet - Vyvoj aplikacii'!$J$3:$J$179),0),0)</f>
        <v>79053.939374649999</v>
      </c>
      <c r="L38" s="540">
        <f>IFERROR(IF(VLOOKUP(L$2,MODULY_CBA!$B$3:$I$23,8,0)=$D38,SUMIF('Rozpocet - Vyvoj aplikacii'!$B$3:$B$179,'TCO TO BE- SW'!L$2,'Rozpocet - Vyvoj aplikacii'!$J$3:$J$179),0),0)</f>
        <v>70643.945824155307</v>
      </c>
      <c r="M38" s="540">
        <f>IFERROR(IF(VLOOKUP(M$2,MODULY_CBA!$B$3:$I$23,8,0)=$D38,SUMIF('Rozpocet - Vyvoj aplikacii'!$B$3:$B$179,'TCO TO BE- SW'!M$2,'Rozpocet - Vyvoj aplikacii'!$J$3:$J$179),0),0)</f>
        <v>0</v>
      </c>
      <c r="N38" s="540">
        <f>IFERROR(IF(VLOOKUP(N$2,MODULY_CBA!$B$3:$I$23,8,0)=$D38,SUMIF('Rozpocet - Vyvoj aplikacii'!$B$3:$B$179,'TCO TO BE- SW'!N$2,'Rozpocet - Vyvoj aplikacii'!$J$3:$J$179),0),0)</f>
        <v>0</v>
      </c>
      <c r="O38" s="540">
        <f>IFERROR(IF(VLOOKUP(O$2,MODULY_CBA!$B$3:$I$23,8,0)=$D38,SUMIF('Rozpocet - Vyvoj aplikacii'!$B$3:$B$179,'TCO TO BE- SW'!O$2,'Rozpocet - Vyvoj aplikacii'!$J$3:$J$179),0),0)</f>
        <v>0</v>
      </c>
      <c r="P38" s="540">
        <f>IFERROR(IF(VLOOKUP(P$2,MODULY_CBA!$B$3:$I$23,8,0)=$D38,SUMIF('Rozpocet - Vyvoj aplikacii'!$B$3:$B$179,'TCO TO BE- SW'!P$2,'Rozpocet - Vyvoj aplikacii'!$J$3:$J$179),0),0)</f>
        <v>0</v>
      </c>
      <c r="Q38" s="540">
        <f>IFERROR(IF(VLOOKUP(Q$2,MODULY_CBA!$B$3:$I$23,8,0)=$D38,SUMIF('Rozpocet - Vyvoj aplikacii'!$B$3:$B$179,'TCO TO BE- SW'!Q$2,'Rozpocet - Vyvoj aplikacii'!$J$3:$J$179),0),0)</f>
        <v>0</v>
      </c>
      <c r="R38" s="540">
        <f>IFERROR(IF(VLOOKUP(R$2,MODULY_CBA!$B$3:$I$23,8,0)=$D38,SUMIF('Rozpocet - Vyvoj aplikacii'!$B$3:$B$179,'TCO TO BE- SW'!R$2,'Rozpocet - Vyvoj aplikacii'!$J$3:$J$179),0),0)</f>
        <v>0</v>
      </c>
      <c r="S38" s="540">
        <f>IFERROR(IF(VLOOKUP(S$2,MODULY_CBA!$B$3:$I$23,8,0)=$D38,SUMIF('Rozpocet - Vyvoj aplikacii'!$B$3:$B$179,'TCO TO BE- SW'!S$2,'Rozpocet - Vyvoj aplikacii'!$J$3:$J$179),0),0)</f>
        <v>0</v>
      </c>
      <c r="T38" s="540">
        <f>IFERROR(IF(VLOOKUP(T$2,MODULY_CBA!$B$3:$I$23,8,0)=$D38,SUMIF('Rozpocet - Vyvoj aplikacii'!$B$3:$B$179,'TCO TO BE- SW'!T$2,'Rozpocet - Vyvoj aplikacii'!$J$3:$J$179),0),0)</f>
        <v>0</v>
      </c>
      <c r="U38" s="540">
        <f>IFERROR(IF(VLOOKUP(U$2,MODULY_CBA!$B$3:$I$23,8,0)=$D38,SUMIF('Rozpocet - Vyvoj aplikacii'!$B$3:$B$179,'TCO TO BE- SW'!U$2,'Rozpocet - Vyvoj aplikacii'!$J$3:$J$179),0),0)</f>
        <v>0</v>
      </c>
      <c r="V38" s="540">
        <f>IFERROR(IF(VLOOKUP(V$2,MODULY_CBA!$B$3:$I$23,8,0)=$D38,SUMIF('Rozpocet - Vyvoj aplikacii'!$B$3:$B$179,'TCO TO BE- SW'!V$2,'Rozpocet - Vyvoj aplikacii'!$J$3:$J$179),0),0)</f>
        <v>0</v>
      </c>
      <c r="W38" s="540">
        <f>IFERROR(IF(VLOOKUP(W$2,MODULY_CBA!$B$3:$I$23,8,0)=$D38,SUMIF('Rozpocet - Vyvoj aplikacii'!$B$3:$B$179,'TCO TO BE- SW'!W$2,'Rozpocet - Vyvoj aplikacii'!$J$3:$J$179),0),0)</f>
        <v>0</v>
      </c>
      <c r="X38" s="540">
        <f>IFERROR(IF(VLOOKUP(X$2,MODULY_CBA!$B$3:$I$23,8,0)=$D38,SUMIF('Rozpocet - Vyvoj aplikacii'!$B$3:$B$179,'TCO TO BE- SW'!X$2,'Rozpocet - Vyvoj aplikacii'!$J$3:$J$179),0),0)</f>
        <v>0</v>
      </c>
      <c r="Y38" s="540">
        <f>IFERROR(IF(VLOOKUP(Y$2,MODULY_CBA!$B$3:$I$23,8,0)=$D38,SUMIF('Rozpocet - Vyvoj aplikacii'!$B$3:$B$179,'TCO TO BE- SW'!Y$2,'Rozpocet - Vyvoj aplikacii'!$J$3:$J$179),0),0)</f>
        <v>0</v>
      </c>
      <c r="Z38" s="540">
        <f>IFERROR(IF(VLOOKUP(Z$2,MODULY_CBA!$B$3:$I$23,8,0)=$D38,SUMIF('Rozpocet - Vyvoj aplikacii'!$B$3:$B$179,'TCO TO BE- SW'!Z$2,'Rozpocet - Vyvoj aplikacii'!$J$3:$J$179),0),0)</f>
        <v>0</v>
      </c>
    </row>
    <row r="39" spans="1:26" outlineLevel="2" x14ac:dyDescent="0.2">
      <c r="A39" s="884"/>
      <c r="B39" s="885"/>
      <c r="C39" s="885"/>
      <c r="D39" s="64">
        <v>3</v>
      </c>
      <c r="E39" s="68">
        <f t="shared" si="6"/>
        <v>0</v>
      </c>
      <c r="F39" s="540">
        <f>IFERROR(IF(VLOOKUP(F$2,MODULY_CBA!$B$3:$I$23,8,0)=$D39,SUMIF('Rozpocet - Vyvoj aplikacii'!$B$3:$B$179,'TCO TO BE- SW'!F$2,'Rozpocet - Vyvoj aplikacii'!$J$3:$J$179),0),0)</f>
        <v>0</v>
      </c>
      <c r="G39" s="540">
        <f>IFERROR(IF(VLOOKUP(G$2,MODULY_CBA!$B$3:$I$23,8,0)=$D39,SUMIF('Rozpocet - Vyvoj aplikacii'!$B$3:$B$179,'TCO TO BE- SW'!G$2,'Rozpocet - Vyvoj aplikacii'!$J$3:$J$179),0),0)</f>
        <v>0</v>
      </c>
      <c r="H39" s="540">
        <f>IFERROR(IF(VLOOKUP(H$2,MODULY_CBA!$B$3:$I$23,8,0)=$D39,SUMIF('Rozpocet - Vyvoj aplikacii'!$B$3:$B$179,'TCO TO BE- SW'!H$2,'Rozpocet - Vyvoj aplikacii'!$J$3:$J$179),0),0)</f>
        <v>0</v>
      </c>
      <c r="I39" s="540">
        <f>IFERROR(IF(VLOOKUP(I$2,MODULY_CBA!$B$3:$I$23,8,0)=$D39,SUMIF('Rozpocet - Vyvoj aplikacii'!$B$3:$B$179,'TCO TO BE- SW'!I$2,'Rozpocet - Vyvoj aplikacii'!$J$3:$J$179),0),0)</f>
        <v>0</v>
      </c>
      <c r="J39" s="540">
        <f>IFERROR(IF(VLOOKUP(J$2,MODULY_CBA!$B$3:$I$23,8,0)=$D39,SUMIF('Rozpocet - Vyvoj aplikacii'!$B$3:$B$179,'TCO TO BE- SW'!J$2,'Rozpocet - Vyvoj aplikacii'!$J$3:$J$179),0),0)</f>
        <v>0</v>
      </c>
      <c r="K39" s="540">
        <f>IFERROR(IF(VLOOKUP(K$2,MODULY_CBA!$B$3:$I$23,8,0)=$D39,SUMIF('Rozpocet - Vyvoj aplikacii'!$B$3:$B$179,'TCO TO BE- SW'!K$2,'Rozpocet - Vyvoj aplikacii'!$J$3:$J$179),0),0)</f>
        <v>0</v>
      </c>
      <c r="L39" s="540">
        <f>IFERROR(IF(VLOOKUP(L$2,MODULY_CBA!$B$3:$I$23,8,0)=$D39,SUMIF('Rozpocet - Vyvoj aplikacii'!$B$3:$B$179,'TCO TO BE- SW'!L$2,'Rozpocet - Vyvoj aplikacii'!$J$3:$J$179),0),0)</f>
        <v>0</v>
      </c>
      <c r="M39" s="540">
        <f>IFERROR(IF(VLOOKUP(M$2,MODULY_CBA!$B$3:$I$23,8,0)=$D39,SUMIF('Rozpocet - Vyvoj aplikacii'!$B$3:$B$179,'TCO TO BE- SW'!M$2,'Rozpocet - Vyvoj aplikacii'!$J$3:$J$179),0),0)</f>
        <v>0</v>
      </c>
      <c r="N39" s="540">
        <f>IFERROR(IF(VLOOKUP(N$2,MODULY_CBA!$B$3:$I$23,8,0)=$D39,SUMIF('Rozpocet - Vyvoj aplikacii'!$B$3:$B$179,'TCO TO BE- SW'!N$2,'Rozpocet - Vyvoj aplikacii'!$J$3:$J$179),0),0)</f>
        <v>0</v>
      </c>
      <c r="O39" s="540">
        <f>IFERROR(IF(VLOOKUP(O$2,MODULY_CBA!$B$3:$I$23,8,0)=$D39,SUMIF('Rozpocet - Vyvoj aplikacii'!$B$3:$B$179,'TCO TO BE- SW'!O$2,'Rozpocet - Vyvoj aplikacii'!$J$3:$J$179),0),0)</f>
        <v>0</v>
      </c>
      <c r="P39" s="540">
        <f>IFERROR(IF(VLOOKUP(P$2,MODULY_CBA!$B$3:$I$23,8,0)=$D39,SUMIF('Rozpocet - Vyvoj aplikacii'!$B$3:$B$179,'TCO TO BE- SW'!P$2,'Rozpocet - Vyvoj aplikacii'!$J$3:$J$179),0),0)</f>
        <v>0</v>
      </c>
      <c r="Q39" s="540">
        <f>IFERROR(IF(VLOOKUP(Q$2,MODULY_CBA!$B$3:$I$23,8,0)=$D39,SUMIF('Rozpocet - Vyvoj aplikacii'!$B$3:$B$179,'TCO TO BE- SW'!Q$2,'Rozpocet - Vyvoj aplikacii'!$J$3:$J$179),0),0)</f>
        <v>0</v>
      </c>
      <c r="R39" s="540">
        <f>IFERROR(IF(VLOOKUP(R$2,MODULY_CBA!$B$3:$I$23,8,0)=$D39,SUMIF('Rozpocet - Vyvoj aplikacii'!$B$3:$B$179,'TCO TO BE- SW'!R$2,'Rozpocet - Vyvoj aplikacii'!$J$3:$J$179),0),0)</f>
        <v>0</v>
      </c>
      <c r="S39" s="540">
        <f>IFERROR(IF(VLOOKUP(S$2,MODULY_CBA!$B$3:$I$23,8,0)=$D39,SUMIF('Rozpocet - Vyvoj aplikacii'!$B$3:$B$179,'TCO TO BE- SW'!S$2,'Rozpocet - Vyvoj aplikacii'!$J$3:$J$179),0),0)</f>
        <v>0</v>
      </c>
      <c r="T39" s="540">
        <f>IFERROR(IF(VLOOKUP(T$2,MODULY_CBA!$B$3:$I$23,8,0)=$D39,SUMIF('Rozpocet - Vyvoj aplikacii'!$B$3:$B$179,'TCO TO BE- SW'!T$2,'Rozpocet - Vyvoj aplikacii'!$J$3:$J$179),0),0)</f>
        <v>0</v>
      </c>
      <c r="U39" s="540">
        <f>IFERROR(IF(VLOOKUP(U$2,MODULY_CBA!$B$3:$I$23,8,0)=$D39,SUMIF('Rozpocet - Vyvoj aplikacii'!$B$3:$B$179,'TCO TO BE- SW'!U$2,'Rozpocet - Vyvoj aplikacii'!$J$3:$J$179),0),0)</f>
        <v>0</v>
      </c>
      <c r="V39" s="540">
        <f>IFERROR(IF(VLOOKUP(V$2,MODULY_CBA!$B$3:$I$23,8,0)=$D39,SUMIF('Rozpocet - Vyvoj aplikacii'!$B$3:$B$179,'TCO TO BE- SW'!V$2,'Rozpocet - Vyvoj aplikacii'!$J$3:$J$179),0),0)</f>
        <v>0</v>
      </c>
      <c r="W39" s="540">
        <f>IFERROR(IF(VLOOKUP(W$2,MODULY_CBA!$B$3:$I$23,8,0)=$D39,SUMIF('Rozpocet - Vyvoj aplikacii'!$B$3:$B$179,'TCO TO BE- SW'!W$2,'Rozpocet - Vyvoj aplikacii'!$J$3:$J$179),0),0)</f>
        <v>0</v>
      </c>
      <c r="X39" s="540">
        <f>IFERROR(IF(VLOOKUP(X$2,MODULY_CBA!$B$3:$I$23,8,0)=$D39,SUMIF('Rozpocet - Vyvoj aplikacii'!$B$3:$B$179,'TCO TO BE- SW'!X$2,'Rozpocet - Vyvoj aplikacii'!$J$3:$J$179),0),0)</f>
        <v>0</v>
      </c>
      <c r="Y39" s="540">
        <f>IFERROR(IF(VLOOKUP(Y$2,MODULY_CBA!$B$3:$I$23,8,0)=$D39,SUMIF('Rozpocet - Vyvoj aplikacii'!$B$3:$B$179,'TCO TO BE- SW'!Y$2,'Rozpocet - Vyvoj aplikacii'!$J$3:$J$179),0),0)</f>
        <v>0</v>
      </c>
      <c r="Z39" s="540">
        <f>IFERROR(IF(VLOOKUP(Z$2,MODULY_CBA!$B$3:$I$23,8,0)=$D39,SUMIF('Rozpocet - Vyvoj aplikacii'!$B$3:$B$179,'TCO TO BE- SW'!Z$2,'Rozpocet - Vyvoj aplikacii'!$J$3:$J$179),0),0)</f>
        <v>0</v>
      </c>
    </row>
    <row r="40" spans="1:26" outlineLevel="2" x14ac:dyDescent="0.2">
      <c r="A40" s="884"/>
      <c r="B40" s="885"/>
      <c r="C40" s="885"/>
      <c r="D40" s="64">
        <v>4</v>
      </c>
      <c r="E40" s="68">
        <f t="shared" si="6"/>
        <v>0</v>
      </c>
      <c r="F40" s="540">
        <f>IFERROR(IF(VLOOKUP(F$2,MODULY_CBA!$B$3:$I$23,8,0)=$D40,SUMIF('Rozpocet - Vyvoj aplikacii'!$B$3:$B$179,'TCO TO BE- SW'!F$2,'Rozpocet - Vyvoj aplikacii'!$J$3:$J$179),0),0)</f>
        <v>0</v>
      </c>
      <c r="G40" s="540">
        <f>IFERROR(IF(VLOOKUP(G$2,MODULY_CBA!$B$3:$I$23,8,0)=$D40,SUMIF('Rozpocet - Vyvoj aplikacii'!$B$3:$B$179,'TCO TO BE- SW'!G$2,'Rozpocet - Vyvoj aplikacii'!$J$3:$J$179),0),0)</f>
        <v>0</v>
      </c>
      <c r="H40" s="540">
        <f>IFERROR(IF(VLOOKUP(H$2,MODULY_CBA!$B$3:$I$23,8,0)=$D40,SUMIF('Rozpocet - Vyvoj aplikacii'!$B$3:$B$179,'TCO TO BE- SW'!H$2,'Rozpocet - Vyvoj aplikacii'!$J$3:$J$179),0),0)</f>
        <v>0</v>
      </c>
      <c r="I40" s="540">
        <f>IFERROR(IF(VLOOKUP(I$2,MODULY_CBA!$B$3:$I$23,8,0)=$D40,SUMIF('Rozpocet - Vyvoj aplikacii'!$B$3:$B$179,'TCO TO BE- SW'!I$2,'Rozpocet - Vyvoj aplikacii'!$J$3:$J$179),0),0)</f>
        <v>0</v>
      </c>
      <c r="J40" s="540">
        <f>IFERROR(IF(VLOOKUP(J$2,MODULY_CBA!$B$3:$I$23,8,0)=$D40,SUMIF('Rozpocet - Vyvoj aplikacii'!$B$3:$B$179,'TCO TO BE- SW'!J$2,'Rozpocet - Vyvoj aplikacii'!$J$3:$J$179),0),0)</f>
        <v>0</v>
      </c>
      <c r="K40" s="540">
        <f>IFERROR(IF(VLOOKUP(K$2,MODULY_CBA!$B$3:$I$23,8,0)=$D40,SUMIF('Rozpocet - Vyvoj aplikacii'!$B$3:$B$179,'TCO TO BE- SW'!K$2,'Rozpocet - Vyvoj aplikacii'!$J$3:$J$179),0),0)</f>
        <v>0</v>
      </c>
      <c r="L40" s="540">
        <f>IFERROR(IF(VLOOKUP(L$2,MODULY_CBA!$B$3:$I$23,8,0)=$D40,SUMIF('Rozpocet - Vyvoj aplikacii'!$B$3:$B$179,'TCO TO BE- SW'!L$2,'Rozpocet - Vyvoj aplikacii'!$J$3:$J$179),0),0)</f>
        <v>0</v>
      </c>
      <c r="M40" s="540">
        <f>IFERROR(IF(VLOOKUP(M$2,MODULY_CBA!$B$3:$I$23,8,0)=$D40,SUMIF('Rozpocet - Vyvoj aplikacii'!$B$3:$B$179,'TCO TO BE- SW'!M$2,'Rozpocet - Vyvoj aplikacii'!$J$3:$J$179),0),0)</f>
        <v>0</v>
      </c>
      <c r="N40" s="540">
        <f>IFERROR(IF(VLOOKUP(N$2,MODULY_CBA!$B$3:$I$23,8,0)=$D40,SUMIF('Rozpocet - Vyvoj aplikacii'!$B$3:$B$179,'TCO TO BE- SW'!N$2,'Rozpocet - Vyvoj aplikacii'!$J$3:$J$179),0),0)</f>
        <v>0</v>
      </c>
      <c r="O40" s="540">
        <f>IFERROR(IF(VLOOKUP(O$2,MODULY_CBA!$B$3:$I$23,8,0)=$D40,SUMIF('Rozpocet - Vyvoj aplikacii'!$B$3:$B$179,'TCO TO BE- SW'!O$2,'Rozpocet - Vyvoj aplikacii'!$J$3:$J$179),0),0)</f>
        <v>0</v>
      </c>
      <c r="P40" s="540">
        <f>IFERROR(IF(VLOOKUP(P$2,MODULY_CBA!$B$3:$I$23,8,0)=$D40,SUMIF('Rozpocet - Vyvoj aplikacii'!$B$3:$B$179,'TCO TO BE- SW'!P$2,'Rozpocet - Vyvoj aplikacii'!$J$3:$J$179),0),0)</f>
        <v>0</v>
      </c>
      <c r="Q40" s="540">
        <f>IFERROR(IF(VLOOKUP(Q$2,MODULY_CBA!$B$3:$I$23,8,0)=$D40,SUMIF('Rozpocet - Vyvoj aplikacii'!$B$3:$B$179,'TCO TO BE- SW'!Q$2,'Rozpocet - Vyvoj aplikacii'!$J$3:$J$179),0),0)</f>
        <v>0</v>
      </c>
      <c r="R40" s="540">
        <f>IFERROR(IF(VLOOKUP(R$2,MODULY_CBA!$B$3:$I$23,8,0)=$D40,SUMIF('Rozpocet - Vyvoj aplikacii'!$B$3:$B$179,'TCO TO BE- SW'!R$2,'Rozpocet - Vyvoj aplikacii'!$J$3:$J$179),0),0)</f>
        <v>0</v>
      </c>
      <c r="S40" s="540">
        <f>IFERROR(IF(VLOOKUP(S$2,MODULY_CBA!$B$3:$I$23,8,0)=$D40,SUMIF('Rozpocet - Vyvoj aplikacii'!$B$3:$B$179,'TCO TO BE- SW'!S$2,'Rozpocet - Vyvoj aplikacii'!$J$3:$J$179),0),0)</f>
        <v>0</v>
      </c>
      <c r="T40" s="540">
        <f>IFERROR(IF(VLOOKUP(T$2,MODULY_CBA!$B$3:$I$23,8,0)=$D40,SUMIF('Rozpocet - Vyvoj aplikacii'!$B$3:$B$179,'TCO TO BE- SW'!T$2,'Rozpocet - Vyvoj aplikacii'!$J$3:$J$179),0),0)</f>
        <v>0</v>
      </c>
      <c r="U40" s="540">
        <f>IFERROR(IF(VLOOKUP(U$2,MODULY_CBA!$B$3:$I$23,8,0)=$D40,SUMIF('Rozpocet - Vyvoj aplikacii'!$B$3:$B$179,'TCO TO BE- SW'!U$2,'Rozpocet - Vyvoj aplikacii'!$J$3:$J$179),0),0)</f>
        <v>0</v>
      </c>
      <c r="V40" s="540">
        <f>IFERROR(IF(VLOOKUP(V$2,MODULY_CBA!$B$3:$I$23,8,0)=$D40,SUMIF('Rozpocet - Vyvoj aplikacii'!$B$3:$B$179,'TCO TO BE- SW'!V$2,'Rozpocet - Vyvoj aplikacii'!$J$3:$J$179),0),0)</f>
        <v>0</v>
      </c>
      <c r="W40" s="540">
        <f>IFERROR(IF(VLOOKUP(W$2,MODULY_CBA!$B$3:$I$23,8,0)=$D40,SUMIF('Rozpocet - Vyvoj aplikacii'!$B$3:$B$179,'TCO TO BE- SW'!W$2,'Rozpocet - Vyvoj aplikacii'!$J$3:$J$179),0),0)</f>
        <v>0</v>
      </c>
      <c r="X40" s="540">
        <f>IFERROR(IF(VLOOKUP(X$2,MODULY_CBA!$B$3:$I$23,8,0)=$D40,SUMIF('Rozpocet - Vyvoj aplikacii'!$B$3:$B$179,'TCO TO BE- SW'!X$2,'Rozpocet - Vyvoj aplikacii'!$J$3:$J$179),0),0)</f>
        <v>0</v>
      </c>
      <c r="Y40" s="540">
        <f>IFERROR(IF(VLOOKUP(Y$2,MODULY_CBA!$B$3:$I$23,8,0)=$D40,SUMIF('Rozpocet - Vyvoj aplikacii'!$B$3:$B$179,'TCO TO BE- SW'!Y$2,'Rozpocet - Vyvoj aplikacii'!$J$3:$J$179),0),0)</f>
        <v>0</v>
      </c>
      <c r="Z40" s="540">
        <f>IFERROR(IF(VLOOKUP(Z$2,MODULY_CBA!$B$3:$I$23,8,0)=$D40,SUMIF('Rozpocet - Vyvoj aplikacii'!$B$3:$B$179,'TCO TO BE- SW'!Z$2,'Rozpocet - Vyvoj aplikacii'!$J$3:$J$179),0),0)</f>
        <v>0</v>
      </c>
    </row>
    <row r="41" spans="1:26" outlineLevel="2" x14ac:dyDescent="0.2">
      <c r="A41" s="884"/>
      <c r="B41" s="885"/>
      <c r="C41" s="885"/>
      <c r="D41" s="64">
        <v>5</v>
      </c>
      <c r="E41" s="68">
        <f t="shared" si="6"/>
        <v>0</v>
      </c>
      <c r="F41" s="540">
        <f>IFERROR(IF(VLOOKUP(F$2,MODULY_CBA!$B$3:$I$23,8,0)=$D41,SUMIF('Rozpocet - Vyvoj aplikacii'!$B$3:$B$179,'TCO TO BE- SW'!F$2,'Rozpocet - Vyvoj aplikacii'!$J$3:$J$179),0),0)</f>
        <v>0</v>
      </c>
      <c r="G41" s="540">
        <f>IFERROR(IF(VLOOKUP(G$2,MODULY_CBA!$B$3:$I$23,8,0)=$D41,SUMIF('Rozpocet - Vyvoj aplikacii'!$B$3:$B$179,'TCO TO BE- SW'!G$2,'Rozpocet - Vyvoj aplikacii'!$J$3:$J$179),0),0)</f>
        <v>0</v>
      </c>
      <c r="H41" s="540">
        <f>IFERROR(IF(VLOOKUP(H$2,MODULY_CBA!$B$3:$I$23,8,0)=$D41,SUMIF('Rozpocet - Vyvoj aplikacii'!$B$3:$B$179,'TCO TO BE- SW'!H$2,'Rozpocet - Vyvoj aplikacii'!$J$3:$J$179),0),0)</f>
        <v>0</v>
      </c>
      <c r="I41" s="540">
        <f>IFERROR(IF(VLOOKUP(I$2,MODULY_CBA!$B$3:$I$23,8,0)=$D41,SUMIF('Rozpocet - Vyvoj aplikacii'!$B$3:$B$179,'TCO TO BE- SW'!I$2,'Rozpocet - Vyvoj aplikacii'!$J$3:$J$179),0),0)</f>
        <v>0</v>
      </c>
      <c r="J41" s="540">
        <f>IFERROR(IF(VLOOKUP(J$2,MODULY_CBA!$B$3:$I$23,8,0)=$D41,SUMIF('Rozpocet - Vyvoj aplikacii'!$B$3:$B$179,'TCO TO BE- SW'!J$2,'Rozpocet - Vyvoj aplikacii'!$J$3:$J$179),0),0)</f>
        <v>0</v>
      </c>
      <c r="K41" s="540">
        <f>IFERROR(IF(VLOOKUP(K$2,MODULY_CBA!$B$3:$I$23,8,0)=$D41,SUMIF('Rozpocet - Vyvoj aplikacii'!$B$3:$B$179,'TCO TO BE- SW'!K$2,'Rozpocet - Vyvoj aplikacii'!$J$3:$J$179),0),0)</f>
        <v>0</v>
      </c>
      <c r="L41" s="540">
        <f>IFERROR(IF(VLOOKUP(L$2,MODULY_CBA!$B$3:$I$23,8,0)=$D41,SUMIF('Rozpocet - Vyvoj aplikacii'!$B$3:$B$179,'TCO TO BE- SW'!L$2,'Rozpocet - Vyvoj aplikacii'!$J$3:$J$179),0),0)</f>
        <v>0</v>
      </c>
      <c r="M41" s="540">
        <f>IFERROR(IF(VLOOKUP(M$2,MODULY_CBA!$B$3:$I$23,8,0)=$D41,SUMIF('Rozpocet - Vyvoj aplikacii'!$B$3:$B$179,'TCO TO BE- SW'!M$2,'Rozpocet - Vyvoj aplikacii'!$J$3:$J$179),0),0)</f>
        <v>0</v>
      </c>
      <c r="N41" s="540">
        <f>IFERROR(IF(VLOOKUP(N$2,MODULY_CBA!$B$3:$I$23,8,0)=$D41,SUMIF('Rozpocet - Vyvoj aplikacii'!$B$3:$B$179,'TCO TO BE- SW'!N$2,'Rozpocet - Vyvoj aplikacii'!$J$3:$J$179),0),0)</f>
        <v>0</v>
      </c>
      <c r="O41" s="540">
        <f>IFERROR(IF(VLOOKUP(O$2,MODULY_CBA!$B$3:$I$23,8,0)=$D41,SUMIF('Rozpocet - Vyvoj aplikacii'!$B$3:$B$179,'TCO TO BE- SW'!O$2,'Rozpocet - Vyvoj aplikacii'!$J$3:$J$179),0),0)</f>
        <v>0</v>
      </c>
      <c r="P41" s="540">
        <f>IFERROR(IF(VLOOKUP(P$2,MODULY_CBA!$B$3:$I$23,8,0)=$D41,SUMIF('Rozpocet - Vyvoj aplikacii'!$B$3:$B$179,'TCO TO BE- SW'!P$2,'Rozpocet - Vyvoj aplikacii'!$J$3:$J$179),0),0)</f>
        <v>0</v>
      </c>
      <c r="Q41" s="540">
        <f>IFERROR(IF(VLOOKUP(Q$2,MODULY_CBA!$B$3:$I$23,8,0)=$D41,SUMIF('Rozpocet - Vyvoj aplikacii'!$B$3:$B$179,'TCO TO BE- SW'!Q$2,'Rozpocet - Vyvoj aplikacii'!$J$3:$J$179),0),0)</f>
        <v>0</v>
      </c>
      <c r="R41" s="540">
        <f>IFERROR(IF(VLOOKUP(R$2,MODULY_CBA!$B$3:$I$23,8,0)=$D41,SUMIF('Rozpocet - Vyvoj aplikacii'!$B$3:$B$179,'TCO TO BE- SW'!R$2,'Rozpocet - Vyvoj aplikacii'!$J$3:$J$179),0),0)</f>
        <v>0</v>
      </c>
      <c r="S41" s="540">
        <f>IFERROR(IF(VLOOKUP(S$2,MODULY_CBA!$B$3:$I$23,8,0)=$D41,SUMIF('Rozpocet - Vyvoj aplikacii'!$B$3:$B$179,'TCO TO BE- SW'!S$2,'Rozpocet - Vyvoj aplikacii'!$J$3:$J$179),0),0)</f>
        <v>0</v>
      </c>
      <c r="T41" s="540">
        <f>IFERROR(IF(VLOOKUP(T$2,MODULY_CBA!$B$3:$I$23,8,0)=$D41,SUMIF('Rozpocet - Vyvoj aplikacii'!$B$3:$B$179,'TCO TO BE- SW'!T$2,'Rozpocet - Vyvoj aplikacii'!$J$3:$J$179),0),0)</f>
        <v>0</v>
      </c>
      <c r="U41" s="540">
        <f>IFERROR(IF(VLOOKUP(U$2,MODULY_CBA!$B$3:$I$23,8,0)=$D41,SUMIF('Rozpocet - Vyvoj aplikacii'!$B$3:$B$179,'TCO TO BE- SW'!U$2,'Rozpocet - Vyvoj aplikacii'!$J$3:$J$179),0),0)</f>
        <v>0</v>
      </c>
      <c r="V41" s="540">
        <f>IFERROR(IF(VLOOKUP(V$2,MODULY_CBA!$B$3:$I$23,8,0)=$D41,SUMIF('Rozpocet - Vyvoj aplikacii'!$B$3:$B$179,'TCO TO BE- SW'!V$2,'Rozpocet - Vyvoj aplikacii'!$J$3:$J$179),0),0)</f>
        <v>0</v>
      </c>
      <c r="W41" s="540">
        <f>IFERROR(IF(VLOOKUP(W$2,MODULY_CBA!$B$3:$I$23,8,0)=$D41,SUMIF('Rozpocet - Vyvoj aplikacii'!$B$3:$B$179,'TCO TO BE- SW'!W$2,'Rozpocet - Vyvoj aplikacii'!$J$3:$J$179),0),0)</f>
        <v>0</v>
      </c>
      <c r="X41" s="540">
        <f>IFERROR(IF(VLOOKUP(X$2,MODULY_CBA!$B$3:$I$23,8,0)=$D41,SUMIF('Rozpocet - Vyvoj aplikacii'!$B$3:$B$179,'TCO TO BE- SW'!X$2,'Rozpocet - Vyvoj aplikacii'!$J$3:$J$179),0),0)</f>
        <v>0</v>
      </c>
      <c r="Y41" s="540">
        <f>IFERROR(IF(VLOOKUP(Y$2,MODULY_CBA!$B$3:$I$23,8,0)=$D41,SUMIF('Rozpocet - Vyvoj aplikacii'!$B$3:$B$179,'TCO TO BE- SW'!Y$2,'Rozpocet - Vyvoj aplikacii'!$J$3:$J$179),0),0)</f>
        <v>0</v>
      </c>
      <c r="Z41" s="540">
        <f>IFERROR(IF(VLOOKUP(Z$2,MODULY_CBA!$B$3:$I$23,8,0)=$D41,SUMIF('Rozpocet - Vyvoj aplikacii'!$B$3:$B$179,'TCO TO BE- SW'!Z$2,'Rozpocet - Vyvoj aplikacii'!$J$3:$J$179),0),0)</f>
        <v>0</v>
      </c>
    </row>
    <row r="42" spans="1:26" outlineLevel="2" x14ac:dyDescent="0.2">
      <c r="A42" s="884"/>
      <c r="B42" s="885"/>
      <c r="C42" s="885"/>
      <c r="D42" s="64">
        <v>6</v>
      </c>
      <c r="E42" s="68">
        <f t="shared" si="6"/>
        <v>0</v>
      </c>
      <c r="F42" s="540">
        <f>IFERROR(IF(VLOOKUP(F$2,MODULY_CBA!$B$3:$I$23,8,0)=$D42,SUMIF('Rozpocet - Vyvoj aplikacii'!$B$3:$B$179,'TCO TO BE- SW'!F$2,'Rozpocet - Vyvoj aplikacii'!$J$3:$J$179),0),0)</f>
        <v>0</v>
      </c>
      <c r="G42" s="540">
        <f>IFERROR(IF(VLOOKUP(G$2,MODULY_CBA!$B$3:$I$23,8,0)=$D42,SUMIF('Rozpocet - Vyvoj aplikacii'!$B$3:$B$179,'TCO TO BE- SW'!G$2,'Rozpocet - Vyvoj aplikacii'!$J$3:$J$179),0),0)</f>
        <v>0</v>
      </c>
      <c r="H42" s="540">
        <f>IFERROR(IF(VLOOKUP(H$2,MODULY_CBA!$B$3:$I$23,8,0)=$D42,SUMIF('Rozpocet - Vyvoj aplikacii'!$B$3:$B$179,'TCO TO BE- SW'!H$2,'Rozpocet - Vyvoj aplikacii'!$J$3:$J$179),0),0)</f>
        <v>0</v>
      </c>
      <c r="I42" s="540">
        <f>IFERROR(IF(VLOOKUP(I$2,MODULY_CBA!$B$3:$I$23,8,0)=$D42,SUMIF('Rozpocet - Vyvoj aplikacii'!$B$3:$B$179,'TCO TO BE- SW'!I$2,'Rozpocet - Vyvoj aplikacii'!$J$3:$J$179),0),0)</f>
        <v>0</v>
      </c>
      <c r="J42" s="540">
        <f>IFERROR(IF(VLOOKUP(J$2,MODULY_CBA!$B$3:$I$23,8,0)=$D42,SUMIF('Rozpocet - Vyvoj aplikacii'!$B$3:$B$179,'TCO TO BE- SW'!J$2,'Rozpocet - Vyvoj aplikacii'!$J$3:$J$179),0),0)</f>
        <v>0</v>
      </c>
      <c r="K42" s="540">
        <f>IFERROR(IF(VLOOKUP(K$2,MODULY_CBA!$B$3:$I$23,8,0)=$D42,SUMIF('Rozpocet - Vyvoj aplikacii'!$B$3:$B$179,'TCO TO BE- SW'!K$2,'Rozpocet - Vyvoj aplikacii'!$J$3:$J$179),0),0)</f>
        <v>0</v>
      </c>
      <c r="L42" s="540">
        <f>IFERROR(IF(VLOOKUP(L$2,MODULY_CBA!$B$3:$I$23,8,0)=$D42,SUMIF('Rozpocet - Vyvoj aplikacii'!$B$3:$B$179,'TCO TO BE- SW'!L$2,'Rozpocet - Vyvoj aplikacii'!$J$3:$J$179),0),0)</f>
        <v>0</v>
      </c>
      <c r="M42" s="540">
        <f>IFERROR(IF(VLOOKUP(M$2,MODULY_CBA!$B$3:$I$23,8,0)=$D42,SUMIF('Rozpocet - Vyvoj aplikacii'!$B$3:$B$179,'TCO TO BE- SW'!M$2,'Rozpocet - Vyvoj aplikacii'!$J$3:$J$179),0),0)</f>
        <v>0</v>
      </c>
      <c r="N42" s="540">
        <f>IFERROR(IF(VLOOKUP(N$2,MODULY_CBA!$B$3:$I$23,8,0)=$D42,SUMIF('Rozpocet - Vyvoj aplikacii'!$B$3:$B$179,'TCO TO BE- SW'!N$2,'Rozpocet - Vyvoj aplikacii'!$J$3:$J$179),0),0)</f>
        <v>0</v>
      </c>
      <c r="O42" s="540">
        <f>IFERROR(IF(VLOOKUP(O$2,MODULY_CBA!$B$3:$I$23,8,0)=$D42,SUMIF('Rozpocet - Vyvoj aplikacii'!$B$3:$B$179,'TCO TO BE- SW'!O$2,'Rozpocet - Vyvoj aplikacii'!$J$3:$J$179),0),0)</f>
        <v>0</v>
      </c>
      <c r="P42" s="540">
        <f>IFERROR(IF(VLOOKUP(P$2,MODULY_CBA!$B$3:$I$23,8,0)=$D42,SUMIF('Rozpocet - Vyvoj aplikacii'!$B$3:$B$179,'TCO TO BE- SW'!P$2,'Rozpocet - Vyvoj aplikacii'!$J$3:$J$179),0),0)</f>
        <v>0</v>
      </c>
      <c r="Q42" s="540">
        <f>IFERROR(IF(VLOOKUP(Q$2,MODULY_CBA!$B$3:$I$23,8,0)=$D42,SUMIF('Rozpocet - Vyvoj aplikacii'!$B$3:$B$179,'TCO TO BE- SW'!Q$2,'Rozpocet - Vyvoj aplikacii'!$J$3:$J$179),0),0)</f>
        <v>0</v>
      </c>
      <c r="R42" s="540">
        <f>IFERROR(IF(VLOOKUP(R$2,MODULY_CBA!$B$3:$I$23,8,0)=$D42,SUMIF('Rozpocet - Vyvoj aplikacii'!$B$3:$B$179,'TCO TO BE- SW'!R$2,'Rozpocet - Vyvoj aplikacii'!$J$3:$J$179),0),0)</f>
        <v>0</v>
      </c>
      <c r="S42" s="540">
        <f>IFERROR(IF(VLOOKUP(S$2,MODULY_CBA!$B$3:$I$23,8,0)=$D42,SUMIF('Rozpocet - Vyvoj aplikacii'!$B$3:$B$179,'TCO TO BE- SW'!S$2,'Rozpocet - Vyvoj aplikacii'!$J$3:$J$179),0),0)</f>
        <v>0</v>
      </c>
      <c r="T42" s="540">
        <f>IFERROR(IF(VLOOKUP(T$2,MODULY_CBA!$B$3:$I$23,8,0)=$D42,SUMIF('Rozpocet - Vyvoj aplikacii'!$B$3:$B$179,'TCO TO BE- SW'!T$2,'Rozpocet - Vyvoj aplikacii'!$J$3:$J$179),0),0)</f>
        <v>0</v>
      </c>
      <c r="U42" s="540">
        <f>IFERROR(IF(VLOOKUP(U$2,MODULY_CBA!$B$3:$I$23,8,0)=$D42,SUMIF('Rozpocet - Vyvoj aplikacii'!$B$3:$B$179,'TCO TO BE- SW'!U$2,'Rozpocet - Vyvoj aplikacii'!$J$3:$J$179),0),0)</f>
        <v>0</v>
      </c>
      <c r="V42" s="540">
        <f>IFERROR(IF(VLOOKUP(V$2,MODULY_CBA!$B$3:$I$23,8,0)=$D42,SUMIF('Rozpocet - Vyvoj aplikacii'!$B$3:$B$179,'TCO TO BE- SW'!V$2,'Rozpocet - Vyvoj aplikacii'!$J$3:$J$179),0),0)</f>
        <v>0</v>
      </c>
      <c r="W42" s="540">
        <f>IFERROR(IF(VLOOKUP(W$2,MODULY_CBA!$B$3:$I$23,8,0)=$D42,SUMIF('Rozpocet - Vyvoj aplikacii'!$B$3:$B$179,'TCO TO BE- SW'!W$2,'Rozpocet - Vyvoj aplikacii'!$J$3:$J$179),0),0)</f>
        <v>0</v>
      </c>
      <c r="X42" s="540">
        <f>IFERROR(IF(VLOOKUP(X$2,MODULY_CBA!$B$3:$I$23,8,0)=$D42,SUMIF('Rozpocet - Vyvoj aplikacii'!$B$3:$B$179,'TCO TO BE- SW'!X$2,'Rozpocet - Vyvoj aplikacii'!$J$3:$J$179),0),0)</f>
        <v>0</v>
      </c>
      <c r="Y42" s="540">
        <f>IFERROR(IF(VLOOKUP(Y$2,MODULY_CBA!$B$3:$I$23,8,0)=$D42,SUMIF('Rozpocet - Vyvoj aplikacii'!$B$3:$B$179,'TCO TO BE- SW'!Y$2,'Rozpocet - Vyvoj aplikacii'!$J$3:$J$179),0),0)</f>
        <v>0</v>
      </c>
      <c r="Z42" s="540">
        <f>IFERROR(IF(VLOOKUP(Z$2,MODULY_CBA!$B$3:$I$23,8,0)=$D42,SUMIF('Rozpocet - Vyvoj aplikacii'!$B$3:$B$179,'TCO TO BE- SW'!Z$2,'Rozpocet - Vyvoj aplikacii'!$J$3:$J$179),0),0)</f>
        <v>0</v>
      </c>
    </row>
    <row r="43" spans="1:26" outlineLevel="2" x14ac:dyDescent="0.2">
      <c r="A43" s="884"/>
      <c r="B43" s="885"/>
      <c r="C43" s="885"/>
      <c r="D43" s="64">
        <v>7</v>
      </c>
      <c r="E43" s="68">
        <f t="shared" si="6"/>
        <v>0</v>
      </c>
      <c r="F43" s="540">
        <f>IFERROR(IF(VLOOKUP(F$2,MODULY_CBA!$B$3:$I$23,8,0)=$D43,SUMIF('Rozpocet - Vyvoj aplikacii'!$B$3:$B$179,'TCO TO BE- SW'!F$2,'Rozpocet - Vyvoj aplikacii'!$J$3:$J$179),0),0)</f>
        <v>0</v>
      </c>
      <c r="G43" s="540">
        <f>IFERROR(IF(VLOOKUP(G$2,MODULY_CBA!$B$3:$I$23,8,0)=$D43,SUMIF('Rozpocet - Vyvoj aplikacii'!$B$3:$B$179,'TCO TO BE- SW'!G$2,'Rozpocet - Vyvoj aplikacii'!$J$3:$J$179),0),0)</f>
        <v>0</v>
      </c>
      <c r="H43" s="540">
        <f>IFERROR(IF(VLOOKUP(H$2,MODULY_CBA!$B$3:$I$23,8,0)=$D43,SUMIF('Rozpocet - Vyvoj aplikacii'!$B$3:$B$179,'TCO TO BE- SW'!H$2,'Rozpocet - Vyvoj aplikacii'!$J$3:$J$179),0),0)</f>
        <v>0</v>
      </c>
      <c r="I43" s="540">
        <f>IFERROR(IF(VLOOKUP(I$2,MODULY_CBA!$B$3:$I$23,8,0)=$D43,SUMIF('Rozpocet - Vyvoj aplikacii'!$B$3:$B$179,'TCO TO BE- SW'!I$2,'Rozpocet - Vyvoj aplikacii'!$J$3:$J$179),0),0)</f>
        <v>0</v>
      </c>
      <c r="J43" s="540">
        <f>IFERROR(IF(VLOOKUP(J$2,MODULY_CBA!$B$3:$I$23,8,0)=$D43,SUMIF('Rozpocet - Vyvoj aplikacii'!$B$3:$B$179,'TCO TO BE- SW'!J$2,'Rozpocet - Vyvoj aplikacii'!$J$3:$J$179),0),0)</f>
        <v>0</v>
      </c>
      <c r="K43" s="540">
        <f>IFERROR(IF(VLOOKUP(K$2,MODULY_CBA!$B$3:$I$23,8,0)=$D43,SUMIF('Rozpocet - Vyvoj aplikacii'!$B$3:$B$179,'TCO TO BE- SW'!K$2,'Rozpocet - Vyvoj aplikacii'!$J$3:$J$179),0),0)</f>
        <v>0</v>
      </c>
      <c r="L43" s="540">
        <f>IFERROR(IF(VLOOKUP(L$2,MODULY_CBA!$B$3:$I$23,8,0)=$D43,SUMIF('Rozpocet - Vyvoj aplikacii'!$B$3:$B$179,'TCO TO BE- SW'!L$2,'Rozpocet - Vyvoj aplikacii'!$J$3:$J$179),0),0)</f>
        <v>0</v>
      </c>
      <c r="M43" s="540">
        <f>IFERROR(IF(VLOOKUP(M$2,MODULY_CBA!$B$3:$I$23,8,0)=$D43,SUMIF('Rozpocet - Vyvoj aplikacii'!$B$3:$B$179,'TCO TO BE- SW'!M$2,'Rozpocet - Vyvoj aplikacii'!$J$3:$J$179),0),0)</f>
        <v>0</v>
      </c>
      <c r="N43" s="540">
        <f>IFERROR(IF(VLOOKUP(N$2,MODULY_CBA!$B$3:$I$23,8,0)=$D43,SUMIF('Rozpocet - Vyvoj aplikacii'!$B$3:$B$179,'TCO TO BE- SW'!N$2,'Rozpocet - Vyvoj aplikacii'!$J$3:$J$179),0),0)</f>
        <v>0</v>
      </c>
      <c r="O43" s="540">
        <f>IFERROR(IF(VLOOKUP(O$2,MODULY_CBA!$B$3:$I$23,8,0)=$D43,SUMIF('Rozpocet - Vyvoj aplikacii'!$B$3:$B$179,'TCO TO BE- SW'!O$2,'Rozpocet - Vyvoj aplikacii'!$J$3:$J$179),0),0)</f>
        <v>0</v>
      </c>
      <c r="P43" s="540">
        <f>IFERROR(IF(VLOOKUP(P$2,MODULY_CBA!$B$3:$I$23,8,0)=$D43,SUMIF('Rozpocet - Vyvoj aplikacii'!$B$3:$B$179,'TCO TO BE- SW'!P$2,'Rozpocet - Vyvoj aplikacii'!$J$3:$J$179),0),0)</f>
        <v>0</v>
      </c>
      <c r="Q43" s="540">
        <f>IFERROR(IF(VLOOKUP(Q$2,MODULY_CBA!$B$3:$I$23,8,0)=$D43,SUMIF('Rozpocet - Vyvoj aplikacii'!$B$3:$B$179,'TCO TO BE- SW'!Q$2,'Rozpocet - Vyvoj aplikacii'!$J$3:$J$179),0),0)</f>
        <v>0</v>
      </c>
      <c r="R43" s="540">
        <f>IFERROR(IF(VLOOKUP(R$2,MODULY_CBA!$B$3:$I$23,8,0)=$D43,SUMIF('Rozpocet - Vyvoj aplikacii'!$B$3:$B$179,'TCO TO BE- SW'!R$2,'Rozpocet - Vyvoj aplikacii'!$J$3:$J$179),0),0)</f>
        <v>0</v>
      </c>
      <c r="S43" s="540">
        <f>IFERROR(IF(VLOOKUP(S$2,MODULY_CBA!$B$3:$I$23,8,0)=$D43,SUMIF('Rozpocet - Vyvoj aplikacii'!$B$3:$B$179,'TCO TO BE- SW'!S$2,'Rozpocet - Vyvoj aplikacii'!$J$3:$J$179),0),0)</f>
        <v>0</v>
      </c>
      <c r="T43" s="540">
        <f>IFERROR(IF(VLOOKUP(T$2,MODULY_CBA!$B$3:$I$23,8,0)=$D43,SUMIF('Rozpocet - Vyvoj aplikacii'!$B$3:$B$179,'TCO TO BE- SW'!T$2,'Rozpocet - Vyvoj aplikacii'!$J$3:$J$179),0),0)</f>
        <v>0</v>
      </c>
      <c r="U43" s="540">
        <f>IFERROR(IF(VLOOKUP(U$2,MODULY_CBA!$B$3:$I$23,8,0)=$D43,SUMIF('Rozpocet - Vyvoj aplikacii'!$B$3:$B$179,'TCO TO BE- SW'!U$2,'Rozpocet - Vyvoj aplikacii'!$J$3:$J$179),0),0)</f>
        <v>0</v>
      </c>
      <c r="V43" s="540">
        <f>IFERROR(IF(VLOOKUP(V$2,MODULY_CBA!$B$3:$I$23,8,0)=$D43,SUMIF('Rozpocet - Vyvoj aplikacii'!$B$3:$B$179,'TCO TO BE- SW'!V$2,'Rozpocet - Vyvoj aplikacii'!$J$3:$J$179),0),0)</f>
        <v>0</v>
      </c>
      <c r="W43" s="540">
        <f>IFERROR(IF(VLOOKUP(W$2,MODULY_CBA!$B$3:$I$23,8,0)=$D43,SUMIF('Rozpocet - Vyvoj aplikacii'!$B$3:$B$179,'TCO TO BE- SW'!W$2,'Rozpocet - Vyvoj aplikacii'!$J$3:$J$179),0),0)</f>
        <v>0</v>
      </c>
      <c r="X43" s="540">
        <f>IFERROR(IF(VLOOKUP(X$2,MODULY_CBA!$B$3:$I$23,8,0)=$D43,SUMIF('Rozpocet - Vyvoj aplikacii'!$B$3:$B$179,'TCO TO BE- SW'!X$2,'Rozpocet - Vyvoj aplikacii'!$J$3:$J$179),0),0)</f>
        <v>0</v>
      </c>
      <c r="Y43" s="540">
        <f>IFERROR(IF(VLOOKUP(Y$2,MODULY_CBA!$B$3:$I$23,8,0)=$D43,SUMIF('Rozpocet - Vyvoj aplikacii'!$B$3:$B$179,'TCO TO BE- SW'!Y$2,'Rozpocet - Vyvoj aplikacii'!$J$3:$J$179),0),0)</f>
        <v>0</v>
      </c>
      <c r="Z43" s="540">
        <f>IFERROR(IF(VLOOKUP(Z$2,MODULY_CBA!$B$3:$I$23,8,0)=$D43,SUMIF('Rozpocet - Vyvoj aplikacii'!$B$3:$B$179,'TCO TO BE- SW'!Z$2,'Rozpocet - Vyvoj aplikacii'!$J$3:$J$179),0),0)</f>
        <v>0</v>
      </c>
    </row>
    <row r="44" spans="1:26" outlineLevel="2" x14ac:dyDescent="0.2">
      <c r="A44" s="884"/>
      <c r="B44" s="885"/>
      <c r="C44" s="885"/>
      <c r="D44" s="64">
        <v>8</v>
      </c>
      <c r="E44" s="68">
        <f t="shared" si="6"/>
        <v>0</v>
      </c>
      <c r="F44" s="540">
        <f>IFERROR(IF(VLOOKUP(F$2,MODULY_CBA!$B$3:$I$23,8,0)=$D44,SUMIF('Rozpocet - Vyvoj aplikacii'!$B$3:$B$179,'TCO TO BE- SW'!F$2,'Rozpocet - Vyvoj aplikacii'!$J$3:$J$179),0),0)</f>
        <v>0</v>
      </c>
      <c r="G44" s="540">
        <f>IFERROR(IF(VLOOKUP(G$2,MODULY_CBA!$B$3:$I$23,8,0)=$D44,SUMIF('Rozpocet - Vyvoj aplikacii'!$B$3:$B$179,'TCO TO BE- SW'!G$2,'Rozpocet - Vyvoj aplikacii'!$J$3:$J$179),0),0)</f>
        <v>0</v>
      </c>
      <c r="H44" s="540">
        <f>IFERROR(IF(VLOOKUP(H$2,MODULY_CBA!$B$3:$I$23,8,0)=$D44,SUMIF('Rozpocet - Vyvoj aplikacii'!$B$3:$B$179,'TCO TO BE- SW'!H$2,'Rozpocet - Vyvoj aplikacii'!$J$3:$J$179),0),0)</f>
        <v>0</v>
      </c>
      <c r="I44" s="540">
        <f>IFERROR(IF(VLOOKUP(I$2,MODULY_CBA!$B$3:$I$23,8,0)=$D44,SUMIF('Rozpocet - Vyvoj aplikacii'!$B$3:$B$179,'TCO TO BE- SW'!I$2,'Rozpocet - Vyvoj aplikacii'!$J$3:$J$179),0),0)</f>
        <v>0</v>
      </c>
      <c r="J44" s="540">
        <f>IFERROR(IF(VLOOKUP(J$2,MODULY_CBA!$B$3:$I$23,8,0)=$D44,SUMIF('Rozpocet - Vyvoj aplikacii'!$B$3:$B$179,'TCO TO BE- SW'!J$2,'Rozpocet - Vyvoj aplikacii'!$J$3:$J$179),0),0)</f>
        <v>0</v>
      </c>
      <c r="K44" s="540">
        <f>IFERROR(IF(VLOOKUP(K$2,MODULY_CBA!$B$3:$I$23,8,0)=$D44,SUMIF('Rozpocet - Vyvoj aplikacii'!$B$3:$B$179,'TCO TO BE- SW'!K$2,'Rozpocet - Vyvoj aplikacii'!$J$3:$J$179),0),0)</f>
        <v>0</v>
      </c>
      <c r="L44" s="540">
        <f>IFERROR(IF(VLOOKUP(L$2,MODULY_CBA!$B$3:$I$23,8,0)=$D44,SUMIF('Rozpocet - Vyvoj aplikacii'!$B$3:$B$179,'TCO TO BE- SW'!L$2,'Rozpocet - Vyvoj aplikacii'!$J$3:$J$179),0),0)</f>
        <v>0</v>
      </c>
      <c r="M44" s="540">
        <f>IFERROR(IF(VLOOKUP(M$2,MODULY_CBA!$B$3:$I$23,8,0)=$D44,SUMIF('Rozpocet - Vyvoj aplikacii'!$B$3:$B$179,'TCO TO BE- SW'!M$2,'Rozpocet - Vyvoj aplikacii'!$J$3:$J$179),0),0)</f>
        <v>0</v>
      </c>
      <c r="N44" s="540">
        <f>IFERROR(IF(VLOOKUP(N$2,MODULY_CBA!$B$3:$I$23,8,0)=$D44,SUMIF('Rozpocet - Vyvoj aplikacii'!$B$3:$B$179,'TCO TO BE- SW'!N$2,'Rozpocet - Vyvoj aplikacii'!$J$3:$J$179),0),0)</f>
        <v>0</v>
      </c>
      <c r="O44" s="540">
        <f>IFERROR(IF(VLOOKUP(O$2,MODULY_CBA!$B$3:$I$23,8,0)=$D44,SUMIF('Rozpocet - Vyvoj aplikacii'!$B$3:$B$179,'TCO TO BE- SW'!O$2,'Rozpocet - Vyvoj aplikacii'!$J$3:$J$179),0),0)</f>
        <v>0</v>
      </c>
      <c r="P44" s="540">
        <f>IFERROR(IF(VLOOKUP(P$2,MODULY_CBA!$B$3:$I$23,8,0)=$D44,SUMIF('Rozpocet - Vyvoj aplikacii'!$B$3:$B$179,'TCO TO BE- SW'!P$2,'Rozpocet - Vyvoj aplikacii'!$J$3:$J$179),0),0)</f>
        <v>0</v>
      </c>
      <c r="Q44" s="540">
        <f>IFERROR(IF(VLOOKUP(Q$2,MODULY_CBA!$B$3:$I$23,8,0)=$D44,SUMIF('Rozpocet - Vyvoj aplikacii'!$B$3:$B$179,'TCO TO BE- SW'!Q$2,'Rozpocet - Vyvoj aplikacii'!$J$3:$J$179),0),0)</f>
        <v>0</v>
      </c>
      <c r="R44" s="540">
        <f>IFERROR(IF(VLOOKUP(R$2,MODULY_CBA!$B$3:$I$23,8,0)=$D44,SUMIF('Rozpocet - Vyvoj aplikacii'!$B$3:$B$179,'TCO TO BE- SW'!R$2,'Rozpocet - Vyvoj aplikacii'!$J$3:$J$179),0),0)</f>
        <v>0</v>
      </c>
      <c r="S44" s="540">
        <f>IFERROR(IF(VLOOKUP(S$2,MODULY_CBA!$B$3:$I$23,8,0)=$D44,SUMIF('Rozpocet - Vyvoj aplikacii'!$B$3:$B$179,'TCO TO BE- SW'!S$2,'Rozpocet - Vyvoj aplikacii'!$J$3:$J$179),0),0)</f>
        <v>0</v>
      </c>
      <c r="T44" s="540">
        <f>IFERROR(IF(VLOOKUP(T$2,MODULY_CBA!$B$3:$I$23,8,0)=$D44,SUMIF('Rozpocet - Vyvoj aplikacii'!$B$3:$B$179,'TCO TO BE- SW'!T$2,'Rozpocet - Vyvoj aplikacii'!$J$3:$J$179),0),0)</f>
        <v>0</v>
      </c>
      <c r="U44" s="540">
        <f>IFERROR(IF(VLOOKUP(U$2,MODULY_CBA!$B$3:$I$23,8,0)=$D44,SUMIF('Rozpocet - Vyvoj aplikacii'!$B$3:$B$179,'TCO TO BE- SW'!U$2,'Rozpocet - Vyvoj aplikacii'!$J$3:$J$179),0),0)</f>
        <v>0</v>
      </c>
      <c r="V44" s="540">
        <f>IFERROR(IF(VLOOKUP(V$2,MODULY_CBA!$B$3:$I$23,8,0)=$D44,SUMIF('Rozpocet - Vyvoj aplikacii'!$B$3:$B$179,'TCO TO BE- SW'!V$2,'Rozpocet - Vyvoj aplikacii'!$J$3:$J$179),0),0)</f>
        <v>0</v>
      </c>
      <c r="W44" s="540">
        <f>IFERROR(IF(VLOOKUP(W$2,MODULY_CBA!$B$3:$I$23,8,0)=$D44,SUMIF('Rozpocet - Vyvoj aplikacii'!$B$3:$B$179,'TCO TO BE- SW'!W$2,'Rozpocet - Vyvoj aplikacii'!$J$3:$J$179),0),0)</f>
        <v>0</v>
      </c>
      <c r="X44" s="540">
        <f>IFERROR(IF(VLOOKUP(X$2,MODULY_CBA!$B$3:$I$23,8,0)=$D44,SUMIF('Rozpocet - Vyvoj aplikacii'!$B$3:$B$179,'TCO TO BE- SW'!X$2,'Rozpocet - Vyvoj aplikacii'!$J$3:$J$179),0),0)</f>
        <v>0</v>
      </c>
      <c r="Y44" s="540">
        <f>IFERROR(IF(VLOOKUP(Y$2,MODULY_CBA!$B$3:$I$23,8,0)=$D44,SUMIF('Rozpocet - Vyvoj aplikacii'!$B$3:$B$179,'TCO TO BE- SW'!Y$2,'Rozpocet - Vyvoj aplikacii'!$J$3:$J$179),0),0)</f>
        <v>0</v>
      </c>
      <c r="Z44" s="540">
        <f>IFERROR(IF(VLOOKUP(Z$2,MODULY_CBA!$B$3:$I$23,8,0)=$D44,SUMIF('Rozpocet - Vyvoj aplikacii'!$B$3:$B$179,'TCO TO BE- SW'!Z$2,'Rozpocet - Vyvoj aplikacii'!$J$3:$J$179),0),0)</f>
        <v>0</v>
      </c>
    </row>
    <row r="45" spans="1:26" outlineLevel="2" x14ac:dyDescent="0.2">
      <c r="A45" s="884"/>
      <c r="B45" s="885"/>
      <c r="C45" s="885"/>
      <c r="D45" s="64">
        <v>9</v>
      </c>
      <c r="E45" s="68">
        <f t="shared" si="6"/>
        <v>0</v>
      </c>
      <c r="F45" s="540">
        <f>IFERROR(IF(VLOOKUP(F$2,MODULY_CBA!$B$3:$I$23,8,0)=$D45,SUMIF('Rozpocet - Vyvoj aplikacii'!$B$3:$B$179,'TCO TO BE- SW'!F$2,'Rozpocet - Vyvoj aplikacii'!$J$3:$J$179),0),0)</f>
        <v>0</v>
      </c>
      <c r="G45" s="540">
        <f>IFERROR(IF(VLOOKUP(G$2,MODULY_CBA!$B$3:$I$23,8,0)=$D45,SUMIF('Rozpocet - Vyvoj aplikacii'!$B$3:$B$179,'TCO TO BE- SW'!G$2,'Rozpocet - Vyvoj aplikacii'!$J$3:$J$179),0),0)</f>
        <v>0</v>
      </c>
      <c r="H45" s="540">
        <f>IFERROR(IF(VLOOKUP(H$2,MODULY_CBA!$B$3:$I$23,8,0)=$D45,SUMIF('Rozpocet - Vyvoj aplikacii'!$B$3:$B$179,'TCO TO BE- SW'!H$2,'Rozpocet - Vyvoj aplikacii'!$J$3:$J$179),0),0)</f>
        <v>0</v>
      </c>
      <c r="I45" s="540">
        <f>IFERROR(IF(VLOOKUP(I$2,MODULY_CBA!$B$3:$I$23,8,0)=$D45,SUMIF('Rozpocet - Vyvoj aplikacii'!$B$3:$B$179,'TCO TO BE- SW'!I$2,'Rozpocet - Vyvoj aplikacii'!$J$3:$J$179),0),0)</f>
        <v>0</v>
      </c>
      <c r="J45" s="540">
        <f>IFERROR(IF(VLOOKUP(J$2,MODULY_CBA!$B$3:$I$23,8,0)=$D45,SUMIF('Rozpocet - Vyvoj aplikacii'!$B$3:$B$179,'TCO TO BE- SW'!J$2,'Rozpocet - Vyvoj aplikacii'!$J$3:$J$179),0),0)</f>
        <v>0</v>
      </c>
      <c r="K45" s="540">
        <f>IFERROR(IF(VLOOKUP(K$2,MODULY_CBA!$B$3:$I$23,8,0)=$D45,SUMIF('Rozpocet - Vyvoj aplikacii'!$B$3:$B$179,'TCO TO BE- SW'!K$2,'Rozpocet - Vyvoj aplikacii'!$J$3:$J$179),0),0)</f>
        <v>0</v>
      </c>
      <c r="L45" s="540">
        <f>IFERROR(IF(VLOOKUP(L$2,MODULY_CBA!$B$3:$I$23,8,0)=$D45,SUMIF('Rozpocet - Vyvoj aplikacii'!$B$3:$B$179,'TCO TO BE- SW'!L$2,'Rozpocet - Vyvoj aplikacii'!$J$3:$J$179),0),0)</f>
        <v>0</v>
      </c>
      <c r="M45" s="540">
        <f>IFERROR(IF(VLOOKUP(M$2,MODULY_CBA!$B$3:$I$23,8,0)=$D45,SUMIF('Rozpocet - Vyvoj aplikacii'!$B$3:$B$179,'TCO TO BE- SW'!M$2,'Rozpocet - Vyvoj aplikacii'!$J$3:$J$179),0),0)</f>
        <v>0</v>
      </c>
      <c r="N45" s="540">
        <f>IFERROR(IF(VLOOKUP(N$2,MODULY_CBA!$B$3:$I$23,8,0)=$D45,SUMIF('Rozpocet - Vyvoj aplikacii'!$B$3:$B$179,'TCO TO BE- SW'!N$2,'Rozpocet - Vyvoj aplikacii'!$J$3:$J$179),0),0)</f>
        <v>0</v>
      </c>
      <c r="O45" s="540">
        <f>IFERROR(IF(VLOOKUP(O$2,MODULY_CBA!$B$3:$I$23,8,0)=$D45,SUMIF('Rozpocet - Vyvoj aplikacii'!$B$3:$B$179,'TCO TO BE- SW'!O$2,'Rozpocet - Vyvoj aplikacii'!$J$3:$J$179),0),0)</f>
        <v>0</v>
      </c>
      <c r="P45" s="540">
        <f>IFERROR(IF(VLOOKUP(P$2,MODULY_CBA!$B$3:$I$23,8,0)=$D45,SUMIF('Rozpocet - Vyvoj aplikacii'!$B$3:$B$179,'TCO TO BE- SW'!P$2,'Rozpocet - Vyvoj aplikacii'!$J$3:$J$179),0),0)</f>
        <v>0</v>
      </c>
      <c r="Q45" s="540">
        <f>IFERROR(IF(VLOOKUP(Q$2,MODULY_CBA!$B$3:$I$23,8,0)=$D45,SUMIF('Rozpocet - Vyvoj aplikacii'!$B$3:$B$179,'TCO TO BE- SW'!Q$2,'Rozpocet - Vyvoj aplikacii'!$J$3:$J$179),0),0)</f>
        <v>0</v>
      </c>
      <c r="R45" s="540">
        <f>IFERROR(IF(VLOOKUP(R$2,MODULY_CBA!$B$3:$I$23,8,0)=$D45,SUMIF('Rozpocet - Vyvoj aplikacii'!$B$3:$B$179,'TCO TO BE- SW'!R$2,'Rozpocet - Vyvoj aplikacii'!$J$3:$J$179),0),0)</f>
        <v>0</v>
      </c>
      <c r="S45" s="540">
        <f>IFERROR(IF(VLOOKUP(S$2,MODULY_CBA!$B$3:$I$23,8,0)=$D45,SUMIF('Rozpocet - Vyvoj aplikacii'!$B$3:$B$179,'TCO TO BE- SW'!S$2,'Rozpocet - Vyvoj aplikacii'!$J$3:$J$179),0),0)</f>
        <v>0</v>
      </c>
      <c r="T45" s="540">
        <f>IFERROR(IF(VLOOKUP(T$2,MODULY_CBA!$B$3:$I$23,8,0)=$D45,SUMIF('Rozpocet - Vyvoj aplikacii'!$B$3:$B$179,'TCO TO BE- SW'!T$2,'Rozpocet - Vyvoj aplikacii'!$J$3:$J$179),0),0)</f>
        <v>0</v>
      </c>
      <c r="U45" s="540">
        <f>IFERROR(IF(VLOOKUP(U$2,MODULY_CBA!$B$3:$I$23,8,0)=$D45,SUMIF('Rozpocet - Vyvoj aplikacii'!$B$3:$B$179,'TCO TO BE- SW'!U$2,'Rozpocet - Vyvoj aplikacii'!$J$3:$J$179),0),0)</f>
        <v>0</v>
      </c>
      <c r="V45" s="540">
        <f>IFERROR(IF(VLOOKUP(V$2,MODULY_CBA!$B$3:$I$23,8,0)=$D45,SUMIF('Rozpocet - Vyvoj aplikacii'!$B$3:$B$179,'TCO TO BE- SW'!V$2,'Rozpocet - Vyvoj aplikacii'!$J$3:$J$179),0),0)</f>
        <v>0</v>
      </c>
      <c r="W45" s="540">
        <f>IFERROR(IF(VLOOKUP(W$2,MODULY_CBA!$B$3:$I$23,8,0)=$D45,SUMIF('Rozpocet - Vyvoj aplikacii'!$B$3:$B$179,'TCO TO BE- SW'!W$2,'Rozpocet - Vyvoj aplikacii'!$J$3:$J$179),0),0)</f>
        <v>0</v>
      </c>
      <c r="X45" s="540">
        <f>IFERROR(IF(VLOOKUP(X$2,MODULY_CBA!$B$3:$I$23,8,0)=$D45,SUMIF('Rozpocet - Vyvoj aplikacii'!$B$3:$B$179,'TCO TO BE- SW'!X$2,'Rozpocet - Vyvoj aplikacii'!$J$3:$J$179),0),0)</f>
        <v>0</v>
      </c>
      <c r="Y45" s="540">
        <f>IFERROR(IF(VLOOKUP(Y$2,MODULY_CBA!$B$3:$I$23,8,0)=$D45,SUMIF('Rozpocet - Vyvoj aplikacii'!$B$3:$B$179,'TCO TO BE- SW'!Y$2,'Rozpocet - Vyvoj aplikacii'!$J$3:$J$179),0),0)</f>
        <v>0</v>
      </c>
      <c r="Z45" s="540">
        <f>IFERROR(IF(VLOOKUP(Z$2,MODULY_CBA!$B$3:$I$23,8,0)=$D45,SUMIF('Rozpocet - Vyvoj aplikacii'!$B$3:$B$179,'TCO TO BE- SW'!Z$2,'Rozpocet - Vyvoj aplikacii'!$J$3:$J$179),0),0)</f>
        <v>0</v>
      </c>
    </row>
    <row r="46" spans="1:26" ht="16" outlineLevel="2" thickBot="1" x14ac:dyDescent="0.25">
      <c r="A46" s="884"/>
      <c r="B46" s="885"/>
      <c r="C46" s="885"/>
      <c r="D46" s="65">
        <v>10</v>
      </c>
      <c r="E46" s="69">
        <f t="shared" si="6"/>
        <v>0</v>
      </c>
      <c r="F46" s="541">
        <f>IFERROR(IF(VLOOKUP(F$2,MODULY_CBA!$B$3:$I$23,8,0)=$D46,SUMIF('Rozpocet - Vyvoj aplikacii'!$B$3:$B$179,'TCO TO BE- SW'!F$2,'Rozpocet - Vyvoj aplikacii'!$J$3:$J$179),0),0)</f>
        <v>0</v>
      </c>
      <c r="G46" s="541">
        <f>IFERROR(IF(VLOOKUP(G$2,MODULY_CBA!$B$3:$I$23,8,0)=$D46,SUMIF('Rozpocet - Vyvoj aplikacii'!$B$3:$B$179,'TCO TO BE- SW'!G$2,'Rozpocet - Vyvoj aplikacii'!$J$3:$J$179),0),0)</f>
        <v>0</v>
      </c>
      <c r="H46" s="541">
        <f>IFERROR(IF(VLOOKUP(H$2,MODULY_CBA!$B$3:$I$23,8,0)=$D46,SUMIF('Rozpocet - Vyvoj aplikacii'!$B$3:$B$179,'TCO TO BE- SW'!H$2,'Rozpocet - Vyvoj aplikacii'!$J$3:$J$179),0),0)</f>
        <v>0</v>
      </c>
      <c r="I46" s="541">
        <f>IFERROR(IF(VLOOKUP(I$2,MODULY_CBA!$B$3:$I$23,8,0)=$D46,SUMIF('Rozpocet - Vyvoj aplikacii'!$B$3:$B$179,'TCO TO BE- SW'!I$2,'Rozpocet - Vyvoj aplikacii'!$J$3:$J$179),0),0)</f>
        <v>0</v>
      </c>
      <c r="J46" s="541">
        <f>IFERROR(IF(VLOOKUP(J$2,MODULY_CBA!$B$3:$I$23,8,0)=$D46,SUMIF('Rozpocet - Vyvoj aplikacii'!$B$3:$B$179,'TCO TO BE- SW'!J$2,'Rozpocet - Vyvoj aplikacii'!$J$3:$J$179),0),0)</f>
        <v>0</v>
      </c>
      <c r="K46" s="541">
        <f>IFERROR(IF(VLOOKUP(K$2,MODULY_CBA!$B$3:$I$23,8,0)=$D46,SUMIF('Rozpocet - Vyvoj aplikacii'!$B$3:$B$179,'TCO TO BE- SW'!K$2,'Rozpocet - Vyvoj aplikacii'!$J$3:$J$179),0),0)</f>
        <v>0</v>
      </c>
      <c r="L46" s="541">
        <f>IFERROR(IF(VLOOKUP(L$2,MODULY_CBA!$B$3:$I$23,8,0)=$D46,SUMIF('Rozpocet - Vyvoj aplikacii'!$B$3:$B$179,'TCO TO BE- SW'!L$2,'Rozpocet - Vyvoj aplikacii'!$J$3:$J$179),0),0)</f>
        <v>0</v>
      </c>
      <c r="M46" s="541">
        <f>IFERROR(IF(VLOOKUP(M$2,MODULY_CBA!$B$3:$I$23,8,0)=$D46,SUMIF('Rozpocet - Vyvoj aplikacii'!$B$3:$B$179,'TCO TO BE- SW'!M$2,'Rozpocet - Vyvoj aplikacii'!$J$3:$J$179),0),0)</f>
        <v>0</v>
      </c>
      <c r="N46" s="541">
        <f>IFERROR(IF(VLOOKUP(N$2,MODULY_CBA!$B$3:$I$23,8,0)=$D46,SUMIF('Rozpocet - Vyvoj aplikacii'!$B$3:$B$179,'TCO TO BE- SW'!N$2,'Rozpocet - Vyvoj aplikacii'!$J$3:$J$179),0),0)</f>
        <v>0</v>
      </c>
      <c r="O46" s="541">
        <f>IFERROR(IF(VLOOKUP(O$2,MODULY_CBA!$B$3:$I$23,8,0)=$D46,SUMIF('Rozpocet - Vyvoj aplikacii'!$B$3:$B$179,'TCO TO BE- SW'!O$2,'Rozpocet - Vyvoj aplikacii'!$J$3:$J$179),0),0)</f>
        <v>0</v>
      </c>
      <c r="P46" s="541">
        <f>IFERROR(IF(VLOOKUP(P$2,MODULY_CBA!$B$3:$I$23,8,0)=$D46,SUMIF('Rozpocet - Vyvoj aplikacii'!$B$3:$B$179,'TCO TO BE- SW'!P$2,'Rozpocet - Vyvoj aplikacii'!$J$3:$J$179),0),0)</f>
        <v>0</v>
      </c>
      <c r="Q46" s="541">
        <f>IFERROR(IF(VLOOKUP(Q$2,MODULY_CBA!$B$3:$I$23,8,0)=$D46,SUMIF('Rozpocet - Vyvoj aplikacii'!$B$3:$B$179,'TCO TO BE- SW'!Q$2,'Rozpocet - Vyvoj aplikacii'!$J$3:$J$179),0),0)</f>
        <v>0</v>
      </c>
      <c r="R46" s="541">
        <f>IFERROR(IF(VLOOKUP(R$2,MODULY_CBA!$B$3:$I$23,8,0)=$D46,SUMIF('Rozpocet - Vyvoj aplikacii'!$B$3:$B$179,'TCO TO BE- SW'!R$2,'Rozpocet - Vyvoj aplikacii'!$J$3:$J$179),0),0)</f>
        <v>0</v>
      </c>
      <c r="S46" s="541">
        <f>IFERROR(IF(VLOOKUP(S$2,MODULY_CBA!$B$3:$I$23,8,0)=$D46,SUMIF('Rozpocet - Vyvoj aplikacii'!$B$3:$B$179,'TCO TO BE- SW'!S$2,'Rozpocet - Vyvoj aplikacii'!$J$3:$J$179),0),0)</f>
        <v>0</v>
      </c>
      <c r="T46" s="541">
        <f>IFERROR(IF(VLOOKUP(T$2,MODULY_CBA!$B$3:$I$23,8,0)=$D46,SUMIF('Rozpocet - Vyvoj aplikacii'!$B$3:$B$179,'TCO TO BE- SW'!T$2,'Rozpocet - Vyvoj aplikacii'!$J$3:$J$179),0),0)</f>
        <v>0</v>
      </c>
      <c r="U46" s="541">
        <f>IFERROR(IF(VLOOKUP(U$2,MODULY_CBA!$B$3:$I$23,8,0)=$D46,SUMIF('Rozpocet - Vyvoj aplikacii'!$B$3:$B$179,'TCO TO BE- SW'!U$2,'Rozpocet - Vyvoj aplikacii'!$J$3:$J$179),0),0)</f>
        <v>0</v>
      </c>
      <c r="V46" s="541">
        <f>IFERROR(IF(VLOOKUP(V$2,MODULY_CBA!$B$3:$I$23,8,0)=$D46,SUMIF('Rozpocet - Vyvoj aplikacii'!$B$3:$B$179,'TCO TO BE- SW'!V$2,'Rozpocet - Vyvoj aplikacii'!$J$3:$J$179),0),0)</f>
        <v>0</v>
      </c>
      <c r="W46" s="541">
        <f>IFERROR(IF(VLOOKUP(W$2,MODULY_CBA!$B$3:$I$23,8,0)=$D46,SUMIF('Rozpocet - Vyvoj aplikacii'!$B$3:$B$179,'TCO TO BE- SW'!W$2,'Rozpocet - Vyvoj aplikacii'!$J$3:$J$179),0),0)</f>
        <v>0</v>
      </c>
      <c r="X46" s="541">
        <f>IFERROR(IF(VLOOKUP(X$2,MODULY_CBA!$B$3:$I$23,8,0)=$D46,SUMIF('Rozpocet - Vyvoj aplikacii'!$B$3:$B$179,'TCO TO BE- SW'!X$2,'Rozpocet - Vyvoj aplikacii'!$J$3:$J$179),0),0)</f>
        <v>0</v>
      </c>
      <c r="Y46" s="541">
        <f>IFERROR(IF(VLOOKUP(Y$2,MODULY_CBA!$B$3:$I$23,8,0)=$D46,SUMIF('Rozpocet - Vyvoj aplikacii'!$B$3:$B$179,'TCO TO BE- SW'!Y$2,'Rozpocet - Vyvoj aplikacii'!$J$3:$J$179),0),0)</f>
        <v>0</v>
      </c>
      <c r="Z46" s="541">
        <f>IFERROR(IF(VLOOKUP(Z$2,MODULY_CBA!$B$3:$I$23,8,0)=$D46,SUMIF('Rozpocet - Vyvoj aplikacii'!$B$3:$B$179,'TCO TO BE- SW'!Z$2,'Rozpocet - Vyvoj aplikacii'!$J$3:$J$179),0),0)</f>
        <v>0</v>
      </c>
    </row>
    <row r="47" spans="1:26" outlineLevel="2" x14ac:dyDescent="0.2">
      <c r="A47" s="884" t="s">
        <v>1179</v>
      </c>
      <c r="B47" s="885" t="s">
        <v>1167</v>
      </c>
      <c r="C47" s="885">
        <v>633013</v>
      </c>
      <c r="D47" s="63">
        <v>1</v>
      </c>
      <c r="E47" s="68">
        <f t="shared" si="6"/>
        <v>0</v>
      </c>
      <c r="F47" s="542">
        <v>0</v>
      </c>
      <c r="G47" s="542">
        <v>0</v>
      </c>
      <c r="H47" s="542">
        <v>0</v>
      </c>
      <c r="I47" s="542">
        <v>0</v>
      </c>
      <c r="J47" s="542">
        <v>0</v>
      </c>
      <c r="K47" s="542">
        <v>0</v>
      </c>
      <c r="L47" s="542">
        <v>0</v>
      </c>
      <c r="M47" s="542">
        <v>0</v>
      </c>
      <c r="N47" s="542">
        <v>0</v>
      </c>
      <c r="O47" s="542">
        <v>0</v>
      </c>
      <c r="P47" s="542">
        <v>0</v>
      </c>
      <c r="Q47" s="542">
        <v>0</v>
      </c>
      <c r="R47" s="542">
        <v>0</v>
      </c>
      <c r="S47" s="542">
        <v>0</v>
      </c>
      <c r="T47" s="542">
        <v>0</v>
      </c>
      <c r="U47" s="542">
        <v>0</v>
      </c>
      <c r="V47" s="542">
        <v>0</v>
      </c>
      <c r="W47" s="542">
        <v>0</v>
      </c>
      <c r="X47" s="542">
        <v>0</v>
      </c>
      <c r="Y47" s="542">
        <v>0</v>
      </c>
      <c r="Z47" s="542">
        <v>0</v>
      </c>
    </row>
    <row r="48" spans="1:26" outlineLevel="2" x14ac:dyDescent="0.2">
      <c r="A48" s="884"/>
      <c r="B48" s="885"/>
      <c r="C48" s="885"/>
      <c r="D48" s="64">
        <v>2</v>
      </c>
      <c r="E48" s="68">
        <f t="shared" si="6"/>
        <v>0</v>
      </c>
      <c r="F48" s="543">
        <v>0</v>
      </c>
      <c r="G48" s="543">
        <v>0</v>
      </c>
      <c r="H48" s="543">
        <v>0</v>
      </c>
      <c r="I48" s="543">
        <v>0</v>
      </c>
      <c r="J48" s="543">
        <v>0</v>
      </c>
      <c r="K48" s="543">
        <v>0</v>
      </c>
      <c r="L48" s="543">
        <v>0</v>
      </c>
      <c r="M48" s="543">
        <v>0</v>
      </c>
      <c r="N48" s="543">
        <v>0</v>
      </c>
      <c r="O48" s="543">
        <v>0</v>
      </c>
      <c r="P48" s="543">
        <v>0</v>
      </c>
      <c r="Q48" s="543">
        <v>0</v>
      </c>
      <c r="R48" s="543">
        <v>0</v>
      </c>
      <c r="S48" s="543">
        <v>0</v>
      </c>
      <c r="T48" s="543">
        <v>0</v>
      </c>
      <c r="U48" s="543">
        <v>0</v>
      </c>
      <c r="V48" s="543">
        <v>0</v>
      </c>
      <c r="W48" s="543">
        <v>0</v>
      </c>
      <c r="X48" s="543">
        <v>0</v>
      </c>
      <c r="Y48" s="543">
        <v>0</v>
      </c>
      <c r="Z48" s="543">
        <v>0</v>
      </c>
    </row>
    <row r="49" spans="1:26" outlineLevel="2" x14ac:dyDescent="0.2">
      <c r="A49" s="884"/>
      <c r="B49" s="885"/>
      <c r="C49" s="885"/>
      <c r="D49" s="64">
        <v>3</v>
      </c>
      <c r="E49" s="68">
        <f t="shared" si="6"/>
        <v>0</v>
      </c>
      <c r="F49" s="543">
        <v>0</v>
      </c>
      <c r="G49" s="543">
        <v>0</v>
      </c>
      <c r="H49" s="543">
        <v>0</v>
      </c>
      <c r="I49" s="543">
        <v>0</v>
      </c>
      <c r="J49" s="543">
        <v>0</v>
      </c>
      <c r="K49" s="543">
        <v>0</v>
      </c>
      <c r="L49" s="543">
        <v>0</v>
      </c>
      <c r="M49" s="543">
        <v>0</v>
      </c>
      <c r="N49" s="543">
        <v>0</v>
      </c>
      <c r="O49" s="543">
        <v>0</v>
      </c>
      <c r="P49" s="543">
        <v>0</v>
      </c>
      <c r="Q49" s="543">
        <v>0</v>
      </c>
      <c r="R49" s="543">
        <v>0</v>
      </c>
      <c r="S49" s="543">
        <v>0</v>
      </c>
      <c r="T49" s="543">
        <v>0</v>
      </c>
      <c r="U49" s="543">
        <v>0</v>
      </c>
      <c r="V49" s="543">
        <v>0</v>
      </c>
      <c r="W49" s="543">
        <v>0</v>
      </c>
      <c r="X49" s="543">
        <v>0</v>
      </c>
      <c r="Y49" s="543">
        <v>0</v>
      </c>
      <c r="Z49" s="543">
        <v>0</v>
      </c>
    </row>
    <row r="50" spans="1:26" outlineLevel="2" x14ac:dyDescent="0.2">
      <c r="A50" s="884"/>
      <c r="B50" s="885"/>
      <c r="C50" s="885"/>
      <c r="D50" s="64">
        <v>4</v>
      </c>
      <c r="E50" s="68">
        <f t="shared" si="6"/>
        <v>0</v>
      </c>
      <c r="F50" s="543">
        <v>0</v>
      </c>
      <c r="G50" s="543">
        <v>0</v>
      </c>
      <c r="H50" s="543">
        <v>0</v>
      </c>
      <c r="I50" s="543">
        <v>0</v>
      </c>
      <c r="J50" s="543">
        <v>0</v>
      </c>
      <c r="K50" s="543">
        <v>0</v>
      </c>
      <c r="L50" s="543">
        <v>0</v>
      </c>
      <c r="M50" s="543">
        <v>0</v>
      </c>
      <c r="N50" s="543">
        <v>0</v>
      </c>
      <c r="O50" s="543">
        <v>0</v>
      </c>
      <c r="P50" s="543">
        <v>0</v>
      </c>
      <c r="Q50" s="543">
        <v>0</v>
      </c>
      <c r="R50" s="543">
        <v>0</v>
      </c>
      <c r="S50" s="543">
        <v>0</v>
      </c>
      <c r="T50" s="543">
        <v>0</v>
      </c>
      <c r="U50" s="543">
        <v>0</v>
      </c>
      <c r="V50" s="543">
        <v>0</v>
      </c>
      <c r="W50" s="543">
        <v>0</v>
      </c>
      <c r="X50" s="543">
        <v>0</v>
      </c>
      <c r="Y50" s="543">
        <v>0</v>
      </c>
      <c r="Z50" s="543">
        <v>0</v>
      </c>
    </row>
    <row r="51" spans="1:26" outlineLevel="2" x14ac:dyDescent="0.2">
      <c r="A51" s="884"/>
      <c r="B51" s="885"/>
      <c r="C51" s="885"/>
      <c r="D51" s="64">
        <v>5</v>
      </c>
      <c r="E51" s="68">
        <f t="shared" si="6"/>
        <v>0</v>
      </c>
      <c r="F51" s="543">
        <v>0</v>
      </c>
      <c r="G51" s="543">
        <v>0</v>
      </c>
      <c r="H51" s="543">
        <v>0</v>
      </c>
      <c r="I51" s="543">
        <v>0</v>
      </c>
      <c r="J51" s="543">
        <v>0</v>
      </c>
      <c r="K51" s="543">
        <v>0</v>
      </c>
      <c r="L51" s="543">
        <v>0</v>
      </c>
      <c r="M51" s="543">
        <v>0</v>
      </c>
      <c r="N51" s="543">
        <v>0</v>
      </c>
      <c r="O51" s="543">
        <v>0</v>
      </c>
      <c r="P51" s="543">
        <v>0</v>
      </c>
      <c r="Q51" s="543">
        <v>0</v>
      </c>
      <c r="R51" s="543">
        <v>0</v>
      </c>
      <c r="S51" s="543">
        <v>0</v>
      </c>
      <c r="T51" s="543">
        <v>0</v>
      </c>
      <c r="U51" s="543">
        <v>0</v>
      </c>
      <c r="V51" s="543">
        <v>0</v>
      </c>
      <c r="W51" s="543">
        <v>0</v>
      </c>
      <c r="X51" s="543">
        <v>0</v>
      </c>
      <c r="Y51" s="543">
        <v>0</v>
      </c>
      <c r="Z51" s="543">
        <v>0</v>
      </c>
    </row>
    <row r="52" spans="1:26" outlineLevel="2" x14ac:dyDescent="0.2">
      <c r="A52" s="884"/>
      <c r="B52" s="885"/>
      <c r="C52" s="885"/>
      <c r="D52" s="64">
        <v>6</v>
      </c>
      <c r="E52" s="68">
        <f t="shared" si="6"/>
        <v>0</v>
      </c>
      <c r="F52" s="543">
        <v>0</v>
      </c>
      <c r="G52" s="543">
        <v>0</v>
      </c>
      <c r="H52" s="543">
        <v>0</v>
      </c>
      <c r="I52" s="543">
        <v>0</v>
      </c>
      <c r="J52" s="543">
        <v>0</v>
      </c>
      <c r="K52" s="543">
        <v>0</v>
      </c>
      <c r="L52" s="543">
        <v>0</v>
      </c>
      <c r="M52" s="543">
        <v>0</v>
      </c>
      <c r="N52" s="543">
        <v>0</v>
      </c>
      <c r="O52" s="543">
        <v>0</v>
      </c>
      <c r="P52" s="543">
        <v>0</v>
      </c>
      <c r="Q52" s="543">
        <v>0</v>
      </c>
      <c r="R52" s="543">
        <v>0</v>
      </c>
      <c r="S52" s="543">
        <v>0</v>
      </c>
      <c r="T52" s="543">
        <v>0</v>
      </c>
      <c r="U52" s="543">
        <v>0</v>
      </c>
      <c r="V52" s="543">
        <v>0</v>
      </c>
      <c r="W52" s="543">
        <v>0</v>
      </c>
      <c r="X52" s="543">
        <v>0</v>
      </c>
      <c r="Y52" s="543">
        <v>0</v>
      </c>
      <c r="Z52" s="543">
        <v>0</v>
      </c>
    </row>
    <row r="53" spans="1:26" outlineLevel="2" x14ac:dyDescent="0.2">
      <c r="A53" s="884"/>
      <c r="B53" s="885"/>
      <c r="C53" s="885"/>
      <c r="D53" s="64">
        <v>7</v>
      </c>
      <c r="E53" s="68">
        <f t="shared" si="6"/>
        <v>0</v>
      </c>
      <c r="F53" s="543">
        <v>0</v>
      </c>
      <c r="G53" s="543">
        <v>0</v>
      </c>
      <c r="H53" s="543">
        <v>0</v>
      </c>
      <c r="I53" s="543">
        <v>0</v>
      </c>
      <c r="J53" s="543">
        <v>0</v>
      </c>
      <c r="K53" s="543">
        <v>0</v>
      </c>
      <c r="L53" s="543">
        <v>0</v>
      </c>
      <c r="M53" s="543">
        <v>0</v>
      </c>
      <c r="N53" s="543">
        <v>0</v>
      </c>
      <c r="O53" s="543">
        <v>0</v>
      </c>
      <c r="P53" s="543">
        <v>0</v>
      </c>
      <c r="Q53" s="543">
        <v>0</v>
      </c>
      <c r="R53" s="543">
        <v>0</v>
      </c>
      <c r="S53" s="543">
        <v>0</v>
      </c>
      <c r="T53" s="543">
        <v>0</v>
      </c>
      <c r="U53" s="543">
        <v>0</v>
      </c>
      <c r="V53" s="543">
        <v>0</v>
      </c>
      <c r="W53" s="543">
        <v>0</v>
      </c>
      <c r="X53" s="543">
        <v>0</v>
      </c>
      <c r="Y53" s="543">
        <v>0</v>
      </c>
      <c r="Z53" s="543">
        <v>0</v>
      </c>
    </row>
    <row r="54" spans="1:26" outlineLevel="2" x14ac:dyDescent="0.2">
      <c r="A54" s="884"/>
      <c r="B54" s="885"/>
      <c r="C54" s="885"/>
      <c r="D54" s="64">
        <v>8</v>
      </c>
      <c r="E54" s="68">
        <f t="shared" si="6"/>
        <v>0</v>
      </c>
      <c r="F54" s="543">
        <v>0</v>
      </c>
      <c r="G54" s="543">
        <v>0</v>
      </c>
      <c r="H54" s="543">
        <v>0</v>
      </c>
      <c r="I54" s="543">
        <v>0</v>
      </c>
      <c r="J54" s="543">
        <v>0</v>
      </c>
      <c r="K54" s="543">
        <v>0</v>
      </c>
      <c r="L54" s="543">
        <v>0</v>
      </c>
      <c r="M54" s="543">
        <v>0</v>
      </c>
      <c r="N54" s="543">
        <v>0</v>
      </c>
      <c r="O54" s="543">
        <v>0</v>
      </c>
      <c r="P54" s="543">
        <v>0</v>
      </c>
      <c r="Q54" s="543">
        <v>0</v>
      </c>
      <c r="R54" s="543">
        <v>0</v>
      </c>
      <c r="S54" s="543">
        <v>0</v>
      </c>
      <c r="T54" s="543">
        <v>0</v>
      </c>
      <c r="U54" s="543">
        <v>0</v>
      </c>
      <c r="V54" s="543">
        <v>0</v>
      </c>
      <c r="W54" s="543">
        <v>0</v>
      </c>
      <c r="X54" s="543">
        <v>0</v>
      </c>
      <c r="Y54" s="543">
        <v>0</v>
      </c>
      <c r="Z54" s="543">
        <v>0</v>
      </c>
    </row>
    <row r="55" spans="1:26" outlineLevel="2" x14ac:dyDescent="0.2">
      <c r="A55" s="884"/>
      <c r="B55" s="885"/>
      <c r="C55" s="885"/>
      <c r="D55" s="64">
        <v>9</v>
      </c>
      <c r="E55" s="68">
        <f t="shared" si="6"/>
        <v>0</v>
      </c>
      <c r="F55" s="543">
        <v>0</v>
      </c>
      <c r="G55" s="543">
        <v>0</v>
      </c>
      <c r="H55" s="543">
        <v>0</v>
      </c>
      <c r="I55" s="543">
        <v>0</v>
      </c>
      <c r="J55" s="543">
        <v>0</v>
      </c>
      <c r="K55" s="543">
        <v>0</v>
      </c>
      <c r="L55" s="543">
        <v>0</v>
      </c>
      <c r="M55" s="543">
        <v>0</v>
      </c>
      <c r="N55" s="543">
        <v>0</v>
      </c>
      <c r="O55" s="543">
        <v>0</v>
      </c>
      <c r="P55" s="543">
        <v>0</v>
      </c>
      <c r="Q55" s="543">
        <v>0</v>
      </c>
      <c r="R55" s="543">
        <v>0</v>
      </c>
      <c r="S55" s="543">
        <v>0</v>
      </c>
      <c r="T55" s="543">
        <v>0</v>
      </c>
      <c r="U55" s="543">
        <v>0</v>
      </c>
      <c r="V55" s="543">
        <v>0</v>
      </c>
      <c r="W55" s="543">
        <v>0</v>
      </c>
      <c r="X55" s="543">
        <v>0</v>
      </c>
      <c r="Y55" s="543">
        <v>0</v>
      </c>
      <c r="Z55" s="543">
        <v>0</v>
      </c>
    </row>
    <row r="56" spans="1:26" ht="16" outlineLevel="2" thickBot="1" x14ac:dyDescent="0.25">
      <c r="A56" s="884"/>
      <c r="B56" s="885"/>
      <c r="C56" s="885"/>
      <c r="D56" s="65">
        <v>10</v>
      </c>
      <c r="E56" s="69">
        <f t="shared" si="6"/>
        <v>0</v>
      </c>
      <c r="F56" s="547">
        <v>0</v>
      </c>
      <c r="G56" s="547">
        <v>0</v>
      </c>
      <c r="H56" s="547">
        <v>0</v>
      </c>
      <c r="I56" s="547">
        <v>0</v>
      </c>
      <c r="J56" s="547">
        <v>0</v>
      </c>
      <c r="K56" s="547">
        <v>0</v>
      </c>
      <c r="L56" s="547">
        <v>0</v>
      </c>
      <c r="M56" s="547">
        <v>0</v>
      </c>
      <c r="N56" s="547">
        <v>0</v>
      </c>
      <c r="O56" s="547">
        <v>0</v>
      </c>
      <c r="P56" s="547">
        <v>0</v>
      </c>
      <c r="Q56" s="547">
        <v>0</v>
      </c>
      <c r="R56" s="547">
        <v>0</v>
      </c>
      <c r="S56" s="547">
        <v>0</v>
      </c>
      <c r="T56" s="547">
        <v>0</v>
      </c>
      <c r="U56" s="547">
        <v>0</v>
      </c>
      <c r="V56" s="547">
        <v>0</v>
      </c>
      <c r="W56" s="547">
        <v>0</v>
      </c>
      <c r="X56" s="547">
        <v>0</v>
      </c>
      <c r="Y56" s="547">
        <v>0</v>
      </c>
      <c r="Z56" s="547">
        <v>0</v>
      </c>
    </row>
    <row r="57" spans="1:26" outlineLevel="2" x14ac:dyDescent="0.2">
      <c r="A57" s="884" t="s">
        <v>1180</v>
      </c>
      <c r="B57" s="885" t="s">
        <v>1165</v>
      </c>
      <c r="C57" s="885">
        <v>610</v>
      </c>
      <c r="D57" s="63">
        <v>1</v>
      </c>
      <c r="E57" s="68">
        <f t="shared" ref="E57:E66" si="7">SUM(F57:Z57)</f>
        <v>0</v>
      </c>
      <c r="F57" s="539">
        <f>IFERROR(IF(VLOOKUP(F$2,MODULY_CBA!$B$3:$L$23,8,0)=$D57,SUMIF('Rozpocet - Vyvoj aplikacii'!$B$3:$B$179,'TCO TO BE- SW'!F$2,'Rozpocet - Vyvoj aplikacii'!$I$3:$I$179),0),0)</f>
        <v>0</v>
      </c>
      <c r="G57" s="539">
        <f>IFERROR(IF(VLOOKUP(G$2,MODULY_CBA!$B$3:$L$23,8,0)=$D57,SUMIF('Rozpocet - Vyvoj aplikacii'!$B$3:$B$179,'TCO TO BE- SW'!G$2,'Rozpocet - Vyvoj aplikacii'!$I$3:$I$179),0),0)</f>
        <v>0</v>
      </c>
      <c r="H57" s="539">
        <f>IFERROR(IF(VLOOKUP(H$2,MODULY_CBA!$B$3:$L$23,8,0)=$D57,SUMIF('Rozpocet - Vyvoj aplikacii'!$B$3:$B$179,'TCO TO BE- SW'!H$2,'Rozpocet - Vyvoj aplikacii'!$I$3:$I$179),0),0)</f>
        <v>0</v>
      </c>
      <c r="I57" s="539">
        <f>IFERROR(IF(VLOOKUP(I$2,MODULY_CBA!$B$3:$L$23,8,0)=$D57,SUMIF('Rozpocet - Vyvoj aplikacii'!$B$3:$B$179,'TCO TO BE- SW'!I$2,'Rozpocet - Vyvoj aplikacii'!$I$3:$I$179),0),0)</f>
        <v>0</v>
      </c>
      <c r="J57" s="539">
        <f>IFERROR(IF(VLOOKUP(J$2,MODULY_CBA!$B$3:$L$23,8,0)=$D57,SUMIF('Rozpocet - Vyvoj aplikacii'!$B$3:$B$179,'TCO TO BE- SW'!J$2,'Rozpocet - Vyvoj aplikacii'!$I$3:$I$179),0),0)</f>
        <v>0</v>
      </c>
      <c r="K57" s="539">
        <f>IFERROR(IF(VLOOKUP(K$2,MODULY_CBA!$B$3:$L$23,8,0)=$D57,SUMIF('Rozpocet - Vyvoj aplikacii'!$B$3:$B$179,'TCO TO BE- SW'!K$2,'Rozpocet - Vyvoj aplikacii'!$I$3:$I$179),0),0)</f>
        <v>0</v>
      </c>
      <c r="L57" s="539">
        <f>IFERROR(IF(VLOOKUP(L$2,MODULY_CBA!$B$3:$L$23,8,0)=$D57,SUMIF('Rozpocet - Vyvoj aplikacii'!$B$3:$B$179,'TCO TO BE- SW'!L$2,'Rozpocet - Vyvoj aplikacii'!$I$3:$I$179),0),0)</f>
        <v>0</v>
      </c>
      <c r="M57" s="539">
        <f>IFERROR(IF(VLOOKUP(M$2,MODULY_CBA!$B$3:$L$23,8,0)=$D57,SUMIF('Rozpocet - Vyvoj aplikacii'!$B$3:$B$179,'TCO TO BE- SW'!M$2,'Rozpocet - Vyvoj aplikacii'!$I$3:$I$179),0),0)</f>
        <v>0</v>
      </c>
      <c r="N57" s="539">
        <f>IFERROR(IF(VLOOKUP(N$2,MODULY_CBA!$B$3:$L$23,8,0)=$D57,SUMIF('Rozpocet - Vyvoj aplikacii'!$B$3:$B$179,'TCO TO BE- SW'!N$2,'Rozpocet - Vyvoj aplikacii'!$I$3:$I$179),0),0)</f>
        <v>0</v>
      </c>
      <c r="O57" s="539">
        <f>IFERROR(IF(VLOOKUP(O$2,MODULY_CBA!$B$3:$L$23,8,0)=$D57,SUMIF('Rozpocet - Vyvoj aplikacii'!$B$3:$B$179,'TCO TO BE- SW'!O$2,'Rozpocet - Vyvoj aplikacii'!$I$3:$I$179),0),0)</f>
        <v>0</v>
      </c>
      <c r="P57" s="539">
        <f>IFERROR(IF(VLOOKUP(P$2,MODULY_CBA!$B$3:$L$23,8,0)=$D57,SUMIF('Rozpocet - Vyvoj aplikacii'!$B$3:$B$179,'TCO TO BE- SW'!P$2,'Rozpocet - Vyvoj aplikacii'!$I$3:$I$179),0),0)</f>
        <v>0</v>
      </c>
      <c r="Q57" s="539">
        <f>IFERROR(IF(VLOOKUP(Q$2,MODULY_CBA!$B$3:$L$23,8,0)=$D57,SUMIF('Rozpocet - Vyvoj aplikacii'!$B$3:$B$179,'TCO TO BE- SW'!Q$2,'Rozpocet - Vyvoj aplikacii'!$I$3:$I$179),0),0)</f>
        <v>0</v>
      </c>
      <c r="R57" s="539">
        <f>IFERROR(IF(VLOOKUP(R$2,MODULY_CBA!$B$3:$L$23,8,0)=$D57,SUMIF('Rozpocet - Vyvoj aplikacii'!$B$3:$B$179,'TCO TO BE- SW'!R$2,'Rozpocet - Vyvoj aplikacii'!$I$3:$I$179),0),0)</f>
        <v>0</v>
      </c>
      <c r="S57" s="539">
        <f>IFERROR(IF(VLOOKUP(S$2,MODULY_CBA!$B$3:$L$23,8,0)=$D57,SUMIF('Rozpocet - Vyvoj aplikacii'!$B$3:$B$179,'TCO TO BE- SW'!S$2,'Rozpocet - Vyvoj aplikacii'!$I$3:$I$179),0),0)</f>
        <v>0</v>
      </c>
      <c r="T57" s="539">
        <f>IFERROR(IF(VLOOKUP(T$2,MODULY_CBA!$B$3:$L$23,8,0)=$D57,SUMIF('Rozpocet - Vyvoj aplikacii'!$B$3:$B$179,'TCO TO BE- SW'!T$2,'Rozpocet - Vyvoj aplikacii'!$I$3:$I$179),0),0)</f>
        <v>0</v>
      </c>
      <c r="U57" s="539">
        <f>IFERROR(IF(VLOOKUP(U$2,MODULY_CBA!$B$3:$L$23,8,0)=$D57,SUMIF('Rozpocet - Vyvoj aplikacii'!$B$3:$B$179,'TCO TO BE- SW'!U$2,'Rozpocet - Vyvoj aplikacii'!$I$3:$I$179),0),0)</f>
        <v>0</v>
      </c>
      <c r="V57" s="539">
        <f>IFERROR(IF(VLOOKUP(V$2,MODULY_CBA!$B$3:$L$23,8,0)=$D57,SUMIF('Rozpocet - Vyvoj aplikacii'!$B$3:$B$179,'TCO TO BE- SW'!V$2,'Rozpocet - Vyvoj aplikacii'!$I$3:$I$179),0),0)</f>
        <v>0</v>
      </c>
      <c r="W57" s="539">
        <f>IFERROR(IF(VLOOKUP(W$2,MODULY_CBA!$B$3:$L$23,8,0)=$D57,SUMIF('Rozpocet - Vyvoj aplikacii'!$B$3:$B$179,'TCO TO BE- SW'!W$2,'Rozpocet - Vyvoj aplikacii'!$I$3:$I$179),0),0)</f>
        <v>0</v>
      </c>
      <c r="X57" s="539">
        <f>IFERROR(IF(VLOOKUP(X$2,MODULY_CBA!$B$3:$L$23,8,0)=$D57,SUMIF('Rozpocet - Vyvoj aplikacii'!$B$3:$B$179,'TCO TO BE- SW'!X$2,'Rozpocet - Vyvoj aplikacii'!$I$3:$I$179),0),0)</f>
        <v>0</v>
      </c>
      <c r="Y57" s="539">
        <f>IFERROR(IF(VLOOKUP(Y$2,MODULY_CBA!$B$3:$L$23,8,0)=$D57,SUMIF('Rozpocet - Vyvoj aplikacii'!$B$3:$B$179,'TCO TO BE- SW'!Y$2,'Rozpocet - Vyvoj aplikacii'!$I$3:$I$179),0),0)</f>
        <v>0</v>
      </c>
      <c r="Z57" s="539">
        <f>IFERROR(IF(VLOOKUP(Z$2,MODULY_CBA!$B$3:$L$23,8,0)=$D57,SUMIF('Rozpocet - Vyvoj aplikacii'!$B$3:$B$179,'TCO TO BE- SW'!Z$2,'Rozpocet - Vyvoj aplikacii'!$I$3:$I$179),0),0)</f>
        <v>0</v>
      </c>
    </row>
    <row r="58" spans="1:26" outlineLevel="2" x14ac:dyDescent="0.2">
      <c r="A58" s="884"/>
      <c r="B58" s="885"/>
      <c r="C58" s="885"/>
      <c r="D58" s="64">
        <v>2</v>
      </c>
      <c r="E58" s="68">
        <f t="shared" si="7"/>
        <v>154994.4</v>
      </c>
      <c r="F58" s="540">
        <f>IFERROR(IF(VLOOKUP(F$2,MODULY_CBA!$B$3:$L$23,8,0)=$D58,SUMIF('Rozpocet - Vyvoj aplikacii'!$B$3:$B$179,'TCO TO BE- SW'!F$2,'Rozpocet - Vyvoj aplikacii'!$I$3:$I$179),0),0)</f>
        <v>56043.33634496919</v>
      </c>
      <c r="G58" s="540">
        <f>IFERROR(IF(VLOOKUP(G$2,MODULY_CBA!$B$3:$L$23,8,0)=$D58,SUMIF('Rozpocet - Vyvoj aplikacii'!$B$3:$B$179,'TCO TO BE- SW'!G$2,'Rozpocet - Vyvoj aplikacii'!$I$3:$I$179),0),0)</f>
        <v>17330.902669404517</v>
      </c>
      <c r="H58" s="540">
        <f>IFERROR(IF(VLOOKUP(H$2,MODULY_CBA!$B$3:$L$23,8,0)=$D58,SUMIF('Rozpocet - Vyvoj aplikacii'!$B$3:$B$179,'TCO TO BE- SW'!H$2,'Rozpocet - Vyvoj aplikacii'!$I$3:$I$179),0),0)</f>
        <v>27052.410677618071</v>
      </c>
      <c r="I58" s="540">
        <f>IFERROR(IF(VLOOKUP(I$2,MODULY_CBA!$B$3:$L$23,8,0)=$D58,SUMIF('Rozpocet - Vyvoj aplikacii'!$B$3:$B$179,'TCO TO BE- SW'!I$2,'Rozpocet - Vyvoj aplikacii'!$I$3:$I$179),0),0)</f>
        <v>33475.549897330595</v>
      </c>
      <c r="J58" s="540">
        <f>IFERROR(IF(VLOOKUP(J$2,MODULY_CBA!$B$3:$L$23,8,0)=$D58,SUMIF('Rozpocet - Vyvoj aplikacii'!$B$3:$B$179,'TCO TO BE- SW'!J$2,'Rozpocet - Vyvoj aplikacii'!$I$3:$I$179),0),0)</f>
        <v>13367.073511293633</v>
      </c>
      <c r="K58" s="540">
        <f>IFERROR(IF(VLOOKUP(K$2,MODULY_CBA!$B$3:$L$23,8,0)=$D58,SUMIF('Rozpocet - Vyvoj aplikacii'!$B$3:$B$179,'TCO TO BE- SW'!K$2,'Rozpocet - Vyvoj aplikacii'!$I$3:$I$179),0),0)</f>
        <v>4079.5613963039013</v>
      </c>
      <c r="L58" s="540">
        <f>IFERROR(IF(VLOOKUP(L$2,MODULY_CBA!$B$3:$L$23,8,0)=$D58,SUMIF('Rozpocet - Vyvoj aplikacii'!$B$3:$B$179,'TCO TO BE- SW'!L$2,'Rozpocet - Vyvoj aplikacii'!$I$3:$I$179),0),0)</f>
        <v>3645.5655030800817</v>
      </c>
      <c r="M58" s="540">
        <f>IFERROR(IF(VLOOKUP(M$2,MODULY_CBA!$B$3:$L$23,8,0)=$D58,SUMIF('Rozpocet - Vyvoj aplikacii'!$B$3:$B$179,'TCO TO BE- SW'!M$2,'Rozpocet - Vyvoj aplikacii'!$I$3:$I$179),0),0)</f>
        <v>0</v>
      </c>
      <c r="N58" s="540">
        <f>IFERROR(IF(VLOOKUP(N$2,MODULY_CBA!$B$3:$L$23,8,0)=$D58,SUMIF('Rozpocet - Vyvoj aplikacii'!$B$3:$B$179,'TCO TO BE- SW'!N$2,'Rozpocet - Vyvoj aplikacii'!$I$3:$I$179),0),0)</f>
        <v>0</v>
      </c>
      <c r="O58" s="540">
        <f>IFERROR(IF(VLOOKUP(O$2,MODULY_CBA!$B$3:$L$23,8,0)=$D58,SUMIF('Rozpocet - Vyvoj aplikacii'!$B$3:$B$179,'TCO TO BE- SW'!O$2,'Rozpocet - Vyvoj aplikacii'!$I$3:$I$179),0),0)</f>
        <v>0</v>
      </c>
      <c r="P58" s="540">
        <f>IFERROR(IF(VLOOKUP(P$2,MODULY_CBA!$B$3:$L$23,8,0)=$D58,SUMIF('Rozpocet - Vyvoj aplikacii'!$B$3:$B$179,'TCO TO BE- SW'!P$2,'Rozpocet - Vyvoj aplikacii'!$I$3:$I$179),0),0)</f>
        <v>0</v>
      </c>
      <c r="Q58" s="540">
        <f>IFERROR(IF(VLOOKUP(Q$2,MODULY_CBA!$B$3:$L$23,8,0)=$D58,SUMIF('Rozpocet - Vyvoj aplikacii'!$B$3:$B$179,'TCO TO BE- SW'!Q$2,'Rozpocet - Vyvoj aplikacii'!$I$3:$I$179),0),0)</f>
        <v>0</v>
      </c>
      <c r="R58" s="540">
        <f>IFERROR(IF(VLOOKUP(R$2,MODULY_CBA!$B$3:$L$23,8,0)=$D58,SUMIF('Rozpocet - Vyvoj aplikacii'!$B$3:$B$179,'TCO TO BE- SW'!R$2,'Rozpocet - Vyvoj aplikacii'!$I$3:$I$179),0),0)</f>
        <v>0</v>
      </c>
      <c r="S58" s="540">
        <f>IFERROR(IF(VLOOKUP(S$2,MODULY_CBA!$B$3:$L$23,8,0)=$D58,SUMIF('Rozpocet - Vyvoj aplikacii'!$B$3:$B$179,'TCO TO BE- SW'!S$2,'Rozpocet - Vyvoj aplikacii'!$I$3:$I$179),0),0)</f>
        <v>0</v>
      </c>
      <c r="T58" s="540">
        <f>IFERROR(IF(VLOOKUP(T$2,MODULY_CBA!$B$3:$L$23,8,0)=$D58,SUMIF('Rozpocet - Vyvoj aplikacii'!$B$3:$B$179,'TCO TO BE- SW'!T$2,'Rozpocet - Vyvoj aplikacii'!$I$3:$I$179),0),0)</f>
        <v>0</v>
      </c>
      <c r="U58" s="540">
        <f>IFERROR(IF(VLOOKUP(U$2,MODULY_CBA!$B$3:$L$23,8,0)=$D58,SUMIF('Rozpocet - Vyvoj aplikacii'!$B$3:$B$179,'TCO TO BE- SW'!U$2,'Rozpocet - Vyvoj aplikacii'!$I$3:$I$179),0),0)</f>
        <v>0</v>
      </c>
      <c r="V58" s="540">
        <f>IFERROR(IF(VLOOKUP(V$2,MODULY_CBA!$B$3:$L$23,8,0)=$D58,SUMIF('Rozpocet - Vyvoj aplikacii'!$B$3:$B$179,'TCO TO BE- SW'!V$2,'Rozpocet - Vyvoj aplikacii'!$I$3:$I$179),0),0)</f>
        <v>0</v>
      </c>
      <c r="W58" s="540">
        <f>IFERROR(IF(VLOOKUP(W$2,MODULY_CBA!$B$3:$L$23,8,0)=$D58,SUMIF('Rozpocet - Vyvoj aplikacii'!$B$3:$B$179,'TCO TO BE- SW'!W$2,'Rozpocet - Vyvoj aplikacii'!$I$3:$I$179),0),0)</f>
        <v>0</v>
      </c>
      <c r="X58" s="540">
        <f>IFERROR(IF(VLOOKUP(X$2,MODULY_CBA!$B$3:$L$23,8,0)=$D58,SUMIF('Rozpocet - Vyvoj aplikacii'!$B$3:$B$179,'TCO TO BE- SW'!X$2,'Rozpocet - Vyvoj aplikacii'!$I$3:$I$179),0),0)</f>
        <v>0</v>
      </c>
      <c r="Y58" s="540">
        <f>IFERROR(IF(VLOOKUP(Y$2,MODULY_CBA!$B$3:$L$23,8,0)=$D58,SUMIF('Rozpocet - Vyvoj aplikacii'!$B$3:$B$179,'TCO TO BE- SW'!Y$2,'Rozpocet - Vyvoj aplikacii'!$I$3:$I$179),0),0)</f>
        <v>0</v>
      </c>
      <c r="Z58" s="540">
        <f>IFERROR(IF(VLOOKUP(Z$2,MODULY_CBA!$B$3:$L$23,8,0)=$D58,SUMIF('Rozpocet - Vyvoj aplikacii'!$B$3:$B$179,'TCO TO BE- SW'!Z$2,'Rozpocet - Vyvoj aplikacii'!$I$3:$I$179),0),0)</f>
        <v>0</v>
      </c>
    </row>
    <row r="59" spans="1:26" outlineLevel="2" x14ac:dyDescent="0.2">
      <c r="A59" s="884"/>
      <c r="B59" s="885"/>
      <c r="C59" s="885"/>
      <c r="D59" s="64">
        <v>3</v>
      </c>
      <c r="E59" s="68">
        <f t="shared" si="7"/>
        <v>0</v>
      </c>
      <c r="F59" s="540">
        <f>IFERROR(IF(VLOOKUP(F$2,MODULY_CBA!$B$3:$L$23,8,0)=$D59,SUMIF('Rozpocet - Vyvoj aplikacii'!$B$3:$B$179,'TCO TO BE- SW'!F$2,'Rozpocet - Vyvoj aplikacii'!$I$3:$I$179),0),0)</f>
        <v>0</v>
      </c>
      <c r="G59" s="540">
        <f>IFERROR(IF(VLOOKUP(G$2,MODULY_CBA!$B$3:$L$23,8,0)=$D59,SUMIF('Rozpocet - Vyvoj aplikacii'!$B$3:$B$179,'TCO TO BE- SW'!G$2,'Rozpocet - Vyvoj aplikacii'!$I$3:$I$179),0),0)</f>
        <v>0</v>
      </c>
      <c r="H59" s="540">
        <f>IFERROR(IF(VLOOKUP(H$2,MODULY_CBA!$B$3:$L$23,8,0)=$D59,SUMIF('Rozpocet - Vyvoj aplikacii'!$B$3:$B$179,'TCO TO BE- SW'!H$2,'Rozpocet - Vyvoj aplikacii'!$I$3:$I$179),0),0)</f>
        <v>0</v>
      </c>
      <c r="I59" s="540">
        <f>IFERROR(IF(VLOOKUP(I$2,MODULY_CBA!$B$3:$L$23,8,0)=$D59,SUMIF('Rozpocet - Vyvoj aplikacii'!$B$3:$B$179,'TCO TO BE- SW'!I$2,'Rozpocet - Vyvoj aplikacii'!$I$3:$I$179),0),0)</f>
        <v>0</v>
      </c>
      <c r="J59" s="540">
        <f>IFERROR(IF(VLOOKUP(J$2,MODULY_CBA!$B$3:$L$23,8,0)=$D59,SUMIF('Rozpocet - Vyvoj aplikacii'!$B$3:$B$179,'TCO TO BE- SW'!J$2,'Rozpocet - Vyvoj aplikacii'!$I$3:$I$179),0),0)</f>
        <v>0</v>
      </c>
      <c r="K59" s="540">
        <f>IFERROR(IF(VLOOKUP(K$2,MODULY_CBA!$B$3:$L$23,8,0)=$D59,SUMIF('Rozpocet - Vyvoj aplikacii'!$B$3:$B$179,'TCO TO BE- SW'!K$2,'Rozpocet - Vyvoj aplikacii'!$I$3:$I$179),0),0)</f>
        <v>0</v>
      </c>
      <c r="L59" s="540">
        <f>IFERROR(IF(VLOOKUP(L$2,MODULY_CBA!$B$3:$L$23,8,0)=$D59,SUMIF('Rozpocet - Vyvoj aplikacii'!$B$3:$B$179,'TCO TO BE- SW'!L$2,'Rozpocet - Vyvoj aplikacii'!$I$3:$I$179),0),0)</f>
        <v>0</v>
      </c>
      <c r="M59" s="540">
        <f>IFERROR(IF(VLOOKUP(M$2,MODULY_CBA!$B$3:$L$23,8,0)=$D59,SUMIF('Rozpocet - Vyvoj aplikacii'!$B$3:$B$179,'TCO TO BE- SW'!M$2,'Rozpocet - Vyvoj aplikacii'!$I$3:$I$179),0),0)</f>
        <v>0</v>
      </c>
      <c r="N59" s="540">
        <f>IFERROR(IF(VLOOKUP(N$2,MODULY_CBA!$B$3:$L$23,8,0)=$D59,SUMIF('Rozpocet - Vyvoj aplikacii'!$B$3:$B$179,'TCO TO BE- SW'!N$2,'Rozpocet - Vyvoj aplikacii'!$I$3:$I$179),0),0)</f>
        <v>0</v>
      </c>
      <c r="O59" s="540">
        <f>IFERROR(IF(VLOOKUP(O$2,MODULY_CBA!$B$3:$L$23,8,0)=$D59,SUMIF('Rozpocet - Vyvoj aplikacii'!$B$3:$B$179,'TCO TO BE- SW'!O$2,'Rozpocet - Vyvoj aplikacii'!$I$3:$I$179),0),0)</f>
        <v>0</v>
      </c>
      <c r="P59" s="540">
        <f>IFERROR(IF(VLOOKUP(P$2,MODULY_CBA!$B$3:$L$23,8,0)=$D59,SUMIF('Rozpocet - Vyvoj aplikacii'!$B$3:$B$179,'TCO TO BE- SW'!P$2,'Rozpocet - Vyvoj aplikacii'!$I$3:$I$179),0),0)</f>
        <v>0</v>
      </c>
      <c r="Q59" s="540">
        <f>IFERROR(IF(VLOOKUP(Q$2,MODULY_CBA!$B$3:$L$23,8,0)=$D59,SUMIF('Rozpocet - Vyvoj aplikacii'!$B$3:$B$179,'TCO TO BE- SW'!Q$2,'Rozpocet - Vyvoj aplikacii'!$I$3:$I$179),0),0)</f>
        <v>0</v>
      </c>
      <c r="R59" s="540">
        <f>IFERROR(IF(VLOOKUP(R$2,MODULY_CBA!$B$3:$L$23,8,0)=$D59,SUMIF('Rozpocet - Vyvoj aplikacii'!$B$3:$B$179,'TCO TO BE- SW'!R$2,'Rozpocet - Vyvoj aplikacii'!$I$3:$I$179),0),0)</f>
        <v>0</v>
      </c>
      <c r="S59" s="540">
        <f>IFERROR(IF(VLOOKUP(S$2,MODULY_CBA!$B$3:$L$23,8,0)=$D59,SUMIF('Rozpocet - Vyvoj aplikacii'!$B$3:$B$179,'TCO TO BE- SW'!S$2,'Rozpocet - Vyvoj aplikacii'!$I$3:$I$179),0),0)</f>
        <v>0</v>
      </c>
      <c r="T59" s="540">
        <f>IFERROR(IF(VLOOKUP(T$2,MODULY_CBA!$B$3:$L$23,8,0)=$D59,SUMIF('Rozpocet - Vyvoj aplikacii'!$B$3:$B$179,'TCO TO BE- SW'!T$2,'Rozpocet - Vyvoj aplikacii'!$I$3:$I$179),0),0)</f>
        <v>0</v>
      </c>
      <c r="U59" s="540">
        <f>IFERROR(IF(VLOOKUP(U$2,MODULY_CBA!$B$3:$L$23,8,0)=$D59,SUMIF('Rozpocet - Vyvoj aplikacii'!$B$3:$B$179,'TCO TO BE- SW'!U$2,'Rozpocet - Vyvoj aplikacii'!$I$3:$I$179),0),0)</f>
        <v>0</v>
      </c>
      <c r="V59" s="540">
        <f>IFERROR(IF(VLOOKUP(V$2,MODULY_CBA!$B$3:$L$23,8,0)=$D59,SUMIF('Rozpocet - Vyvoj aplikacii'!$B$3:$B$179,'TCO TO BE- SW'!V$2,'Rozpocet - Vyvoj aplikacii'!$I$3:$I$179),0),0)</f>
        <v>0</v>
      </c>
      <c r="W59" s="540">
        <f>IFERROR(IF(VLOOKUP(W$2,MODULY_CBA!$B$3:$L$23,8,0)=$D59,SUMIF('Rozpocet - Vyvoj aplikacii'!$B$3:$B$179,'TCO TO BE- SW'!W$2,'Rozpocet - Vyvoj aplikacii'!$I$3:$I$179),0),0)</f>
        <v>0</v>
      </c>
      <c r="X59" s="540">
        <f>IFERROR(IF(VLOOKUP(X$2,MODULY_CBA!$B$3:$L$23,8,0)=$D59,SUMIF('Rozpocet - Vyvoj aplikacii'!$B$3:$B$179,'TCO TO BE- SW'!X$2,'Rozpocet - Vyvoj aplikacii'!$I$3:$I$179),0),0)</f>
        <v>0</v>
      </c>
      <c r="Y59" s="540">
        <f>IFERROR(IF(VLOOKUP(Y$2,MODULY_CBA!$B$3:$L$23,8,0)=$D59,SUMIF('Rozpocet - Vyvoj aplikacii'!$B$3:$B$179,'TCO TO BE- SW'!Y$2,'Rozpocet - Vyvoj aplikacii'!$I$3:$I$179),0),0)</f>
        <v>0</v>
      </c>
      <c r="Z59" s="540">
        <f>IFERROR(IF(VLOOKUP(Z$2,MODULY_CBA!$B$3:$L$23,8,0)=$D59,SUMIF('Rozpocet - Vyvoj aplikacii'!$B$3:$B$179,'TCO TO BE- SW'!Z$2,'Rozpocet - Vyvoj aplikacii'!$I$3:$I$179),0),0)</f>
        <v>0</v>
      </c>
    </row>
    <row r="60" spans="1:26" outlineLevel="2" x14ac:dyDescent="0.2">
      <c r="A60" s="884"/>
      <c r="B60" s="885"/>
      <c r="C60" s="885"/>
      <c r="D60" s="64">
        <v>4</v>
      </c>
      <c r="E60" s="68">
        <f t="shared" si="7"/>
        <v>0</v>
      </c>
      <c r="F60" s="540">
        <f>IFERROR(IF(VLOOKUP(F$2,MODULY_CBA!$B$3:$L$23,8,0)=$D60,SUMIF('Rozpocet - Vyvoj aplikacii'!$B$3:$B$179,'TCO TO BE- SW'!F$2,'Rozpocet - Vyvoj aplikacii'!$I$3:$I$179),0),0)</f>
        <v>0</v>
      </c>
      <c r="G60" s="540">
        <f>IFERROR(IF(VLOOKUP(G$2,MODULY_CBA!$B$3:$L$23,8,0)=$D60,SUMIF('Rozpocet - Vyvoj aplikacii'!$B$3:$B$179,'TCO TO BE- SW'!G$2,'Rozpocet - Vyvoj aplikacii'!$I$3:$I$179),0),0)</f>
        <v>0</v>
      </c>
      <c r="H60" s="540">
        <f>IFERROR(IF(VLOOKUP(H$2,MODULY_CBA!$B$3:$L$23,8,0)=$D60,SUMIF('Rozpocet - Vyvoj aplikacii'!$B$3:$B$179,'TCO TO BE- SW'!H$2,'Rozpocet - Vyvoj aplikacii'!$I$3:$I$179),0),0)</f>
        <v>0</v>
      </c>
      <c r="I60" s="540">
        <f>IFERROR(IF(VLOOKUP(I$2,MODULY_CBA!$B$3:$L$23,8,0)=$D60,SUMIF('Rozpocet - Vyvoj aplikacii'!$B$3:$B$179,'TCO TO BE- SW'!I$2,'Rozpocet - Vyvoj aplikacii'!$I$3:$I$179),0),0)</f>
        <v>0</v>
      </c>
      <c r="J60" s="540">
        <f>IFERROR(IF(VLOOKUP(J$2,MODULY_CBA!$B$3:$L$23,8,0)=$D60,SUMIF('Rozpocet - Vyvoj aplikacii'!$B$3:$B$179,'TCO TO BE- SW'!J$2,'Rozpocet - Vyvoj aplikacii'!$I$3:$I$179),0),0)</f>
        <v>0</v>
      </c>
      <c r="K60" s="540">
        <f>IFERROR(IF(VLOOKUP(K$2,MODULY_CBA!$B$3:$L$23,8,0)=$D60,SUMIF('Rozpocet - Vyvoj aplikacii'!$B$3:$B$179,'TCO TO BE- SW'!K$2,'Rozpocet - Vyvoj aplikacii'!$I$3:$I$179),0),0)</f>
        <v>0</v>
      </c>
      <c r="L60" s="540">
        <f>IFERROR(IF(VLOOKUP(L$2,MODULY_CBA!$B$3:$L$23,8,0)=$D60,SUMIF('Rozpocet - Vyvoj aplikacii'!$B$3:$B$179,'TCO TO BE- SW'!L$2,'Rozpocet - Vyvoj aplikacii'!$I$3:$I$179),0),0)</f>
        <v>0</v>
      </c>
      <c r="M60" s="540">
        <f>IFERROR(IF(VLOOKUP(M$2,MODULY_CBA!$B$3:$L$23,8,0)=$D60,SUMIF('Rozpocet - Vyvoj aplikacii'!$B$3:$B$179,'TCO TO BE- SW'!M$2,'Rozpocet - Vyvoj aplikacii'!$I$3:$I$179),0),0)</f>
        <v>0</v>
      </c>
      <c r="N60" s="540">
        <f>IFERROR(IF(VLOOKUP(N$2,MODULY_CBA!$B$3:$L$23,8,0)=$D60,SUMIF('Rozpocet - Vyvoj aplikacii'!$B$3:$B$179,'TCO TO BE- SW'!N$2,'Rozpocet - Vyvoj aplikacii'!$I$3:$I$179),0),0)</f>
        <v>0</v>
      </c>
      <c r="O60" s="540">
        <f>IFERROR(IF(VLOOKUP(O$2,MODULY_CBA!$B$3:$L$23,8,0)=$D60,SUMIF('Rozpocet - Vyvoj aplikacii'!$B$3:$B$179,'TCO TO BE- SW'!O$2,'Rozpocet - Vyvoj aplikacii'!$I$3:$I$179),0),0)</f>
        <v>0</v>
      </c>
      <c r="P60" s="540">
        <f>IFERROR(IF(VLOOKUP(P$2,MODULY_CBA!$B$3:$L$23,8,0)=$D60,SUMIF('Rozpocet - Vyvoj aplikacii'!$B$3:$B$179,'TCO TO BE- SW'!P$2,'Rozpocet - Vyvoj aplikacii'!$I$3:$I$179),0),0)</f>
        <v>0</v>
      </c>
      <c r="Q60" s="540">
        <f>IFERROR(IF(VLOOKUP(Q$2,MODULY_CBA!$B$3:$L$23,8,0)=$D60,SUMIF('Rozpocet - Vyvoj aplikacii'!$B$3:$B$179,'TCO TO BE- SW'!Q$2,'Rozpocet - Vyvoj aplikacii'!$I$3:$I$179),0),0)</f>
        <v>0</v>
      </c>
      <c r="R60" s="540">
        <f>IFERROR(IF(VLOOKUP(R$2,MODULY_CBA!$B$3:$L$23,8,0)=$D60,SUMIF('Rozpocet - Vyvoj aplikacii'!$B$3:$B$179,'TCO TO BE- SW'!R$2,'Rozpocet - Vyvoj aplikacii'!$I$3:$I$179),0),0)</f>
        <v>0</v>
      </c>
      <c r="S60" s="540">
        <f>IFERROR(IF(VLOOKUP(S$2,MODULY_CBA!$B$3:$L$23,8,0)=$D60,SUMIF('Rozpocet - Vyvoj aplikacii'!$B$3:$B$179,'TCO TO BE- SW'!S$2,'Rozpocet - Vyvoj aplikacii'!$I$3:$I$179),0),0)</f>
        <v>0</v>
      </c>
      <c r="T60" s="540">
        <f>IFERROR(IF(VLOOKUP(T$2,MODULY_CBA!$B$3:$L$23,8,0)=$D60,SUMIF('Rozpocet - Vyvoj aplikacii'!$B$3:$B$179,'TCO TO BE- SW'!T$2,'Rozpocet - Vyvoj aplikacii'!$I$3:$I$179),0),0)</f>
        <v>0</v>
      </c>
      <c r="U60" s="540">
        <f>IFERROR(IF(VLOOKUP(U$2,MODULY_CBA!$B$3:$L$23,8,0)=$D60,SUMIF('Rozpocet - Vyvoj aplikacii'!$B$3:$B$179,'TCO TO BE- SW'!U$2,'Rozpocet - Vyvoj aplikacii'!$I$3:$I$179),0),0)</f>
        <v>0</v>
      </c>
      <c r="V60" s="540">
        <f>IFERROR(IF(VLOOKUP(V$2,MODULY_CBA!$B$3:$L$23,8,0)=$D60,SUMIF('Rozpocet - Vyvoj aplikacii'!$B$3:$B$179,'TCO TO BE- SW'!V$2,'Rozpocet - Vyvoj aplikacii'!$I$3:$I$179),0),0)</f>
        <v>0</v>
      </c>
      <c r="W60" s="540">
        <f>IFERROR(IF(VLOOKUP(W$2,MODULY_CBA!$B$3:$L$23,8,0)=$D60,SUMIF('Rozpocet - Vyvoj aplikacii'!$B$3:$B$179,'TCO TO BE- SW'!W$2,'Rozpocet - Vyvoj aplikacii'!$I$3:$I$179),0),0)</f>
        <v>0</v>
      </c>
      <c r="X60" s="540">
        <f>IFERROR(IF(VLOOKUP(X$2,MODULY_CBA!$B$3:$L$23,8,0)=$D60,SUMIF('Rozpocet - Vyvoj aplikacii'!$B$3:$B$179,'TCO TO BE- SW'!X$2,'Rozpocet - Vyvoj aplikacii'!$I$3:$I$179),0),0)</f>
        <v>0</v>
      </c>
      <c r="Y60" s="540">
        <f>IFERROR(IF(VLOOKUP(Y$2,MODULY_CBA!$B$3:$L$23,8,0)=$D60,SUMIF('Rozpocet - Vyvoj aplikacii'!$B$3:$B$179,'TCO TO BE- SW'!Y$2,'Rozpocet - Vyvoj aplikacii'!$I$3:$I$179),0),0)</f>
        <v>0</v>
      </c>
      <c r="Z60" s="540">
        <f>IFERROR(IF(VLOOKUP(Z$2,MODULY_CBA!$B$3:$L$23,8,0)=$D60,SUMIF('Rozpocet - Vyvoj aplikacii'!$B$3:$B$179,'TCO TO BE- SW'!Z$2,'Rozpocet - Vyvoj aplikacii'!$I$3:$I$179),0),0)</f>
        <v>0</v>
      </c>
    </row>
    <row r="61" spans="1:26" outlineLevel="2" x14ac:dyDescent="0.2">
      <c r="A61" s="884"/>
      <c r="B61" s="885"/>
      <c r="C61" s="885"/>
      <c r="D61" s="64">
        <v>5</v>
      </c>
      <c r="E61" s="68">
        <f t="shared" si="7"/>
        <v>0</v>
      </c>
      <c r="F61" s="540">
        <f>IFERROR(IF(VLOOKUP(F$2,MODULY_CBA!$B$3:$L$23,8,0)=$D61,SUMIF('Rozpocet - Vyvoj aplikacii'!$B$3:$B$179,'TCO TO BE- SW'!F$2,'Rozpocet - Vyvoj aplikacii'!$I$3:$I$179),0),0)</f>
        <v>0</v>
      </c>
      <c r="G61" s="540">
        <f>IFERROR(IF(VLOOKUP(G$2,MODULY_CBA!$B$3:$L$23,8,0)=$D61,SUMIF('Rozpocet - Vyvoj aplikacii'!$B$3:$B$179,'TCO TO BE- SW'!G$2,'Rozpocet - Vyvoj aplikacii'!$I$3:$I$179),0),0)</f>
        <v>0</v>
      </c>
      <c r="H61" s="540">
        <f>IFERROR(IF(VLOOKUP(H$2,MODULY_CBA!$B$3:$L$23,8,0)=$D61,SUMIF('Rozpocet - Vyvoj aplikacii'!$B$3:$B$179,'TCO TO BE- SW'!H$2,'Rozpocet - Vyvoj aplikacii'!$I$3:$I$179),0),0)</f>
        <v>0</v>
      </c>
      <c r="I61" s="540">
        <f>IFERROR(IF(VLOOKUP(I$2,MODULY_CBA!$B$3:$L$23,8,0)=$D61,SUMIF('Rozpocet - Vyvoj aplikacii'!$B$3:$B$179,'TCO TO BE- SW'!I$2,'Rozpocet - Vyvoj aplikacii'!$I$3:$I$179),0),0)</f>
        <v>0</v>
      </c>
      <c r="J61" s="540">
        <f>IFERROR(IF(VLOOKUP(J$2,MODULY_CBA!$B$3:$L$23,8,0)=$D61,SUMIF('Rozpocet - Vyvoj aplikacii'!$B$3:$B$179,'TCO TO BE- SW'!J$2,'Rozpocet - Vyvoj aplikacii'!$I$3:$I$179),0),0)</f>
        <v>0</v>
      </c>
      <c r="K61" s="540">
        <f>IFERROR(IF(VLOOKUP(K$2,MODULY_CBA!$B$3:$L$23,8,0)=$D61,SUMIF('Rozpocet - Vyvoj aplikacii'!$B$3:$B$179,'TCO TO BE- SW'!K$2,'Rozpocet - Vyvoj aplikacii'!$I$3:$I$179),0),0)</f>
        <v>0</v>
      </c>
      <c r="L61" s="540">
        <f>IFERROR(IF(VLOOKUP(L$2,MODULY_CBA!$B$3:$L$23,8,0)=$D61,SUMIF('Rozpocet - Vyvoj aplikacii'!$B$3:$B$179,'TCO TO BE- SW'!L$2,'Rozpocet - Vyvoj aplikacii'!$I$3:$I$179),0),0)</f>
        <v>0</v>
      </c>
      <c r="M61" s="540">
        <f>IFERROR(IF(VLOOKUP(M$2,MODULY_CBA!$B$3:$L$23,8,0)=$D61,SUMIF('Rozpocet - Vyvoj aplikacii'!$B$3:$B$179,'TCO TO BE- SW'!M$2,'Rozpocet - Vyvoj aplikacii'!$I$3:$I$179),0),0)</f>
        <v>0</v>
      </c>
      <c r="N61" s="540">
        <f>IFERROR(IF(VLOOKUP(N$2,MODULY_CBA!$B$3:$L$23,8,0)=$D61,SUMIF('Rozpocet - Vyvoj aplikacii'!$B$3:$B$179,'TCO TO BE- SW'!N$2,'Rozpocet - Vyvoj aplikacii'!$I$3:$I$179),0),0)</f>
        <v>0</v>
      </c>
      <c r="O61" s="540">
        <f>IFERROR(IF(VLOOKUP(O$2,MODULY_CBA!$B$3:$L$23,8,0)=$D61,SUMIF('Rozpocet - Vyvoj aplikacii'!$B$3:$B$179,'TCO TO BE- SW'!O$2,'Rozpocet - Vyvoj aplikacii'!$I$3:$I$179),0),0)</f>
        <v>0</v>
      </c>
      <c r="P61" s="540">
        <f>IFERROR(IF(VLOOKUP(P$2,MODULY_CBA!$B$3:$L$23,8,0)=$D61,SUMIF('Rozpocet - Vyvoj aplikacii'!$B$3:$B$179,'TCO TO BE- SW'!P$2,'Rozpocet - Vyvoj aplikacii'!$I$3:$I$179),0),0)</f>
        <v>0</v>
      </c>
      <c r="Q61" s="540">
        <f>IFERROR(IF(VLOOKUP(Q$2,MODULY_CBA!$B$3:$L$23,8,0)=$D61,SUMIF('Rozpocet - Vyvoj aplikacii'!$B$3:$B$179,'TCO TO BE- SW'!Q$2,'Rozpocet - Vyvoj aplikacii'!$I$3:$I$179),0),0)</f>
        <v>0</v>
      </c>
      <c r="R61" s="540">
        <f>IFERROR(IF(VLOOKUP(R$2,MODULY_CBA!$B$3:$L$23,8,0)=$D61,SUMIF('Rozpocet - Vyvoj aplikacii'!$B$3:$B$179,'TCO TO BE- SW'!R$2,'Rozpocet - Vyvoj aplikacii'!$I$3:$I$179),0),0)</f>
        <v>0</v>
      </c>
      <c r="S61" s="540">
        <f>IFERROR(IF(VLOOKUP(S$2,MODULY_CBA!$B$3:$L$23,8,0)=$D61,SUMIF('Rozpocet - Vyvoj aplikacii'!$B$3:$B$179,'TCO TO BE- SW'!S$2,'Rozpocet - Vyvoj aplikacii'!$I$3:$I$179),0),0)</f>
        <v>0</v>
      </c>
      <c r="T61" s="540">
        <f>IFERROR(IF(VLOOKUP(T$2,MODULY_CBA!$B$3:$L$23,8,0)=$D61,SUMIF('Rozpocet - Vyvoj aplikacii'!$B$3:$B$179,'TCO TO BE- SW'!T$2,'Rozpocet - Vyvoj aplikacii'!$I$3:$I$179),0),0)</f>
        <v>0</v>
      </c>
      <c r="U61" s="540">
        <f>IFERROR(IF(VLOOKUP(U$2,MODULY_CBA!$B$3:$L$23,8,0)=$D61,SUMIF('Rozpocet - Vyvoj aplikacii'!$B$3:$B$179,'TCO TO BE- SW'!U$2,'Rozpocet - Vyvoj aplikacii'!$I$3:$I$179),0),0)</f>
        <v>0</v>
      </c>
      <c r="V61" s="540">
        <f>IFERROR(IF(VLOOKUP(V$2,MODULY_CBA!$B$3:$L$23,8,0)=$D61,SUMIF('Rozpocet - Vyvoj aplikacii'!$B$3:$B$179,'TCO TO BE- SW'!V$2,'Rozpocet - Vyvoj aplikacii'!$I$3:$I$179),0),0)</f>
        <v>0</v>
      </c>
      <c r="W61" s="540">
        <f>IFERROR(IF(VLOOKUP(W$2,MODULY_CBA!$B$3:$L$23,8,0)=$D61,SUMIF('Rozpocet - Vyvoj aplikacii'!$B$3:$B$179,'TCO TO BE- SW'!W$2,'Rozpocet - Vyvoj aplikacii'!$I$3:$I$179),0),0)</f>
        <v>0</v>
      </c>
      <c r="X61" s="540">
        <f>IFERROR(IF(VLOOKUP(X$2,MODULY_CBA!$B$3:$L$23,8,0)=$D61,SUMIF('Rozpocet - Vyvoj aplikacii'!$B$3:$B$179,'TCO TO BE- SW'!X$2,'Rozpocet - Vyvoj aplikacii'!$I$3:$I$179),0),0)</f>
        <v>0</v>
      </c>
      <c r="Y61" s="540">
        <f>IFERROR(IF(VLOOKUP(Y$2,MODULY_CBA!$B$3:$L$23,8,0)=$D61,SUMIF('Rozpocet - Vyvoj aplikacii'!$B$3:$B$179,'TCO TO BE- SW'!Y$2,'Rozpocet - Vyvoj aplikacii'!$I$3:$I$179),0),0)</f>
        <v>0</v>
      </c>
      <c r="Z61" s="540">
        <f>IFERROR(IF(VLOOKUP(Z$2,MODULY_CBA!$B$3:$L$23,8,0)=$D61,SUMIF('Rozpocet - Vyvoj aplikacii'!$B$3:$B$179,'TCO TO BE- SW'!Z$2,'Rozpocet - Vyvoj aplikacii'!$I$3:$I$179),0),0)</f>
        <v>0</v>
      </c>
    </row>
    <row r="62" spans="1:26" outlineLevel="2" x14ac:dyDescent="0.2">
      <c r="A62" s="884"/>
      <c r="B62" s="885"/>
      <c r="C62" s="885"/>
      <c r="D62" s="64">
        <v>6</v>
      </c>
      <c r="E62" s="68">
        <f t="shared" si="7"/>
        <v>0</v>
      </c>
      <c r="F62" s="540">
        <f>IFERROR(IF(VLOOKUP(F$2,MODULY_CBA!$B$3:$L$23,8,0)=$D62,SUMIF('Rozpocet - Vyvoj aplikacii'!$B$3:$B$179,'TCO TO BE- SW'!F$2,'Rozpocet - Vyvoj aplikacii'!$I$3:$I$179),0),0)</f>
        <v>0</v>
      </c>
      <c r="G62" s="540">
        <f>IFERROR(IF(VLOOKUP(G$2,MODULY_CBA!$B$3:$L$23,8,0)=$D62,SUMIF('Rozpocet - Vyvoj aplikacii'!$B$3:$B$179,'TCO TO BE- SW'!G$2,'Rozpocet - Vyvoj aplikacii'!$I$3:$I$179),0),0)</f>
        <v>0</v>
      </c>
      <c r="H62" s="540">
        <f>IFERROR(IF(VLOOKUP(H$2,MODULY_CBA!$B$3:$L$23,8,0)=$D62,SUMIF('Rozpocet - Vyvoj aplikacii'!$B$3:$B$179,'TCO TO BE- SW'!H$2,'Rozpocet - Vyvoj aplikacii'!$I$3:$I$179),0),0)</f>
        <v>0</v>
      </c>
      <c r="I62" s="540">
        <f>IFERROR(IF(VLOOKUP(I$2,MODULY_CBA!$B$3:$L$23,8,0)=$D62,SUMIF('Rozpocet - Vyvoj aplikacii'!$B$3:$B$179,'TCO TO BE- SW'!I$2,'Rozpocet - Vyvoj aplikacii'!$I$3:$I$179),0),0)</f>
        <v>0</v>
      </c>
      <c r="J62" s="540">
        <f>IFERROR(IF(VLOOKUP(J$2,MODULY_CBA!$B$3:$L$23,8,0)=$D62,SUMIF('Rozpocet - Vyvoj aplikacii'!$B$3:$B$179,'TCO TO BE- SW'!J$2,'Rozpocet - Vyvoj aplikacii'!$I$3:$I$179),0),0)</f>
        <v>0</v>
      </c>
      <c r="K62" s="540">
        <f>IFERROR(IF(VLOOKUP(K$2,MODULY_CBA!$B$3:$L$23,8,0)=$D62,SUMIF('Rozpocet - Vyvoj aplikacii'!$B$3:$B$179,'TCO TO BE- SW'!K$2,'Rozpocet - Vyvoj aplikacii'!$I$3:$I$179),0),0)</f>
        <v>0</v>
      </c>
      <c r="L62" s="540">
        <f>IFERROR(IF(VLOOKUP(L$2,MODULY_CBA!$B$3:$L$23,8,0)=$D62,SUMIF('Rozpocet - Vyvoj aplikacii'!$B$3:$B$179,'TCO TO BE- SW'!L$2,'Rozpocet - Vyvoj aplikacii'!$I$3:$I$179),0),0)</f>
        <v>0</v>
      </c>
      <c r="M62" s="540">
        <f>IFERROR(IF(VLOOKUP(M$2,MODULY_CBA!$B$3:$L$23,8,0)=$D62,SUMIF('Rozpocet - Vyvoj aplikacii'!$B$3:$B$179,'TCO TO BE- SW'!M$2,'Rozpocet - Vyvoj aplikacii'!$I$3:$I$179),0),0)</f>
        <v>0</v>
      </c>
      <c r="N62" s="540">
        <f>IFERROR(IF(VLOOKUP(N$2,MODULY_CBA!$B$3:$L$23,8,0)=$D62,SUMIF('Rozpocet - Vyvoj aplikacii'!$B$3:$B$179,'TCO TO BE- SW'!N$2,'Rozpocet - Vyvoj aplikacii'!$I$3:$I$179),0),0)</f>
        <v>0</v>
      </c>
      <c r="O62" s="540">
        <f>IFERROR(IF(VLOOKUP(O$2,MODULY_CBA!$B$3:$L$23,8,0)=$D62,SUMIF('Rozpocet - Vyvoj aplikacii'!$B$3:$B$179,'TCO TO BE- SW'!O$2,'Rozpocet - Vyvoj aplikacii'!$I$3:$I$179),0),0)</f>
        <v>0</v>
      </c>
      <c r="P62" s="540">
        <f>IFERROR(IF(VLOOKUP(P$2,MODULY_CBA!$B$3:$L$23,8,0)=$D62,SUMIF('Rozpocet - Vyvoj aplikacii'!$B$3:$B$179,'TCO TO BE- SW'!P$2,'Rozpocet - Vyvoj aplikacii'!$I$3:$I$179),0),0)</f>
        <v>0</v>
      </c>
      <c r="Q62" s="540">
        <f>IFERROR(IF(VLOOKUP(Q$2,MODULY_CBA!$B$3:$L$23,8,0)=$D62,SUMIF('Rozpocet - Vyvoj aplikacii'!$B$3:$B$179,'TCO TO BE- SW'!Q$2,'Rozpocet - Vyvoj aplikacii'!$I$3:$I$179),0),0)</f>
        <v>0</v>
      </c>
      <c r="R62" s="540">
        <f>IFERROR(IF(VLOOKUP(R$2,MODULY_CBA!$B$3:$L$23,8,0)=$D62,SUMIF('Rozpocet - Vyvoj aplikacii'!$B$3:$B$179,'TCO TO BE- SW'!R$2,'Rozpocet - Vyvoj aplikacii'!$I$3:$I$179),0),0)</f>
        <v>0</v>
      </c>
      <c r="S62" s="540">
        <f>IFERROR(IF(VLOOKUP(S$2,MODULY_CBA!$B$3:$L$23,8,0)=$D62,SUMIF('Rozpocet - Vyvoj aplikacii'!$B$3:$B$179,'TCO TO BE- SW'!S$2,'Rozpocet - Vyvoj aplikacii'!$I$3:$I$179),0),0)</f>
        <v>0</v>
      </c>
      <c r="T62" s="540">
        <f>IFERROR(IF(VLOOKUP(T$2,MODULY_CBA!$B$3:$L$23,8,0)=$D62,SUMIF('Rozpocet - Vyvoj aplikacii'!$B$3:$B$179,'TCO TO BE- SW'!T$2,'Rozpocet - Vyvoj aplikacii'!$I$3:$I$179),0),0)</f>
        <v>0</v>
      </c>
      <c r="U62" s="540">
        <f>IFERROR(IF(VLOOKUP(U$2,MODULY_CBA!$B$3:$L$23,8,0)=$D62,SUMIF('Rozpocet - Vyvoj aplikacii'!$B$3:$B$179,'TCO TO BE- SW'!U$2,'Rozpocet - Vyvoj aplikacii'!$I$3:$I$179),0),0)</f>
        <v>0</v>
      </c>
      <c r="V62" s="540">
        <f>IFERROR(IF(VLOOKUP(V$2,MODULY_CBA!$B$3:$L$23,8,0)=$D62,SUMIF('Rozpocet - Vyvoj aplikacii'!$B$3:$B$179,'TCO TO BE- SW'!V$2,'Rozpocet - Vyvoj aplikacii'!$I$3:$I$179),0),0)</f>
        <v>0</v>
      </c>
      <c r="W62" s="540">
        <f>IFERROR(IF(VLOOKUP(W$2,MODULY_CBA!$B$3:$L$23,8,0)=$D62,SUMIF('Rozpocet - Vyvoj aplikacii'!$B$3:$B$179,'TCO TO BE- SW'!W$2,'Rozpocet - Vyvoj aplikacii'!$I$3:$I$179),0),0)</f>
        <v>0</v>
      </c>
      <c r="X62" s="540">
        <f>IFERROR(IF(VLOOKUP(X$2,MODULY_CBA!$B$3:$L$23,8,0)=$D62,SUMIF('Rozpocet - Vyvoj aplikacii'!$B$3:$B$179,'TCO TO BE- SW'!X$2,'Rozpocet - Vyvoj aplikacii'!$I$3:$I$179),0),0)</f>
        <v>0</v>
      </c>
      <c r="Y62" s="540">
        <f>IFERROR(IF(VLOOKUP(Y$2,MODULY_CBA!$B$3:$L$23,8,0)=$D62,SUMIF('Rozpocet - Vyvoj aplikacii'!$B$3:$B$179,'TCO TO BE- SW'!Y$2,'Rozpocet - Vyvoj aplikacii'!$I$3:$I$179),0),0)</f>
        <v>0</v>
      </c>
      <c r="Z62" s="540">
        <f>IFERROR(IF(VLOOKUP(Z$2,MODULY_CBA!$B$3:$L$23,8,0)=$D62,SUMIF('Rozpocet - Vyvoj aplikacii'!$B$3:$B$179,'TCO TO BE- SW'!Z$2,'Rozpocet - Vyvoj aplikacii'!$I$3:$I$179),0),0)</f>
        <v>0</v>
      </c>
    </row>
    <row r="63" spans="1:26" outlineLevel="2" x14ac:dyDescent="0.2">
      <c r="A63" s="884"/>
      <c r="B63" s="885"/>
      <c r="C63" s="885"/>
      <c r="D63" s="64">
        <v>7</v>
      </c>
      <c r="E63" s="68">
        <f t="shared" si="7"/>
        <v>0</v>
      </c>
      <c r="F63" s="540">
        <f>IFERROR(IF(VLOOKUP(F$2,MODULY_CBA!$B$3:$L$23,8,0)=$D63,SUMIF('Rozpocet - Vyvoj aplikacii'!$B$3:$B$179,'TCO TO BE- SW'!F$2,'Rozpocet - Vyvoj aplikacii'!$I$3:$I$179),0),0)</f>
        <v>0</v>
      </c>
      <c r="G63" s="540">
        <f>IFERROR(IF(VLOOKUP(G$2,MODULY_CBA!$B$3:$L$23,8,0)=$D63,SUMIF('Rozpocet - Vyvoj aplikacii'!$B$3:$B$179,'TCO TO BE- SW'!G$2,'Rozpocet - Vyvoj aplikacii'!$I$3:$I$179),0),0)</f>
        <v>0</v>
      </c>
      <c r="H63" s="540">
        <f>IFERROR(IF(VLOOKUP(H$2,MODULY_CBA!$B$3:$L$23,8,0)=$D63,SUMIF('Rozpocet - Vyvoj aplikacii'!$B$3:$B$179,'TCO TO BE- SW'!H$2,'Rozpocet - Vyvoj aplikacii'!$I$3:$I$179),0),0)</f>
        <v>0</v>
      </c>
      <c r="I63" s="540">
        <f>IFERROR(IF(VLOOKUP(I$2,MODULY_CBA!$B$3:$L$23,8,0)=$D63,SUMIF('Rozpocet - Vyvoj aplikacii'!$B$3:$B$179,'TCO TO BE- SW'!I$2,'Rozpocet - Vyvoj aplikacii'!$I$3:$I$179),0),0)</f>
        <v>0</v>
      </c>
      <c r="J63" s="540">
        <f>IFERROR(IF(VLOOKUP(J$2,MODULY_CBA!$B$3:$L$23,8,0)=$D63,SUMIF('Rozpocet - Vyvoj aplikacii'!$B$3:$B$179,'TCO TO BE- SW'!J$2,'Rozpocet - Vyvoj aplikacii'!$I$3:$I$179),0),0)</f>
        <v>0</v>
      </c>
      <c r="K63" s="540">
        <f>IFERROR(IF(VLOOKUP(K$2,MODULY_CBA!$B$3:$L$23,8,0)=$D63,SUMIF('Rozpocet - Vyvoj aplikacii'!$B$3:$B$179,'TCO TO BE- SW'!K$2,'Rozpocet - Vyvoj aplikacii'!$I$3:$I$179),0),0)</f>
        <v>0</v>
      </c>
      <c r="L63" s="540">
        <f>IFERROR(IF(VLOOKUP(L$2,MODULY_CBA!$B$3:$L$23,8,0)=$D63,SUMIF('Rozpocet - Vyvoj aplikacii'!$B$3:$B$179,'TCO TO BE- SW'!L$2,'Rozpocet - Vyvoj aplikacii'!$I$3:$I$179),0),0)</f>
        <v>0</v>
      </c>
      <c r="M63" s="540">
        <f>IFERROR(IF(VLOOKUP(M$2,MODULY_CBA!$B$3:$L$23,8,0)=$D63,SUMIF('Rozpocet - Vyvoj aplikacii'!$B$3:$B$179,'TCO TO BE- SW'!M$2,'Rozpocet - Vyvoj aplikacii'!$I$3:$I$179),0),0)</f>
        <v>0</v>
      </c>
      <c r="N63" s="540">
        <f>IFERROR(IF(VLOOKUP(N$2,MODULY_CBA!$B$3:$L$23,8,0)=$D63,SUMIF('Rozpocet - Vyvoj aplikacii'!$B$3:$B$179,'TCO TO BE- SW'!N$2,'Rozpocet - Vyvoj aplikacii'!$I$3:$I$179),0),0)</f>
        <v>0</v>
      </c>
      <c r="O63" s="540">
        <f>IFERROR(IF(VLOOKUP(O$2,MODULY_CBA!$B$3:$L$23,8,0)=$D63,SUMIF('Rozpocet - Vyvoj aplikacii'!$B$3:$B$179,'TCO TO BE- SW'!O$2,'Rozpocet - Vyvoj aplikacii'!$I$3:$I$179),0),0)</f>
        <v>0</v>
      </c>
      <c r="P63" s="540">
        <f>IFERROR(IF(VLOOKUP(P$2,MODULY_CBA!$B$3:$L$23,8,0)=$D63,SUMIF('Rozpocet - Vyvoj aplikacii'!$B$3:$B$179,'TCO TO BE- SW'!P$2,'Rozpocet - Vyvoj aplikacii'!$I$3:$I$179),0),0)</f>
        <v>0</v>
      </c>
      <c r="Q63" s="540">
        <f>IFERROR(IF(VLOOKUP(Q$2,MODULY_CBA!$B$3:$L$23,8,0)=$D63,SUMIF('Rozpocet - Vyvoj aplikacii'!$B$3:$B$179,'TCO TO BE- SW'!Q$2,'Rozpocet - Vyvoj aplikacii'!$I$3:$I$179),0),0)</f>
        <v>0</v>
      </c>
      <c r="R63" s="540">
        <f>IFERROR(IF(VLOOKUP(R$2,MODULY_CBA!$B$3:$L$23,8,0)=$D63,SUMIF('Rozpocet - Vyvoj aplikacii'!$B$3:$B$179,'TCO TO BE- SW'!R$2,'Rozpocet - Vyvoj aplikacii'!$I$3:$I$179),0),0)</f>
        <v>0</v>
      </c>
      <c r="S63" s="540">
        <f>IFERROR(IF(VLOOKUP(S$2,MODULY_CBA!$B$3:$L$23,8,0)=$D63,SUMIF('Rozpocet - Vyvoj aplikacii'!$B$3:$B$179,'TCO TO BE- SW'!S$2,'Rozpocet - Vyvoj aplikacii'!$I$3:$I$179),0),0)</f>
        <v>0</v>
      </c>
      <c r="T63" s="540">
        <f>IFERROR(IF(VLOOKUP(T$2,MODULY_CBA!$B$3:$L$23,8,0)=$D63,SUMIF('Rozpocet - Vyvoj aplikacii'!$B$3:$B$179,'TCO TO BE- SW'!T$2,'Rozpocet - Vyvoj aplikacii'!$I$3:$I$179),0),0)</f>
        <v>0</v>
      </c>
      <c r="U63" s="540">
        <f>IFERROR(IF(VLOOKUP(U$2,MODULY_CBA!$B$3:$L$23,8,0)=$D63,SUMIF('Rozpocet - Vyvoj aplikacii'!$B$3:$B$179,'TCO TO BE- SW'!U$2,'Rozpocet - Vyvoj aplikacii'!$I$3:$I$179),0),0)</f>
        <v>0</v>
      </c>
      <c r="V63" s="540">
        <f>IFERROR(IF(VLOOKUP(V$2,MODULY_CBA!$B$3:$L$23,8,0)=$D63,SUMIF('Rozpocet - Vyvoj aplikacii'!$B$3:$B$179,'TCO TO BE- SW'!V$2,'Rozpocet - Vyvoj aplikacii'!$I$3:$I$179),0),0)</f>
        <v>0</v>
      </c>
      <c r="W63" s="540">
        <f>IFERROR(IF(VLOOKUP(W$2,MODULY_CBA!$B$3:$L$23,8,0)=$D63,SUMIF('Rozpocet - Vyvoj aplikacii'!$B$3:$B$179,'TCO TO BE- SW'!W$2,'Rozpocet - Vyvoj aplikacii'!$I$3:$I$179),0),0)</f>
        <v>0</v>
      </c>
      <c r="X63" s="540">
        <f>IFERROR(IF(VLOOKUP(X$2,MODULY_CBA!$B$3:$L$23,8,0)=$D63,SUMIF('Rozpocet - Vyvoj aplikacii'!$B$3:$B$179,'TCO TO BE- SW'!X$2,'Rozpocet - Vyvoj aplikacii'!$I$3:$I$179),0),0)</f>
        <v>0</v>
      </c>
      <c r="Y63" s="540">
        <f>IFERROR(IF(VLOOKUP(Y$2,MODULY_CBA!$B$3:$L$23,8,0)=$D63,SUMIF('Rozpocet - Vyvoj aplikacii'!$B$3:$B$179,'TCO TO BE- SW'!Y$2,'Rozpocet - Vyvoj aplikacii'!$I$3:$I$179),0),0)</f>
        <v>0</v>
      </c>
      <c r="Z63" s="540">
        <f>IFERROR(IF(VLOOKUP(Z$2,MODULY_CBA!$B$3:$L$23,8,0)=$D63,SUMIF('Rozpocet - Vyvoj aplikacii'!$B$3:$B$179,'TCO TO BE- SW'!Z$2,'Rozpocet - Vyvoj aplikacii'!$I$3:$I$179),0),0)</f>
        <v>0</v>
      </c>
    </row>
    <row r="64" spans="1:26" outlineLevel="2" x14ac:dyDescent="0.2">
      <c r="A64" s="884"/>
      <c r="B64" s="885"/>
      <c r="C64" s="885"/>
      <c r="D64" s="64">
        <v>8</v>
      </c>
      <c r="E64" s="68">
        <f t="shared" si="7"/>
        <v>0</v>
      </c>
      <c r="F64" s="540">
        <f>IFERROR(IF(VLOOKUP(F$2,MODULY_CBA!$B$3:$L$23,8,0)=$D64,SUMIF('Rozpocet - Vyvoj aplikacii'!$B$3:$B$179,'TCO TO BE- SW'!F$2,'Rozpocet - Vyvoj aplikacii'!$I$3:$I$179),0),0)</f>
        <v>0</v>
      </c>
      <c r="G64" s="540">
        <f>IFERROR(IF(VLOOKUP(G$2,MODULY_CBA!$B$3:$L$23,8,0)=$D64,SUMIF('Rozpocet - Vyvoj aplikacii'!$B$3:$B$179,'TCO TO BE- SW'!G$2,'Rozpocet - Vyvoj aplikacii'!$I$3:$I$179),0),0)</f>
        <v>0</v>
      </c>
      <c r="H64" s="540">
        <f>IFERROR(IF(VLOOKUP(H$2,MODULY_CBA!$B$3:$L$23,8,0)=$D64,SUMIF('Rozpocet - Vyvoj aplikacii'!$B$3:$B$179,'TCO TO BE- SW'!H$2,'Rozpocet - Vyvoj aplikacii'!$I$3:$I$179),0),0)</f>
        <v>0</v>
      </c>
      <c r="I64" s="540">
        <f>IFERROR(IF(VLOOKUP(I$2,MODULY_CBA!$B$3:$L$23,8,0)=$D64,SUMIF('Rozpocet - Vyvoj aplikacii'!$B$3:$B$179,'TCO TO BE- SW'!I$2,'Rozpocet - Vyvoj aplikacii'!$I$3:$I$179),0),0)</f>
        <v>0</v>
      </c>
      <c r="J64" s="540">
        <f>IFERROR(IF(VLOOKUP(J$2,MODULY_CBA!$B$3:$L$23,8,0)=$D64,SUMIF('Rozpocet - Vyvoj aplikacii'!$B$3:$B$179,'TCO TO BE- SW'!J$2,'Rozpocet - Vyvoj aplikacii'!$I$3:$I$179),0),0)</f>
        <v>0</v>
      </c>
      <c r="K64" s="540">
        <f>IFERROR(IF(VLOOKUP(K$2,MODULY_CBA!$B$3:$L$23,8,0)=$D64,SUMIF('Rozpocet - Vyvoj aplikacii'!$B$3:$B$179,'TCO TO BE- SW'!K$2,'Rozpocet - Vyvoj aplikacii'!$I$3:$I$179),0),0)</f>
        <v>0</v>
      </c>
      <c r="L64" s="540">
        <f>IFERROR(IF(VLOOKUP(L$2,MODULY_CBA!$B$3:$L$23,8,0)=$D64,SUMIF('Rozpocet - Vyvoj aplikacii'!$B$3:$B$179,'TCO TO BE- SW'!L$2,'Rozpocet - Vyvoj aplikacii'!$I$3:$I$179),0),0)</f>
        <v>0</v>
      </c>
      <c r="M64" s="540">
        <f>IFERROR(IF(VLOOKUP(M$2,MODULY_CBA!$B$3:$L$23,8,0)=$D64,SUMIF('Rozpocet - Vyvoj aplikacii'!$B$3:$B$179,'TCO TO BE- SW'!M$2,'Rozpocet - Vyvoj aplikacii'!$I$3:$I$179),0),0)</f>
        <v>0</v>
      </c>
      <c r="N64" s="540">
        <f>IFERROR(IF(VLOOKUP(N$2,MODULY_CBA!$B$3:$L$23,8,0)=$D64,SUMIF('Rozpocet - Vyvoj aplikacii'!$B$3:$B$179,'TCO TO BE- SW'!N$2,'Rozpocet - Vyvoj aplikacii'!$I$3:$I$179),0),0)</f>
        <v>0</v>
      </c>
      <c r="O64" s="540">
        <f>IFERROR(IF(VLOOKUP(O$2,MODULY_CBA!$B$3:$L$23,8,0)=$D64,SUMIF('Rozpocet - Vyvoj aplikacii'!$B$3:$B$179,'TCO TO BE- SW'!O$2,'Rozpocet - Vyvoj aplikacii'!$I$3:$I$179),0),0)</f>
        <v>0</v>
      </c>
      <c r="P64" s="540">
        <f>IFERROR(IF(VLOOKUP(P$2,MODULY_CBA!$B$3:$L$23,8,0)=$D64,SUMIF('Rozpocet - Vyvoj aplikacii'!$B$3:$B$179,'TCO TO BE- SW'!P$2,'Rozpocet - Vyvoj aplikacii'!$I$3:$I$179),0),0)</f>
        <v>0</v>
      </c>
      <c r="Q64" s="540">
        <f>IFERROR(IF(VLOOKUP(Q$2,MODULY_CBA!$B$3:$L$23,8,0)=$D64,SUMIF('Rozpocet - Vyvoj aplikacii'!$B$3:$B$179,'TCO TO BE- SW'!Q$2,'Rozpocet - Vyvoj aplikacii'!$I$3:$I$179),0),0)</f>
        <v>0</v>
      </c>
      <c r="R64" s="540">
        <f>IFERROR(IF(VLOOKUP(R$2,MODULY_CBA!$B$3:$L$23,8,0)=$D64,SUMIF('Rozpocet - Vyvoj aplikacii'!$B$3:$B$179,'TCO TO BE- SW'!R$2,'Rozpocet - Vyvoj aplikacii'!$I$3:$I$179),0),0)</f>
        <v>0</v>
      </c>
      <c r="S64" s="540">
        <f>IFERROR(IF(VLOOKUP(S$2,MODULY_CBA!$B$3:$L$23,8,0)=$D64,SUMIF('Rozpocet - Vyvoj aplikacii'!$B$3:$B$179,'TCO TO BE- SW'!S$2,'Rozpocet - Vyvoj aplikacii'!$I$3:$I$179),0),0)</f>
        <v>0</v>
      </c>
      <c r="T64" s="540">
        <f>IFERROR(IF(VLOOKUP(T$2,MODULY_CBA!$B$3:$L$23,8,0)=$D64,SUMIF('Rozpocet - Vyvoj aplikacii'!$B$3:$B$179,'TCO TO BE- SW'!T$2,'Rozpocet - Vyvoj aplikacii'!$I$3:$I$179),0),0)</f>
        <v>0</v>
      </c>
      <c r="U64" s="540">
        <f>IFERROR(IF(VLOOKUP(U$2,MODULY_CBA!$B$3:$L$23,8,0)=$D64,SUMIF('Rozpocet - Vyvoj aplikacii'!$B$3:$B$179,'TCO TO BE- SW'!U$2,'Rozpocet - Vyvoj aplikacii'!$I$3:$I$179),0),0)</f>
        <v>0</v>
      </c>
      <c r="V64" s="540">
        <f>IFERROR(IF(VLOOKUP(V$2,MODULY_CBA!$B$3:$L$23,8,0)=$D64,SUMIF('Rozpocet - Vyvoj aplikacii'!$B$3:$B$179,'TCO TO BE- SW'!V$2,'Rozpocet - Vyvoj aplikacii'!$I$3:$I$179),0),0)</f>
        <v>0</v>
      </c>
      <c r="W64" s="540">
        <f>IFERROR(IF(VLOOKUP(W$2,MODULY_CBA!$B$3:$L$23,8,0)=$D64,SUMIF('Rozpocet - Vyvoj aplikacii'!$B$3:$B$179,'TCO TO BE- SW'!W$2,'Rozpocet - Vyvoj aplikacii'!$I$3:$I$179),0),0)</f>
        <v>0</v>
      </c>
      <c r="X64" s="540">
        <f>IFERROR(IF(VLOOKUP(X$2,MODULY_CBA!$B$3:$L$23,8,0)=$D64,SUMIF('Rozpocet - Vyvoj aplikacii'!$B$3:$B$179,'TCO TO BE- SW'!X$2,'Rozpocet - Vyvoj aplikacii'!$I$3:$I$179),0),0)</f>
        <v>0</v>
      </c>
      <c r="Y64" s="540">
        <f>IFERROR(IF(VLOOKUP(Y$2,MODULY_CBA!$B$3:$L$23,8,0)=$D64,SUMIF('Rozpocet - Vyvoj aplikacii'!$B$3:$B$179,'TCO TO BE- SW'!Y$2,'Rozpocet - Vyvoj aplikacii'!$I$3:$I$179),0),0)</f>
        <v>0</v>
      </c>
      <c r="Z64" s="540">
        <f>IFERROR(IF(VLOOKUP(Z$2,MODULY_CBA!$B$3:$L$23,8,0)=$D64,SUMIF('Rozpocet - Vyvoj aplikacii'!$B$3:$B$179,'TCO TO BE- SW'!Z$2,'Rozpocet - Vyvoj aplikacii'!$I$3:$I$179),0),0)</f>
        <v>0</v>
      </c>
    </row>
    <row r="65" spans="1:26" outlineLevel="2" x14ac:dyDescent="0.2">
      <c r="A65" s="884"/>
      <c r="B65" s="885"/>
      <c r="C65" s="885"/>
      <c r="D65" s="64">
        <v>9</v>
      </c>
      <c r="E65" s="68">
        <f t="shared" si="7"/>
        <v>0</v>
      </c>
      <c r="F65" s="540">
        <f>IFERROR(IF(VLOOKUP(F$2,MODULY_CBA!$B$3:$L$23,8,0)=$D65,SUMIF('Rozpocet - Vyvoj aplikacii'!$B$3:$B$179,'TCO TO BE- SW'!F$2,'Rozpocet - Vyvoj aplikacii'!$I$3:$I$179),0),0)</f>
        <v>0</v>
      </c>
      <c r="G65" s="540">
        <f>IFERROR(IF(VLOOKUP(G$2,MODULY_CBA!$B$3:$L$23,8,0)=$D65,SUMIF('Rozpocet - Vyvoj aplikacii'!$B$3:$B$179,'TCO TO BE- SW'!G$2,'Rozpocet - Vyvoj aplikacii'!$I$3:$I$179),0),0)</f>
        <v>0</v>
      </c>
      <c r="H65" s="540">
        <f>IFERROR(IF(VLOOKUP(H$2,MODULY_CBA!$B$3:$L$23,8,0)=$D65,SUMIF('Rozpocet - Vyvoj aplikacii'!$B$3:$B$179,'TCO TO BE- SW'!H$2,'Rozpocet - Vyvoj aplikacii'!$I$3:$I$179),0),0)</f>
        <v>0</v>
      </c>
      <c r="I65" s="540">
        <f>IFERROR(IF(VLOOKUP(I$2,MODULY_CBA!$B$3:$L$23,8,0)=$D65,SUMIF('Rozpocet - Vyvoj aplikacii'!$B$3:$B$179,'TCO TO BE- SW'!I$2,'Rozpocet - Vyvoj aplikacii'!$I$3:$I$179),0),0)</f>
        <v>0</v>
      </c>
      <c r="J65" s="540">
        <f>IFERROR(IF(VLOOKUP(J$2,MODULY_CBA!$B$3:$L$23,8,0)=$D65,SUMIF('Rozpocet - Vyvoj aplikacii'!$B$3:$B$179,'TCO TO BE- SW'!J$2,'Rozpocet - Vyvoj aplikacii'!$I$3:$I$179),0),0)</f>
        <v>0</v>
      </c>
      <c r="K65" s="540">
        <f>IFERROR(IF(VLOOKUP(K$2,MODULY_CBA!$B$3:$L$23,8,0)=$D65,SUMIF('Rozpocet - Vyvoj aplikacii'!$B$3:$B$179,'TCO TO BE- SW'!K$2,'Rozpocet - Vyvoj aplikacii'!$I$3:$I$179),0),0)</f>
        <v>0</v>
      </c>
      <c r="L65" s="540">
        <f>IFERROR(IF(VLOOKUP(L$2,MODULY_CBA!$B$3:$L$23,8,0)=$D65,SUMIF('Rozpocet - Vyvoj aplikacii'!$B$3:$B$179,'TCO TO BE- SW'!L$2,'Rozpocet - Vyvoj aplikacii'!$I$3:$I$179),0),0)</f>
        <v>0</v>
      </c>
      <c r="M65" s="540">
        <f>IFERROR(IF(VLOOKUP(M$2,MODULY_CBA!$B$3:$L$23,8,0)=$D65,SUMIF('Rozpocet - Vyvoj aplikacii'!$B$3:$B$179,'TCO TO BE- SW'!M$2,'Rozpocet - Vyvoj aplikacii'!$I$3:$I$179),0),0)</f>
        <v>0</v>
      </c>
      <c r="N65" s="540">
        <f>IFERROR(IF(VLOOKUP(N$2,MODULY_CBA!$B$3:$L$23,8,0)=$D65,SUMIF('Rozpocet - Vyvoj aplikacii'!$B$3:$B$179,'TCO TO BE- SW'!N$2,'Rozpocet - Vyvoj aplikacii'!$I$3:$I$179),0),0)</f>
        <v>0</v>
      </c>
      <c r="O65" s="540">
        <f>IFERROR(IF(VLOOKUP(O$2,MODULY_CBA!$B$3:$L$23,8,0)=$D65,SUMIF('Rozpocet - Vyvoj aplikacii'!$B$3:$B$179,'TCO TO BE- SW'!O$2,'Rozpocet - Vyvoj aplikacii'!$I$3:$I$179),0),0)</f>
        <v>0</v>
      </c>
      <c r="P65" s="540">
        <f>IFERROR(IF(VLOOKUP(P$2,MODULY_CBA!$B$3:$L$23,8,0)=$D65,SUMIF('Rozpocet - Vyvoj aplikacii'!$B$3:$B$179,'TCO TO BE- SW'!P$2,'Rozpocet - Vyvoj aplikacii'!$I$3:$I$179),0),0)</f>
        <v>0</v>
      </c>
      <c r="Q65" s="540">
        <f>IFERROR(IF(VLOOKUP(Q$2,MODULY_CBA!$B$3:$L$23,8,0)=$D65,SUMIF('Rozpocet - Vyvoj aplikacii'!$B$3:$B$179,'TCO TO BE- SW'!Q$2,'Rozpocet - Vyvoj aplikacii'!$I$3:$I$179),0),0)</f>
        <v>0</v>
      </c>
      <c r="R65" s="540">
        <f>IFERROR(IF(VLOOKUP(R$2,MODULY_CBA!$B$3:$L$23,8,0)=$D65,SUMIF('Rozpocet - Vyvoj aplikacii'!$B$3:$B$179,'TCO TO BE- SW'!R$2,'Rozpocet - Vyvoj aplikacii'!$I$3:$I$179),0),0)</f>
        <v>0</v>
      </c>
      <c r="S65" s="540">
        <f>IFERROR(IF(VLOOKUP(S$2,MODULY_CBA!$B$3:$L$23,8,0)=$D65,SUMIF('Rozpocet - Vyvoj aplikacii'!$B$3:$B$179,'TCO TO BE- SW'!S$2,'Rozpocet - Vyvoj aplikacii'!$I$3:$I$179),0),0)</f>
        <v>0</v>
      </c>
      <c r="T65" s="540">
        <f>IFERROR(IF(VLOOKUP(T$2,MODULY_CBA!$B$3:$L$23,8,0)=$D65,SUMIF('Rozpocet - Vyvoj aplikacii'!$B$3:$B$179,'TCO TO BE- SW'!T$2,'Rozpocet - Vyvoj aplikacii'!$I$3:$I$179),0),0)</f>
        <v>0</v>
      </c>
      <c r="U65" s="540">
        <f>IFERROR(IF(VLOOKUP(U$2,MODULY_CBA!$B$3:$L$23,8,0)=$D65,SUMIF('Rozpocet - Vyvoj aplikacii'!$B$3:$B$179,'TCO TO BE- SW'!U$2,'Rozpocet - Vyvoj aplikacii'!$I$3:$I$179),0),0)</f>
        <v>0</v>
      </c>
      <c r="V65" s="540">
        <f>IFERROR(IF(VLOOKUP(V$2,MODULY_CBA!$B$3:$L$23,8,0)=$D65,SUMIF('Rozpocet - Vyvoj aplikacii'!$B$3:$B$179,'TCO TO BE- SW'!V$2,'Rozpocet - Vyvoj aplikacii'!$I$3:$I$179),0),0)</f>
        <v>0</v>
      </c>
      <c r="W65" s="540">
        <f>IFERROR(IF(VLOOKUP(W$2,MODULY_CBA!$B$3:$L$23,8,0)=$D65,SUMIF('Rozpocet - Vyvoj aplikacii'!$B$3:$B$179,'TCO TO BE- SW'!W$2,'Rozpocet - Vyvoj aplikacii'!$I$3:$I$179),0),0)</f>
        <v>0</v>
      </c>
      <c r="X65" s="540">
        <f>IFERROR(IF(VLOOKUP(X$2,MODULY_CBA!$B$3:$L$23,8,0)=$D65,SUMIF('Rozpocet - Vyvoj aplikacii'!$B$3:$B$179,'TCO TO BE- SW'!X$2,'Rozpocet - Vyvoj aplikacii'!$I$3:$I$179),0),0)</f>
        <v>0</v>
      </c>
      <c r="Y65" s="540">
        <f>IFERROR(IF(VLOOKUP(Y$2,MODULY_CBA!$B$3:$L$23,8,0)=$D65,SUMIF('Rozpocet - Vyvoj aplikacii'!$B$3:$B$179,'TCO TO BE- SW'!Y$2,'Rozpocet - Vyvoj aplikacii'!$I$3:$I$179),0),0)</f>
        <v>0</v>
      </c>
      <c r="Z65" s="540">
        <f>IFERROR(IF(VLOOKUP(Z$2,MODULY_CBA!$B$3:$L$23,8,0)=$D65,SUMIF('Rozpocet - Vyvoj aplikacii'!$B$3:$B$179,'TCO TO BE- SW'!Z$2,'Rozpocet - Vyvoj aplikacii'!$I$3:$I$179),0),0)</f>
        <v>0</v>
      </c>
    </row>
    <row r="66" spans="1:26" ht="16" outlineLevel="2" thickBot="1" x14ac:dyDescent="0.25">
      <c r="A66" s="884"/>
      <c r="B66" s="885"/>
      <c r="C66" s="885"/>
      <c r="D66" s="65">
        <v>10</v>
      </c>
      <c r="E66" s="69">
        <f t="shared" si="7"/>
        <v>0</v>
      </c>
      <c r="F66" s="541">
        <f>IFERROR(IF(VLOOKUP(F$2,MODULY_CBA!$B$3:$L$23,8,0)=$D66,SUMIF('Rozpocet - Vyvoj aplikacii'!$B$3:$B$179,'TCO TO BE- SW'!F$2,'Rozpocet - Vyvoj aplikacii'!$I$3:$I$179),0),0)</f>
        <v>0</v>
      </c>
      <c r="G66" s="541">
        <f>IFERROR(IF(VLOOKUP(G$2,MODULY_CBA!$B$3:$L$23,8,0)=$D66,SUMIF('Rozpocet - Vyvoj aplikacii'!$B$3:$B$179,'TCO TO BE- SW'!G$2,'Rozpocet - Vyvoj aplikacii'!$I$3:$I$179),0),0)</f>
        <v>0</v>
      </c>
      <c r="H66" s="541">
        <f>IFERROR(IF(VLOOKUP(H$2,MODULY_CBA!$B$3:$L$23,8,0)=$D66,SUMIF('Rozpocet - Vyvoj aplikacii'!$B$3:$B$179,'TCO TO BE- SW'!H$2,'Rozpocet - Vyvoj aplikacii'!$I$3:$I$179),0),0)</f>
        <v>0</v>
      </c>
      <c r="I66" s="541">
        <f>IFERROR(IF(VLOOKUP(I$2,MODULY_CBA!$B$3:$L$23,8,0)=$D66,SUMIF('Rozpocet - Vyvoj aplikacii'!$B$3:$B$179,'TCO TO BE- SW'!I$2,'Rozpocet - Vyvoj aplikacii'!$I$3:$I$179),0),0)</f>
        <v>0</v>
      </c>
      <c r="J66" s="541">
        <f>IFERROR(IF(VLOOKUP(J$2,MODULY_CBA!$B$3:$L$23,8,0)=$D66,SUMIF('Rozpocet - Vyvoj aplikacii'!$B$3:$B$179,'TCO TO BE- SW'!J$2,'Rozpocet - Vyvoj aplikacii'!$I$3:$I$179),0),0)</f>
        <v>0</v>
      </c>
      <c r="K66" s="541">
        <f>IFERROR(IF(VLOOKUP(K$2,MODULY_CBA!$B$3:$L$23,8,0)=$D66,SUMIF('Rozpocet - Vyvoj aplikacii'!$B$3:$B$179,'TCO TO BE- SW'!K$2,'Rozpocet - Vyvoj aplikacii'!$I$3:$I$179),0),0)</f>
        <v>0</v>
      </c>
      <c r="L66" s="541">
        <f>IFERROR(IF(VLOOKUP(L$2,MODULY_CBA!$B$3:$L$23,8,0)=$D66,SUMIF('Rozpocet - Vyvoj aplikacii'!$B$3:$B$179,'TCO TO BE- SW'!L$2,'Rozpocet - Vyvoj aplikacii'!$I$3:$I$179),0),0)</f>
        <v>0</v>
      </c>
      <c r="M66" s="541">
        <f>IFERROR(IF(VLOOKUP(M$2,MODULY_CBA!$B$3:$L$23,8,0)=$D66,SUMIF('Rozpocet - Vyvoj aplikacii'!$B$3:$B$179,'TCO TO BE- SW'!M$2,'Rozpocet - Vyvoj aplikacii'!$I$3:$I$179),0),0)</f>
        <v>0</v>
      </c>
      <c r="N66" s="541">
        <f>IFERROR(IF(VLOOKUP(N$2,MODULY_CBA!$B$3:$L$23,8,0)=$D66,SUMIF('Rozpocet - Vyvoj aplikacii'!$B$3:$B$179,'TCO TO BE- SW'!N$2,'Rozpocet - Vyvoj aplikacii'!$I$3:$I$179),0),0)</f>
        <v>0</v>
      </c>
      <c r="O66" s="541">
        <f>IFERROR(IF(VLOOKUP(O$2,MODULY_CBA!$B$3:$L$23,8,0)=$D66,SUMIF('Rozpocet - Vyvoj aplikacii'!$B$3:$B$179,'TCO TO BE- SW'!O$2,'Rozpocet - Vyvoj aplikacii'!$I$3:$I$179),0),0)</f>
        <v>0</v>
      </c>
      <c r="P66" s="541">
        <f>IFERROR(IF(VLOOKUP(P$2,MODULY_CBA!$B$3:$L$23,8,0)=$D66,SUMIF('Rozpocet - Vyvoj aplikacii'!$B$3:$B$179,'TCO TO BE- SW'!P$2,'Rozpocet - Vyvoj aplikacii'!$I$3:$I$179),0),0)</f>
        <v>0</v>
      </c>
      <c r="Q66" s="541">
        <f>IFERROR(IF(VLOOKUP(Q$2,MODULY_CBA!$B$3:$L$23,8,0)=$D66,SUMIF('Rozpocet - Vyvoj aplikacii'!$B$3:$B$179,'TCO TO BE- SW'!Q$2,'Rozpocet - Vyvoj aplikacii'!$I$3:$I$179),0),0)</f>
        <v>0</v>
      </c>
      <c r="R66" s="541">
        <f>IFERROR(IF(VLOOKUP(R$2,MODULY_CBA!$B$3:$L$23,8,0)=$D66,SUMIF('Rozpocet - Vyvoj aplikacii'!$B$3:$B$179,'TCO TO BE- SW'!R$2,'Rozpocet - Vyvoj aplikacii'!$I$3:$I$179),0),0)</f>
        <v>0</v>
      </c>
      <c r="S66" s="541">
        <f>IFERROR(IF(VLOOKUP(S$2,MODULY_CBA!$B$3:$L$23,8,0)=$D66,SUMIF('Rozpocet - Vyvoj aplikacii'!$B$3:$B$179,'TCO TO BE- SW'!S$2,'Rozpocet - Vyvoj aplikacii'!$I$3:$I$179),0),0)</f>
        <v>0</v>
      </c>
      <c r="T66" s="541">
        <f>IFERROR(IF(VLOOKUP(T$2,MODULY_CBA!$B$3:$L$23,8,0)=$D66,SUMIF('Rozpocet - Vyvoj aplikacii'!$B$3:$B$179,'TCO TO BE- SW'!T$2,'Rozpocet - Vyvoj aplikacii'!$I$3:$I$179),0),0)</f>
        <v>0</v>
      </c>
      <c r="U66" s="541">
        <f>IFERROR(IF(VLOOKUP(U$2,MODULY_CBA!$B$3:$L$23,8,0)=$D66,SUMIF('Rozpocet - Vyvoj aplikacii'!$B$3:$B$179,'TCO TO BE- SW'!U$2,'Rozpocet - Vyvoj aplikacii'!$I$3:$I$179),0),0)</f>
        <v>0</v>
      </c>
      <c r="V66" s="541">
        <f>IFERROR(IF(VLOOKUP(V$2,MODULY_CBA!$B$3:$L$23,8,0)=$D66,SUMIF('Rozpocet - Vyvoj aplikacii'!$B$3:$B$179,'TCO TO BE- SW'!V$2,'Rozpocet - Vyvoj aplikacii'!$I$3:$I$179),0),0)</f>
        <v>0</v>
      </c>
      <c r="W66" s="541">
        <f>IFERROR(IF(VLOOKUP(W$2,MODULY_CBA!$B$3:$L$23,8,0)=$D66,SUMIF('Rozpocet - Vyvoj aplikacii'!$B$3:$B$179,'TCO TO BE- SW'!W$2,'Rozpocet - Vyvoj aplikacii'!$I$3:$I$179),0),0)</f>
        <v>0</v>
      </c>
      <c r="X66" s="541">
        <f>IFERROR(IF(VLOOKUP(X$2,MODULY_CBA!$B$3:$L$23,8,0)=$D66,SUMIF('Rozpocet - Vyvoj aplikacii'!$B$3:$B$179,'TCO TO BE- SW'!X$2,'Rozpocet - Vyvoj aplikacii'!$I$3:$I$179),0),0)</f>
        <v>0</v>
      </c>
      <c r="Y66" s="541">
        <f>IFERROR(IF(VLOOKUP(Y$2,MODULY_CBA!$B$3:$L$23,8,0)=$D66,SUMIF('Rozpocet - Vyvoj aplikacii'!$B$3:$B$179,'TCO TO BE- SW'!Y$2,'Rozpocet - Vyvoj aplikacii'!$I$3:$I$179),0),0)</f>
        <v>0</v>
      </c>
      <c r="Z66" s="541">
        <f>IFERROR(IF(VLOOKUP(Z$2,MODULY_CBA!$B$3:$L$23,8,0)=$D66,SUMIF('Rozpocet - Vyvoj aplikacii'!$B$3:$B$179,'TCO TO BE- SW'!Z$2,'Rozpocet - Vyvoj aplikacii'!$I$3:$I$179),0),0)</f>
        <v>0</v>
      </c>
    </row>
    <row r="67" spans="1:26" outlineLevel="2" x14ac:dyDescent="0.2">
      <c r="A67" s="884" t="s">
        <v>1166</v>
      </c>
      <c r="B67" s="885" t="s">
        <v>1167</v>
      </c>
      <c r="C67" s="885">
        <v>637040</v>
      </c>
      <c r="D67" s="63">
        <v>1</v>
      </c>
      <c r="E67" s="68">
        <f t="shared" si="6"/>
        <v>0</v>
      </c>
      <c r="F67" s="542">
        <v>0</v>
      </c>
      <c r="G67" s="542">
        <v>0</v>
      </c>
      <c r="H67" s="542">
        <v>0</v>
      </c>
      <c r="I67" s="542">
        <v>0</v>
      </c>
      <c r="J67" s="542">
        <v>0</v>
      </c>
      <c r="K67" s="542">
        <v>0</v>
      </c>
      <c r="L67" s="542">
        <v>0</v>
      </c>
      <c r="M67" s="542">
        <v>0</v>
      </c>
      <c r="N67" s="542">
        <v>0</v>
      </c>
      <c r="O67" s="542">
        <v>0</v>
      </c>
      <c r="P67" s="542">
        <v>0</v>
      </c>
      <c r="Q67" s="542">
        <v>0</v>
      </c>
      <c r="R67" s="542">
        <v>0</v>
      </c>
      <c r="S67" s="542">
        <v>0</v>
      </c>
      <c r="T67" s="542">
        <v>0</v>
      </c>
      <c r="U67" s="542">
        <v>0</v>
      </c>
      <c r="V67" s="542">
        <v>0</v>
      </c>
      <c r="W67" s="542">
        <v>0</v>
      </c>
      <c r="X67" s="542">
        <v>0</v>
      </c>
      <c r="Y67" s="542">
        <v>0</v>
      </c>
      <c r="Z67" s="542">
        <v>0</v>
      </c>
    </row>
    <row r="68" spans="1:26" outlineLevel="2" x14ac:dyDescent="0.2">
      <c r="A68" s="884"/>
      <c r="B68" s="885"/>
      <c r="C68" s="885"/>
      <c r="D68" s="64">
        <v>2</v>
      </c>
      <c r="E68" s="68">
        <f t="shared" si="6"/>
        <v>0</v>
      </c>
      <c r="F68" s="543">
        <v>0</v>
      </c>
      <c r="G68" s="543">
        <v>0</v>
      </c>
      <c r="H68" s="543">
        <v>0</v>
      </c>
      <c r="I68" s="543">
        <v>0</v>
      </c>
      <c r="J68" s="543">
        <v>0</v>
      </c>
      <c r="K68" s="543">
        <v>0</v>
      </c>
      <c r="L68" s="543">
        <v>0</v>
      </c>
      <c r="M68" s="543">
        <v>0</v>
      </c>
      <c r="N68" s="543">
        <v>0</v>
      </c>
      <c r="O68" s="543">
        <v>0</v>
      </c>
      <c r="P68" s="543">
        <v>0</v>
      </c>
      <c r="Q68" s="543">
        <v>0</v>
      </c>
      <c r="R68" s="543">
        <v>0</v>
      </c>
      <c r="S68" s="543">
        <v>0</v>
      </c>
      <c r="T68" s="543">
        <v>0</v>
      </c>
      <c r="U68" s="543">
        <v>0</v>
      </c>
      <c r="V68" s="543">
        <v>0</v>
      </c>
      <c r="W68" s="543">
        <v>0</v>
      </c>
      <c r="X68" s="543">
        <v>0</v>
      </c>
      <c r="Y68" s="543">
        <v>0</v>
      </c>
      <c r="Z68" s="543">
        <v>0</v>
      </c>
    </row>
    <row r="69" spans="1:26" outlineLevel="2" x14ac:dyDescent="0.2">
      <c r="A69" s="884"/>
      <c r="B69" s="885"/>
      <c r="C69" s="885"/>
      <c r="D69" s="64">
        <v>3</v>
      </c>
      <c r="E69" s="68">
        <f t="shared" si="6"/>
        <v>0</v>
      </c>
      <c r="F69" s="543">
        <v>0</v>
      </c>
      <c r="G69" s="543">
        <v>0</v>
      </c>
      <c r="H69" s="543">
        <v>0</v>
      </c>
      <c r="I69" s="543">
        <v>0</v>
      </c>
      <c r="J69" s="543">
        <v>0</v>
      </c>
      <c r="K69" s="543">
        <v>0</v>
      </c>
      <c r="L69" s="543">
        <v>0</v>
      </c>
      <c r="M69" s="543">
        <v>0</v>
      </c>
      <c r="N69" s="543">
        <v>0</v>
      </c>
      <c r="O69" s="543">
        <v>0</v>
      </c>
      <c r="P69" s="543">
        <v>0</v>
      </c>
      <c r="Q69" s="543">
        <v>0</v>
      </c>
      <c r="R69" s="543">
        <v>0</v>
      </c>
      <c r="S69" s="543">
        <v>0</v>
      </c>
      <c r="T69" s="543">
        <v>0</v>
      </c>
      <c r="U69" s="543">
        <v>0</v>
      </c>
      <c r="V69" s="543">
        <v>0</v>
      </c>
      <c r="W69" s="543">
        <v>0</v>
      </c>
      <c r="X69" s="543">
        <v>0</v>
      </c>
      <c r="Y69" s="543">
        <v>0</v>
      </c>
      <c r="Z69" s="543">
        <v>0</v>
      </c>
    </row>
    <row r="70" spans="1:26" outlineLevel="2" x14ac:dyDescent="0.2">
      <c r="A70" s="884"/>
      <c r="B70" s="885"/>
      <c r="C70" s="885"/>
      <c r="D70" s="64">
        <v>4</v>
      </c>
      <c r="E70" s="68">
        <f t="shared" si="6"/>
        <v>0</v>
      </c>
      <c r="F70" s="543">
        <v>0</v>
      </c>
      <c r="G70" s="543">
        <v>0</v>
      </c>
      <c r="H70" s="543">
        <v>0</v>
      </c>
      <c r="I70" s="543">
        <v>0</v>
      </c>
      <c r="J70" s="543">
        <v>0</v>
      </c>
      <c r="K70" s="543">
        <v>0</v>
      </c>
      <c r="L70" s="543">
        <v>0</v>
      </c>
      <c r="M70" s="543">
        <v>0</v>
      </c>
      <c r="N70" s="543">
        <v>0</v>
      </c>
      <c r="O70" s="543">
        <v>0</v>
      </c>
      <c r="P70" s="543">
        <v>0</v>
      </c>
      <c r="Q70" s="543">
        <v>0</v>
      </c>
      <c r="R70" s="543">
        <v>0</v>
      </c>
      <c r="S70" s="543">
        <v>0</v>
      </c>
      <c r="T70" s="543">
        <v>0</v>
      </c>
      <c r="U70" s="543">
        <v>0</v>
      </c>
      <c r="V70" s="543">
        <v>0</v>
      </c>
      <c r="W70" s="543">
        <v>0</v>
      </c>
      <c r="X70" s="543">
        <v>0</v>
      </c>
      <c r="Y70" s="543">
        <v>0</v>
      </c>
      <c r="Z70" s="543">
        <v>0</v>
      </c>
    </row>
    <row r="71" spans="1:26" outlineLevel="2" x14ac:dyDescent="0.2">
      <c r="A71" s="884"/>
      <c r="B71" s="885"/>
      <c r="C71" s="885"/>
      <c r="D71" s="64">
        <v>5</v>
      </c>
      <c r="E71" s="68">
        <f t="shared" si="6"/>
        <v>0</v>
      </c>
      <c r="F71" s="543">
        <v>0</v>
      </c>
      <c r="G71" s="543">
        <v>0</v>
      </c>
      <c r="H71" s="543">
        <v>0</v>
      </c>
      <c r="I71" s="543">
        <v>0</v>
      </c>
      <c r="J71" s="543">
        <v>0</v>
      </c>
      <c r="K71" s="543">
        <v>0</v>
      </c>
      <c r="L71" s="543">
        <v>0</v>
      </c>
      <c r="M71" s="543">
        <v>0</v>
      </c>
      <c r="N71" s="543">
        <v>0</v>
      </c>
      <c r="O71" s="543">
        <v>0</v>
      </c>
      <c r="P71" s="543">
        <v>0</v>
      </c>
      <c r="Q71" s="543">
        <v>0</v>
      </c>
      <c r="R71" s="543">
        <v>0</v>
      </c>
      <c r="S71" s="543">
        <v>0</v>
      </c>
      <c r="T71" s="543">
        <v>0</v>
      </c>
      <c r="U71" s="543">
        <v>0</v>
      </c>
      <c r="V71" s="543">
        <v>0</v>
      </c>
      <c r="W71" s="543">
        <v>0</v>
      </c>
      <c r="X71" s="543">
        <v>0</v>
      </c>
      <c r="Y71" s="543">
        <v>0</v>
      </c>
      <c r="Z71" s="543">
        <v>0</v>
      </c>
    </row>
    <row r="72" spans="1:26" outlineLevel="2" x14ac:dyDescent="0.2">
      <c r="A72" s="884"/>
      <c r="B72" s="885"/>
      <c r="C72" s="885"/>
      <c r="D72" s="64">
        <v>6</v>
      </c>
      <c r="E72" s="68">
        <f t="shared" si="6"/>
        <v>0</v>
      </c>
      <c r="F72" s="543">
        <v>0</v>
      </c>
      <c r="G72" s="543">
        <v>0</v>
      </c>
      <c r="H72" s="543">
        <v>0</v>
      </c>
      <c r="I72" s="543">
        <v>0</v>
      </c>
      <c r="J72" s="543">
        <v>0</v>
      </c>
      <c r="K72" s="543">
        <v>0</v>
      </c>
      <c r="L72" s="543">
        <v>0</v>
      </c>
      <c r="M72" s="543">
        <v>0</v>
      </c>
      <c r="N72" s="543">
        <v>0</v>
      </c>
      <c r="O72" s="543">
        <v>0</v>
      </c>
      <c r="P72" s="543">
        <v>0</v>
      </c>
      <c r="Q72" s="543">
        <v>0</v>
      </c>
      <c r="R72" s="543">
        <v>0</v>
      </c>
      <c r="S72" s="543">
        <v>0</v>
      </c>
      <c r="T72" s="543">
        <v>0</v>
      </c>
      <c r="U72" s="543">
        <v>0</v>
      </c>
      <c r="V72" s="543">
        <v>0</v>
      </c>
      <c r="W72" s="543">
        <v>0</v>
      </c>
      <c r="X72" s="543">
        <v>0</v>
      </c>
      <c r="Y72" s="543">
        <v>0</v>
      </c>
      <c r="Z72" s="543">
        <v>0</v>
      </c>
    </row>
    <row r="73" spans="1:26" outlineLevel="2" x14ac:dyDescent="0.2">
      <c r="A73" s="884"/>
      <c r="B73" s="885"/>
      <c r="C73" s="885"/>
      <c r="D73" s="64">
        <v>7</v>
      </c>
      <c r="E73" s="68">
        <f t="shared" si="6"/>
        <v>0</v>
      </c>
      <c r="F73" s="543">
        <v>0</v>
      </c>
      <c r="G73" s="543">
        <v>0</v>
      </c>
      <c r="H73" s="543">
        <v>0</v>
      </c>
      <c r="I73" s="543">
        <v>0</v>
      </c>
      <c r="J73" s="543">
        <v>0</v>
      </c>
      <c r="K73" s="543">
        <v>0</v>
      </c>
      <c r="L73" s="543">
        <v>0</v>
      </c>
      <c r="M73" s="543">
        <v>0</v>
      </c>
      <c r="N73" s="543">
        <v>0</v>
      </c>
      <c r="O73" s="543">
        <v>0</v>
      </c>
      <c r="P73" s="543">
        <v>0</v>
      </c>
      <c r="Q73" s="543">
        <v>0</v>
      </c>
      <c r="R73" s="543">
        <v>0</v>
      </c>
      <c r="S73" s="543">
        <v>0</v>
      </c>
      <c r="T73" s="543">
        <v>0</v>
      </c>
      <c r="U73" s="543">
        <v>0</v>
      </c>
      <c r="V73" s="543">
        <v>0</v>
      </c>
      <c r="W73" s="543">
        <v>0</v>
      </c>
      <c r="X73" s="543">
        <v>0</v>
      </c>
      <c r="Y73" s="543">
        <v>0</v>
      </c>
      <c r="Z73" s="543">
        <v>0</v>
      </c>
    </row>
    <row r="74" spans="1:26" outlineLevel="2" x14ac:dyDescent="0.2">
      <c r="A74" s="884"/>
      <c r="B74" s="885"/>
      <c r="C74" s="885"/>
      <c r="D74" s="64">
        <v>8</v>
      </c>
      <c r="E74" s="68">
        <f t="shared" si="6"/>
        <v>0</v>
      </c>
      <c r="F74" s="543">
        <v>0</v>
      </c>
      <c r="G74" s="543">
        <v>0</v>
      </c>
      <c r="H74" s="543">
        <v>0</v>
      </c>
      <c r="I74" s="543">
        <v>0</v>
      </c>
      <c r="J74" s="543">
        <v>0</v>
      </c>
      <c r="K74" s="543">
        <v>0</v>
      </c>
      <c r="L74" s="543">
        <v>0</v>
      </c>
      <c r="M74" s="543">
        <v>0</v>
      </c>
      <c r="N74" s="543">
        <v>0</v>
      </c>
      <c r="O74" s="543">
        <v>0</v>
      </c>
      <c r="P74" s="543">
        <v>0</v>
      </c>
      <c r="Q74" s="543">
        <v>0</v>
      </c>
      <c r="R74" s="543">
        <v>0</v>
      </c>
      <c r="S74" s="543">
        <v>0</v>
      </c>
      <c r="T74" s="543">
        <v>0</v>
      </c>
      <c r="U74" s="543">
        <v>0</v>
      </c>
      <c r="V74" s="543">
        <v>0</v>
      </c>
      <c r="W74" s="543">
        <v>0</v>
      </c>
      <c r="X74" s="543">
        <v>0</v>
      </c>
      <c r="Y74" s="543">
        <v>0</v>
      </c>
      <c r="Z74" s="543">
        <v>0</v>
      </c>
    </row>
    <row r="75" spans="1:26" outlineLevel="2" x14ac:dyDescent="0.2">
      <c r="A75" s="884"/>
      <c r="B75" s="885"/>
      <c r="C75" s="885"/>
      <c r="D75" s="64">
        <v>9</v>
      </c>
      <c r="E75" s="68">
        <f t="shared" si="6"/>
        <v>0</v>
      </c>
      <c r="F75" s="543">
        <v>0</v>
      </c>
      <c r="G75" s="543">
        <v>0</v>
      </c>
      <c r="H75" s="543">
        <v>0</v>
      </c>
      <c r="I75" s="543">
        <v>0</v>
      </c>
      <c r="J75" s="543">
        <v>0</v>
      </c>
      <c r="K75" s="543">
        <v>0</v>
      </c>
      <c r="L75" s="543">
        <v>0</v>
      </c>
      <c r="M75" s="543">
        <v>0</v>
      </c>
      <c r="N75" s="543">
        <v>0</v>
      </c>
      <c r="O75" s="543">
        <v>0</v>
      </c>
      <c r="P75" s="543">
        <v>0</v>
      </c>
      <c r="Q75" s="543">
        <v>0</v>
      </c>
      <c r="R75" s="543">
        <v>0</v>
      </c>
      <c r="S75" s="543">
        <v>0</v>
      </c>
      <c r="T75" s="543">
        <v>0</v>
      </c>
      <c r="U75" s="543">
        <v>0</v>
      </c>
      <c r="V75" s="543">
        <v>0</v>
      </c>
      <c r="W75" s="543">
        <v>0</v>
      </c>
      <c r="X75" s="543">
        <v>0</v>
      </c>
      <c r="Y75" s="543">
        <v>0</v>
      </c>
      <c r="Z75" s="543">
        <v>0</v>
      </c>
    </row>
    <row r="76" spans="1:26" ht="16" outlineLevel="2" thickBot="1" x14ac:dyDescent="0.25">
      <c r="A76" s="884"/>
      <c r="B76" s="885"/>
      <c r="C76" s="885"/>
      <c r="D76" s="65">
        <v>10</v>
      </c>
      <c r="E76" s="69">
        <f t="shared" si="6"/>
        <v>0</v>
      </c>
      <c r="F76" s="547">
        <v>0</v>
      </c>
      <c r="G76" s="547">
        <v>0</v>
      </c>
      <c r="H76" s="547">
        <v>0</v>
      </c>
      <c r="I76" s="547">
        <v>0</v>
      </c>
      <c r="J76" s="547">
        <v>0</v>
      </c>
      <c r="K76" s="547">
        <v>0</v>
      </c>
      <c r="L76" s="547">
        <v>0</v>
      </c>
      <c r="M76" s="547">
        <v>0</v>
      </c>
      <c r="N76" s="547">
        <v>0</v>
      </c>
      <c r="O76" s="547">
        <v>0</v>
      </c>
      <c r="P76" s="547">
        <v>0</v>
      </c>
      <c r="Q76" s="547">
        <v>0</v>
      </c>
      <c r="R76" s="547">
        <v>0</v>
      </c>
      <c r="S76" s="547">
        <v>0</v>
      </c>
      <c r="T76" s="547">
        <v>0</v>
      </c>
      <c r="U76" s="547">
        <v>0</v>
      </c>
      <c r="V76" s="547">
        <v>0</v>
      </c>
      <c r="W76" s="547">
        <v>0</v>
      </c>
      <c r="X76" s="547">
        <v>0</v>
      </c>
      <c r="Y76" s="547">
        <v>0</v>
      </c>
      <c r="Z76" s="547">
        <v>0</v>
      </c>
    </row>
    <row r="77" spans="1:26" ht="16" thickBot="1" x14ac:dyDescent="0.25">
      <c r="A77" s="891" t="s">
        <v>1155</v>
      </c>
      <c r="B77" s="892"/>
      <c r="C77" s="892"/>
      <c r="D77" s="75"/>
      <c r="E77" s="72">
        <f t="shared" ref="E77:F77" si="8">E78+E99</f>
        <v>3243768.152400001</v>
      </c>
      <c r="F77" s="73">
        <f t="shared" si="8"/>
        <v>1172891.3405261899</v>
      </c>
      <c r="G77" s="73">
        <f t="shared" ref="G77:Z77" si="9">G78+G99</f>
        <v>362706.20184573444</v>
      </c>
      <c r="H77" s="73">
        <f t="shared" si="9"/>
        <v>566160.76581930183</v>
      </c>
      <c r="I77" s="73">
        <f t="shared" si="9"/>
        <v>700586.10273040889</v>
      </c>
      <c r="J77" s="73">
        <f t="shared" si="9"/>
        <v>279750.02546365501</v>
      </c>
      <c r="K77" s="73">
        <f t="shared" si="9"/>
        <v>85378.254524621996</v>
      </c>
      <c r="L77" s="73">
        <f t="shared" si="9"/>
        <v>76295.461490087735</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6" outlineLevel="1" thickBot="1" x14ac:dyDescent="0.25">
      <c r="A78" s="17" t="s">
        <v>1156</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x14ac:dyDescent="0.2">
      <c r="A79" s="884" t="s">
        <v>1157</v>
      </c>
      <c r="B79" s="885" t="s">
        <v>1158</v>
      </c>
      <c r="C79" s="885">
        <v>635009</v>
      </c>
      <c r="D79" s="63">
        <v>1</v>
      </c>
      <c r="E79" s="60">
        <f t="shared" ref="E79:E98" si="12">SUM(F79:Z79)</f>
        <v>0</v>
      </c>
      <c r="F79" s="548">
        <f>IFERROR(IF(VLOOKUP(F$2,MODULY_CBA!$B$3:$N$23,13,0)&lt;='TCO TO BE- SW'!$D79,SUM('TCO TO BE- SW'!F$6:F$15)*VLOOKUP('TCO TO BE- SW'!F$2,MODULY_CBA!$B$3:$M$23,12,0),0),0)</f>
        <v>0</v>
      </c>
      <c r="G79" s="548">
        <f>IFERROR(IF(VLOOKUP(G$2,MODULY_CBA!$B$3:$N$23,13,0)&lt;='TCO TO BE- SW'!$D79,SUM('TCO TO BE- SW'!G$6:G$15)*VLOOKUP('TCO TO BE- SW'!G$2,MODULY_CBA!$B$3:$M$23,12,0),0),0)</f>
        <v>0</v>
      </c>
      <c r="H79" s="548">
        <f>IFERROR(IF(VLOOKUP(H$2,MODULY_CBA!$B$3:$N$23,13,0)&lt;='TCO TO BE- SW'!$D79,SUM('TCO TO BE- SW'!H$6:H$15)*VLOOKUP('TCO TO BE- SW'!H$2,MODULY_CBA!$B$3:$M$23,12,0),0),0)</f>
        <v>0</v>
      </c>
      <c r="I79" s="548">
        <f>IFERROR(IF(VLOOKUP(I$2,MODULY_CBA!$B$3:$N$23,13,0)&lt;='TCO TO BE- SW'!$D79,SUM('TCO TO BE- SW'!I$6:I$15)*VLOOKUP('TCO TO BE- SW'!I$2,MODULY_CBA!$B$3:$M$23,12,0),0),0)</f>
        <v>0</v>
      </c>
      <c r="J79" s="548">
        <f>IFERROR(IF(VLOOKUP(J$2,MODULY_CBA!$B$3:$N$23,13,0)&lt;='TCO TO BE- SW'!$D79,SUM('TCO TO BE- SW'!J$6:J$15)*VLOOKUP('TCO TO BE- SW'!J$2,MODULY_CBA!$B$3:$M$23,12,0),0),0)</f>
        <v>0</v>
      </c>
      <c r="K79" s="548">
        <f>IFERROR(IF(VLOOKUP(K$2,MODULY_CBA!$B$3:$N$23,13,0)&lt;='TCO TO BE- SW'!$D79,SUM('TCO TO BE- SW'!K$6:K$15)*VLOOKUP('TCO TO BE- SW'!K$2,MODULY_CBA!$B$3:$M$23,12,0),0),0)</f>
        <v>0</v>
      </c>
      <c r="L79" s="548">
        <f>IFERROR(IF(VLOOKUP(L$2,MODULY_CBA!$B$3:$N$23,13,0)&lt;='TCO TO BE- SW'!$D79,SUM('TCO TO BE- SW'!L$6:L$15)*VLOOKUP('TCO TO BE- SW'!L$2,MODULY_CBA!$B$3:$M$23,12,0),0),0)</f>
        <v>0</v>
      </c>
      <c r="M79" s="548">
        <f>IFERROR(IF(VLOOKUP(M$2,MODULY_CBA!$B$3:$N$23,13,0)&lt;='TCO TO BE- SW'!$D79,SUM('TCO TO BE- SW'!M$6:M$15)*VLOOKUP('TCO TO BE- SW'!M$2,MODULY_CBA!$B$3:$M$23,12,0),0),0)</f>
        <v>0</v>
      </c>
      <c r="N79" s="548">
        <f>IFERROR(IF(VLOOKUP(N$2,MODULY_CBA!$B$3:$N$23,13,0)&lt;='TCO TO BE- SW'!$D79,SUM('TCO TO BE- SW'!N$6:N$15)*VLOOKUP('TCO TO BE- SW'!N$2,MODULY_CBA!$B$3:$M$23,12,0),0),0)</f>
        <v>0</v>
      </c>
      <c r="O79" s="548">
        <f>IFERROR(IF(VLOOKUP(O$2,MODULY_CBA!$B$3:$N$23,13,0)&lt;='TCO TO BE- SW'!$D79,SUM('TCO TO BE- SW'!O$6:O$15)*VLOOKUP('TCO TO BE- SW'!O$2,MODULY_CBA!$B$3:$M$23,12,0),0),0)</f>
        <v>0</v>
      </c>
      <c r="P79" s="548">
        <f>IFERROR(IF(VLOOKUP(P$2,MODULY_CBA!$B$3:$N$23,13,0)&lt;='TCO TO BE- SW'!$D79,SUM('TCO TO BE- SW'!P$6:P$15)*VLOOKUP('TCO TO BE- SW'!P$2,MODULY_CBA!$B$3:$M$23,12,0),0),0)</f>
        <v>0</v>
      </c>
      <c r="Q79" s="548">
        <f>IFERROR(IF(VLOOKUP(Q$2,MODULY_CBA!$B$3:$N$23,13,0)&lt;='TCO TO BE- SW'!$D79,SUM('TCO TO BE- SW'!Q$6:Q$15)*VLOOKUP('TCO TO BE- SW'!Q$2,MODULY_CBA!$B$3:$M$23,12,0),0),0)</f>
        <v>0</v>
      </c>
      <c r="R79" s="548">
        <f>IFERROR(IF(VLOOKUP(R$2,MODULY_CBA!$B$3:$N$23,13,0)&lt;='TCO TO BE- SW'!$D79,SUM('TCO TO BE- SW'!R$6:R$15)*VLOOKUP('TCO TO BE- SW'!R$2,MODULY_CBA!$B$3:$M$23,12,0),0),0)</f>
        <v>0</v>
      </c>
      <c r="S79" s="548">
        <f>IFERROR(IF(VLOOKUP(S$2,MODULY_CBA!$B$3:$N$23,13,0)&lt;='TCO TO BE- SW'!$D79,SUM('TCO TO BE- SW'!S$6:S$15)*VLOOKUP('TCO TO BE- SW'!S$2,MODULY_CBA!$B$3:$M$23,12,0),0),0)</f>
        <v>0</v>
      </c>
      <c r="T79" s="548">
        <f>IFERROR(IF(VLOOKUP(T$2,MODULY_CBA!$B$3:$N$23,13,0)&lt;='TCO TO BE- SW'!$D79,SUM('TCO TO BE- SW'!T$6:T$15)*VLOOKUP('TCO TO BE- SW'!T$2,MODULY_CBA!$B$3:$M$23,12,0),0),0)</f>
        <v>0</v>
      </c>
      <c r="U79" s="548">
        <f>IFERROR(IF(VLOOKUP(U$2,MODULY_CBA!$B$3:$N$23,13,0)&lt;='TCO TO BE- SW'!$D79,SUM('TCO TO BE- SW'!U$6:U$15)*VLOOKUP('TCO TO BE- SW'!U$2,MODULY_CBA!$B$3:$M$23,12,0),0),0)</f>
        <v>0</v>
      </c>
      <c r="V79" s="548">
        <f>IFERROR(IF(VLOOKUP(V$2,MODULY_CBA!$B$3:$N$23,13,0)&lt;='TCO TO BE- SW'!$D79,SUM('TCO TO BE- SW'!V$6:V$15)*VLOOKUP('TCO TO BE- SW'!V$2,MODULY_CBA!$B$3:$M$23,12,0),0),0)</f>
        <v>0</v>
      </c>
      <c r="W79" s="548">
        <f>IFERROR(IF(VLOOKUP(W$2,MODULY_CBA!$B$3:$N$23,13,0)&lt;='TCO TO BE- SW'!$D79,SUM('TCO TO BE- SW'!W$6:W$15)*VLOOKUP('TCO TO BE- SW'!W$2,MODULY_CBA!$B$3:$M$23,12,0),0),0)</f>
        <v>0</v>
      </c>
      <c r="X79" s="548">
        <f>IFERROR(IF(VLOOKUP(X$2,MODULY_CBA!$B$3:$N$23,13,0)&lt;='TCO TO BE- SW'!$D79,SUM('TCO TO BE- SW'!X$6:X$15)*VLOOKUP('TCO TO BE- SW'!X$2,MODULY_CBA!$B$3:$M$23,12,0),0),0)</f>
        <v>0</v>
      </c>
      <c r="Y79" s="548">
        <f>IFERROR(IF(VLOOKUP(Y$2,MODULY_CBA!$B$3:$N$23,13,0)&lt;='TCO TO BE- SW'!$D79,SUM('TCO TO BE- SW'!Y$6:Y$15)*VLOOKUP('TCO TO BE- SW'!Y$2,MODULY_CBA!$B$3:$M$23,12,0),0),0)</f>
        <v>0</v>
      </c>
      <c r="Z79" s="548">
        <f>IFERROR(IF(VLOOKUP(Z$2,MODULY_CBA!$B$3:$N$23,13,0)&lt;='TCO TO BE- SW'!$D79,SUM('TCO TO BE- SW'!Z$6:Z$15)*VLOOKUP('TCO TO BE- SW'!Z$2,MODULY_CBA!$B$3:$M$23,12,0),0),0)</f>
        <v>0</v>
      </c>
    </row>
    <row r="80" spans="1:26" outlineLevel="2" x14ac:dyDescent="0.2">
      <c r="A80" s="884"/>
      <c r="B80" s="885"/>
      <c r="C80" s="885"/>
      <c r="D80" s="64">
        <v>2</v>
      </c>
      <c r="E80" s="61">
        <f t="shared" si="12"/>
        <v>0</v>
      </c>
      <c r="F80" s="549">
        <f>IFERROR(IF(VLOOKUP(F$2,MODULY_CBA!$B$3:$N$23,13,0)&lt;='TCO TO BE- SW'!$D80,SUM('TCO TO BE- SW'!F$6:F$15)*VLOOKUP('TCO TO BE- SW'!F$2,MODULY_CBA!$B$3:$M$23,12,0),0),0)</f>
        <v>0</v>
      </c>
      <c r="G80" s="549">
        <f>IFERROR(IF(VLOOKUP(G$2,MODULY_CBA!$B$3:$N$23,13,0)&lt;='TCO TO BE- SW'!$D80,SUM('TCO TO BE- SW'!G$6:G$15)*VLOOKUP('TCO TO BE- SW'!G$2,MODULY_CBA!$B$3:$M$23,12,0),0),0)</f>
        <v>0</v>
      </c>
      <c r="H80" s="549">
        <f>IFERROR(IF(VLOOKUP(H$2,MODULY_CBA!$B$3:$N$23,13,0)&lt;='TCO TO BE- SW'!$D80,SUM('TCO TO BE- SW'!H$6:H$15)*VLOOKUP('TCO TO BE- SW'!H$2,MODULY_CBA!$B$3:$M$23,12,0),0),0)</f>
        <v>0</v>
      </c>
      <c r="I80" s="549">
        <f>IFERROR(IF(VLOOKUP(I$2,MODULY_CBA!$B$3:$N$23,13,0)&lt;='TCO TO BE- SW'!$D80,SUM('TCO TO BE- SW'!I$6:I$15)*VLOOKUP('TCO TO BE- SW'!I$2,MODULY_CBA!$B$3:$M$23,12,0),0),0)</f>
        <v>0</v>
      </c>
      <c r="J80" s="549">
        <f>IFERROR(IF(VLOOKUP(J$2,MODULY_CBA!$B$3:$N$23,13,0)&lt;='TCO TO BE- SW'!$D80,SUM('TCO TO BE- SW'!J$6:J$15)*VLOOKUP('TCO TO BE- SW'!J$2,MODULY_CBA!$B$3:$M$23,12,0),0),0)</f>
        <v>0</v>
      </c>
      <c r="K80" s="549">
        <f>IFERROR(IF(VLOOKUP(K$2,MODULY_CBA!$B$3:$N$23,13,0)&lt;='TCO TO BE- SW'!$D80,SUM('TCO TO BE- SW'!K$6:K$15)*VLOOKUP('TCO TO BE- SW'!K$2,MODULY_CBA!$B$3:$M$23,12,0),0),0)</f>
        <v>0</v>
      </c>
      <c r="L80" s="549">
        <f>IFERROR(IF(VLOOKUP(L$2,MODULY_CBA!$B$3:$N$23,13,0)&lt;='TCO TO BE- SW'!$D80,SUM('TCO TO BE- SW'!L$6:L$15)*VLOOKUP('TCO TO BE- SW'!L$2,MODULY_CBA!$B$3:$M$23,12,0),0),0)</f>
        <v>0</v>
      </c>
      <c r="M80" s="549">
        <f>IFERROR(IF(VLOOKUP(M$2,MODULY_CBA!$B$3:$N$23,13,0)&lt;='TCO TO BE- SW'!$D80,SUM('TCO TO BE- SW'!M$6:M$15)*VLOOKUP('TCO TO BE- SW'!M$2,MODULY_CBA!$B$3:$M$23,12,0),0),0)</f>
        <v>0</v>
      </c>
      <c r="N80" s="549">
        <f>IFERROR(IF(VLOOKUP(N$2,MODULY_CBA!$B$3:$N$23,13,0)&lt;='TCO TO BE- SW'!$D80,SUM('TCO TO BE- SW'!N$6:N$15)*VLOOKUP('TCO TO BE- SW'!N$2,MODULY_CBA!$B$3:$M$23,12,0),0),0)</f>
        <v>0</v>
      </c>
      <c r="O80" s="549">
        <f>IFERROR(IF(VLOOKUP(O$2,MODULY_CBA!$B$3:$N$23,13,0)&lt;='TCO TO BE- SW'!$D80,SUM('TCO TO BE- SW'!O$6:O$15)*VLOOKUP('TCO TO BE- SW'!O$2,MODULY_CBA!$B$3:$M$23,12,0),0),0)</f>
        <v>0</v>
      </c>
      <c r="P80" s="549">
        <f>IFERROR(IF(VLOOKUP(P$2,MODULY_CBA!$B$3:$N$23,13,0)&lt;='TCO TO BE- SW'!$D80,SUM('TCO TO BE- SW'!P$6:P$15)*VLOOKUP('TCO TO BE- SW'!P$2,MODULY_CBA!$B$3:$M$23,12,0),0),0)</f>
        <v>0</v>
      </c>
      <c r="Q80" s="549">
        <f>IFERROR(IF(VLOOKUP(Q$2,MODULY_CBA!$B$3:$N$23,13,0)&lt;='TCO TO BE- SW'!$D80,SUM('TCO TO BE- SW'!Q$6:Q$15)*VLOOKUP('TCO TO BE- SW'!Q$2,MODULY_CBA!$B$3:$M$23,12,0),0),0)</f>
        <v>0</v>
      </c>
      <c r="R80" s="549">
        <f>IFERROR(IF(VLOOKUP(R$2,MODULY_CBA!$B$3:$N$23,13,0)&lt;='TCO TO BE- SW'!$D80,SUM('TCO TO BE- SW'!R$6:R$15)*VLOOKUP('TCO TO BE- SW'!R$2,MODULY_CBA!$B$3:$M$23,12,0),0),0)</f>
        <v>0</v>
      </c>
      <c r="S80" s="549">
        <f>IFERROR(IF(VLOOKUP(S$2,MODULY_CBA!$B$3:$N$23,13,0)&lt;='TCO TO BE- SW'!$D80,SUM('TCO TO BE- SW'!S$6:S$15)*VLOOKUP('TCO TO BE- SW'!S$2,MODULY_CBA!$B$3:$M$23,12,0),0),0)</f>
        <v>0</v>
      </c>
      <c r="T80" s="549">
        <f>IFERROR(IF(VLOOKUP(T$2,MODULY_CBA!$B$3:$N$23,13,0)&lt;='TCO TO BE- SW'!$D80,SUM('TCO TO BE- SW'!T$6:T$15)*VLOOKUP('TCO TO BE- SW'!T$2,MODULY_CBA!$B$3:$M$23,12,0),0),0)</f>
        <v>0</v>
      </c>
      <c r="U80" s="549">
        <f>IFERROR(IF(VLOOKUP(U$2,MODULY_CBA!$B$3:$N$23,13,0)&lt;='TCO TO BE- SW'!$D80,SUM('TCO TO BE- SW'!U$6:U$15)*VLOOKUP('TCO TO BE- SW'!U$2,MODULY_CBA!$B$3:$M$23,12,0),0),0)</f>
        <v>0</v>
      </c>
      <c r="V80" s="549">
        <f>IFERROR(IF(VLOOKUP(V$2,MODULY_CBA!$B$3:$N$23,13,0)&lt;='TCO TO BE- SW'!$D80,SUM('TCO TO BE- SW'!V$6:V$15)*VLOOKUP('TCO TO BE- SW'!V$2,MODULY_CBA!$B$3:$M$23,12,0),0),0)</f>
        <v>0</v>
      </c>
      <c r="W80" s="549">
        <f>IFERROR(IF(VLOOKUP(W$2,MODULY_CBA!$B$3:$N$23,13,0)&lt;='TCO TO BE- SW'!$D80,SUM('TCO TO BE- SW'!W$6:W$15)*VLOOKUP('TCO TO BE- SW'!W$2,MODULY_CBA!$B$3:$M$23,12,0),0),0)</f>
        <v>0</v>
      </c>
      <c r="X80" s="549">
        <f>IFERROR(IF(VLOOKUP(X$2,MODULY_CBA!$B$3:$N$23,13,0)&lt;='TCO TO BE- SW'!$D80,SUM('TCO TO BE- SW'!X$6:X$15)*VLOOKUP('TCO TO BE- SW'!X$2,MODULY_CBA!$B$3:$M$23,12,0),0),0)</f>
        <v>0</v>
      </c>
      <c r="Y80" s="549">
        <f>IFERROR(IF(VLOOKUP(Y$2,MODULY_CBA!$B$3:$N$23,13,0)&lt;='TCO TO BE- SW'!$D80,SUM('TCO TO BE- SW'!Y$6:Y$15)*VLOOKUP('TCO TO BE- SW'!Y$2,MODULY_CBA!$B$3:$M$23,12,0),0),0)</f>
        <v>0</v>
      </c>
      <c r="Z80" s="549">
        <f>IFERROR(IF(VLOOKUP(Z$2,MODULY_CBA!$B$3:$N$23,13,0)&lt;='TCO TO BE- SW'!$D80,SUM('TCO TO BE- SW'!Z$6:Z$15)*VLOOKUP('TCO TO BE- SW'!Z$2,MODULY_CBA!$B$3:$M$23,12,0),0),0)</f>
        <v>0</v>
      </c>
    </row>
    <row r="81" spans="1:26" outlineLevel="2" x14ac:dyDescent="0.2">
      <c r="A81" s="884"/>
      <c r="B81" s="885"/>
      <c r="C81" s="885"/>
      <c r="D81" s="64">
        <v>3</v>
      </c>
      <c r="E81" s="61">
        <f t="shared" si="12"/>
        <v>0</v>
      </c>
      <c r="F81" s="550">
        <f>IFERROR(IF(VLOOKUP(F$2,MODULY_CBA!$B$3:$N$23,13,0)&lt;='TCO TO BE- SW'!$D81,SUM('TCO TO BE- SW'!F$6:F$15)*VLOOKUP('TCO TO BE- SW'!F$2,MODULY_CBA!$B$3:$M$23,12,0),0),0)</f>
        <v>0</v>
      </c>
      <c r="G81" s="550">
        <f>IFERROR(IF(VLOOKUP(G$2,MODULY_CBA!$B$3:$N$23,13,0)&lt;='TCO TO BE- SW'!$D81,SUM('TCO TO BE- SW'!G$6:G$15)*VLOOKUP('TCO TO BE- SW'!G$2,MODULY_CBA!$B$3:$M$23,12,0),0),0)</f>
        <v>0</v>
      </c>
      <c r="H81" s="550">
        <f>IFERROR(IF(VLOOKUP(H$2,MODULY_CBA!$B$3:$N$23,13,0)&lt;='TCO TO BE- SW'!$D81,SUM('TCO TO BE- SW'!H$6:H$15)*VLOOKUP('TCO TO BE- SW'!H$2,MODULY_CBA!$B$3:$M$23,12,0),0),0)</f>
        <v>0</v>
      </c>
      <c r="I81" s="550">
        <f>IFERROR(IF(VLOOKUP(I$2,MODULY_CBA!$B$3:$N$23,13,0)&lt;='TCO TO BE- SW'!$D81,SUM('TCO TO BE- SW'!I$6:I$15)*VLOOKUP('TCO TO BE- SW'!I$2,MODULY_CBA!$B$3:$M$23,12,0),0),0)</f>
        <v>0</v>
      </c>
      <c r="J81" s="550">
        <f>IFERROR(IF(VLOOKUP(J$2,MODULY_CBA!$B$3:$N$23,13,0)&lt;='TCO TO BE- SW'!$D81,SUM('TCO TO BE- SW'!J$6:J$15)*VLOOKUP('TCO TO BE- SW'!J$2,MODULY_CBA!$B$3:$M$23,12,0),0),0)</f>
        <v>0</v>
      </c>
      <c r="K81" s="550">
        <f>IFERROR(IF(VLOOKUP(K$2,MODULY_CBA!$B$3:$N$23,13,0)&lt;='TCO TO BE- SW'!$D81,SUM('TCO TO BE- SW'!K$6:K$15)*VLOOKUP('TCO TO BE- SW'!K$2,MODULY_CBA!$B$3:$M$23,12,0),0),0)</f>
        <v>0</v>
      </c>
      <c r="L81" s="550">
        <f>IFERROR(IF(VLOOKUP(L$2,MODULY_CBA!$B$3:$N$23,13,0)&lt;='TCO TO BE- SW'!$D81,SUM('TCO TO BE- SW'!L$6:L$15)*VLOOKUP('TCO TO BE- SW'!L$2,MODULY_CBA!$B$3:$M$23,12,0),0),0)</f>
        <v>0</v>
      </c>
      <c r="M81" s="550">
        <f>IFERROR(IF(VLOOKUP(M$2,MODULY_CBA!$B$3:$N$23,13,0)&lt;='TCO TO BE- SW'!$D81,SUM('TCO TO BE- SW'!M$6:M$15)*VLOOKUP('TCO TO BE- SW'!M$2,MODULY_CBA!$B$3:$M$23,12,0),0),0)</f>
        <v>0</v>
      </c>
      <c r="N81" s="550">
        <f>IFERROR(IF(VLOOKUP(N$2,MODULY_CBA!$B$3:$N$23,13,0)&lt;='TCO TO BE- SW'!$D81,SUM('TCO TO BE- SW'!N$6:N$15)*VLOOKUP('TCO TO BE- SW'!N$2,MODULY_CBA!$B$3:$M$23,12,0),0),0)</f>
        <v>0</v>
      </c>
      <c r="O81" s="550">
        <f>IFERROR(IF(VLOOKUP(O$2,MODULY_CBA!$B$3:$N$23,13,0)&lt;='TCO TO BE- SW'!$D81,SUM('TCO TO BE- SW'!O$6:O$15)*VLOOKUP('TCO TO BE- SW'!O$2,MODULY_CBA!$B$3:$M$23,12,0),0),0)</f>
        <v>0</v>
      </c>
      <c r="P81" s="550">
        <f>IFERROR(IF(VLOOKUP(P$2,MODULY_CBA!$B$3:$N$23,13,0)&lt;='TCO TO BE- SW'!$D81,SUM('TCO TO BE- SW'!P$6:P$15)*VLOOKUP('TCO TO BE- SW'!P$2,MODULY_CBA!$B$3:$M$23,12,0),0),0)</f>
        <v>0</v>
      </c>
      <c r="Q81" s="550">
        <f>IFERROR(IF(VLOOKUP(Q$2,MODULY_CBA!$B$3:$N$23,13,0)&lt;='TCO TO BE- SW'!$D81,SUM('TCO TO BE- SW'!Q$6:Q$15)*VLOOKUP('TCO TO BE- SW'!Q$2,MODULY_CBA!$B$3:$M$23,12,0),0),0)</f>
        <v>0</v>
      </c>
      <c r="R81" s="550">
        <f>IFERROR(IF(VLOOKUP(R$2,MODULY_CBA!$B$3:$N$23,13,0)&lt;='TCO TO BE- SW'!$D81,SUM('TCO TO BE- SW'!R$6:R$15)*VLOOKUP('TCO TO BE- SW'!R$2,MODULY_CBA!$B$3:$M$23,12,0),0),0)</f>
        <v>0</v>
      </c>
      <c r="S81" s="550">
        <f>IFERROR(IF(VLOOKUP(S$2,MODULY_CBA!$B$3:$N$23,13,0)&lt;='TCO TO BE- SW'!$D81,SUM('TCO TO BE- SW'!S$6:S$15)*VLOOKUP('TCO TO BE- SW'!S$2,MODULY_CBA!$B$3:$M$23,12,0),0),0)</f>
        <v>0</v>
      </c>
      <c r="T81" s="550">
        <f>IFERROR(IF(VLOOKUP(T$2,MODULY_CBA!$B$3:$N$23,13,0)&lt;='TCO TO BE- SW'!$D81,SUM('TCO TO BE- SW'!T$6:T$15)*VLOOKUP('TCO TO BE- SW'!T$2,MODULY_CBA!$B$3:$M$23,12,0),0),0)</f>
        <v>0</v>
      </c>
      <c r="U81" s="550">
        <f>IFERROR(IF(VLOOKUP(U$2,MODULY_CBA!$B$3:$N$23,13,0)&lt;='TCO TO BE- SW'!$D81,SUM('TCO TO BE- SW'!U$6:U$15)*VLOOKUP('TCO TO BE- SW'!U$2,MODULY_CBA!$B$3:$M$23,12,0),0),0)</f>
        <v>0</v>
      </c>
      <c r="V81" s="550">
        <f>IFERROR(IF(VLOOKUP(V$2,MODULY_CBA!$B$3:$N$23,13,0)&lt;='TCO TO BE- SW'!$D81,SUM('TCO TO BE- SW'!V$6:V$15)*VLOOKUP('TCO TO BE- SW'!V$2,MODULY_CBA!$B$3:$M$23,12,0),0),0)</f>
        <v>0</v>
      </c>
      <c r="W81" s="550">
        <f>IFERROR(IF(VLOOKUP(W$2,MODULY_CBA!$B$3:$N$23,13,0)&lt;='TCO TO BE- SW'!$D81,SUM('TCO TO BE- SW'!W$6:W$15)*VLOOKUP('TCO TO BE- SW'!W$2,MODULY_CBA!$B$3:$M$23,12,0),0),0)</f>
        <v>0</v>
      </c>
      <c r="X81" s="550">
        <f>IFERROR(IF(VLOOKUP(X$2,MODULY_CBA!$B$3:$N$23,13,0)&lt;='TCO TO BE- SW'!$D81,SUM('TCO TO BE- SW'!X$6:X$15)*VLOOKUP('TCO TO BE- SW'!X$2,MODULY_CBA!$B$3:$M$23,12,0),0),0)</f>
        <v>0</v>
      </c>
      <c r="Y81" s="550">
        <f>IFERROR(IF(VLOOKUP(Y$2,MODULY_CBA!$B$3:$N$23,13,0)&lt;='TCO TO BE- SW'!$D81,SUM('TCO TO BE- SW'!Y$6:Y$15)*VLOOKUP('TCO TO BE- SW'!Y$2,MODULY_CBA!$B$3:$M$23,12,0),0),0)</f>
        <v>0</v>
      </c>
      <c r="Z81" s="550">
        <f>IFERROR(IF(VLOOKUP(Z$2,MODULY_CBA!$B$3:$N$23,13,0)&lt;='TCO TO BE- SW'!$D81,SUM('TCO TO BE- SW'!Z$6:Z$15)*VLOOKUP('TCO TO BE- SW'!Z$2,MODULY_CBA!$B$3:$M$23,12,0),0),0)</f>
        <v>0</v>
      </c>
    </row>
    <row r="82" spans="1:26" outlineLevel="2" x14ac:dyDescent="0.2">
      <c r="A82" s="884"/>
      <c r="B82" s="885"/>
      <c r="C82" s="885"/>
      <c r="D82" s="64">
        <v>4</v>
      </c>
      <c r="E82" s="61">
        <f t="shared" si="12"/>
        <v>0</v>
      </c>
      <c r="F82" s="550">
        <f>IFERROR(IF(VLOOKUP(F$2,MODULY_CBA!$B$3:$N$23,13,0)&lt;='TCO TO BE- SW'!$D82,SUM('TCO TO BE- SW'!F$6:F$15)*VLOOKUP('TCO TO BE- SW'!F$2,MODULY_CBA!$B$3:$M$23,12,0),0),0)</f>
        <v>0</v>
      </c>
      <c r="G82" s="550">
        <f>IFERROR(IF(VLOOKUP(G$2,MODULY_CBA!$B$3:$N$23,13,0)&lt;='TCO TO BE- SW'!$D82,SUM('TCO TO BE- SW'!G$6:G$15)*VLOOKUP('TCO TO BE- SW'!G$2,MODULY_CBA!$B$3:$M$23,12,0),0),0)</f>
        <v>0</v>
      </c>
      <c r="H82" s="550">
        <f>IFERROR(IF(VLOOKUP(H$2,MODULY_CBA!$B$3:$N$23,13,0)&lt;='TCO TO BE- SW'!$D82,SUM('TCO TO BE- SW'!H$6:H$15)*VLOOKUP('TCO TO BE- SW'!H$2,MODULY_CBA!$B$3:$M$23,12,0),0),0)</f>
        <v>0</v>
      </c>
      <c r="I82" s="550">
        <f>IFERROR(IF(VLOOKUP(I$2,MODULY_CBA!$B$3:$N$23,13,0)&lt;='TCO TO BE- SW'!$D82,SUM('TCO TO BE- SW'!I$6:I$15)*VLOOKUP('TCO TO BE- SW'!I$2,MODULY_CBA!$B$3:$M$23,12,0),0),0)</f>
        <v>0</v>
      </c>
      <c r="J82" s="550">
        <f>IFERROR(IF(VLOOKUP(J$2,MODULY_CBA!$B$3:$N$23,13,0)&lt;='TCO TO BE- SW'!$D82,SUM('TCO TO BE- SW'!J$6:J$15)*VLOOKUP('TCO TO BE- SW'!J$2,MODULY_CBA!$B$3:$M$23,12,0),0),0)</f>
        <v>0</v>
      </c>
      <c r="K82" s="550">
        <f>IFERROR(IF(VLOOKUP(K$2,MODULY_CBA!$B$3:$N$23,13,0)&lt;='TCO TO BE- SW'!$D82,SUM('TCO TO BE- SW'!K$6:K$15)*VLOOKUP('TCO TO BE- SW'!K$2,MODULY_CBA!$B$3:$M$23,12,0),0),0)</f>
        <v>0</v>
      </c>
      <c r="L82" s="550">
        <f>IFERROR(IF(VLOOKUP(L$2,MODULY_CBA!$B$3:$N$23,13,0)&lt;='TCO TO BE- SW'!$D82,SUM('TCO TO BE- SW'!L$6:L$15)*VLOOKUP('TCO TO BE- SW'!L$2,MODULY_CBA!$B$3:$M$23,12,0),0),0)</f>
        <v>0</v>
      </c>
      <c r="M82" s="550">
        <f>IFERROR(IF(VLOOKUP(M$2,MODULY_CBA!$B$3:$N$23,13,0)&lt;='TCO TO BE- SW'!$D82,SUM('TCO TO BE- SW'!M$6:M$15)*VLOOKUP('TCO TO BE- SW'!M$2,MODULY_CBA!$B$3:$M$23,12,0),0),0)</f>
        <v>0</v>
      </c>
      <c r="N82" s="550">
        <f>IFERROR(IF(VLOOKUP(N$2,MODULY_CBA!$B$3:$N$23,13,0)&lt;='TCO TO BE- SW'!$D82,SUM('TCO TO BE- SW'!N$6:N$15)*VLOOKUP('TCO TO BE- SW'!N$2,MODULY_CBA!$B$3:$M$23,12,0),0),0)</f>
        <v>0</v>
      </c>
      <c r="O82" s="550">
        <f>IFERROR(IF(VLOOKUP(O$2,MODULY_CBA!$B$3:$N$23,13,0)&lt;='TCO TO BE- SW'!$D82,SUM('TCO TO BE- SW'!O$6:O$15)*VLOOKUP('TCO TO BE- SW'!O$2,MODULY_CBA!$B$3:$M$23,12,0),0),0)</f>
        <v>0</v>
      </c>
      <c r="P82" s="550">
        <f>IFERROR(IF(VLOOKUP(P$2,MODULY_CBA!$B$3:$N$23,13,0)&lt;='TCO TO BE- SW'!$D82,SUM('TCO TO BE- SW'!P$6:P$15)*VLOOKUP('TCO TO BE- SW'!P$2,MODULY_CBA!$B$3:$M$23,12,0),0),0)</f>
        <v>0</v>
      </c>
      <c r="Q82" s="550">
        <f>IFERROR(IF(VLOOKUP(Q$2,MODULY_CBA!$B$3:$N$23,13,0)&lt;='TCO TO BE- SW'!$D82,SUM('TCO TO BE- SW'!Q$6:Q$15)*VLOOKUP('TCO TO BE- SW'!Q$2,MODULY_CBA!$B$3:$M$23,12,0),0),0)</f>
        <v>0</v>
      </c>
      <c r="R82" s="550">
        <f>IFERROR(IF(VLOOKUP(R$2,MODULY_CBA!$B$3:$N$23,13,0)&lt;='TCO TO BE- SW'!$D82,SUM('TCO TO BE- SW'!R$6:R$15)*VLOOKUP('TCO TO BE- SW'!R$2,MODULY_CBA!$B$3:$M$23,12,0),0),0)</f>
        <v>0</v>
      </c>
      <c r="S82" s="550">
        <f>IFERROR(IF(VLOOKUP(S$2,MODULY_CBA!$B$3:$N$23,13,0)&lt;='TCO TO BE- SW'!$D82,SUM('TCO TO BE- SW'!S$6:S$15)*VLOOKUP('TCO TO BE- SW'!S$2,MODULY_CBA!$B$3:$M$23,12,0),0),0)</f>
        <v>0</v>
      </c>
      <c r="T82" s="550">
        <f>IFERROR(IF(VLOOKUP(T$2,MODULY_CBA!$B$3:$N$23,13,0)&lt;='TCO TO BE- SW'!$D82,SUM('TCO TO BE- SW'!T$6:T$15)*VLOOKUP('TCO TO BE- SW'!T$2,MODULY_CBA!$B$3:$M$23,12,0),0),0)</f>
        <v>0</v>
      </c>
      <c r="U82" s="550">
        <f>IFERROR(IF(VLOOKUP(U$2,MODULY_CBA!$B$3:$N$23,13,0)&lt;='TCO TO BE- SW'!$D82,SUM('TCO TO BE- SW'!U$6:U$15)*VLOOKUP('TCO TO BE- SW'!U$2,MODULY_CBA!$B$3:$M$23,12,0),0),0)</f>
        <v>0</v>
      </c>
      <c r="V82" s="550">
        <f>IFERROR(IF(VLOOKUP(V$2,MODULY_CBA!$B$3:$N$23,13,0)&lt;='TCO TO BE- SW'!$D82,SUM('TCO TO BE- SW'!V$6:V$15)*VLOOKUP('TCO TO BE- SW'!V$2,MODULY_CBA!$B$3:$M$23,12,0),0),0)</f>
        <v>0</v>
      </c>
      <c r="W82" s="550">
        <f>IFERROR(IF(VLOOKUP(W$2,MODULY_CBA!$B$3:$N$23,13,0)&lt;='TCO TO BE- SW'!$D82,SUM('TCO TO BE- SW'!W$6:W$15)*VLOOKUP('TCO TO BE- SW'!W$2,MODULY_CBA!$B$3:$M$23,12,0),0),0)</f>
        <v>0</v>
      </c>
      <c r="X82" s="550">
        <f>IFERROR(IF(VLOOKUP(X$2,MODULY_CBA!$B$3:$N$23,13,0)&lt;='TCO TO BE- SW'!$D82,SUM('TCO TO BE- SW'!X$6:X$15)*VLOOKUP('TCO TO BE- SW'!X$2,MODULY_CBA!$B$3:$M$23,12,0),0),0)</f>
        <v>0</v>
      </c>
      <c r="Y82" s="550">
        <f>IFERROR(IF(VLOOKUP(Y$2,MODULY_CBA!$B$3:$N$23,13,0)&lt;='TCO TO BE- SW'!$D82,SUM('TCO TO BE- SW'!Y$6:Y$15)*VLOOKUP('TCO TO BE- SW'!Y$2,MODULY_CBA!$B$3:$M$23,12,0),0),0)</f>
        <v>0</v>
      </c>
      <c r="Z82" s="550">
        <f>IFERROR(IF(VLOOKUP(Z$2,MODULY_CBA!$B$3:$N$23,13,0)&lt;='TCO TO BE- SW'!$D82,SUM('TCO TO BE- SW'!Z$6:Z$15)*VLOOKUP('TCO TO BE- SW'!Z$2,MODULY_CBA!$B$3:$M$23,12,0),0),0)</f>
        <v>0</v>
      </c>
    </row>
    <row r="83" spans="1:26" outlineLevel="2" x14ac:dyDescent="0.2">
      <c r="A83" s="884"/>
      <c r="B83" s="885"/>
      <c r="C83" s="885"/>
      <c r="D83" s="64">
        <v>5</v>
      </c>
      <c r="E83" s="61">
        <f t="shared" si="12"/>
        <v>0</v>
      </c>
      <c r="F83" s="550">
        <f>IFERROR(IF(VLOOKUP(F$2,MODULY_CBA!$B$3:$N$23,13,0)&lt;='TCO TO BE- SW'!$D83,SUM('TCO TO BE- SW'!F$6:F$15)*VLOOKUP('TCO TO BE- SW'!F$2,MODULY_CBA!$B$3:$M$23,12,0),0),0)</f>
        <v>0</v>
      </c>
      <c r="G83" s="550">
        <f>IFERROR(IF(VLOOKUP(G$2,MODULY_CBA!$B$3:$N$23,13,0)&lt;='TCO TO BE- SW'!$D83,SUM('TCO TO BE- SW'!G$6:G$15)*VLOOKUP('TCO TO BE- SW'!G$2,MODULY_CBA!$B$3:$M$23,12,0),0),0)</f>
        <v>0</v>
      </c>
      <c r="H83" s="550">
        <f>IFERROR(IF(VLOOKUP(H$2,MODULY_CBA!$B$3:$N$23,13,0)&lt;='TCO TO BE- SW'!$D83,SUM('TCO TO BE- SW'!H$6:H$15)*VLOOKUP('TCO TO BE- SW'!H$2,MODULY_CBA!$B$3:$M$23,12,0),0),0)</f>
        <v>0</v>
      </c>
      <c r="I83" s="550">
        <f>IFERROR(IF(VLOOKUP(I$2,MODULY_CBA!$B$3:$N$23,13,0)&lt;='TCO TO BE- SW'!$D83,SUM('TCO TO BE- SW'!I$6:I$15)*VLOOKUP('TCO TO BE- SW'!I$2,MODULY_CBA!$B$3:$M$23,12,0),0),0)</f>
        <v>0</v>
      </c>
      <c r="J83" s="550">
        <f>IFERROR(IF(VLOOKUP(J$2,MODULY_CBA!$B$3:$N$23,13,0)&lt;='TCO TO BE- SW'!$D83,SUM('TCO TO BE- SW'!J$6:J$15)*VLOOKUP('TCO TO BE- SW'!J$2,MODULY_CBA!$B$3:$M$23,12,0),0),0)</f>
        <v>0</v>
      </c>
      <c r="K83" s="550">
        <f>IFERROR(IF(VLOOKUP(K$2,MODULY_CBA!$B$3:$N$23,13,0)&lt;='TCO TO BE- SW'!$D83,SUM('TCO TO BE- SW'!K$6:K$15)*VLOOKUP('TCO TO BE- SW'!K$2,MODULY_CBA!$B$3:$M$23,12,0),0),0)</f>
        <v>0</v>
      </c>
      <c r="L83" s="550">
        <f>IFERROR(IF(VLOOKUP(L$2,MODULY_CBA!$B$3:$N$23,13,0)&lt;='TCO TO BE- SW'!$D83,SUM('TCO TO BE- SW'!L$6:L$15)*VLOOKUP('TCO TO BE- SW'!L$2,MODULY_CBA!$B$3:$M$23,12,0),0),0)</f>
        <v>0</v>
      </c>
      <c r="M83" s="550">
        <f>IFERROR(IF(VLOOKUP(M$2,MODULY_CBA!$B$3:$N$23,13,0)&lt;='TCO TO BE- SW'!$D83,SUM('TCO TO BE- SW'!M$6:M$15)*VLOOKUP('TCO TO BE- SW'!M$2,MODULY_CBA!$B$3:$M$23,12,0),0),0)</f>
        <v>0</v>
      </c>
      <c r="N83" s="550">
        <f>IFERROR(IF(VLOOKUP(N$2,MODULY_CBA!$B$3:$N$23,13,0)&lt;='TCO TO BE- SW'!$D83,SUM('TCO TO BE- SW'!N$6:N$15)*VLOOKUP('TCO TO BE- SW'!N$2,MODULY_CBA!$B$3:$M$23,12,0),0),0)</f>
        <v>0</v>
      </c>
      <c r="O83" s="550">
        <f>IFERROR(IF(VLOOKUP(O$2,MODULY_CBA!$B$3:$N$23,13,0)&lt;='TCO TO BE- SW'!$D83,SUM('TCO TO BE- SW'!O$6:O$15)*VLOOKUP('TCO TO BE- SW'!O$2,MODULY_CBA!$B$3:$M$23,12,0),0),0)</f>
        <v>0</v>
      </c>
      <c r="P83" s="550">
        <f>IFERROR(IF(VLOOKUP(P$2,MODULY_CBA!$B$3:$N$23,13,0)&lt;='TCO TO BE- SW'!$D83,SUM('TCO TO BE- SW'!P$6:P$15)*VLOOKUP('TCO TO BE- SW'!P$2,MODULY_CBA!$B$3:$M$23,12,0),0),0)</f>
        <v>0</v>
      </c>
      <c r="Q83" s="550">
        <f>IFERROR(IF(VLOOKUP(Q$2,MODULY_CBA!$B$3:$N$23,13,0)&lt;='TCO TO BE- SW'!$D83,SUM('TCO TO BE- SW'!Q$6:Q$15)*VLOOKUP('TCO TO BE- SW'!Q$2,MODULY_CBA!$B$3:$M$23,12,0),0),0)</f>
        <v>0</v>
      </c>
      <c r="R83" s="550">
        <f>IFERROR(IF(VLOOKUP(R$2,MODULY_CBA!$B$3:$N$23,13,0)&lt;='TCO TO BE- SW'!$D83,SUM('TCO TO BE- SW'!R$6:R$15)*VLOOKUP('TCO TO BE- SW'!R$2,MODULY_CBA!$B$3:$M$23,12,0),0),0)</f>
        <v>0</v>
      </c>
      <c r="S83" s="550">
        <f>IFERROR(IF(VLOOKUP(S$2,MODULY_CBA!$B$3:$N$23,13,0)&lt;='TCO TO BE- SW'!$D83,SUM('TCO TO BE- SW'!S$6:S$15)*VLOOKUP('TCO TO BE- SW'!S$2,MODULY_CBA!$B$3:$M$23,12,0),0),0)</f>
        <v>0</v>
      </c>
      <c r="T83" s="550">
        <f>IFERROR(IF(VLOOKUP(T$2,MODULY_CBA!$B$3:$N$23,13,0)&lt;='TCO TO BE- SW'!$D83,SUM('TCO TO BE- SW'!T$6:T$15)*VLOOKUP('TCO TO BE- SW'!T$2,MODULY_CBA!$B$3:$M$23,12,0),0),0)</f>
        <v>0</v>
      </c>
      <c r="U83" s="550">
        <f>IFERROR(IF(VLOOKUP(U$2,MODULY_CBA!$B$3:$N$23,13,0)&lt;='TCO TO BE- SW'!$D83,SUM('TCO TO BE- SW'!U$6:U$15)*VLOOKUP('TCO TO BE- SW'!U$2,MODULY_CBA!$B$3:$M$23,12,0),0),0)</f>
        <v>0</v>
      </c>
      <c r="V83" s="550">
        <f>IFERROR(IF(VLOOKUP(V$2,MODULY_CBA!$B$3:$N$23,13,0)&lt;='TCO TO BE- SW'!$D83,SUM('TCO TO BE- SW'!V$6:V$15)*VLOOKUP('TCO TO BE- SW'!V$2,MODULY_CBA!$B$3:$M$23,12,0),0),0)</f>
        <v>0</v>
      </c>
      <c r="W83" s="550">
        <f>IFERROR(IF(VLOOKUP(W$2,MODULY_CBA!$B$3:$N$23,13,0)&lt;='TCO TO BE- SW'!$D83,SUM('TCO TO BE- SW'!W$6:W$15)*VLOOKUP('TCO TO BE- SW'!W$2,MODULY_CBA!$B$3:$M$23,12,0),0),0)</f>
        <v>0</v>
      </c>
      <c r="X83" s="550">
        <f>IFERROR(IF(VLOOKUP(X$2,MODULY_CBA!$B$3:$N$23,13,0)&lt;='TCO TO BE- SW'!$D83,SUM('TCO TO BE- SW'!X$6:X$15)*VLOOKUP('TCO TO BE- SW'!X$2,MODULY_CBA!$B$3:$M$23,12,0),0),0)</f>
        <v>0</v>
      </c>
      <c r="Y83" s="550">
        <f>IFERROR(IF(VLOOKUP(Y$2,MODULY_CBA!$B$3:$N$23,13,0)&lt;='TCO TO BE- SW'!$D83,SUM('TCO TO BE- SW'!Y$6:Y$15)*VLOOKUP('TCO TO BE- SW'!Y$2,MODULY_CBA!$B$3:$M$23,12,0),0),0)</f>
        <v>0</v>
      </c>
      <c r="Z83" s="550">
        <f>IFERROR(IF(VLOOKUP(Z$2,MODULY_CBA!$B$3:$N$23,13,0)&lt;='TCO TO BE- SW'!$D83,SUM('TCO TO BE- SW'!Z$6:Z$15)*VLOOKUP('TCO TO BE- SW'!Z$2,MODULY_CBA!$B$3:$M$23,12,0),0),0)</f>
        <v>0</v>
      </c>
    </row>
    <row r="84" spans="1:26" outlineLevel="2" x14ac:dyDescent="0.2">
      <c r="A84" s="884"/>
      <c r="B84" s="885"/>
      <c r="C84" s="885"/>
      <c r="D84" s="64">
        <v>6</v>
      </c>
      <c r="E84" s="61">
        <f t="shared" si="12"/>
        <v>0</v>
      </c>
      <c r="F84" s="550">
        <f>IFERROR(IF(VLOOKUP(F$2,MODULY_CBA!$B$3:$N$23,13,0)&lt;='TCO TO BE- SW'!$D84,SUM('TCO TO BE- SW'!F$6:F$15)*VLOOKUP('TCO TO BE- SW'!F$2,MODULY_CBA!$B$3:$M$23,12,0),0),0)</f>
        <v>0</v>
      </c>
      <c r="G84" s="550">
        <f>IFERROR(IF(VLOOKUP(G$2,MODULY_CBA!$B$3:$N$23,13,0)&lt;='TCO TO BE- SW'!$D84,SUM('TCO TO BE- SW'!G$6:G$15)*VLOOKUP('TCO TO BE- SW'!G$2,MODULY_CBA!$B$3:$M$23,12,0),0),0)</f>
        <v>0</v>
      </c>
      <c r="H84" s="550">
        <f>IFERROR(IF(VLOOKUP(H$2,MODULY_CBA!$B$3:$N$23,13,0)&lt;='TCO TO BE- SW'!$D84,SUM('TCO TO BE- SW'!H$6:H$15)*VLOOKUP('TCO TO BE- SW'!H$2,MODULY_CBA!$B$3:$M$23,12,0),0),0)</f>
        <v>0</v>
      </c>
      <c r="I84" s="550">
        <f>IFERROR(IF(VLOOKUP(I$2,MODULY_CBA!$B$3:$N$23,13,0)&lt;='TCO TO BE- SW'!$D84,SUM('TCO TO BE- SW'!I$6:I$15)*VLOOKUP('TCO TO BE- SW'!I$2,MODULY_CBA!$B$3:$M$23,12,0),0),0)</f>
        <v>0</v>
      </c>
      <c r="J84" s="550">
        <f>IFERROR(IF(VLOOKUP(J$2,MODULY_CBA!$B$3:$N$23,13,0)&lt;='TCO TO BE- SW'!$D84,SUM('TCO TO BE- SW'!J$6:J$15)*VLOOKUP('TCO TO BE- SW'!J$2,MODULY_CBA!$B$3:$M$23,12,0),0),0)</f>
        <v>0</v>
      </c>
      <c r="K84" s="550">
        <f>IFERROR(IF(VLOOKUP(K$2,MODULY_CBA!$B$3:$N$23,13,0)&lt;='TCO TO BE- SW'!$D84,SUM('TCO TO BE- SW'!K$6:K$15)*VLOOKUP('TCO TO BE- SW'!K$2,MODULY_CBA!$B$3:$M$23,12,0),0),0)</f>
        <v>0</v>
      </c>
      <c r="L84" s="550">
        <f>IFERROR(IF(VLOOKUP(L$2,MODULY_CBA!$B$3:$N$23,13,0)&lt;='TCO TO BE- SW'!$D84,SUM('TCO TO BE- SW'!L$6:L$15)*VLOOKUP('TCO TO BE- SW'!L$2,MODULY_CBA!$B$3:$M$23,12,0),0),0)</f>
        <v>0</v>
      </c>
      <c r="M84" s="550">
        <f>IFERROR(IF(VLOOKUP(M$2,MODULY_CBA!$B$3:$N$23,13,0)&lt;='TCO TO BE- SW'!$D84,SUM('TCO TO BE- SW'!M$6:M$15)*VLOOKUP('TCO TO BE- SW'!M$2,MODULY_CBA!$B$3:$M$23,12,0),0),0)</f>
        <v>0</v>
      </c>
      <c r="N84" s="550">
        <f>IFERROR(IF(VLOOKUP(N$2,MODULY_CBA!$B$3:$N$23,13,0)&lt;='TCO TO BE- SW'!$D84,SUM('TCO TO BE- SW'!N$6:N$15)*VLOOKUP('TCO TO BE- SW'!N$2,MODULY_CBA!$B$3:$M$23,12,0),0),0)</f>
        <v>0</v>
      </c>
      <c r="O84" s="550">
        <f>IFERROR(IF(VLOOKUP(O$2,MODULY_CBA!$B$3:$N$23,13,0)&lt;='TCO TO BE- SW'!$D84,SUM('TCO TO BE- SW'!O$6:O$15)*VLOOKUP('TCO TO BE- SW'!O$2,MODULY_CBA!$B$3:$M$23,12,0),0),0)</f>
        <v>0</v>
      </c>
      <c r="P84" s="550">
        <f>IFERROR(IF(VLOOKUP(P$2,MODULY_CBA!$B$3:$N$23,13,0)&lt;='TCO TO BE- SW'!$D84,SUM('TCO TO BE- SW'!P$6:P$15)*VLOOKUP('TCO TO BE- SW'!P$2,MODULY_CBA!$B$3:$M$23,12,0),0),0)</f>
        <v>0</v>
      </c>
      <c r="Q84" s="550">
        <f>IFERROR(IF(VLOOKUP(Q$2,MODULY_CBA!$B$3:$N$23,13,0)&lt;='TCO TO BE- SW'!$D84,SUM('TCO TO BE- SW'!Q$6:Q$15)*VLOOKUP('TCO TO BE- SW'!Q$2,MODULY_CBA!$B$3:$M$23,12,0),0),0)</f>
        <v>0</v>
      </c>
      <c r="R84" s="550">
        <f>IFERROR(IF(VLOOKUP(R$2,MODULY_CBA!$B$3:$N$23,13,0)&lt;='TCO TO BE- SW'!$D84,SUM('TCO TO BE- SW'!R$6:R$15)*VLOOKUP('TCO TO BE- SW'!R$2,MODULY_CBA!$B$3:$M$23,12,0),0),0)</f>
        <v>0</v>
      </c>
      <c r="S84" s="550">
        <f>IFERROR(IF(VLOOKUP(S$2,MODULY_CBA!$B$3:$N$23,13,0)&lt;='TCO TO BE- SW'!$D84,SUM('TCO TO BE- SW'!S$6:S$15)*VLOOKUP('TCO TO BE- SW'!S$2,MODULY_CBA!$B$3:$M$23,12,0),0),0)</f>
        <v>0</v>
      </c>
      <c r="T84" s="550">
        <f>IFERROR(IF(VLOOKUP(T$2,MODULY_CBA!$B$3:$N$23,13,0)&lt;='TCO TO BE- SW'!$D84,SUM('TCO TO BE- SW'!T$6:T$15)*VLOOKUP('TCO TO BE- SW'!T$2,MODULY_CBA!$B$3:$M$23,12,0),0),0)</f>
        <v>0</v>
      </c>
      <c r="U84" s="550">
        <f>IFERROR(IF(VLOOKUP(U$2,MODULY_CBA!$B$3:$N$23,13,0)&lt;='TCO TO BE- SW'!$D84,SUM('TCO TO BE- SW'!U$6:U$15)*VLOOKUP('TCO TO BE- SW'!U$2,MODULY_CBA!$B$3:$M$23,12,0),0),0)</f>
        <v>0</v>
      </c>
      <c r="V84" s="550">
        <f>IFERROR(IF(VLOOKUP(V$2,MODULY_CBA!$B$3:$N$23,13,0)&lt;='TCO TO BE- SW'!$D84,SUM('TCO TO BE- SW'!V$6:V$15)*VLOOKUP('TCO TO BE- SW'!V$2,MODULY_CBA!$B$3:$M$23,12,0),0),0)</f>
        <v>0</v>
      </c>
      <c r="W84" s="550">
        <f>IFERROR(IF(VLOOKUP(W$2,MODULY_CBA!$B$3:$N$23,13,0)&lt;='TCO TO BE- SW'!$D84,SUM('TCO TO BE- SW'!W$6:W$15)*VLOOKUP('TCO TO BE- SW'!W$2,MODULY_CBA!$B$3:$M$23,12,0),0),0)</f>
        <v>0</v>
      </c>
      <c r="X84" s="550">
        <f>IFERROR(IF(VLOOKUP(X$2,MODULY_CBA!$B$3:$N$23,13,0)&lt;='TCO TO BE- SW'!$D84,SUM('TCO TO BE- SW'!X$6:X$15)*VLOOKUP('TCO TO BE- SW'!X$2,MODULY_CBA!$B$3:$M$23,12,0),0),0)</f>
        <v>0</v>
      </c>
      <c r="Y84" s="550">
        <f>IFERROR(IF(VLOOKUP(Y$2,MODULY_CBA!$B$3:$N$23,13,0)&lt;='TCO TO BE- SW'!$D84,SUM('TCO TO BE- SW'!Y$6:Y$15)*VLOOKUP('TCO TO BE- SW'!Y$2,MODULY_CBA!$B$3:$M$23,12,0),0),0)</f>
        <v>0</v>
      </c>
      <c r="Z84" s="550">
        <f>IFERROR(IF(VLOOKUP(Z$2,MODULY_CBA!$B$3:$N$23,13,0)&lt;='TCO TO BE- SW'!$D84,SUM('TCO TO BE- SW'!Z$6:Z$15)*VLOOKUP('TCO TO BE- SW'!Z$2,MODULY_CBA!$B$3:$M$23,12,0),0),0)</f>
        <v>0</v>
      </c>
    </row>
    <row r="85" spans="1:26" outlineLevel="2" x14ac:dyDescent="0.2">
      <c r="A85" s="884"/>
      <c r="B85" s="885"/>
      <c r="C85" s="885"/>
      <c r="D85" s="64">
        <v>7</v>
      </c>
      <c r="E85" s="61">
        <f t="shared" si="12"/>
        <v>0</v>
      </c>
      <c r="F85" s="550">
        <f>IFERROR(IF(VLOOKUP(F$2,MODULY_CBA!$B$3:$N$23,13,0)&lt;='TCO TO BE- SW'!$D85,SUM('TCO TO BE- SW'!F$6:F$15)*VLOOKUP('TCO TO BE- SW'!F$2,MODULY_CBA!$B$3:$M$23,12,0),0),0)</f>
        <v>0</v>
      </c>
      <c r="G85" s="550">
        <f>IFERROR(IF(VLOOKUP(G$2,MODULY_CBA!$B$3:$N$23,13,0)&lt;='TCO TO BE- SW'!$D85,SUM('TCO TO BE- SW'!G$6:G$15)*VLOOKUP('TCO TO BE- SW'!G$2,MODULY_CBA!$B$3:$M$23,12,0),0),0)</f>
        <v>0</v>
      </c>
      <c r="H85" s="550">
        <f>IFERROR(IF(VLOOKUP(H$2,MODULY_CBA!$B$3:$N$23,13,0)&lt;='TCO TO BE- SW'!$D85,SUM('TCO TO BE- SW'!H$6:H$15)*VLOOKUP('TCO TO BE- SW'!H$2,MODULY_CBA!$B$3:$M$23,12,0),0),0)</f>
        <v>0</v>
      </c>
      <c r="I85" s="550">
        <f>IFERROR(IF(VLOOKUP(I$2,MODULY_CBA!$B$3:$N$23,13,0)&lt;='TCO TO BE- SW'!$D85,SUM('TCO TO BE- SW'!I$6:I$15)*VLOOKUP('TCO TO BE- SW'!I$2,MODULY_CBA!$B$3:$M$23,12,0),0),0)</f>
        <v>0</v>
      </c>
      <c r="J85" s="550">
        <f>IFERROR(IF(VLOOKUP(J$2,MODULY_CBA!$B$3:$N$23,13,0)&lt;='TCO TO BE- SW'!$D85,SUM('TCO TO BE- SW'!J$6:J$15)*VLOOKUP('TCO TO BE- SW'!J$2,MODULY_CBA!$B$3:$M$23,12,0),0),0)</f>
        <v>0</v>
      </c>
      <c r="K85" s="550">
        <f>IFERROR(IF(VLOOKUP(K$2,MODULY_CBA!$B$3:$N$23,13,0)&lt;='TCO TO BE- SW'!$D85,SUM('TCO TO BE- SW'!K$6:K$15)*VLOOKUP('TCO TO BE- SW'!K$2,MODULY_CBA!$B$3:$M$23,12,0),0),0)</f>
        <v>0</v>
      </c>
      <c r="L85" s="550">
        <f>IFERROR(IF(VLOOKUP(L$2,MODULY_CBA!$B$3:$N$23,13,0)&lt;='TCO TO BE- SW'!$D85,SUM('TCO TO BE- SW'!L$6:L$15)*VLOOKUP('TCO TO BE- SW'!L$2,MODULY_CBA!$B$3:$M$23,12,0),0),0)</f>
        <v>0</v>
      </c>
      <c r="M85" s="550">
        <f>IFERROR(IF(VLOOKUP(M$2,MODULY_CBA!$B$3:$N$23,13,0)&lt;='TCO TO BE- SW'!$D85,SUM('TCO TO BE- SW'!M$6:M$15)*VLOOKUP('TCO TO BE- SW'!M$2,MODULY_CBA!$B$3:$M$23,12,0),0),0)</f>
        <v>0</v>
      </c>
      <c r="N85" s="550">
        <f>IFERROR(IF(VLOOKUP(N$2,MODULY_CBA!$B$3:$N$23,13,0)&lt;='TCO TO BE- SW'!$D85,SUM('TCO TO BE- SW'!N$6:N$15)*VLOOKUP('TCO TO BE- SW'!N$2,MODULY_CBA!$B$3:$M$23,12,0),0),0)</f>
        <v>0</v>
      </c>
      <c r="O85" s="550">
        <f>IFERROR(IF(VLOOKUP(O$2,MODULY_CBA!$B$3:$N$23,13,0)&lt;='TCO TO BE- SW'!$D85,SUM('TCO TO BE- SW'!O$6:O$15)*VLOOKUP('TCO TO BE- SW'!O$2,MODULY_CBA!$B$3:$M$23,12,0),0),0)</f>
        <v>0</v>
      </c>
      <c r="P85" s="550">
        <f>IFERROR(IF(VLOOKUP(P$2,MODULY_CBA!$B$3:$N$23,13,0)&lt;='TCO TO BE- SW'!$D85,SUM('TCO TO BE- SW'!P$6:P$15)*VLOOKUP('TCO TO BE- SW'!P$2,MODULY_CBA!$B$3:$M$23,12,0),0),0)</f>
        <v>0</v>
      </c>
      <c r="Q85" s="550">
        <f>IFERROR(IF(VLOOKUP(Q$2,MODULY_CBA!$B$3:$N$23,13,0)&lt;='TCO TO BE- SW'!$D85,SUM('TCO TO BE- SW'!Q$6:Q$15)*VLOOKUP('TCO TO BE- SW'!Q$2,MODULY_CBA!$B$3:$M$23,12,0),0),0)</f>
        <v>0</v>
      </c>
      <c r="R85" s="550">
        <f>IFERROR(IF(VLOOKUP(R$2,MODULY_CBA!$B$3:$N$23,13,0)&lt;='TCO TO BE- SW'!$D85,SUM('TCO TO BE- SW'!R$6:R$15)*VLOOKUP('TCO TO BE- SW'!R$2,MODULY_CBA!$B$3:$M$23,12,0),0),0)</f>
        <v>0</v>
      </c>
      <c r="S85" s="550">
        <f>IFERROR(IF(VLOOKUP(S$2,MODULY_CBA!$B$3:$N$23,13,0)&lt;='TCO TO BE- SW'!$D85,SUM('TCO TO BE- SW'!S$6:S$15)*VLOOKUP('TCO TO BE- SW'!S$2,MODULY_CBA!$B$3:$M$23,12,0),0),0)</f>
        <v>0</v>
      </c>
      <c r="T85" s="550">
        <f>IFERROR(IF(VLOOKUP(T$2,MODULY_CBA!$B$3:$N$23,13,0)&lt;='TCO TO BE- SW'!$D85,SUM('TCO TO BE- SW'!T$6:T$15)*VLOOKUP('TCO TO BE- SW'!T$2,MODULY_CBA!$B$3:$M$23,12,0),0),0)</f>
        <v>0</v>
      </c>
      <c r="U85" s="550">
        <f>IFERROR(IF(VLOOKUP(U$2,MODULY_CBA!$B$3:$N$23,13,0)&lt;='TCO TO BE- SW'!$D85,SUM('TCO TO BE- SW'!U$6:U$15)*VLOOKUP('TCO TO BE- SW'!U$2,MODULY_CBA!$B$3:$M$23,12,0),0),0)</f>
        <v>0</v>
      </c>
      <c r="V85" s="550">
        <f>IFERROR(IF(VLOOKUP(V$2,MODULY_CBA!$B$3:$N$23,13,0)&lt;='TCO TO BE- SW'!$D85,SUM('TCO TO BE- SW'!V$6:V$15)*VLOOKUP('TCO TO BE- SW'!V$2,MODULY_CBA!$B$3:$M$23,12,0),0),0)</f>
        <v>0</v>
      </c>
      <c r="W85" s="550">
        <f>IFERROR(IF(VLOOKUP(W$2,MODULY_CBA!$B$3:$N$23,13,0)&lt;='TCO TO BE- SW'!$D85,SUM('TCO TO BE- SW'!W$6:W$15)*VLOOKUP('TCO TO BE- SW'!W$2,MODULY_CBA!$B$3:$M$23,12,0),0),0)</f>
        <v>0</v>
      </c>
      <c r="X85" s="550">
        <f>IFERROR(IF(VLOOKUP(X$2,MODULY_CBA!$B$3:$N$23,13,0)&lt;='TCO TO BE- SW'!$D85,SUM('TCO TO BE- SW'!X$6:X$15)*VLOOKUP('TCO TO BE- SW'!X$2,MODULY_CBA!$B$3:$M$23,12,0),0),0)</f>
        <v>0</v>
      </c>
      <c r="Y85" s="550">
        <f>IFERROR(IF(VLOOKUP(Y$2,MODULY_CBA!$B$3:$N$23,13,0)&lt;='TCO TO BE- SW'!$D85,SUM('TCO TO BE- SW'!Y$6:Y$15)*VLOOKUP('TCO TO BE- SW'!Y$2,MODULY_CBA!$B$3:$M$23,12,0),0),0)</f>
        <v>0</v>
      </c>
      <c r="Z85" s="550">
        <f>IFERROR(IF(VLOOKUP(Z$2,MODULY_CBA!$B$3:$N$23,13,0)&lt;='TCO TO BE- SW'!$D85,SUM('TCO TO BE- SW'!Z$6:Z$15)*VLOOKUP('TCO TO BE- SW'!Z$2,MODULY_CBA!$B$3:$M$23,12,0),0),0)</f>
        <v>0</v>
      </c>
    </row>
    <row r="86" spans="1:26" outlineLevel="2" x14ac:dyDescent="0.2">
      <c r="A86" s="884"/>
      <c r="B86" s="885"/>
      <c r="C86" s="885"/>
      <c r="D86" s="64">
        <v>8</v>
      </c>
      <c r="E86" s="61">
        <f t="shared" si="12"/>
        <v>0</v>
      </c>
      <c r="F86" s="550">
        <f>IFERROR(IF(VLOOKUP(F$2,MODULY_CBA!$B$3:$N$23,13,0)&lt;='TCO TO BE- SW'!$D86,SUM('TCO TO BE- SW'!F$6:F$15)*VLOOKUP('TCO TO BE- SW'!F$2,MODULY_CBA!$B$3:$M$23,12,0),0),0)</f>
        <v>0</v>
      </c>
      <c r="G86" s="550">
        <f>IFERROR(IF(VLOOKUP(G$2,MODULY_CBA!$B$3:$N$23,13,0)&lt;='TCO TO BE- SW'!$D86,SUM('TCO TO BE- SW'!G$6:G$15)*VLOOKUP('TCO TO BE- SW'!G$2,MODULY_CBA!$B$3:$M$23,12,0),0),0)</f>
        <v>0</v>
      </c>
      <c r="H86" s="550">
        <f>IFERROR(IF(VLOOKUP(H$2,MODULY_CBA!$B$3:$N$23,13,0)&lt;='TCO TO BE- SW'!$D86,SUM('TCO TO BE- SW'!H$6:H$15)*VLOOKUP('TCO TO BE- SW'!H$2,MODULY_CBA!$B$3:$M$23,12,0),0),0)</f>
        <v>0</v>
      </c>
      <c r="I86" s="550">
        <f>IFERROR(IF(VLOOKUP(I$2,MODULY_CBA!$B$3:$N$23,13,0)&lt;='TCO TO BE- SW'!$D86,SUM('TCO TO BE- SW'!I$6:I$15)*VLOOKUP('TCO TO BE- SW'!I$2,MODULY_CBA!$B$3:$M$23,12,0),0),0)</f>
        <v>0</v>
      </c>
      <c r="J86" s="550">
        <f>IFERROR(IF(VLOOKUP(J$2,MODULY_CBA!$B$3:$N$23,13,0)&lt;='TCO TO BE- SW'!$D86,SUM('TCO TO BE- SW'!J$6:J$15)*VLOOKUP('TCO TO BE- SW'!J$2,MODULY_CBA!$B$3:$M$23,12,0),0),0)</f>
        <v>0</v>
      </c>
      <c r="K86" s="550">
        <f>IFERROR(IF(VLOOKUP(K$2,MODULY_CBA!$B$3:$N$23,13,0)&lt;='TCO TO BE- SW'!$D86,SUM('TCO TO BE- SW'!K$6:K$15)*VLOOKUP('TCO TO BE- SW'!K$2,MODULY_CBA!$B$3:$M$23,12,0),0),0)</f>
        <v>0</v>
      </c>
      <c r="L86" s="550">
        <f>IFERROR(IF(VLOOKUP(L$2,MODULY_CBA!$B$3:$N$23,13,0)&lt;='TCO TO BE- SW'!$D86,SUM('TCO TO BE- SW'!L$6:L$15)*VLOOKUP('TCO TO BE- SW'!L$2,MODULY_CBA!$B$3:$M$23,12,0),0),0)</f>
        <v>0</v>
      </c>
      <c r="M86" s="550">
        <f>IFERROR(IF(VLOOKUP(M$2,MODULY_CBA!$B$3:$N$23,13,0)&lt;='TCO TO BE- SW'!$D86,SUM('TCO TO BE- SW'!M$6:M$15)*VLOOKUP('TCO TO BE- SW'!M$2,MODULY_CBA!$B$3:$M$23,12,0),0),0)</f>
        <v>0</v>
      </c>
      <c r="N86" s="550">
        <f>IFERROR(IF(VLOOKUP(N$2,MODULY_CBA!$B$3:$N$23,13,0)&lt;='TCO TO BE- SW'!$D86,SUM('TCO TO BE- SW'!N$6:N$15)*VLOOKUP('TCO TO BE- SW'!N$2,MODULY_CBA!$B$3:$M$23,12,0),0),0)</f>
        <v>0</v>
      </c>
      <c r="O86" s="550">
        <f>IFERROR(IF(VLOOKUP(O$2,MODULY_CBA!$B$3:$N$23,13,0)&lt;='TCO TO BE- SW'!$D86,SUM('TCO TO BE- SW'!O$6:O$15)*VLOOKUP('TCO TO BE- SW'!O$2,MODULY_CBA!$B$3:$M$23,12,0),0),0)</f>
        <v>0</v>
      </c>
      <c r="P86" s="550">
        <f>IFERROR(IF(VLOOKUP(P$2,MODULY_CBA!$B$3:$N$23,13,0)&lt;='TCO TO BE- SW'!$D86,SUM('TCO TO BE- SW'!P$6:P$15)*VLOOKUP('TCO TO BE- SW'!P$2,MODULY_CBA!$B$3:$M$23,12,0),0),0)</f>
        <v>0</v>
      </c>
      <c r="Q86" s="550">
        <f>IFERROR(IF(VLOOKUP(Q$2,MODULY_CBA!$B$3:$N$23,13,0)&lt;='TCO TO BE- SW'!$D86,SUM('TCO TO BE- SW'!Q$6:Q$15)*VLOOKUP('TCO TO BE- SW'!Q$2,MODULY_CBA!$B$3:$M$23,12,0),0),0)</f>
        <v>0</v>
      </c>
      <c r="R86" s="550">
        <f>IFERROR(IF(VLOOKUP(R$2,MODULY_CBA!$B$3:$N$23,13,0)&lt;='TCO TO BE- SW'!$D86,SUM('TCO TO BE- SW'!R$6:R$15)*VLOOKUP('TCO TO BE- SW'!R$2,MODULY_CBA!$B$3:$M$23,12,0),0),0)</f>
        <v>0</v>
      </c>
      <c r="S86" s="550">
        <f>IFERROR(IF(VLOOKUP(S$2,MODULY_CBA!$B$3:$N$23,13,0)&lt;='TCO TO BE- SW'!$D86,SUM('TCO TO BE- SW'!S$6:S$15)*VLOOKUP('TCO TO BE- SW'!S$2,MODULY_CBA!$B$3:$M$23,12,0),0),0)</f>
        <v>0</v>
      </c>
      <c r="T86" s="550">
        <f>IFERROR(IF(VLOOKUP(T$2,MODULY_CBA!$B$3:$N$23,13,0)&lt;='TCO TO BE- SW'!$D86,SUM('TCO TO BE- SW'!T$6:T$15)*VLOOKUP('TCO TO BE- SW'!T$2,MODULY_CBA!$B$3:$M$23,12,0),0),0)</f>
        <v>0</v>
      </c>
      <c r="U86" s="550">
        <f>IFERROR(IF(VLOOKUP(U$2,MODULY_CBA!$B$3:$N$23,13,0)&lt;='TCO TO BE- SW'!$D86,SUM('TCO TO BE- SW'!U$6:U$15)*VLOOKUP('TCO TO BE- SW'!U$2,MODULY_CBA!$B$3:$M$23,12,0),0),0)</f>
        <v>0</v>
      </c>
      <c r="V86" s="550">
        <f>IFERROR(IF(VLOOKUP(V$2,MODULY_CBA!$B$3:$N$23,13,0)&lt;='TCO TO BE- SW'!$D86,SUM('TCO TO BE- SW'!V$6:V$15)*VLOOKUP('TCO TO BE- SW'!V$2,MODULY_CBA!$B$3:$M$23,12,0),0),0)</f>
        <v>0</v>
      </c>
      <c r="W86" s="550">
        <f>IFERROR(IF(VLOOKUP(W$2,MODULY_CBA!$B$3:$N$23,13,0)&lt;='TCO TO BE- SW'!$D86,SUM('TCO TO BE- SW'!W$6:W$15)*VLOOKUP('TCO TO BE- SW'!W$2,MODULY_CBA!$B$3:$M$23,12,0),0),0)</f>
        <v>0</v>
      </c>
      <c r="X86" s="550">
        <f>IFERROR(IF(VLOOKUP(X$2,MODULY_CBA!$B$3:$N$23,13,0)&lt;='TCO TO BE- SW'!$D86,SUM('TCO TO BE- SW'!X$6:X$15)*VLOOKUP('TCO TO BE- SW'!X$2,MODULY_CBA!$B$3:$M$23,12,0),0),0)</f>
        <v>0</v>
      </c>
      <c r="Y86" s="550">
        <f>IFERROR(IF(VLOOKUP(Y$2,MODULY_CBA!$B$3:$N$23,13,0)&lt;='TCO TO BE- SW'!$D86,SUM('TCO TO BE- SW'!Y$6:Y$15)*VLOOKUP('TCO TO BE- SW'!Y$2,MODULY_CBA!$B$3:$M$23,12,0),0),0)</f>
        <v>0</v>
      </c>
      <c r="Z86" s="550">
        <f>IFERROR(IF(VLOOKUP(Z$2,MODULY_CBA!$B$3:$N$23,13,0)&lt;='TCO TO BE- SW'!$D86,SUM('TCO TO BE- SW'!Z$6:Z$15)*VLOOKUP('TCO TO BE- SW'!Z$2,MODULY_CBA!$B$3:$M$23,12,0),0),0)</f>
        <v>0</v>
      </c>
    </row>
    <row r="87" spans="1:26" outlineLevel="2" x14ac:dyDescent="0.2">
      <c r="A87" s="884"/>
      <c r="B87" s="885"/>
      <c r="C87" s="885"/>
      <c r="D87" s="64">
        <v>9</v>
      </c>
      <c r="E87" s="61">
        <f t="shared" si="12"/>
        <v>0</v>
      </c>
      <c r="F87" s="550">
        <f>IFERROR(IF(VLOOKUP(F$2,MODULY_CBA!$B$3:$N$23,13,0)&lt;='TCO TO BE- SW'!$D87,SUM('TCO TO BE- SW'!F$6:F$15)*VLOOKUP('TCO TO BE- SW'!F$2,MODULY_CBA!$B$3:$M$23,12,0),0),0)</f>
        <v>0</v>
      </c>
      <c r="G87" s="550">
        <f>IFERROR(IF(VLOOKUP(G$2,MODULY_CBA!$B$3:$N$23,13,0)&lt;='TCO TO BE- SW'!$D87,SUM('TCO TO BE- SW'!G$6:G$15)*VLOOKUP('TCO TO BE- SW'!G$2,MODULY_CBA!$B$3:$M$23,12,0),0),0)</f>
        <v>0</v>
      </c>
      <c r="H87" s="550">
        <f>IFERROR(IF(VLOOKUP(H$2,MODULY_CBA!$B$3:$N$23,13,0)&lt;='TCO TO BE- SW'!$D87,SUM('TCO TO BE- SW'!H$6:H$15)*VLOOKUP('TCO TO BE- SW'!H$2,MODULY_CBA!$B$3:$M$23,12,0),0),0)</f>
        <v>0</v>
      </c>
      <c r="I87" s="550">
        <f>IFERROR(IF(VLOOKUP(I$2,MODULY_CBA!$B$3:$N$23,13,0)&lt;='TCO TO BE- SW'!$D87,SUM('TCO TO BE- SW'!I$6:I$15)*VLOOKUP('TCO TO BE- SW'!I$2,MODULY_CBA!$B$3:$M$23,12,0),0),0)</f>
        <v>0</v>
      </c>
      <c r="J87" s="550">
        <f>IFERROR(IF(VLOOKUP(J$2,MODULY_CBA!$B$3:$N$23,13,0)&lt;='TCO TO BE- SW'!$D87,SUM('TCO TO BE- SW'!J$6:J$15)*VLOOKUP('TCO TO BE- SW'!J$2,MODULY_CBA!$B$3:$M$23,12,0),0),0)</f>
        <v>0</v>
      </c>
      <c r="K87" s="550">
        <f>IFERROR(IF(VLOOKUP(K$2,MODULY_CBA!$B$3:$N$23,13,0)&lt;='TCO TO BE- SW'!$D87,SUM('TCO TO BE- SW'!K$6:K$15)*VLOOKUP('TCO TO BE- SW'!K$2,MODULY_CBA!$B$3:$M$23,12,0),0),0)</f>
        <v>0</v>
      </c>
      <c r="L87" s="550">
        <f>IFERROR(IF(VLOOKUP(L$2,MODULY_CBA!$B$3:$N$23,13,0)&lt;='TCO TO BE- SW'!$D87,SUM('TCO TO BE- SW'!L$6:L$15)*VLOOKUP('TCO TO BE- SW'!L$2,MODULY_CBA!$B$3:$M$23,12,0),0),0)</f>
        <v>0</v>
      </c>
      <c r="M87" s="550">
        <f>IFERROR(IF(VLOOKUP(M$2,MODULY_CBA!$B$3:$N$23,13,0)&lt;='TCO TO BE- SW'!$D87,SUM('TCO TO BE- SW'!M$6:M$15)*VLOOKUP('TCO TO BE- SW'!M$2,MODULY_CBA!$B$3:$M$23,12,0),0),0)</f>
        <v>0</v>
      </c>
      <c r="N87" s="550">
        <f>IFERROR(IF(VLOOKUP(N$2,MODULY_CBA!$B$3:$N$23,13,0)&lt;='TCO TO BE- SW'!$D87,SUM('TCO TO BE- SW'!N$6:N$15)*VLOOKUP('TCO TO BE- SW'!N$2,MODULY_CBA!$B$3:$M$23,12,0),0),0)</f>
        <v>0</v>
      </c>
      <c r="O87" s="550">
        <f>IFERROR(IF(VLOOKUP(O$2,MODULY_CBA!$B$3:$N$23,13,0)&lt;='TCO TO BE- SW'!$D87,SUM('TCO TO BE- SW'!O$6:O$15)*VLOOKUP('TCO TO BE- SW'!O$2,MODULY_CBA!$B$3:$M$23,12,0),0),0)</f>
        <v>0</v>
      </c>
      <c r="P87" s="550">
        <f>IFERROR(IF(VLOOKUP(P$2,MODULY_CBA!$B$3:$N$23,13,0)&lt;='TCO TO BE- SW'!$D87,SUM('TCO TO BE- SW'!P$6:P$15)*VLOOKUP('TCO TO BE- SW'!P$2,MODULY_CBA!$B$3:$M$23,12,0),0),0)</f>
        <v>0</v>
      </c>
      <c r="Q87" s="550">
        <f>IFERROR(IF(VLOOKUP(Q$2,MODULY_CBA!$B$3:$N$23,13,0)&lt;='TCO TO BE- SW'!$D87,SUM('TCO TO BE- SW'!Q$6:Q$15)*VLOOKUP('TCO TO BE- SW'!Q$2,MODULY_CBA!$B$3:$M$23,12,0),0),0)</f>
        <v>0</v>
      </c>
      <c r="R87" s="550">
        <f>IFERROR(IF(VLOOKUP(R$2,MODULY_CBA!$B$3:$N$23,13,0)&lt;='TCO TO BE- SW'!$D87,SUM('TCO TO BE- SW'!R$6:R$15)*VLOOKUP('TCO TO BE- SW'!R$2,MODULY_CBA!$B$3:$M$23,12,0),0),0)</f>
        <v>0</v>
      </c>
      <c r="S87" s="550">
        <f>IFERROR(IF(VLOOKUP(S$2,MODULY_CBA!$B$3:$N$23,13,0)&lt;='TCO TO BE- SW'!$D87,SUM('TCO TO BE- SW'!S$6:S$15)*VLOOKUP('TCO TO BE- SW'!S$2,MODULY_CBA!$B$3:$M$23,12,0),0),0)</f>
        <v>0</v>
      </c>
      <c r="T87" s="550">
        <f>IFERROR(IF(VLOOKUP(T$2,MODULY_CBA!$B$3:$N$23,13,0)&lt;='TCO TO BE- SW'!$D87,SUM('TCO TO BE- SW'!T$6:T$15)*VLOOKUP('TCO TO BE- SW'!T$2,MODULY_CBA!$B$3:$M$23,12,0),0),0)</f>
        <v>0</v>
      </c>
      <c r="U87" s="550">
        <f>IFERROR(IF(VLOOKUP(U$2,MODULY_CBA!$B$3:$N$23,13,0)&lt;='TCO TO BE- SW'!$D87,SUM('TCO TO BE- SW'!U$6:U$15)*VLOOKUP('TCO TO BE- SW'!U$2,MODULY_CBA!$B$3:$M$23,12,0),0),0)</f>
        <v>0</v>
      </c>
      <c r="V87" s="550">
        <f>IFERROR(IF(VLOOKUP(V$2,MODULY_CBA!$B$3:$N$23,13,0)&lt;='TCO TO BE- SW'!$D87,SUM('TCO TO BE- SW'!V$6:V$15)*VLOOKUP('TCO TO BE- SW'!V$2,MODULY_CBA!$B$3:$M$23,12,0),0),0)</f>
        <v>0</v>
      </c>
      <c r="W87" s="550">
        <f>IFERROR(IF(VLOOKUP(W$2,MODULY_CBA!$B$3:$N$23,13,0)&lt;='TCO TO BE- SW'!$D87,SUM('TCO TO BE- SW'!W$6:W$15)*VLOOKUP('TCO TO BE- SW'!W$2,MODULY_CBA!$B$3:$M$23,12,0),0),0)</f>
        <v>0</v>
      </c>
      <c r="X87" s="550">
        <f>IFERROR(IF(VLOOKUP(X$2,MODULY_CBA!$B$3:$N$23,13,0)&lt;='TCO TO BE- SW'!$D87,SUM('TCO TO BE- SW'!X$6:X$15)*VLOOKUP('TCO TO BE- SW'!X$2,MODULY_CBA!$B$3:$M$23,12,0),0),0)</f>
        <v>0</v>
      </c>
      <c r="Y87" s="550">
        <f>IFERROR(IF(VLOOKUP(Y$2,MODULY_CBA!$B$3:$N$23,13,0)&lt;='TCO TO BE- SW'!$D87,SUM('TCO TO BE- SW'!Y$6:Y$15)*VLOOKUP('TCO TO BE- SW'!Y$2,MODULY_CBA!$B$3:$M$23,12,0),0),0)</f>
        <v>0</v>
      </c>
      <c r="Z87" s="550">
        <f>IFERROR(IF(VLOOKUP(Z$2,MODULY_CBA!$B$3:$N$23,13,0)&lt;='TCO TO BE- SW'!$D87,SUM('TCO TO BE- SW'!Z$6:Z$15)*VLOOKUP('TCO TO BE- SW'!Z$2,MODULY_CBA!$B$3:$M$23,12,0),0),0)</f>
        <v>0</v>
      </c>
    </row>
    <row r="88" spans="1:26" ht="16" outlineLevel="2" thickBot="1" x14ac:dyDescent="0.25">
      <c r="A88" s="884"/>
      <c r="B88" s="885"/>
      <c r="C88" s="885"/>
      <c r="D88" s="65">
        <v>10</v>
      </c>
      <c r="E88" s="62">
        <f t="shared" si="12"/>
        <v>0</v>
      </c>
      <c r="F88" s="550">
        <f>IFERROR(IF(VLOOKUP(F$2,MODULY_CBA!$B$3:$N$23,13,0)&lt;='TCO TO BE- SW'!$D88,SUM('TCO TO BE- SW'!F$6:F$15)*VLOOKUP('TCO TO BE- SW'!F$2,MODULY_CBA!$B$3:$M$23,12,0),0),0)</f>
        <v>0</v>
      </c>
      <c r="G88" s="550">
        <f>IFERROR(IF(VLOOKUP(G$2,MODULY_CBA!$B$3:$N$23,13,0)&lt;='TCO TO BE- SW'!$D88,SUM('TCO TO BE- SW'!G$6:G$15)*VLOOKUP('TCO TO BE- SW'!G$2,MODULY_CBA!$B$3:$M$23,12,0),0),0)</f>
        <v>0</v>
      </c>
      <c r="H88" s="550">
        <f>IFERROR(IF(VLOOKUP(H$2,MODULY_CBA!$B$3:$N$23,13,0)&lt;='TCO TO BE- SW'!$D88,SUM('TCO TO BE- SW'!H$6:H$15)*VLOOKUP('TCO TO BE- SW'!H$2,MODULY_CBA!$B$3:$M$23,12,0),0),0)</f>
        <v>0</v>
      </c>
      <c r="I88" s="550">
        <f>IFERROR(IF(VLOOKUP(I$2,MODULY_CBA!$B$3:$N$23,13,0)&lt;='TCO TO BE- SW'!$D88,SUM('TCO TO BE- SW'!I$6:I$15)*VLOOKUP('TCO TO BE- SW'!I$2,MODULY_CBA!$B$3:$M$23,12,0),0),0)</f>
        <v>0</v>
      </c>
      <c r="J88" s="550">
        <f>IFERROR(IF(VLOOKUP(J$2,MODULY_CBA!$B$3:$N$23,13,0)&lt;='TCO TO BE- SW'!$D88,SUM('TCO TO BE- SW'!J$6:J$15)*VLOOKUP('TCO TO BE- SW'!J$2,MODULY_CBA!$B$3:$M$23,12,0),0),0)</f>
        <v>0</v>
      </c>
      <c r="K88" s="550">
        <f>IFERROR(IF(VLOOKUP(K$2,MODULY_CBA!$B$3:$N$23,13,0)&lt;='TCO TO BE- SW'!$D88,SUM('TCO TO BE- SW'!K$6:K$15)*VLOOKUP('TCO TO BE- SW'!K$2,MODULY_CBA!$B$3:$M$23,12,0),0),0)</f>
        <v>0</v>
      </c>
      <c r="L88" s="550">
        <f>IFERROR(IF(VLOOKUP(L$2,MODULY_CBA!$B$3:$N$23,13,0)&lt;='TCO TO BE- SW'!$D88,SUM('TCO TO BE- SW'!L$6:L$15)*VLOOKUP('TCO TO BE- SW'!L$2,MODULY_CBA!$B$3:$M$23,12,0),0),0)</f>
        <v>0</v>
      </c>
      <c r="M88" s="550">
        <f>IFERROR(IF(VLOOKUP(M$2,MODULY_CBA!$B$3:$N$23,13,0)&lt;='TCO TO BE- SW'!$D88,SUM('TCO TO BE- SW'!M$6:M$15)*VLOOKUP('TCO TO BE- SW'!M$2,MODULY_CBA!$B$3:$M$23,12,0),0),0)</f>
        <v>0</v>
      </c>
      <c r="N88" s="550">
        <f>IFERROR(IF(VLOOKUP(N$2,MODULY_CBA!$B$3:$N$23,13,0)&lt;='TCO TO BE- SW'!$D88,SUM('TCO TO BE- SW'!N$6:N$15)*VLOOKUP('TCO TO BE- SW'!N$2,MODULY_CBA!$B$3:$M$23,12,0),0),0)</f>
        <v>0</v>
      </c>
      <c r="O88" s="550">
        <f>IFERROR(IF(VLOOKUP(O$2,MODULY_CBA!$B$3:$N$23,13,0)&lt;='TCO TO BE- SW'!$D88,SUM('TCO TO BE- SW'!O$6:O$15)*VLOOKUP('TCO TO BE- SW'!O$2,MODULY_CBA!$B$3:$M$23,12,0),0),0)</f>
        <v>0</v>
      </c>
      <c r="P88" s="550">
        <f>IFERROR(IF(VLOOKUP(P$2,MODULY_CBA!$B$3:$N$23,13,0)&lt;='TCO TO BE- SW'!$D88,SUM('TCO TO BE- SW'!P$6:P$15)*VLOOKUP('TCO TO BE- SW'!P$2,MODULY_CBA!$B$3:$M$23,12,0),0),0)</f>
        <v>0</v>
      </c>
      <c r="Q88" s="550">
        <f>IFERROR(IF(VLOOKUP(Q$2,MODULY_CBA!$B$3:$N$23,13,0)&lt;='TCO TO BE- SW'!$D88,SUM('TCO TO BE- SW'!Q$6:Q$15)*VLOOKUP('TCO TO BE- SW'!Q$2,MODULY_CBA!$B$3:$M$23,12,0),0),0)</f>
        <v>0</v>
      </c>
      <c r="R88" s="550">
        <f>IFERROR(IF(VLOOKUP(R$2,MODULY_CBA!$B$3:$N$23,13,0)&lt;='TCO TO BE- SW'!$D88,SUM('TCO TO BE- SW'!R$6:R$15)*VLOOKUP('TCO TO BE- SW'!R$2,MODULY_CBA!$B$3:$M$23,12,0),0),0)</f>
        <v>0</v>
      </c>
      <c r="S88" s="550">
        <f>IFERROR(IF(VLOOKUP(S$2,MODULY_CBA!$B$3:$N$23,13,0)&lt;='TCO TO BE- SW'!$D88,SUM('TCO TO BE- SW'!S$6:S$15)*VLOOKUP('TCO TO BE- SW'!S$2,MODULY_CBA!$B$3:$M$23,12,0),0),0)</f>
        <v>0</v>
      </c>
      <c r="T88" s="550">
        <f>IFERROR(IF(VLOOKUP(T$2,MODULY_CBA!$B$3:$N$23,13,0)&lt;='TCO TO BE- SW'!$D88,SUM('TCO TO BE- SW'!T$6:T$15)*VLOOKUP('TCO TO BE- SW'!T$2,MODULY_CBA!$B$3:$M$23,12,0),0),0)</f>
        <v>0</v>
      </c>
      <c r="U88" s="550">
        <f>IFERROR(IF(VLOOKUP(U$2,MODULY_CBA!$B$3:$N$23,13,0)&lt;='TCO TO BE- SW'!$D88,SUM('TCO TO BE- SW'!U$6:U$15)*VLOOKUP('TCO TO BE- SW'!U$2,MODULY_CBA!$B$3:$M$23,12,0),0),0)</f>
        <v>0</v>
      </c>
      <c r="V88" s="550">
        <f>IFERROR(IF(VLOOKUP(V$2,MODULY_CBA!$B$3:$N$23,13,0)&lt;='TCO TO BE- SW'!$D88,SUM('TCO TO BE- SW'!V$6:V$15)*VLOOKUP('TCO TO BE- SW'!V$2,MODULY_CBA!$B$3:$M$23,12,0),0),0)</f>
        <v>0</v>
      </c>
      <c r="W88" s="550">
        <f>IFERROR(IF(VLOOKUP(W$2,MODULY_CBA!$B$3:$N$23,13,0)&lt;='TCO TO BE- SW'!$D88,SUM('TCO TO BE- SW'!W$6:W$15)*VLOOKUP('TCO TO BE- SW'!W$2,MODULY_CBA!$B$3:$M$23,12,0),0),0)</f>
        <v>0</v>
      </c>
      <c r="X88" s="550">
        <f>IFERROR(IF(VLOOKUP(X$2,MODULY_CBA!$B$3:$N$23,13,0)&lt;='TCO TO BE- SW'!$D88,SUM('TCO TO BE- SW'!X$6:X$15)*VLOOKUP('TCO TO BE- SW'!X$2,MODULY_CBA!$B$3:$M$23,12,0),0),0)</f>
        <v>0</v>
      </c>
      <c r="Y88" s="550">
        <f>IFERROR(IF(VLOOKUP(Y$2,MODULY_CBA!$B$3:$N$23,13,0)&lt;='TCO TO BE- SW'!$D88,SUM('TCO TO BE- SW'!Y$6:Y$15)*VLOOKUP('TCO TO BE- SW'!Y$2,MODULY_CBA!$B$3:$M$23,12,0),0),0)</f>
        <v>0</v>
      </c>
      <c r="Z88" s="550">
        <f>IFERROR(IF(VLOOKUP(Z$2,MODULY_CBA!$B$3:$N$23,13,0)&lt;='TCO TO BE- SW'!$D88,SUM('TCO TO BE- SW'!Z$6:Z$15)*VLOOKUP('TCO TO BE- SW'!Z$2,MODULY_CBA!$B$3:$M$23,12,0),0),0)</f>
        <v>0</v>
      </c>
    </row>
    <row r="89" spans="1:26" outlineLevel="2" x14ac:dyDescent="0.2">
      <c r="A89" s="884" t="s">
        <v>1159</v>
      </c>
      <c r="B89" s="885" t="s">
        <v>1160</v>
      </c>
      <c r="C89" s="885">
        <v>718006</v>
      </c>
      <c r="D89" s="63">
        <v>1</v>
      </c>
      <c r="E89" s="61">
        <f t="shared" si="12"/>
        <v>0</v>
      </c>
      <c r="F89" s="551">
        <f>IFERROR(IF(VLOOKUP(F$2,MODULY_CBA!$B$3:$N$23,13,0)&lt;='TCO TO BE- SW'!$D89,SUM('TCO TO BE- SW'!F$6:F$15)*VLOOKUP('TCO TO BE- SW'!F$2,MODULY_CBA!$B$3:$L$23,11,0),0),0)</f>
        <v>0</v>
      </c>
      <c r="G89" s="551">
        <f>IFERROR(IF(VLOOKUP(G$2,MODULY_CBA!$B$3:$N$23,13,0)&lt;='TCO TO BE- SW'!$D89,SUM('TCO TO BE- SW'!G$6:G$15)*VLOOKUP('TCO TO BE- SW'!G$2,MODULY_CBA!$B$3:$L$23,11,0),0),0)</f>
        <v>0</v>
      </c>
      <c r="H89" s="551">
        <f>IFERROR(IF(VLOOKUP(H$2,MODULY_CBA!$B$3:$N$23,13,0)&lt;='TCO TO BE- SW'!$D89,SUM('TCO TO BE- SW'!H$6:H$15)*VLOOKUP('TCO TO BE- SW'!H$2,MODULY_CBA!$B$3:$L$23,11,0),0),0)</f>
        <v>0</v>
      </c>
      <c r="I89" s="551">
        <f>IFERROR(IF(VLOOKUP(I$2,MODULY_CBA!$B$3:$N$23,13,0)&lt;='TCO TO BE- SW'!$D89,SUM('TCO TO BE- SW'!I$6:I$15)*VLOOKUP('TCO TO BE- SW'!I$2,MODULY_CBA!$B$3:$L$23,11,0),0),0)</f>
        <v>0</v>
      </c>
      <c r="J89" s="551">
        <f>IFERROR(IF(VLOOKUP(J$2,MODULY_CBA!$B$3:$N$23,13,0)&lt;='TCO TO BE- SW'!$D89,SUM('TCO TO BE- SW'!J$6:J$15)*VLOOKUP('TCO TO BE- SW'!J$2,MODULY_CBA!$B$3:$L$23,11,0),0),0)</f>
        <v>0</v>
      </c>
      <c r="K89" s="551">
        <f>IFERROR(IF(VLOOKUP(K$2,MODULY_CBA!$B$3:$N$23,13,0)&lt;='TCO TO BE- SW'!$D89,SUM('TCO TO BE- SW'!K$6:K$15)*VLOOKUP('TCO TO BE- SW'!K$2,MODULY_CBA!$B$3:$L$23,11,0),0),0)</f>
        <v>0</v>
      </c>
      <c r="L89" s="551">
        <f>IFERROR(IF(VLOOKUP(L$2,MODULY_CBA!$B$3:$N$23,13,0)&lt;='TCO TO BE- SW'!$D89,SUM('TCO TO BE- SW'!L$6:L$15)*VLOOKUP('TCO TO BE- SW'!L$2,MODULY_CBA!$B$3:$L$23,11,0),0),0)</f>
        <v>0</v>
      </c>
      <c r="M89" s="551">
        <f>IFERROR(IF(VLOOKUP(M$2,MODULY_CBA!$B$3:$N$23,13,0)&lt;='TCO TO BE- SW'!$D89,SUM('TCO TO BE- SW'!M$6:M$15)*VLOOKUP('TCO TO BE- SW'!M$2,MODULY_CBA!$B$3:$L$23,11,0),0),0)</f>
        <v>0</v>
      </c>
      <c r="N89" s="551">
        <f>IFERROR(IF(VLOOKUP(N$2,MODULY_CBA!$B$3:$N$23,13,0)&lt;='TCO TO BE- SW'!$D89,SUM('TCO TO BE- SW'!N$6:N$15)*VLOOKUP('TCO TO BE- SW'!N$2,MODULY_CBA!$B$3:$L$23,11,0),0),0)</f>
        <v>0</v>
      </c>
      <c r="O89" s="551">
        <f>IFERROR(IF(VLOOKUP(O$2,MODULY_CBA!$B$3:$N$23,13,0)&lt;='TCO TO BE- SW'!$D89,SUM('TCO TO BE- SW'!O$6:O$15)*VLOOKUP('TCO TO BE- SW'!O$2,MODULY_CBA!$B$3:$L$23,11,0),0),0)</f>
        <v>0</v>
      </c>
      <c r="P89" s="551">
        <f>IFERROR(IF(VLOOKUP(P$2,MODULY_CBA!$B$3:$N$23,13,0)&lt;='TCO TO BE- SW'!$D89,SUM('TCO TO BE- SW'!P$6:P$15)*VLOOKUP('TCO TO BE- SW'!P$2,MODULY_CBA!$B$3:$L$23,11,0),0),0)</f>
        <v>0</v>
      </c>
      <c r="Q89" s="551">
        <f>IFERROR(IF(VLOOKUP(Q$2,MODULY_CBA!$B$3:$N$23,13,0)&lt;='TCO TO BE- SW'!$D89,SUM('TCO TO BE- SW'!Q$6:Q$15)*VLOOKUP('TCO TO BE- SW'!Q$2,MODULY_CBA!$B$3:$L$23,11,0),0),0)</f>
        <v>0</v>
      </c>
      <c r="R89" s="551">
        <f>IFERROR(IF(VLOOKUP(R$2,MODULY_CBA!$B$3:$N$23,13,0)&lt;='TCO TO BE- SW'!$D89,SUM('TCO TO BE- SW'!R$6:R$15)*VLOOKUP('TCO TO BE- SW'!R$2,MODULY_CBA!$B$3:$L$23,11,0),0),0)</f>
        <v>0</v>
      </c>
      <c r="S89" s="551">
        <f>IFERROR(IF(VLOOKUP(S$2,MODULY_CBA!$B$3:$N$23,13,0)&lt;='TCO TO BE- SW'!$D89,SUM('TCO TO BE- SW'!S$6:S$15)*VLOOKUP('TCO TO BE- SW'!S$2,MODULY_CBA!$B$3:$L$23,11,0),0),0)</f>
        <v>0</v>
      </c>
      <c r="T89" s="551">
        <f>IFERROR(IF(VLOOKUP(T$2,MODULY_CBA!$B$3:$N$23,13,0)&lt;='TCO TO BE- SW'!$D89,SUM('TCO TO BE- SW'!T$6:T$15)*VLOOKUP('TCO TO BE- SW'!T$2,MODULY_CBA!$B$3:$L$23,11,0),0),0)</f>
        <v>0</v>
      </c>
      <c r="U89" s="551">
        <f>IFERROR(IF(VLOOKUP(U$2,MODULY_CBA!$B$3:$N$23,13,0)&lt;='TCO TO BE- SW'!$D89,SUM('TCO TO BE- SW'!U$6:U$15)*VLOOKUP('TCO TO BE- SW'!U$2,MODULY_CBA!$B$3:$L$23,11,0),0),0)</f>
        <v>0</v>
      </c>
      <c r="V89" s="551">
        <f>IFERROR(IF(VLOOKUP(V$2,MODULY_CBA!$B$3:$N$23,13,0)&lt;='TCO TO BE- SW'!$D89,SUM('TCO TO BE- SW'!V$6:V$15)*VLOOKUP('TCO TO BE- SW'!V$2,MODULY_CBA!$B$3:$L$23,11,0),0),0)</f>
        <v>0</v>
      </c>
      <c r="W89" s="551">
        <f>IFERROR(IF(VLOOKUP(W$2,MODULY_CBA!$B$3:$N$23,13,0)&lt;='TCO TO BE- SW'!$D89,SUM('TCO TO BE- SW'!W$6:W$15)*VLOOKUP('TCO TO BE- SW'!W$2,MODULY_CBA!$B$3:$L$23,11,0),0),0)</f>
        <v>0</v>
      </c>
      <c r="X89" s="551">
        <f>IFERROR(IF(VLOOKUP(X$2,MODULY_CBA!$B$3:$N$23,13,0)&lt;='TCO TO BE- SW'!$D89,SUM('TCO TO BE- SW'!X$6:X$15)*VLOOKUP('TCO TO BE- SW'!X$2,MODULY_CBA!$B$3:$L$23,11,0),0),0)</f>
        <v>0</v>
      </c>
      <c r="Y89" s="551">
        <f>IFERROR(IF(VLOOKUP(Y$2,MODULY_CBA!$B$3:$N$23,13,0)&lt;='TCO TO BE- SW'!$D89,SUM('TCO TO BE- SW'!Y$6:Y$15)*VLOOKUP('TCO TO BE- SW'!Y$2,MODULY_CBA!$B$3:$L$23,11,0),0),0)</f>
        <v>0</v>
      </c>
      <c r="Z89" s="551">
        <f>IFERROR(IF(VLOOKUP(Z$2,MODULY_CBA!$B$3:$N$23,13,0)&lt;='TCO TO BE- SW'!$D89,SUM('TCO TO BE- SW'!Z$6:Z$15)*VLOOKUP('TCO TO BE- SW'!Z$2,MODULY_CBA!$B$3:$L$23,11,0),0),0)</f>
        <v>0</v>
      </c>
    </row>
    <row r="90" spans="1:26" outlineLevel="2" x14ac:dyDescent="0.2">
      <c r="A90" s="884"/>
      <c r="B90" s="885"/>
      <c r="C90" s="885"/>
      <c r="D90" s="64">
        <v>2</v>
      </c>
      <c r="E90" s="61">
        <f t="shared" si="12"/>
        <v>0</v>
      </c>
      <c r="F90" s="550">
        <f>IFERROR(IF(VLOOKUP(F$2,MODULY_CBA!$B$3:$N$23,13,0)&lt;='TCO TO BE- SW'!$D90,SUM('TCO TO BE- SW'!F$6:F$15)*VLOOKUP('TCO TO BE- SW'!F$2,MODULY_CBA!$B$3:$L$23,11,0),0),0)</f>
        <v>0</v>
      </c>
      <c r="G90" s="550">
        <f>IFERROR(IF(VLOOKUP(G$2,MODULY_CBA!$B$3:$N$23,13,0)&lt;='TCO TO BE- SW'!$D90,SUM('TCO TO BE- SW'!G$6:G$15)*VLOOKUP('TCO TO BE- SW'!G$2,MODULY_CBA!$B$3:$L$23,11,0),0),0)</f>
        <v>0</v>
      </c>
      <c r="H90" s="550">
        <f>IFERROR(IF(VLOOKUP(H$2,MODULY_CBA!$B$3:$N$23,13,0)&lt;='TCO TO BE- SW'!$D90,SUM('TCO TO BE- SW'!H$6:H$15)*VLOOKUP('TCO TO BE- SW'!H$2,MODULY_CBA!$B$3:$L$23,11,0),0),0)</f>
        <v>0</v>
      </c>
      <c r="I90" s="550">
        <f>IFERROR(IF(VLOOKUP(I$2,MODULY_CBA!$B$3:$N$23,13,0)&lt;='TCO TO BE- SW'!$D90,SUM('TCO TO BE- SW'!I$6:I$15)*VLOOKUP('TCO TO BE- SW'!I$2,MODULY_CBA!$B$3:$L$23,11,0),0),0)</f>
        <v>0</v>
      </c>
      <c r="J90" s="550">
        <f>IFERROR(IF(VLOOKUP(J$2,MODULY_CBA!$B$3:$N$23,13,0)&lt;='TCO TO BE- SW'!$D90,SUM('TCO TO BE- SW'!J$6:J$15)*VLOOKUP('TCO TO BE- SW'!J$2,MODULY_CBA!$B$3:$L$23,11,0),0),0)</f>
        <v>0</v>
      </c>
      <c r="K90" s="550">
        <f>IFERROR(IF(VLOOKUP(K$2,MODULY_CBA!$B$3:$N$23,13,0)&lt;='TCO TO BE- SW'!$D90,SUM('TCO TO BE- SW'!K$6:K$15)*VLOOKUP('TCO TO BE- SW'!K$2,MODULY_CBA!$B$3:$L$23,11,0),0),0)</f>
        <v>0</v>
      </c>
      <c r="L90" s="550">
        <f>IFERROR(IF(VLOOKUP(L$2,MODULY_CBA!$B$3:$N$23,13,0)&lt;='TCO TO BE- SW'!$D90,SUM('TCO TO BE- SW'!L$6:L$15)*VLOOKUP('TCO TO BE- SW'!L$2,MODULY_CBA!$B$3:$L$23,11,0),0),0)</f>
        <v>0</v>
      </c>
      <c r="M90" s="550">
        <f>IFERROR(IF(VLOOKUP(M$2,MODULY_CBA!$B$3:$N$23,13,0)&lt;='TCO TO BE- SW'!$D90,SUM('TCO TO BE- SW'!M$6:M$15)*VLOOKUP('TCO TO BE- SW'!M$2,MODULY_CBA!$B$3:$L$23,11,0),0),0)</f>
        <v>0</v>
      </c>
      <c r="N90" s="550">
        <f>IFERROR(IF(VLOOKUP(N$2,MODULY_CBA!$B$3:$N$23,13,0)&lt;='TCO TO BE- SW'!$D90,SUM('TCO TO BE- SW'!N$6:N$15)*VLOOKUP('TCO TO BE- SW'!N$2,MODULY_CBA!$B$3:$L$23,11,0),0),0)</f>
        <v>0</v>
      </c>
      <c r="O90" s="550">
        <f>IFERROR(IF(VLOOKUP(O$2,MODULY_CBA!$B$3:$N$23,13,0)&lt;='TCO TO BE- SW'!$D90,SUM('TCO TO BE- SW'!O$6:O$15)*VLOOKUP('TCO TO BE- SW'!O$2,MODULY_CBA!$B$3:$L$23,11,0),0),0)</f>
        <v>0</v>
      </c>
      <c r="P90" s="550">
        <f>IFERROR(IF(VLOOKUP(P$2,MODULY_CBA!$B$3:$N$23,13,0)&lt;='TCO TO BE- SW'!$D90,SUM('TCO TO BE- SW'!P$6:P$15)*VLOOKUP('TCO TO BE- SW'!P$2,MODULY_CBA!$B$3:$L$23,11,0),0),0)</f>
        <v>0</v>
      </c>
      <c r="Q90" s="550">
        <f>IFERROR(IF(VLOOKUP(Q$2,MODULY_CBA!$B$3:$N$23,13,0)&lt;='TCO TO BE- SW'!$D90,SUM('TCO TO BE- SW'!Q$6:Q$15)*VLOOKUP('TCO TO BE- SW'!Q$2,MODULY_CBA!$B$3:$L$23,11,0),0),0)</f>
        <v>0</v>
      </c>
      <c r="R90" s="550">
        <f>IFERROR(IF(VLOOKUP(R$2,MODULY_CBA!$B$3:$N$23,13,0)&lt;='TCO TO BE- SW'!$D90,SUM('TCO TO BE- SW'!R$6:R$15)*VLOOKUP('TCO TO BE- SW'!R$2,MODULY_CBA!$B$3:$L$23,11,0),0),0)</f>
        <v>0</v>
      </c>
      <c r="S90" s="550">
        <f>IFERROR(IF(VLOOKUP(S$2,MODULY_CBA!$B$3:$N$23,13,0)&lt;='TCO TO BE- SW'!$D90,SUM('TCO TO BE- SW'!S$6:S$15)*VLOOKUP('TCO TO BE- SW'!S$2,MODULY_CBA!$B$3:$L$23,11,0),0),0)</f>
        <v>0</v>
      </c>
      <c r="T90" s="550">
        <f>IFERROR(IF(VLOOKUP(T$2,MODULY_CBA!$B$3:$N$23,13,0)&lt;='TCO TO BE- SW'!$D90,SUM('TCO TO BE- SW'!T$6:T$15)*VLOOKUP('TCO TO BE- SW'!T$2,MODULY_CBA!$B$3:$L$23,11,0),0),0)</f>
        <v>0</v>
      </c>
      <c r="U90" s="550">
        <f>IFERROR(IF(VLOOKUP(U$2,MODULY_CBA!$B$3:$N$23,13,0)&lt;='TCO TO BE- SW'!$D90,SUM('TCO TO BE- SW'!U$6:U$15)*VLOOKUP('TCO TO BE- SW'!U$2,MODULY_CBA!$B$3:$L$23,11,0),0),0)</f>
        <v>0</v>
      </c>
      <c r="V90" s="550">
        <f>IFERROR(IF(VLOOKUP(V$2,MODULY_CBA!$B$3:$N$23,13,0)&lt;='TCO TO BE- SW'!$D90,SUM('TCO TO BE- SW'!V$6:V$15)*VLOOKUP('TCO TO BE- SW'!V$2,MODULY_CBA!$B$3:$L$23,11,0),0),0)</f>
        <v>0</v>
      </c>
      <c r="W90" s="550">
        <f>IFERROR(IF(VLOOKUP(W$2,MODULY_CBA!$B$3:$N$23,13,0)&lt;='TCO TO BE- SW'!$D90,SUM('TCO TO BE- SW'!W$6:W$15)*VLOOKUP('TCO TO BE- SW'!W$2,MODULY_CBA!$B$3:$L$23,11,0),0),0)</f>
        <v>0</v>
      </c>
      <c r="X90" s="550">
        <f>IFERROR(IF(VLOOKUP(X$2,MODULY_CBA!$B$3:$N$23,13,0)&lt;='TCO TO BE- SW'!$D90,SUM('TCO TO BE- SW'!X$6:X$15)*VLOOKUP('TCO TO BE- SW'!X$2,MODULY_CBA!$B$3:$L$23,11,0),0),0)</f>
        <v>0</v>
      </c>
      <c r="Y90" s="550">
        <f>IFERROR(IF(VLOOKUP(Y$2,MODULY_CBA!$B$3:$N$23,13,0)&lt;='TCO TO BE- SW'!$D90,SUM('TCO TO BE- SW'!Y$6:Y$15)*VLOOKUP('TCO TO BE- SW'!Y$2,MODULY_CBA!$B$3:$L$23,11,0),0),0)</f>
        <v>0</v>
      </c>
      <c r="Z90" s="550">
        <f>IFERROR(IF(VLOOKUP(Z$2,MODULY_CBA!$B$3:$N$23,13,0)&lt;='TCO TO BE- SW'!$D90,SUM('TCO TO BE- SW'!Z$6:Z$15)*VLOOKUP('TCO TO BE- SW'!Z$2,MODULY_CBA!$B$3:$L$23,11,0),0),0)</f>
        <v>0</v>
      </c>
    </row>
    <row r="91" spans="1:26" outlineLevel="2" x14ac:dyDescent="0.2">
      <c r="A91" s="884"/>
      <c r="B91" s="885"/>
      <c r="C91" s="885"/>
      <c r="D91" s="64">
        <v>3</v>
      </c>
      <c r="E91" s="61">
        <f t="shared" si="12"/>
        <v>0</v>
      </c>
      <c r="F91" s="550">
        <f>IFERROR(IF(VLOOKUP(F$2,MODULY_CBA!$B$3:$N$23,13,0)&lt;='TCO TO BE- SW'!$D91,SUM('TCO TO BE- SW'!F$6:F$15)*VLOOKUP('TCO TO BE- SW'!F$2,MODULY_CBA!$B$3:$L$23,11,0),0),0)</f>
        <v>0</v>
      </c>
      <c r="G91" s="550">
        <f>IFERROR(IF(VLOOKUP(G$2,MODULY_CBA!$B$3:$N$23,13,0)&lt;='TCO TO BE- SW'!$D91,SUM('TCO TO BE- SW'!G$6:G$15)*VLOOKUP('TCO TO BE- SW'!G$2,MODULY_CBA!$B$3:$L$23,11,0),0),0)</f>
        <v>0</v>
      </c>
      <c r="H91" s="550">
        <f>IFERROR(IF(VLOOKUP(H$2,MODULY_CBA!$B$3:$N$23,13,0)&lt;='TCO TO BE- SW'!$D91,SUM('TCO TO BE- SW'!H$6:H$15)*VLOOKUP('TCO TO BE- SW'!H$2,MODULY_CBA!$B$3:$L$23,11,0),0),0)</f>
        <v>0</v>
      </c>
      <c r="I91" s="550">
        <f>IFERROR(IF(VLOOKUP(I$2,MODULY_CBA!$B$3:$N$23,13,0)&lt;='TCO TO BE- SW'!$D91,SUM('TCO TO BE- SW'!I$6:I$15)*VLOOKUP('TCO TO BE- SW'!I$2,MODULY_CBA!$B$3:$L$23,11,0),0),0)</f>
        <v>0</v>
      </c>
      <c r="J91" s="550">
        <f>IFERROR(IF(VLOOKUP(J$2,MODULY_CBA!$B$3:$N$23,13,0)&lt;='TCO TO BE- SW'!$D91,SUM('TCO TO BE- SW'!J$6:J$15)*VLOOKUP('TCO TO BE- SW'!J$2,MODULY_CBA!$B$3:$L$23,11,0),0),0)</f>
        <v>0</v>
      </c>
      <c r="K91" s="550">
        <f>IFERROR(IF(VLOOKUP(K$2,MODULY_CBA!$B$3:$N$23,13,0)&lt;='TCO TO BE- SW'!$D91,SUM('TCO TO BE- SW'!K$6:K$15)*VLOOKUP('TCO TO BE- SW'!K$2,MODULY_CBA!$B$3:$L$23,11,0),0),0)</f>
        <v>0</v>
      </c>
      <c r="L91" s="550">
        <f>IFERROR(IF(VLOOKUP(L$2,MODULY_CBA!$B$3:$N$23,13,0)&lt;='TCO TO BE- SW'!$D91,SUM('TCO TO BE- SW'!L$6:L$15)*VLOOKUP('TCO TO BE- SW'!L$2,MODULY_CBA!$B$3:$L$23,11,0),0),0)</f>
        <v>0</v>
      </c>
      <c r="M91" s="550">
        <f>IFERROR(IF(VLOOKUP(M$2,MODULY_CBA!$B$3:$N$23,13,0)&lt;='TCO TO BE- SW'!$D91,SUM('TCO TO BE- SW'!M$6:M$15)*VLOOKUP('TCO TO BE- SW'!M$2,MODULY_CBA!$B$3:$L$23,11,0),0),0)</f>
        <v>0</v>
      </c>
      <c r="N91" s="550">
        <f>IFERROR(IF(VLOOKUP(N$2,MODULY_CBA!$B$3:$N$23,13,0)&lt;='TCO TO BE- SW'!$D91,SUM('TCO TO BE- SW'!N$6:N$15)*VLOOKUP('TCO TO BE- SW'!N$2,MODULY_CBA!$B$3:$L$23,11,0),0),0)</f>
        <v>0</v>
      </c>
      <c r="O91" s="550">
        <f>IFERROR(IF(VLOOKUP(O$2,MODULY_CBA!$B$3:$N$23,13,0)&lt;='TCO TO BE- SW'!$D91,SUM('TCO TO BE- SW'!O$6:O$15)*VLOOKUP('TCO TO BE- SW'!O$2,MODULY_CBA!$B$3:$L$23,11,0),0),0)</f>
        <v>0</v>
      </c>
      <c r="P91" s="550">
        <f>IFERROR(IF(VLOOKUP(P$2,MODULY_CBA!$B$3:$N$23,13,0)&lt;='TCO TO BE- SW'!$D91,SUM('TCO TO BE- SW'!P$6:P$15)*VLOOKUP('TCO TO BE- SW'!P$2,MODULY_CBA!$B$3:$L$23,11,0),0),0)</f>
        <v>0</v>
      </c>
      <c r="Q91" s="550">
        <f>IFERROR(IF(VLOOKUP(Q$2,MODULY_CBA!$B$3:$N$23,13,0)&lt;='TCO TO BE- SW'!$D91,SUM('TCO TO BE- SW'!Q$6:Q$15)*VLOOKUP('TCO TO BE- SW'!Q$2,MODULY_CBA!$B$3:$L$23,11,0),0),0)</f>
        <v>0</v>
      </c>
      <c r="R91" s="550">
        <f>IFERROR(IF(VLOOKUP(R$2,MODULY_CBA!$B$3:$N$23,13,0)&lt;='TCO TO BE- SW'!$D91,SUM('TCO TO BE- SW'!R$6:R$15)*VLOOKUP('TCO TO BE- SW'!R$2,MODULY_CBA!$B$3:$L$23,11,0),0),0)</f>
        <v>0</v>
      </c>
      <c r="S91" s="550">
        <f>IFERROR(IF(VLOOKUP(S$2,MODULY_CBA!$B$3:$N$23,13,0)&lt;='TCO TO BE- SW'!$D91,SUM('TCO TO BE- SW'!S$6:S$15)*VLOOKUP('TCO TO BE- SW'!S$2,MODULY_CBA!$B$3:$L$23,11,0),0),0)</f>
        <v>0</v>
      </c>
      <c r="T91" s="550">
        <f>IFERROR(IF(VLOOKUP(T$2,MODULY_CBA!$B$3:$N$23,13,0)&lt;='TCO TO BE- SW'!$D91,SUM('TCO TO BE- SW'!T$6:T$15)*VLOOKUP('TCO TO BE- SW'!T$2,MODULY_CBA!$B$3:$L$23,11,0),0),0)</f>
        <v>0</v>
      </c>
      <c r="U91" s="550">
        <f>IFERROR(IF(VLOOKUP(U$2,MODULY_CBA!$B$3:$N$23,13,0)&lt;='TCO TO BE- SW'!$D91,SUM('TCO TO BE- SW'!U$6:U$15)*VLOOKUP('TCO TO BE- SW'!U$2,MODULY_CBA!$B$3:$L$23,11,0),0),0)</f>
        <v>0</v>
      </c>
      <c r="V91" s="550">
        <f>IFERROR(IF(VLOOKUP(V$2,MODULY_CBA!$B$3:$N$23,13,0)&lt;='TCO TO BE- SW'!$D91,SUM('TCO TO BE- SW'!V$6:V$15)*VLOOKUP('TCO TO BE- SW'!V$2,MODULY_CBA!$B$3:$L$23,11,0),0),0)</f>
        <v>0</v>
      </c>
      <c r="W91" s="550">
        <f>IFERROR(IF(VLOOKUP(W$2,MODULY_CBA!$B$3:$N$23,13,0)&lt;='TCO TO BE- SW'!$D91,SUM('TCO TO BE- SW'!W$6:W$15)*VLOOKUP('TCO TO BE- SW'!W$2,MODULY_CBA!$B$3:$L$23,11,0),0),0)</f>
        <v>0</v>
      </c>
      <c r="X91" s="550">
        <f>IFERROR(IF(VLOOKUP(X$2,MODULY_CBA!$B$3:$N$23,13,0)&lt;='TCO TO BE- SW'!$D91,SUM('TCO TO BE- SW'!X$6:X$15)*VLOOKUP('TCO TO BE- SW'!X$2,MODULY_CBA!$B$3:$L$23,11,0),0),0)</f>
        <v>0</v>
      </c>
      <c r="Y91" s="550">
        <f>IFERROR(IF(VLOOKUP(Y$2,MODULY_CBA!$B$3:$N$23,13,0)&lt;='TCO TO BE- SW'!$D91,SUM('TCO TO BE- SW'!Y$6:Y$15)*VLOOKUP('TCO TO BE- SW'!Y$2,MODULY_CBA!$B$3:$L$23,11,0),0),0)</f>
        <v>0</v>
      </c>
      <c r="Z91" s="550">
        <f>IFERROR(IF(VLOOKUP(Z$2,MODULY_CBA!$B$3:$N$23,13,0)&lt;='TCO TO BE- SW'!$D91,SUM('TCO TO BE- SW'!Z$6:Z$15)*VLOOKUP('TCO TO BE- SW'!Z$2,MODULY_CBA!$B$3:$L$23,11,0),0),0)</f>
        <v>0</v>
      </c>
    </row>
    <row r="92" spans="1:26" outlineLevel="2" x14ac:dyDescent="0.2">
      <c r="A92" s="884"/>
      <c r="B92" s="885"/>
      <c r="C92" s="885"/>
      <c r="D92" s="64">
        <v>4</v>
      </c>
      <c r="E92" s="61">
        <f t="shared" si="12"/>
        <v>0</v>
      </c>
      <c r="F92" s="550">
        <f>IFERROR(IF(VLOOKUP(F$2,MODULY_CBA!$B$3:$N$23,13,0)&lt;='TCO TO BE- SW'!$D92,SUM('TCO TO BE- SW'!F$6:F$15)*VLOOKUP('TCO TO BE- SW'!F$2,MODULY_CBA!$B$3:$L$23,11,0),0),0)</f>
        <v>0</v>
      </c>
      <c r="G92" s="550">
        <f>IFERROR(IF(VLOOKUP(G$2,MODULY_CBA!$B$3:$N$23,13,0)&lt;='TCO TO BE- SW'!$D92,SUM('TCO TO BE- SW'!G$6:G$15)*VLOOKUP('TCO TO BE- SW'!G$2,MODULY_CBA!$B$3:$L$23,11,0),0),0)</f>
        <v>0</v>
      </c>
      <c r="H92" s="550">
        <f>IFERROR(IF(VLOOKUP(H$2,MODULY_CBA!$B$3:$N$23,13,0)&lt;='TCO TO BE- SW'!$D92,SUM('TCO TO BE- SW'!H$6:H$15)*VLOOKUP('TCO TO BE- SW'!H$2,MODULY_CBA!$B$3:$L$23,11,0),0),0)</f>
        <v>0</v>
      </c>
      <c r="I92" s="550">
        <f>IFERROR(IF(VLOOKUP(I$2,MODULY_CBA!$B$3:$N$23,13,0)&lt;='TCO TO BE- SW'!$D92,SUM('TCO TO BE- SW'!I$6:I$15)*VLOOKUP('TCO TO BE- SW'!I$2,MODULY_CBA!$B$3:$L$23,11,0),0),0)</f>
        <v>0</v>
      </c>
      <c r="J92" s="550">
        <f>IFERROR(IF(VLOOKUP(J$2,MODULY_CBA!$B$3:$N$23,13,0)&lt;='TCO TO BE- SW'!$D92,SUM('TCO TO BE- SW'!J$6:J$15)*VLOOKUP('TCO TO BE- SW'!J$2,MODULY_CBA!$B$3:$L$23,11,0),0),0)</f>
        <v>0</v>
      </c>
      <c r="K92" s="550">
        <f>IFERROR(IF(VLOOKUP(K$2,MODULY_CBA!$B$3:$N$23,13,0)&lt;='TCO TO BE- SW'!$D92,SUM('TCO TO BE- SW'!K$6:K$15)*VLOOKUP('TCO TO BE- SW'!K$2,MODULY_CBA!$B$3:$L$23,11,0),0),0)</f>
        <v>0</v>
      </c>
      <c r="L92" s="550">
        <f>IFERROR(IF(VLOOKUP(L$2,MODULY_CBA!$B$3:$N$23,13,0)&lt;='TCO TO BE- SW'!$D92,SUM('TCO TO BE- SW'!L$6:L$15)*VLOOKUP('TCO TO BE- SW'!L$2,MODULY_CBA!$B$3:$L$23,11,0),0),0)</f>
        <v>0</v>
      </c>
      <c r="M92" s="550">
        <f>IFERROR(IF(VLOOKUP(M$2,MODULY_CBA!$B$3:$N$23,13,0)&lt;='TCO TO BE- SW'!$D92,SUM('TCO TO BE- SW'!M$6:M$15)*VLOOKUP('TCO TO BE- SW'!M$2,MODULY_CBA!$B$3:$L$23,11,0),0),0)</f>
        <v>0</v>
      </c>
      <c r="N92" s="550">
        <f>IFERROR(IF(VLOOKUP(N$2,MODULY_CBA!$B$3:$N$23,13,0)&lt;='TCO TO BE- SW'!$D92,SUM('TCO TO BE- SW'!N$6:N$15)*VLOOKUP('TCO TO BE- SW'!N$2,MODULY_CBA!$B$3:$L$23,11,0),0),0)</f>
        <v>0</v>
      </c>
      <c r="O92" s="550">
        <f>IFERROR(IF(VLOOKUP(O$2,MODULY_CBA!$B$3:$N$23,13,0)&lt;='TCO TO BE- SW'!$D92,SUM('TCO TO BE- SW'!O$6:O$15)*VLOOKUP('TCO TO BE- SW'!O$2,MODULY_CBA!$B$3:$L$23,11,0),0),0)</f>
        <v>0</v>
      </c>
      <c r="P92" s="550">
        <f>IFERROR(IF(VLOOKUP(P$2,MODULY_CBA!$B$3:$N$23,13,0)&lt;='TCO TO BE- SW'!$D92,SUM('TCO TO BE- SW'!P$6:P$15)*VLOOKUP('TCO TO BE- SW'!P$2,MODULY_CBA!$B$3:$L$23,11,0),0),0)</f>
        <v>0</v>
      </c>
      <c r="Q92" s="550">
        <f>IFERROR(IF(VLOOKUP(Q$2,MODULY_CBA!$B$3:$N$23,13,0)&lt;='TCO TO BE- SW'!$D92,SUM('TCO TO BE- SW'!Q$6:Q$15)*VLOOKUP('TCO TO BE- SW'!Q$2,MODULY_CBA!$B$3:$L$23,11,0),0),0)</f>
        <v>0</v>
      </c>
      <c r="R92" s="550">
        <f>IFERROR(IF(VLOOKUP(R$2,MODULY_CBA!$B$3:$N$23,13,0)&lt;='TCO TO BE- SW'!$D92,SUM('TCO TO BE- SW'!R$6:R$15)*VLOOKUP('TCO TO BE- SW'!R$2,MODULY_CBA!$B$3:$L$23,11,0),0),0)</f>
        <v>0</v>
      </c>
      <c r="S92" s="550">
        <f>IFERROR(IF(VLOOKUP(S$2,MODULY_CBA!$B$3:$N$23,13,0)&lt;='TCO TO BE- SW'!$D92,SUM('TCO TO BE- SW'!S$6:S$15)*VLOOKUP('TCO TO BE- SW'!S$2,MODULY_CBA!$B$3:$L$23,11,0),0),0)</f>
        <v>0</v>
      </c>
      <c r="T92" s="550">
        <f>IFERROR(IF(VLOOKUP(T$2,MODULY_CBA!$B$3:$N$23,13,0)&lt;='TCO TO BE- SW'!$D92,SUM('TCO TO BE- SW'!T$6:T$15)*VLOOKUP('TCO TO BE- SW'!T$2,MODULY_CBA!$B$3:$L$23,11,0),0),0)</f>
        <v>0</v>
      </c>
      <c r="U92" s="550">
        <f>IFERROR(IF(VLOOKUP(U$2,MODULY_CBA!$B$3:$N$23,13,0)&lt;='TCO TO BE- SW'!$D92,SUM('TCO TO BE- SW'!U$6:U$15)*VLOOKUP('TCO TO BE- SW'!U$2,MODULY_CBA!$B$3:$L$23,11,0),0),0)</f>
        <v>0</v>
      </c>
      <c r="V92" s="550">
        <f>IFERROR(IF(VLOOKUP(V$2,MODULY_CBA!$B$3:$N$23,13,0)&lt;='TCO TO BE- SW'!$D92,SUM('TCO TO BE- SW'!V$6:V$15)*VLOOKUP('TCO TO BE- SW'!V$2,MODULY_CBA!$B$3:$L$23,11,0),0),0)</f>
        <v>0</v>
      </c>
      <c r="W92" s="550">
        <f>IFERROR(IF(VLOOKUP(W$2,MODULY_CBA!$B$3:$N$23,13,0)&lt;='TCO TO BE- SW'!$D92,SUM('TCO TO BE- SW'!W$6:W$15)*VLOOKUP('TCO TO BE- SW'!W$2,MODULY_CBA!$B$3:$L$23,11,0),0),0)</f>
        <v>0</v>
      </c>
      <c r="X92" s="550">
        <f>IFERROR(IF(VLOOKUP(X$2,MODULY_CBA!$B$3:$N$23,13,0)&lt;='TCO TO BE- SW'!$D92,SUM('TCO TO BE- SW'!X$6:X$15)*VLOOKUP('TCO TO BE- SW'!X$2,MODULY_CBA!$B$3:$L$23,11,0),0),0)</f>
        <v>0</v>
      </c>
      <c r="Y92" s="550">
        <f>IFERROR(IF(VLOOKUP(Y$2,MODULY_CBA!$B$3:$N$23,13,0)&lt;='TCO TO BE- SW'!$D92,SUM('TCO TO BE- SW'!Y$6:Y$15)*VLOOKUP('TCO TO BE- SW'!Y$2,MODULY_CBA!$B$3:$L$23,11,0),0),0)</f>
        <v>0</v>
      </c>
      <c r="Z92" s="550">
        <f>IFERROR(IF(VLOOKUP(Z$2,MODULY_CBA!$B$3:$N$23,13,0)&lt;='TCO TO BE- SW'!$D92,SUM('TCO TO BE- SW'!Z$6:Z$15)*VLOOKUP('TCO TO BE- SW'!Z$2,MODULY_CBA!$B$3:$L$23,11,0),0),0)</f>
        <v>0</v>
      </c>
    </row>
    <row r="93" spans="1:26" outlineLevel="2" x14ac:dyDescent="0.2">
      <c r="A93" s="884"/>
      <c r="B93" s="885"/>
      <c r="C93" s="885"/>
      <c r="D93" s="64">
        <v>5</v>
      </c>
      <c r="E93" s="61">
        <f t="shared" si="12"/>
        <v>0</v>
      </c>
      <c r="F93" s="550">
        <f>IFERROR(IF(VLOOKUP(F$2,MODULY_CBA!$B$3:$N$23,13,0)&lt;='TCO TO BE- SW'!$D93,SUM('TCO TO BE- SW'!F$6:F$15)*VLOOKUP('TCO TO BE- SW'!F$2,MODULY_CBA!$B$3:$L$23,11,0),0),0)</f>
        <v>0</v>
      </c>
      <c r="G93" s="550">
        <f>IFERROR(IF(VLOOKUP(G$2,MODULY_CBA!$B$3:$N$23,13,0)&lt;='TCO TO BE- SW'!$D93,SUM('TCO TO BE- SW'!G$6:G$15)*VLOOKUP('TCO TO BE- SW'!G$2,MODULY_CBA!$B$3:$L$23,11,0),0),0)</f>
        <v>0</v>
      </c>
      <c r="H93" s="550">
        <f>IFERROR(IF(VLOOKUP(H$2,MODULY_CBA!$B$3:$N$23,13,0)&lt;='TCO TO BE- SW'!$D93,SUM('TCO TO BE- SW'!H$6:H$15)*VLOOKUP('TCO TO BE- SW'!H$2,MODULY_CBA!$B$3:$L$23,11,0),0),0)</f>
        <v>0</v>
      </c>
      <c r="I93" s="550">
        <f>IFERROR(IF(VLOOKUP(I$2,MODULY_CBA!$B$3:$N$23,13,0)&lt;='TCO TO BE- SW'!$D93,SUM('TCO TO BE- SW'!I$6:I$15)*VLOOKUP('TCO TO BE- SW'!I$2,MODULY_CBA!$B$3:$L$23,11,0),0),0)</f>
        <v>0</v>
      </c>
      <c r="J93" s="550">
        <f>IFERROR(IF(VLOOKUP(J$2,MODULY_CBA!$B$3:$N$23,13,0)&lt;='TCO TO BE- SW'!$D93,SUM('TCO TO BE- SW'!J$6:J$15)*VLOOKUP('TCO TO BE- SW'!J$2,MODULY_CBA!$B$3:$L$23,11,0),0),0)</f>
        <v>0</v>
      </c>
      <c r="K93" s="550">
        <f>IFERROR(IF(VLOOKUP(K$2,MODULY_CBA!$B$3:$N$23,13,0)&lt;='TCO TO BE- SW'!$D93,SUM('TCO TO BE- SW'!K$6:K$15)*VLOOKUP('TCO TO BE- SW'!K$2,MODULY_CBA!$B$3:$L$23,11,0),0),0)</f>
        <v>0</v>
      </c>
      <c r="L93" s="550">
        <f>IFERROR(IF(VLOOKUP(L$2,MODULY_CBA!$B$3:$N$23,13,0)&lt;='TCO TO BE- SW'!$D93,SUM('TCO TO BE- SW'!L$6:L$15)*VLOOKUP('TCO TO BE- SW'!L$2,MODULY_CBA!$B$3:$L$23,11,0),0),0)</f>
        <v>0</v>
      </c>
      <c r="M93" s="550">
        <f>IFERROR(IF(VLOOKUP(M$2,MODULY_CBA!$B$3:$N$23,13,0)&lt;='TCO TO BE- SW'!$D93,SUM('TCO TO BE- SW'!M$6:M$15)*VLOOKUP('TCO TO BE- SW'!M$2,MODULY_CBA!$B$3:$L$23,11,0),0),0)</f>
        <v>0</v>
      </c>
      <c r="N93" s="550">
        <f>IFERROR(IF(VLOOKUP(N$2,MODULY_CBA!$B$3:$N$23,13,0)&lt;='TCO TO BE- SW'!$D93,SUM('TCO TO BE- SW'!N$6:N$15)*VLOOKUP('TCO TO BE- SW'!N$2,MODULY_CBA!$B$3:$L$23,11,0),0),0)</f>
        <v>0</v>
      </c>
      <c r="O93" s="550">
        <f>IFERROR(IF(VLOOKUP(O$2,MODULY_CBA!$B$3:$N$23,13,0)&lt;='TCO TO BE- SW'!$D93,SUM('TCO TO BE- SW'!O$6:O$15)*VLOOKUP('TCO TO BE- SW'!O$2,MODULY_CBA!$B$3:$L$23,11,0),0),0)</f>
        <v>0</v>
      </c>
      <c r="P93" s="550">
        <f>IFERROR(IF(VLOOKUP(P$2,MODULY_CBA!$B$3:$N$23,13,0)&lt;='TCO TO BE- SW'!$D93,SUM('TCO TO BE- SW'!P$6:P$15)*VLOOKUP('TCO TO BE- SW'!P$2,MODULY_CBA!$B$3:$L$23,11,0),0),0)</f>
        <v>0</v>
      </c>
      <c r="Q93" s="550">
        <f>IFERROR(IF(VLOOKUP(Q$2,MODULY_CBA!$B$3:$N$23,13,0)&lt;='TCO TO BE- SW'!$D93,SUM('TCO TO BE- SW'!Q$6:Q$15)*VLOOKUP('TCO TO BE- SW'!Q$2,MODULY_CBA!$B$3:$L$23,11,0),0),0)</f>
        <v>0</v>
      </c>
      <c r="R93" s="550">
        <f>IFERROR(IF(VLOOKUP(R$2,MODULY_CBA!$B$3:$N$23,13,0)&lt;='TCO TO BE- SW'!$D93,SUM('TCO TO BE- SW'!R$6:R$15)*VLOOKUP('TCO TO BE- SW'!R$2,MODULY_CBA!$B$3:$L$23,11,0),0),0)</f>
        <v>0</v>
      </c>
      <c r="S93" s="550">
        <f>IFERROR(IF(VLOOKUP(S$2,MODULY_CBA!$B$3:$N$23,13,0)&lt;='TCO TO BE- SW'!$D93,SUM('TCO TO BE- SW'!S$6:S$15)*VLOOKUP('TCO TO BE- SW'!S$2,MODULY_CBA!$B$3:$L$23,11,0),0),0)</f>
        <v>0</v>
      </c>
      <c r="T93" s="550">
        <f>IFERROR(IF(VLOOKUP(T$2,MODULY_CBA!$B$3:$N$23,13,0)&lt;='TCO TO BE- SW'!$D93,SUM('TCO TO BE- SW'!T$6:T$15)*VLOOKUP('TCO TO BE- SW'!T$2,MODULY_CBA!$B$3:$L$23,11,0),0),0)</f>
        <v>0</v>
      </c>
      <c r="U93" s="550">
        <f>IFERROR(IF(VLOOKUP(U$2,MODULY_CBA!$B$3:$N$23,13,0)&lt;='TCO TO BE- SW'!$D93,SUM('TCO TO BE- SW'!U$6:U$15)*VLOOKUP('TCO TO BE- SW'!U$2,MODULY_CBA!$B$3:$L$23,11,0),0),0)</f>
        <v>0</v>
      </c>
      <c r="V93" s="550">
        <f>IFERROR(IF(VLOOKUP(V$2,MODULY_CBA!$B$3:$N$23,13,0)&lt;='TCO TO BE- SW'!$D93,SUM('TCO TO BE- SW'!V$6:V$15)*VLOOKUP('TCO TO BE- SW'!V$2,MODULY_CBA!$B$3:$L$23,11,0),0),0)</f>
        <v>0</v>
      </c>
      <c r="W93" s="550">
        <f>IFERROR(IF(VLOOKUP(W$2,MODULY_CBA!$B$3:$N$23,13,0)&lt;='TCO TO BE- SW'!$D93,SUM('TCO TO BE- SW'!W$6:W$15)*VLOOKUP('TCO TO BE- SW'!W$2,MODULY_CBA!$B$3:$L$23,11,0),0),0)</f>
        <v>0</v>
      </c>
      <c r="X93" s="550">
        <f>IFERROR(IF(VLOOKUP(X$2,MODULY_CBA!$B$3:$N$23,13,0)&lt;='TCO TO BE- SW'!$D93,SUM('TCO TO BE- SW'!X$6:X$15)*VLOOKUP('TCO TO BE- SW'!X$2,MODULY_CBA!$B$3:$L$23,11,0),0),0)</f>
        <v>0</v>
      </c>
      <c r="Y93" s="550">
        <f>IFERROR(IF(VLOOKUP(Y$2,MODULY_CBA!$B$3:$N$23,13,0)&lt;='TCO TO BE- SW'!$D93,SUM('TCO TO BE- SW'!Y$6:Y$15)*VLOOKUP('TCO TO BE- SW'!Y$2,MODULY_CBA!$B$3:$L$23,11,0),0),0)</f>
        <v>0</v>
      </c>
      <c r="Z93" s="550">
        <f>IFERROR(IF(VLOOKUP(Z$2,MODULY_CBA!$B$3:$N$23,13,0)&lt;='TCO TO BE- SW'!$D93,SUM('TCO TO BE- SW'!Z$6:Z$15)*VLOOKUP('TCO TO BE- SW'!Z$2,MODULY_CBA!$B$3:$L$23,11,0),0),0)</f>
        <v>0</v>
      </c>
    </row>
    <row r="94" spans="1:26" outlineLevel="2" x14ac:dyDescent="0.2">
      <c r="A94" s="884"/>
      <c r="B94" s="885"/>
      <c r="C94" s="885"/>
      <c r="D94" s="64">
        <v>6</v>
      </c>
      <c r="E94" s="61">
        <f t="shared" si="12"/>
        <v>0</v>
      </c>
      <c r="F94" s="550">
        <f>IFERROR(IF(VLOOKUP(F$2,MODULY_CBA!$B$3:$N$23,13,0)&lt;='TCO TO BE- SW'!$D94,SUM('TCO TO BE- SW'!F$6:F$15)*VLOOKUP('TCO TO BE- SW'!F$2,MODULY_CBA!$B$3:$L$23,11,0),0),0)</f>
        <v>0</v>
      </c>
      <c r="G94" s="550">
        <f>IFERROR(IF(VLOOKUP(G$2,MODULY_CBA!$B$3:$N$23,13,0)&lt;='TCO TO BE- SW'!$D94,SUM('TCO TO BE- SW'!G$6:G$15)*VLOOKUP('TCO TO BE- SW'!G$2,MODULY_CBA!$B$3:$L$23,11,0),0),0)</f>
        <v>0</v>
      </c>
      <c r="H94" s="550">
        <f>IFERROR(IF(VLOOKUP(H$2,MODULY_CBA!$B$3:$N$23,13,0)&lt;='TCO TO BE- SW'!$D94,SUM('TCO TO BE- SW'!H$6:H$15)*VLOOKUP('TCO TO BE- SW'!H$2,MODULY_CBA!$B$3:$L$23,11,0),0),0)</f>
        <v>0</v>
      </c>
      <c r="I94" s="550">
        <f>IFERROR(IF(VLOOKUP(I$2,MODULY_CBA!$B$3:$N$23,13,0)&lt;='TCO TO BE- SW'!$D94,SUM('TCO TO BE- SW'!I$6:I$15)*VLOOKUP('TCO TO BE- SW'!I$2,MODULY_CBA!$B$3:$L$23,11,0),0),0)</f>
        <v>0</v>
      </c>
      <c r="J94" s="550">
        <f>IFERROR(IF(VLOOKUP(J$2,MODULY_CBA!$B$3:$N$23,13,0)&lt;='TCO TO BE- SW'!$D94,SUM('TCO TO BE- SW'!J$6:J$15)*VLOOKUP('TCO TO BE- SW'!J$2,MODULY_CBA!$B$3:$L$23,11,0),0),0)</f>
        <v>0</v>
      </c>
      <c r="K94" s="550">
        <f>IFERROR(IF(VLOOKUP(K$2,MODULY_CBA!$B$3:$N$23,13,0)&lt;='TCO TO BE- SW'!$D94,SUM('TCO TO BE- SW'!K$6:K$15)*VLOOKUP('TCO TO BE- SW'!K$2,MODULY_CBA!$B$3:$L$23,11,0),0),0)</f>
        <v>0</v>
      </c>
      <c r="L94" s="550">
        <f>IFERROR(IF(VLOOKUP(L$2,MODULY_CBA!$B$3:$N$23,13,0)&lt;='TCO TO BE- SW'!$D94,SUM('TCO TO BE- SW'!L$6:L$15)*VLOOKUP('TCO TO BE- SW'!L$2,MODULY_CBA!$B$3:$L$23,11,0),0),0)</f>
        <v>0</v>
      </c>
      <c r="M94" s="550">
        <f>IFERROR(IF(VLOOKUP(M$2,MODULY_CBA!$B$3:$N$23,13,0)&lt;='TCO TO BE- SW'!$D94,SUM('TCO TO BE- SW'!M$6:M$15)*VLOOKUP('TCO TO BE- SW'!M$2,MODULY_CBA!$B$3:$L$23,11,0),0),0)</f>
        <v>0</v>
      </c>
      <c r="N94" s="550">
        <f>IFERROR(IF(VLOOKUP(N$2,MODULY_CBA!$B$3:$N$23,13,0)&lt;='TCO TO BE- SW'!$D94,SUM('TCO TO BE- SW'!N$6:N$15)*VLOOKUP('TCO TO BE- SW'!N$2,MODULY_CBA!$B$3:$L$23,11,0),0),0)</f>
        <v>0</v>
      </c>
      <c r="O94" s="550">
        <f>IFERROR(IF(VLOOKUP(O$2,MODULY_CBA!$B$3:$N$23,13,0)&lt;='TCO TO BE- SW'!$D94,SUM('TCO TO BE- SW'!O$6:O$15)*VLOOKUP('TCO TO BE- SW'!O$2,MODULY_CBA!$B$3:$L$23,11,0),0),0)</f>
        <v>0</v>
      </c>
      <c r="P94" s="550">
        <f>IFERROR(IF(VLOOKUP(P$2,MODULY_CBA!$B$3:$N$23,13,0)&lt;='TCO TO BE- SW'!$D94,SUM('TCO TO BE- SW'!P$6:P$15)*VLOOKUP('TCO TO BE- SW'!P$2,MODULY_CBA!$B$3:$L$23,11,0),0),0)</f>
        <v>0</v>
      </c>
      <c r="Q94" s="550">
        <f>IFERROR(IF(VLOOKUP(Q$2,MODULY_CBA!$B$3:$N$23,13,0)&lt;='TCO TO BE- SW'!$D94,SUM('TCO TO BE- SW'!Q$6:Q$15)*VLOOKUP('TCO TO BE- SW'!Q$2,MODULY_CBA!$B$3:$L$23,11,0),0),0)</f>
        <v>0</v>
      </c>
      <c r="R94" s="550">
        <f>IFERROR(IF(VLOOKUP(R$2,MODULY_CBA!$B$3:$N$23,13,0)&lt;='TCO TO BE- SW'!$D94,SUM('TCO TO BE- SW'!R$6:R$15)*VLOOKUP('TCO TO BE- SW'!R$2,MODULY_CBA!$B$3:$L$23,11,0),0),0)</f>
        <v>0</v>
      </c>
      <c r="S94" s="550">
        <f>IFERROR(IF(VLOOKUP(S$2,MODULY_CBA!$B$3:$N$23,13,0)&lt;='TCO TO BE- SW'!$D94,SUM('TCO TO BE- SW'!S$6:S$15)*VLOOKUP('TCO TO BE- SW'!S$2,MODULY_CBA!$B$3:$L$23,11,0),0),0)</f>
        <v>0</v>
      </c>
      <c r="T94" s="550">
        <f>IFERROR(IF(VLOOKUP(T$2,MODULY_CBA!$B$3:$N$23,13,0)&lt;='TCO TO BE- SW'!$D94,SUM('TCO TO BE- SW'!T$6:T$15)*VLOOKUP('TCO TO BE- SW'!T$2,MODULY_CBA!$B$3:$L$23,11,0),0),0)</f>
        <v>0</v>
      </c>
      <c r="U94" s="550">
        <f>IFERROR(IF(VLOOKUP(U$2,MODULY_CBA!$B$3:$N$23,13,0)&lt;='TCO TO BE- SW'!$D94,SUM('TCO TO BE- SW'!U$6:U$15)*VLOOKUP('TCO TO BE- SW'!U$2,MODULY_CBA!$B$3:$L$23,11,0),0),0)</f>
        <v>0</v>
      </c>
      <c r="V94" s="550">
        <f>IFERROR(IF(VLOOKUP(V$2,MODULY_CBA!$B$3:$N$23,13,0)&lt;='TCO TO BE- SW'!$D94,SUM('TCO TO BE- SW'!V$6:V$15)*VLOOKUP('TCO TO BE- SW'!V$2,MODULY_CBA!$B$3:$L$23,11,0),0),0)</f>
        <v>0</v>
      </c>
      <c r="W94" s="550">
        <f>IFERROR(IF(VLOOKUP(W$2,MODULY_CBA!$B$3:$N$23,13,0)&lt;='TCO TO BE- SW'!$D94,SUM('TCO TO BE- SW'!W$6:W$15)*VLOOKUP('TCO TO BE- SW'!W$2,MODULY_CBA!$B$3:$L$23,11,0),0),0)</f>
        <v>0</v>
      </c>
      <c r="X94" s="550">
        <f>IFERROR(IF(VLOOKUP(X$2,MODULY_CBA!$B$3:$N$23,13,0)&lt;='TCO TO BE- SW'!$D94,SUM('TCO TO BE- SW'!X$6:X$15)*VLOOKUP('TCO TO BE- SW'!X$2,MODULY_CBA!$B$3:$L$23,11,0),0),0)</f>
        <v>0</v>
      </c>
      <c r="Y94" s="550">
        <f>IFERROR(IF(VLOOKUP(Y$2,MODULY_CBA!$B$3:$N$23,13,0)&lt;='TCO TO BE- SW'!$D94,SUM('TCO TO BE- SW'!Y$6:Y$15)*VLOOKUP('TCO TO BE- SW'!Y$2,MODULY_CBA!$B$3:$L$23,11,0),0),0)</f>
        <v>0</v>
      </c>
      <c r="Z94" s="550">
        <f>IFERROR(IF(VLOOKUP(Z$2,MODULY_CBA!$B$3:$N$23,13,0)&lt;='TCO TO BE- SW'!$D94,SUM('TCO TO BE- SW'!Z$6:Z$15)*VLOOKUP('TCO TO BE- SW'!Z$2,MODULY_CBA!$B$3:$L$23,11,0),0),0)</f>
        <v>0</v>
      </c>
    </row>
    <row r="95" spans="1:26" outlineLevel="2" x14ac:dyDescent="0.2">
      <c r="A95" s="884"/>
      <c r="B95" s="885"/>
      <c r="C95" s="885"/>
      <c r="D95" s="64">
        <v>7</v>
      </c>
      <c r="E95" s="61">
        <f t="shared" si="12"/>
        <v>0</v>
      </c>
      <c r="F95" s="550">
        <f>IFERROR(IF(VLOOKUP(F$2,MODULY_CBA!$B$3:$N$23,13,0)&lt;='TCO TO BE- SW'!$D95,SUM('TCO TO BE- SW'!F$6:F$15)*VLOOKUP('TCO TO BE- SW'!F$2,MODULY_CBA!$B$3:$L$23,11,0),0),0)</f>
        <v>0</v>
      </c>
      <c r="G95" s="550">
        <f>IFERROR(IF(VLOOKUP(G$2,MODULY_CBA!$B$3:$N$23,13,0)&lt;='TCO TO BE- SW'!$D95,SUM('TCO TO BE- SW'!G$6:G$15)*VLOOKUP('TCO TO BE- SW'!G$2,MODULY_CBA!$B$3:$L$23,11,0),0),0)</f>
        <v>0</v>
      </c>
      <c r="H95" s="550">
        <f>IFERROR(IF(VLOOKUP(H$2,MODULY_CBA!$B$3:$N$23,13,0)&lt;='TCO TO BE- SW'!$D95,SUM('TCO TO BE- SW'!H$6:H$15)*VLOOKUP('TCO TO BE- SW'!H$2,MODULY_CBA!$B$3:$L$23,11,0),0),0)</f>
        <v>0</v>
      </c>
      <c r="I95" s="550">
        <f>IFERROR(IF(VLOOKUP(I$2,MODULY_CBA!$B$3:$N$23,13,0)&lt;='TCO TO BE- SW'!$D95,SUM('TCO TO BE- SW'!I$6:I$15)*VLOOKUP('TCO TO BE- SW'!I$2,MODULY_CBA!$B$3:$L$23,11,0),0),0)</f>
        <v>0</v>
      </c>
      <c r="J95" s="550">
        <f>IFERROR(IF(VLOOKUP(J$2,MODULY_CBA!$B$3:$N$23,13,0)&lt;='TCO TO BE- SW'!$D95,SUM('TCO TO BE- SW'!J$6:J$15)*VLOOKUP('TCO TO BE- SW'!J$2,MODULY_CBA!$B$3:$L$23,11,0),0),0)</f>
        <v>0</v>
      </c>
      <c r="K95" s="550">
        <f>IFERROR(IF(VLOOKUP(K$2,MODULY_CBA!$B$3:$N$23,13,0)&lt;='TCO TO BE- SW'!$D95,SUM('TCO TO BE- SW'!K$6:K$15)*VLOOKUP('TCO TO BE- SW'!K$2,MODULY_CBA!$B$3:$L$23,11,0),0),0)</f>
        <v>0</v>
      </c>
      <c r="L95" s="550">
        <f>IFERROR(IF(VLOOKUP(L$2,MODULY_CBA!$B$3:$N$23,13,0)&lt;='TCO TO BE- SW'!$D95,SUM('TCO TO BE- SW'!L$6:L$15)*VLOOKUP('TCO TO BE- SW'!L$2,MODULY_CBA!$B$3:$L$23,11,0),0),0)</f>
        <v>0</v>
      </c>
      <c r="M95" s="550">
        <f>IFERROR(IF(VLOOKUP(M$2,MODULY_CBA!$B$3:$N$23,13,0)&lt;='TCO TO BE- SW'!$D95,SUM('TCO TO BE- SW'!M$6:M$15)*VLOOKUP('TCO TO BE- SW'!M$2,MODULY_CBA!$B$3:$L$23,11,0),0),0)</f>
        <v>0</v>
      </c>
      <c r="N95" s="550">
        <f>IFERROR(IF(VLOOKUP(N$2,MODULY_CBA!$B$3:$N$23,13,0)&lt;='TCO TO BE- SW'!$D95,SUM('TCO TO BE- SW'!N$6:N$15)*VLOOKUP('TCO TO BE- SW'!N$2,MODULY_CBA!$B$3:$L$23,11,0),0),0)</f>
        <v>0</v>
      </c>
      <c r="O95" s="550">
        <f>IFERROR(IF(VLOOKUP(O$2,MODULY_CBA!$B$3:$N$23,13,0)&lt;='TCO TO BE- SW'!$D95,SUM('TCO TO BE- SW'!O$6:O$15)*VLOOKUP('TCO TO BE- SW'!O$2,MODULY_CBA!$B$3:$L$23,11,0),0),0)</f>
        <v>0</v>
      </c>
      <c r="P95" s="550">
        <f>IFERROR(IF(VLOOKUP(P$2,MODULY_CBA!$B$3:$N$23,13,0)&lt;='TCO TO BE- SW'!$D95,SUM('TCO TO BE- SW'!P$6:P$15)*VLOOKUP('TCO TO BE- SW'!P$2,MODULY_CBA!$B$3:$L$23,11,0),0),0)</f>
        <v>0</v>
      </c>
      <c r="Q95" s="550">
        <f>IFERROR(IF(VLOOKUP(Q$2,MODULY_CBA!$B$3:$N$23,13,0)&lt;='TCO TO BE- SW'!$D95,SUM('TCO TO BE- SW'!Q$6:Q$15)*VLOOKUP('TCO TO BE- SW'!Q$2,MODULY_CBA!$B$3:$L$23,11,0),0),0)</f>
        <v>0</v>
      </c>
      <c r="R95" s="550">
        <f>IFERROR(IF(VLOOKUP(R$2,MODULY_CBA!$B$3:$N$23,13,0)&lt;='TCO TO BE- SW'!$D95,SUM('TCO TO BE- SW'!R$6:R$15)*VLOOKUP('TCO TO BE- SW'!R$2,MODULY_CBA!$B$3:$L$23,11,0),0),0)</f>
        <v>0</v>
      </c>
      <c r="S95" s="550">
        <f>IFERROR(IF(VLOOKUP(S$2,MODULY_CBA!$B$3:$N$23,13,0)&lt;='TCO TO BE- SW'!$D95,SUM('TCO TO BE- SW'!S$6:S$15)*VLOOKUP('TCO TO BE- SW'!S$2,MODULY_CBA!$B$3:$L$23,11,0),0),0)</f>
        <v>0</v>
      </c>
      <c r="T95" s="550">
        <f>IFERROR(IF(VLOOKUP(T$2,MODULY_CBA!$B$3:$N$23,13,0)&lt;='TCO TO BE- SW'!$D95,SUM('TCO TO BE- SW'!T$6:T$15)*VLOOKUP('TCO TO BE- SW'!T$2,MODULY_CBA!$B$3:$L$23,11,0),0),0)</f>
        <v>0</v>
      </c>
      <c r="U95" s="550">
        <f>IFERROR(IF(VLOOKUP(U$2,MODULY_CBA!$B$3:$N$23,13,0)&lt;='TCO TO BE- SW'!$D95,SUM('TCO TO BE- SW'!U$6:U$15)*VLOOKUP('TCO TO BE- SW'!U$2,MODULY_CBA!$B$3:$L$23,11,0),0),0)</f>
        <v>0</v>
      </c>
      <c r="V95" s="550">
        <f>IFERROR(IF(VLOOKUP(V$2,MODULY_CBA!$B$3:$N$23,13,0)&lt;='TCO TO BE- SW'!$D95,SUM('TCO TO BE- SW'!V$6:V$15)*VLOOKUP('TCO TO BE- SW'!V$2,MODULY_CBA!$B$3:$L$23,11,0),0),0)</f>
        <v>0</v>
      </c>
      <c r="W95" s="550">
        <f>IFERROR(IF(VLOOKUP(W$2,MODULY_CBA!$B$3:$N$23,13,0)&lt;='TCO TO BE- SW'!$D95,SUM('TCO TO BE- SW'!W$6:W$15)*VLOOKUP('TCO TO BE- SW'!W$2,MODULY_CBA!$B$3:$L$23,11,0),0),0)</f>
        <v>0</v>
      </c>
      <c r="X95" s="550">
        <f>IFERROR(IF(VLOOKUP(X$2,MODULY_CBA!$B$3:$N$23,13,0)&lt;='TCO TO BE- SW'!$D95,SUM('TCO TO BE- SW'!X$6:X$15)*VLOOKUP('TCO TO BE- SW'!X$2,MODULY_CBA!$B$3:$L$23,11,0),0),0)</f>
        <v>0</v>
      </c>
      <c r="Y95" s="550">
        <f>IFERROR(IF(VLOOKUP(Y$2,MODULY_CBA!$B$3:$N$23,13,0)&lt;='TCO TO BE- SW'!$D95,SUM('TCO TO BE- SW'!Y$6:Y$15)*VLOOKUP('TCO TO BE- SW'!Y$2,MODULY_CBA!$B$3:$L$23,11,0),0),0)</f>
        <v>0</v>
      </c>
      <c r="Z95" s="550">
        <f>IFERROR(IF(VLOOKUP(Z$2,MODULY_CBA!$B$3:$N$23,13,0)&lt;='TCO TO BE- SW'!$D95,SUM('TCO TO BE- SW'!Z$6:Z$15)*VLOOKUP('TCO TO BE- SW'!Z$2,MODULY_CBA!$B$3:$L$23,11,0),0),0)</f>
        <v>0</v>
      </c>
    </row>
    <row r="96" spans="1:26" outlineLevel="2" x14ac:dyDescent="0.2">
      <c r="A96" s="884"/>
      <c r="B96" s="885"/>
      <c r="C96" s="885"/>
      <c r="D96" s="64">
        <v>8</v>
      </c>
      <c r="E96" s="61">
        <f t="shared" si="12"/>
        <v>0</v>
      </c>
      <c r="F96" s="550">
        <f>IFERROR(IF(VLOOKUP(F$2,MODULY_CBA!$B$3:$N$23,13,0)&lt;='TCO TO BE- SW'!$D96,SUM('TCO TO BE- SW'!F$6:F$15)*VLOOKUP('TCO TO BE- SW'!F$2,MODULY_CBA!$B$3:$L$23,11,0),0),0)</f>
        <v>0</v>
      </c>
      <c r="G96" s="550">
        <f>IFERROR(IF(VLOOKUP(G$2,MODULY_CBA!$B$3:$N$23,13,0)&lt;='TCO TO BE- SW'!$D96,SUM('TCO TO BE- SW'!G$6:G$15)*VLOOKUP('TCO TO BE- SW'!G$2,MODULY_CBA!$B$3:$L$23,11,0),0),0)</f>
        <v>0</v>
      </c>
      <c r="H96" s="550">
        <f>IFERROR(IF(VLOOKUP(H$2,MODULY_CBA!$B$3:$N$23,13,0)&lt;='TCO TO BE- SW'!$D96,SUM('TCO TO BE- SW'!H$6:H$15)*VLOOKUP('TCO TO BE- SW'!H$2,MODULY_CBA!$B$3:$L$23,11,0),0),0)</f>
        <v>0</v>
      </c>
      <c r="I96" s="550">
        <f>IFERROR(IF(VLOOKUP(I$2,MODULY_CBA!$B$3:$N$23,13,0)&lt;='TCO TO BE- SW'!$D96,SUM('TCO TO BE- SW'!I$6:I$15)*VLOOKUP('TCO TO BE- SW'!I$2,MODULY_CBA!$B$3:$L$23,11,0),0),0)</f>
        <v>0</v>
      </c>
      <c r="J96" s="550">
        <f>IFERROR(IF(VLOOKUP(J$2,MODULY_CBA!$B$3:$N$23,13,0)&lt;='TCO TO BE- SW'!$D96,SUM('TCO TO BE- SW'!J$6:J$15)*VLOOKUP('TCO TO BE- SW'!J$2,MODULY_CBA!$B$3:$L$23,11,0),0),0)</f>
        <v>0</v>
      </c>
      <c r="K96" s="550">
        <f>IFERROR(IF(VLOOKUP(K$2,MODULY_CBA!$B$3:$N$23,13,0)&lt;='TCO TO BE- SW'!$D96,SUM('TCO TO BE- SW'!K$6:K$15)*VLOOKUP('TCO TO BE- SW'!K$2,MODULY_CBA!$B$3:$L$23,11,0),0),0)</f>
        <v>0</v>
      </c>
      <c r="L96" s="550">
        <f>IFERROR(IF(VLOOKUP(L$2,MODULY_CBA!$B$3:$N$23,13,0)&lt;='TCO TO BE- SW'!$D96,SUM('TCO TO BE- SW'!L$6:L$15)*VLOOKUP('TCO TO BE- SW'!L$2,MODULY_CBA!$B$3:$L$23,11,0),0),0)</f>
        <v>0</v>
      </c>
      <c r="M96" s="550">
        <f>IFERROR(IF(VLOOKUP(M$2,MODULY_CBA!$B$3:$N$23,13,0)&lt;='TCO TO BE- SW'!$D96,SUM('TCO TO BE- SW'!M$6:M$15)*VLOOKUP('TCO TO BE- SW'!M$2,MODULY_CBA!$B$3:$L$23,11,0),0),0)</f>
        <v>0</v>
      </c>
      <c r="N96" s="550">
        <f>IFERROR(IF(VLOOKUP(N$2,MODULY_CBA!$B$3:$N$23,13,0)&lt;='TCO TO BE- SW'!$D96,SUM('TCO TO BE- SW'!N$6:N$15)*VLOOKUP('TCO TO BE- SW'!N$2,MODULY_CBA!$B$3:$L$23,11,0),0),0)</f>
        <v>0</v>
      </c>
      <c r="O96" s="550">
        <f>IFERROR(IF(VLOOKUP(O$2,MODULY_CBA!$B$3:$N$23,13,0)&lt;='TCO TO BE- SW'!$D96,SUM('TCO TO BE- SW'!O$6:O$15)*VLOOKUP('TCO TO BE- SW'!O$2,MODULY_CBA!$B$3:$L$23,11,0),0),0)</f>
        <v>0</v>
      </c>
      <c r="P96" s="550">
        <f>IFERROR(IF(VLOOKUP(P$2,MODULY_CBA!$B$3:$N$23,13,0)&lt;='TCO TO BE- SW'!$D96,SUM('TCO TO BE- SW'!P$6:P$15)*VLOOKUP('TCO TO BE- SW'!P$2,MODULY_CBA!$B$3:$L$23,11,0),0),0)</f>
        <v>0</v>
      </c>
      <c r="Q96" s="550">
        <f>IFERROR(IF(VLOOKUP(Q$2,MODULY_CBA!$B$3:$N$23,13,0)&lt;='TCO TO BE- SW'!$D96,SUM('TCO TO BE- SW'!Q$6:Q$15)*VLOOKUP('TCO TO BE- SW'!Q$2,MODULY_CBA!$B$3:$L$23,11,0),0),0)</f>
        <v>0</v>
      </c>
      <c r="R96" s="550">
        <f>IFERROR(IF(VLOOKUP(R$2,MODULY_CBA!$B$3:$N$23,13,0)&lt;='TCO TO BE- SW'!$D96,SUM('TCO TO BE- SW'!R$6:R$15)*VLOOKUP('TCO TO BE- SW'!R$2,MODULY_CBA!$B$3:$L$23,11,0),0),0)</f>
        <v>0</v>
      </c>
      <c r="S96" s="550">
        <f>IFERROR(IF(VLOOKUP(S$2,MODULY_CBA!$B$3:$N$23,13,0)&lt;='TCO TO BE- SW'!$D96,SUM('TCO TO BE- SW'!S$6:S$15)*VLOOKUP('TCO TO BE- SW'!S$2,MODULY_CBA!$B$3:$L$23,11,0),0),0)</f>
        <v>0</v>
      </c>
      <c r="T96" s="550">
        <f>IFERROR(IF(VLOOKUP(T$2,MODULY_CBA!$B$3:$N$23,13,0)&lt;='TCO TO BE- SW'!$D96,SUM('TCO TO BE- SW'!T$6:T$15)*VLOOKUP('TCO TO BE- SW'!T$2,MODULY_CBA!$B$3:$L$23,11,0),0),0)</f>
        <v>0</v>
      </c>
      <c r="U96" s="550">
        <f>IFERROR(IF(VLOOKUP(U$2,MODULY_CBA!$B$3:$N$23,13,0)&lt;='TCO TO BE- SW'!$D96,SUM('TCO TO BE- SW'!U$6:U$15)*VLOOKUP('TCO TO BE- SW'!U$2,MODULY_CBA!$B$3:$L$23,11,0),0),0)</f>
        <v>0</v>
      </c>
      <c r="V96" s="550">
        <f>IFERROR(IF(VLOOKUP(V$2,MODULY_CBA!$B$3:$N$23,13,0)&lt;='TCO TO BE- SW'!$D96,SUM('TCO TO BE- SW'!V$6:V$15)*VLOOKUP('TCO TO BE- SW'!V$2,MODULY_CBA!$B$3:$L$23,11,0),0),0)</f>
        <v>0</v>
      </c>
      <c r="W96" s="550">
        <f>IFERROR(IF(VLOOKUP(W$2,MODULY_CBA!$B$3:$N$23,13,0)&lt;='TCO TO BE- SW'!$D96,SUM('TCO TO BE- SW'!W$6:W$15)*VLOOKUP('TCO TO BE- SW'!W$2,MODULY_CBA!$B$3:$L$23,11,0),0),0)</f>
        <v>0</v>
      </c>
      <c r="X96" s="550">
        <f>IFERROR(IF(VLOOKUP(X$2,MODULY_CBA!$B$3:$N$23,13,0)&lt;='TCO TO BE- SW'!$D96,SUM('TCO TO BE- SW'!X$6:X$15)*VLOOKUP('TCO TO BE- SW'!X$2,MODULY_CBA!$B$3:$L$23,11,0),0),0)</f>
        <v>0</v>
      </c>
      <c r="Y96" s="550">
        <f>IFERROR(IF(VLOOKUP(Y$2,MODULY_CBA!$B$3:$N$23,13,0)&lt;='TCO TO BE- SW'!$D96,SUM('TCO TO BE- SW'!Y$6:Y$15)*VLOOKUP('TCO TO BE- SW'!Y$2,MODULY_CBA!$B$3:$L$23,11,0),0),0)</f>
        <v>0</v>
      </c>
      <c r="Z96" s="550">
        <f>IFERROR(IF(VLOOKUP(Z$2,MODULY_CBA!$B$3:$N$23,13,0)&lt;='TCO TO BE- SW'!$D96,SUM('TCO TO BE- SW'!Z$6:Z$15)*VLOOKUP('TCO TO BE- SW'!Z$2,MODULY_CBA!$B$3:$L$23,11,0),0),0)</f>
        <v>0</v>
      </c>
    </row>
    <row r="97" spans="1:26" outlineLevel="2" x14ac:dyDescent="0.2">
      <c r="A97" s="884"/>
      <c r="B97" s="885"/>
      <c r="C97" s="885"/>
      <c r="D97" s="64">
        <v>9</v>
      </c>
      <c r="E97" s="61">
        <f t="shared" si="12"/>
        <v>0</v>
      </c>
      <c r="F97" s="550">
        <f>IFERROR(IF(VLOOKUP(F$2,MODULY_CBA!$B$3:$N$23,13,0)&lt;='TCO TO BE- SW'!$D97,SUM('TCO TO BE- SW'!F$6:F$15)*VLOOKUP('TCO TO BE- SW'!F$2,MODULY_CBA!$B$3:$L$23,11,0),0),0)</f>
        <v>0</v>
      </c>
      <c r="G97" s="550">
        <f>IFERROR(IF(VLOOKUP(G$2,MODULY_CBA!$B$3:$N$23,13,0)&lt;='TCO TO BE- SW'!$D97,SUM('TCO TO BE- SW'!G$6:G$15)*VLOOKUP('TCO TO BE- SW'!G$2,MODULY_CBA!$B$3:$L$23,11,0),0),0)</f>
        <v>0</v>
      </c>
      <c r="H97" s="550">
        <f>IFERROR(IF(VLOOKUP(H$2,MODULY_CBA!$B$3:$N$23,13,0)&lt;='TCO TO BE- SW'!$D97,SUM('TCO TO BE- SW'!H$6:H$15)*VLOOKUP('TCO TO BE- SW'!H$2,MODULY_CBA!$B$3:$L$23,11,0),0),0)</f>
        <v>0</v>
      </c>
      <c r="I97" s="550">
        <f>IFERROR(IF(VLOOKUP(I$2,MODULY_CBA!$B$3:$N$23,13,0)&lt;='TCO TO BE- SW'!$D97,SUM('TCO TO BE- SW'!I$6:I$15)*VLOOKUP('TCO TO BE- SW'!I$2,MODULY_CBA!$B$3:$L$23,11,0),0),0)</f>
        <v>0</v>
      </c>
      <c r="J97" s="550">
        <f>IFERROR(IF(VLOOKUP(J$2,MODULY_CBA!$B$3:$N$23,13,0)&lt;='TCO TO BE- SW'!$D97,SUM('TCO TO BE- SW'!J$6:J$15)*VLOOKUP('TCO TO BE- SW'!J$2,MODULY_CBA!$B$3:$L$23,11,0),0),0)</f>
        <v>0</v>
      </c>
      <c r="K97" s="550">
        <f>IFERROR(IF(VLOOKUP(K$2,MODULY_CBA!$B$3:$N$23,13,0)&lt;='TCO TO BE- SW'!$D97,SUM('TCO TO BE- SW'!K$6:K$15)*VLOOKUP('TCO TO BE- SW'!K$2,MODULY_CBA!$B$3:$L$23,11,0),0),0)</f>
        <v>0</v>
      </c>
      <c r="L97" s="550">
        <f>IFERROR(IF(VLOOKUP(L$2,MODULY_CBA!$B$3:$N$23,13,0)&lt;='TCO TO BE- SW'!$D97,SUM('TCO TO BE- SW'!L$6:L$15)*VLOOKUP('TCO TO BE- SW'!L$2,MODULY_CBA!$B$3:$L$23,11,0),0),0)</f>
        <v>0</v>
      </c>
      <c r="M97" s="550">
        <f>IFERROR(IF(VLOOKUP(M$2,MODULY_CBA!$B$3:$N$23,13,0)&lt;='TCO TO BE- SW'!$D97,SUM('TCO TO BE- SW'!M$6:M$15)*VLOOKUP('TCO TO BE- SW'!M$2,MODULY_CBA!$B$3:$L$23,11,0),0),0)</f>
        <v>0</v>
      </c>
      <c r="N97" s="550">
        <f>IFERROR(IF(VLOOKUP(N$2,MODULY_CBA!$B$3:$N$23,13,0)&lt;='TCO TO BE- SW'!$D97,SUM('TCO TO BE- SW'!N$6:N$15)*VLOOKUP('TCO TO BE- SW'!N$2,MODULY_CBA!$B$3:$L$23,11,0),0),0)</f>
        <v>0</v>
      </c>
      <c r="O97" s="550">
        <f>IFERROR(IF(VLOOKUP(O$2,MODULY_CBA!$B$3:$N$23,13,0)&lt;='TCO TO BE- SW'!$D97,SUM('TCO TO BE- SW'!O$6:O$15)*VLOOKUP('TCO TO BE- SW'!O$2,MODULY_CBA!$B$3:$L$23,11,0),0),0)</f>
        <v>0</v>
      </c>
      <c r="P97" s="550">
        <f>IFERROR(IF(VLOOKUP(P$2,MODULY_CBA!$B$3:$N$23,13,0)&lt;='TCO TO BE- SW'!$D97,SUM('TCO TO BE- SW'!P$6:P$15)*VLOOKUP('TCO TO BE- SW'!P$2,MODULY_CBA!$B$3:$L$23,11,0),0),0)</f>
        <v>0</v>
      </c>
      <c r="Q97" s="550">
        <f>IFERROR(IF(VLOOKUP(Q$2,MODULY_CBA!$B$3:$N$23,13,0)&lt;='TCO TO BE- SW'!$D97,SUM('TCO TO BE- SW'!Q$6:Q$15)*VLOOKUP('TCO TO BE- SW'!Q$2,MODULY_CBA!$B$3:$L$23,11,0),0),0)</f>
        <v>0</v>
      </c>
      <c r="R97" s="550">
        <f>IFERROR(IF(VLOOKUP(R$2,MODULY_CBA!$B$3:$N$23,13,0)&lt;='TCO TO BE- SW'!$D97,SUM('TCO TO BE- SW'!R$6:R$15)*VLOOKUP('TCO TO BE- SW'!R$2,MODULY_CBA!$B$3:$L$23,11,0),0),0)</f>
        <v>0</v>
      </c>
      <c r="S97" s="550">
        <f>IFERROR(IF(VLOOKUP(S$2,MODULY_CBA!$B$3:$N$23,13,0)&lt;='TCO TO BE- SW'!$D97,SUM('TCO TO BE- SW'!S$6:S$15)*VLOOKUP('TCO TO BE- SW'!S$2,MODULY_CBA!$B$3:$L$23,11,0),0),0)</f>
        <v>0</v>
      </c>
      <c r="T97" s="550">
        <f>IFERROR(IF(VLOOKUP(T$2,MODULY_CBA!$B$3:$N$23,13,0)&lt;='TCO TO BE- SW'!$D97,SUM('TCO TO BE- SW'!T$6:T$15)*VLOOKUP('TCO TO BE- SW'!T$2,MODULY_CBA!$B$3:$L$23,11,0),0),0)</f>
        <v>0</v>
      </c>
      <c r="U97" s="550">
        <f>IFERROR(IF(VLOOKUP(U$2,MODULY_CBA!$B$3:$N$23,13,0)&lt;='TCO TO BE- SW'!$D97,SUM('TCO TO BE- SW'!U$6:U$15)*VLOOKUP('TCO TO BE- SW'!U$2,MODULY_CBA!$B$3:$L$23,11,0),0),0)</f>
        <v>0</v>
      </c>
      <c r="V97" s="550">
        <f>IFERROR(IF(VLOOKUP(V$2,MODULY_CBA!$B$3:$N$23,13,0)&lt;='TCO TO BE- SW'!$D97,SUM('TCO TO BE- SW'!V$6:V$15)*VLOOKUP('TCO TO BE- SW'!V$2,MODULY_CBA!$B$3:$L$23,11,0),0),0)</f>
        <v>0</v>
      </c>
      <c r="W97" s="550">
        <f>IFERROR(IF(VLOOKUP(W$2,MODULY_CBA!$B$3:$N$23,13,0)&lt;='TCO TO BE- SW'!$D97,SUM('TCO TO BE- SW'!W$6:W$15)*VLOOKUP('TCO TO BE- SW'!W$2,MODULY_CBA!$B$3:$L$23,11,0),0),0)</f>
        <v>0</v>
      </c>
      <c r="X97" s="550">
        <f>IFERROR(IF(VLOOKUP(X$2,MODULY_CBA!$B$3:$N$23,13,0)&lt;='TCO TO BE- SW'!$D97,SUM('TCO TO BE- SW'!X$6:X$15)*VLOOKUP('TCO TO BE- SW'!X$2,MODULY_CBA!$B$3:$L$23,11,0),0),0)</f>
        <v>0</v>
      </c>
      <c r="Y97" s="550">
        <f>IFERROR(IF(VLOOKUP(Y$2,MODULY_CBA!$B$3:$N$23,13,0)&lt;='TCO TO BE- SW'!$D97,SUM('TCO TO BE- SW'!Y$6:Y$15)*VLOOKUP('TCO TO BE- SW'!Y$2,MODULY_CBA!$B$3:$L$23,11,0),0),0)</f>
        <v>0</v>
      </c>
      <c r="Z97" s="550">
        <f>IFERROR(IF(VLOOKUP(Z$2,MODULY_CBA!$B$3:$N$23,13,0)&lt;='TCO TO BE- SW'!$D97,SUM('TCO TO BE- SW'!Z$6:Z$15)*VLOOKUP('TCO TO BE- SW'!Z$2,MODULY_CBA!$B$3:$L$23,11,0),0),0)</f>
        <v>0</v>
      </c>
    </row>
    <row r="98" spans="1:26" ht="16" outlineLevel="2" thickBot="1" x14ac:dyDescent="0.25">
      <c r="A98" s="884"/>
      <c r="B98" s="885"/>
      <c r="C98" s="885"/>
      <c r="D98" s="65">
        <v>10</v>
      </c>
      <c r="E98" s="61">
        <f t="shared" si="12"/>
        <v>0</v>
      </c>
      <c r="F98" s="552">
        <f>IFERROR(IF(VLOOKUP(F$2,MODULY_CBA!$B$3:$N$23,13,0)&lt;='TCO TO BE- SW'!$D98,SUM('TCO TO BE- SW'!F$6:F$15)*VLOOKUP('TCO TO BE- SW'!F$2,MODULY_CBA!$B$3:$L$23,11,0),0),0)</f>
        <v>0</v>
      </c>
      <c r="G98" s="552">
        <f>IFERROR(IF(VLOOKUP(G$2,MODULY_CBA!$B$3:$N$23,13,0)&lt;='TCO TO BE- SW'!$D98,SUM('TCO TO BE- SW'!G$6:G$15)*VLOOKUP('TCO TO BE- SW'!G$2,MODULY_CBA!$B$3:$L$23,11,0),0),0)</f>
        <v>0</v>
      </c>
      <c r="H98" s="552">
        <f>IFERROR(IF(VLOOKUP(H$2,MODULY_CBA!$B$3:$N$23,13,0)&lt;='TCO TO BE- SW'!$D98,SUM('TCO TO BE- SW'!H$6:H$15)*VLOOKUP('TCO TO BE- SW'!H$2,MODULY_CBA!$B$3:$L$23,11,0),0),0)</f>
        <v>0</v>
      </c>
      <c r="I98" s="552">
        <f>IFERROR(IF(VLOOKUP(I$2,MODULY_CBA!$B$3:$N$23,13,0)&lt;='TCO TO BE- SW'!$D98,SUM('TCO TO BE- SW'!I$6:I$15)*VLOOKUP('TCO TO BE- SW'!I$2,MODULY_CBA!$B$3:$L$23,11,0),0),0)</f>
        <v>0</v>
      </c>
      <c r="J98" s="552">
        <f>IFERROR(IF(VLOOKUP(J$2,MODULY_CBA!$B$3:$N$23,13,0)&lt;='TCO TO BE- SW'!$D98,SUM('TCO TO BE- SW'!J$6:J$15)*VLOOKUP('TCO TO BE- SW'!J$2,MODULY_CBA!$B$3:$L$23,11,0),0),0)</f>
        <v>0</v>
      </c>
      <c r="K98" s="552">
        <f>IFERROR(IF(VLOOKUP(K$2,MODULY_CBA!$B$3:$N$23,13,0)&lt;='TCO TO BE- SW'!$D98,SUM('TCO TO BE- SW'!K$6:K$15)*VLOOKUP('TCO TO BE- SW'!K$2,MODULY_CBA!$B$3:$L$23,11,0),0),0)</f>
        <v>0</v>
      </c>
      <c r="L98" s="552">
        <f>IFERROR(IF(VLOOKUP(L$2,MODULY_CBA!$B$3:$N$23,13,0)&lt;='TCO TO BE- SW'!$D98,SUM('TCO TO BE- SW'!L$6:L$15)*VLOOKUP('TCO TO BE- SW'!L$2,MODULY_CBA!$B$3:$L$23,11,0),0),0)</f>
        <v>0</v>
      </c>
      <c r="M98" s="552">
        <f>IFERROR(IF(VLOOKUP(M$2,MODULY_CBA!$B$3:$N$23,13,0)&lt;='TCO TO BE- SW'!$D98,SUM('TCO TO BE- SW'!M$6:M$15)*VLOOKUP('TCO TO BE- SW'!M$2,MODULY_CBA!$B$3:$L$23,11,0),0),0)</f>
        <v>0</v>
      </c>
      <c r="N98" s="552">
        <f>IFERROR(IF(VLOOKUP(N$2,MODULY_CBA!$B$3:$N$23,13,0)&lt;='TCO TO BE- SW'!$D98,SUM('TCO TO BE- SW'!N$6:N$15)*VLOOKUP('TCO TO BE- SW'!N$2,MODULY_CBA!$B$3:$L$23,11,0),0),0)</f>
        <v>0</v>
      </c>
      <c r="O98" s="552">
        <f>IFERROR(IF(VLOOKUP(O$2,MODULY_CBA!$B$3:$N$23,13,0)&lt;='TCO TO BE- SW'!$D98,SUM('TCO TO BE- SW'!O$6:O$15)*VLOOKUP('TCO TO BE- SW'!O$2,MODULY_CBA!$B$3:$L$23,11,0),0),0)</f>
        <v>0</v>
      </c>
      <c r="P98" s="552">
        <f>IFERROR(IF(VLOOKUP(P$2,MODULY_CBA!$B$3:$N$23,13,0)&lt;='TCO TO BE- SW'!$D98,SUM('TCO TO BE- SW'!P$6:P$15)*VLOOKUP('TCO TO BE- SW'!P$2,MODULY_CBA!$B$3:$L$23,11,0),0),0)</f>
        <v>0</v>
      </c>
      <c r="Q98" s="552">
        <f>IFERROR(IF(VLOOKUP(Q$2,MODULY_CBA!$B$3:$N$23,13,0)&lt;='TCO TO BE- SW'!$D98,SUM('TCO TO BE- SW'!Q$6:Q$15)*VLOOKUP('TCO TO BE- SW'!Q$2,MODULY_CBA!$B$3:$L$23,11,0),0),0)</f>
        <v>0</v>
      </c>
      <c r="R98" s="552">
        <f>IFERROR(IF(VLOOKUP(R$2,MODULY_CBA!$B$3:$N$23,13,0)&lt;='TCO TO BE- SW'!$D98,SUM('TCO TO BE- SW'!R$6:R$15)*VLOOKUP('TCO TO BE- SW'!R$2,MODULY_CBA!$B$3:$L$23,11,0),0),0)</f>
        <v>0</v>
      </c>
      <c r="S98" s="552">
        <f>IFERROR(IF(VLOOKUP(S$2,MODULY_CBA!$B$3:$N$23,13,0)&lt;='TCO TO BE- SW'!$D98,SUM('TCO TO BE- SW'!S$6:S$15)*VLOOKUP('TCO TO BE- SW'!S$2,MODULY_CBA!$B$3:$L$23,11,0),0),0)</f>
        <v>0</v>
      </c>
      <c r="T98" s="552">
        <f>IFERROR(IF(VLOOKUP(T$2,MODULY_CBA!$B$3:$N$23,13,0)&lt;='TCO TO BE- SW'!$D98,SUM('TCO TO BE- SW'!T$6:T$15)*VLOOKUP('TCO TO BE- SW'!T$2,MODULY_CBA!$B$3:$L$23,11,0),0),0)</f>
        <v>0</v>
      </c>
      <c r="U98" s="552">
        <f>IFERROR(IF(VLOOKUP(U$2,MODULY_CBA!$B$3:$N$23,13,0)&lt;='TCO TO BE- SW'!$D98,SUM('TCO TO BE- SW'!U$6:U$15)*VLOOKUP('TCO TO BE- SW'!U$2,MODULY_CBA!$B$3:$L$23,11,0),0),0)</f>
        <v>0</v>
      </c>
      <c r="V98" s="552">
        <f>IFERROR(IF(VLOOKUP(V$2,MODULY_CBA!$B$3:$N$23,13,0)&lt;='TCO TO BE- SW'!$D98,SUM('TCO TO BE- SW'!V$6:V$15)*VLOOKUP('TCO TO BE- SW'!V$2,MODULY_CBA!$B$3:$L$23,11,0),0),0)</f>
        <v>0</v>
      </c>
      <c r="W98" s="552">
        <f>IFERROR(IF(VLOOKUP(W$2,MODULY_CBA!$B$3:$N$23,13,0)&lt;='TCO TO BE- SW'!$D98,SUM('TCO TO BE- SW'!W$6:W$15)*VLOOKUP('TCO TO BE- SW'!W$2,MODULY_CBA!$B$3:$L$23,11,0),0),0)</f>
        <v>0</v>
      </c>
      <c r="X98" s="552">
        <f>IFERROR(IF(VLOOKUP(X$2,MODULY_CBA!$B$3:$N$23,13,0)&lt;='TCO TO BE- SW'!$D98,SUM('TCO TO BE- SW'!X$6:X$15)*VLOOKUP('TCO TO BE- SW'!X$2,MODULY_CBA!$B$3:$L$23,11,0),0),0)</f>
        <v>0</v>
      </c>
      <c r="Y98" s="552">
        <f>IFERROR(IF(VLOOKUP(Y$2,MODULY_CBA!$B$3:$N$23,13,0)&lt;='TCO TO BE- SW'!$D98,SUM('TCO TO BE- SW'!Y$6:Y$15)*VLOOKUP('TCO TO BE- SW'!Y$2,MODULY_CBA!$B$3:$L$23,11,0),0),0)</f>
        <v>0</v>
      </c>
      <c r="Z98" s="552">
        <f>IFERROR(IF(VLOOKUP(Z$2,MODULY_CBA!$B$3:$N$23,13,0)&lt;='TCO TO BE- SW'!$D98,SUM('TCO TO BE- SW'!Z$6:Z$15)*VLOOKUP('TCO TO BE- SW'!Z$2,MODULY_CBA!$B$3:$L$23,11,0),0),0)</f>
        <v>0</v>
      </c>
    </row>
    <row r="99" spans="1:26" ht="16" outlineLevel="1" thickBot="1" x14ac:dyDescent="0.25">
      <c r="A99" s="17" t="s">
        <v>100</v>
      </c>
      <c r="B99" s="17"/>
      <c r="C99" s="17"/>
      <c r="D99" s="27"/>
      <c r="E99" s="418">
        <f t="shared" ref="E99:Z99" si="13">SUM(E100:E149)</f>
        <v>3243768.152400001</v>
      </c>
      <c r="F99" s="419">
        <f t="shared" si="13"/>
        <v>1172891.3405261899</v>
      </c>
      <c r="G99" s="419">
        <f t="shared" si="13"/>
        <v>362706.20184573444</v>
      </c>
      <c r="H99" s="419">
        <f t="shared" si="13"/>
        <v>566160.76581930183</v>
      </c>
      <c r="I99" s="419">
        <f t="shared" si="13"/>
        <v>700586.10273040889</v>
      </c>
      <c r="J99" s="419">
        <f t="shared" si="13"/>
        <v>279750.02546365501</v>
      </c>
      <c r="K99" s="419">
        <f t="shared" si="13"/>
        <v>85378.254524621996</v>
      </c>
      <c r="L99" s="419">
        <f t="shared" si="13"/>
        <v>76295.461490087735</v>
      </c>
      <c r="M99" s="419">
        <f t="shared" si="13"/>
        <v>0</v>
      </c>
      <c r="N99" s="419">
        <f t="shared" si="13"/>
        <v>0</v>
      </c>
      <c r="O99" s="419">
        <f t="shared" si="13"/>
        <v>0</v>
      </c>
      <c r="P99" s="419">
        <f t="shared" si="13"/>
        <v>0</v>
      </c>
      <c r="Q99" s="419">
        <f t="shared" si="13"/>
        <v>0</v>
      </c>
      <c r="R99" s="419">
        <f t="shared" si="13"/>
        <v>0</v>
      </c>
      <c r="S99" s="419">
        <f t="shared" si="13"/>
        <v>0</v>
      </c>
      <c r="T99" s="419">
        <f t="shared" si="13"/>
        <v>0</v>
      </c>
      <c r="U99" s="419">
        <f t="shared" si="13"/>
        <v>0</v>
      </c>
      <c r="V99" s="419">
        <f t="shared" si="13"/>
        <v>0</v>
      </c>
      <c r="W99" s="419">
        <f t="shared" si="13"/>
        <v>0</v>
      </c>
      <c r="X99" s="419">
        <f t="shared" si="13"/>
        <v>0</v>
      </c>
      <c r="Y99" s="419">
        <f t="shared" si="13"/>
        <v>0</v>
      </c>
      <c r="Z99" s="419">
        <f t="shared" si="13"/>
        <v>0</v>
      </c>
    </row>
    <row r="100" spans="1:26" outlineLevel="2" x14ac:dyDescent="0.2">
      <c r="A100" s="884" t="s">
        <v>1161</v>
      </c>
      <c r="B100" s="885" t="s">
        <v>1158</v>
      </c>
      <c r="C100" s="885">
        <v>635009</v>
      </c>
      <c r="D100" s="63">
        <v>1</v>
      </c>
      <c r="E100" s="67">
        <f t="shared" ref="E100:E149" si="14">SUM(F100:Z100)</f>
        <v>0</v>
      </c>
      <c r="F100" s="552">
        <f>IFERROR(IF(VLOOKUP(F$2,MODULY_CBA!$B$3:$N$23,13,0)&lt;='TCO TO BE- SW'!$D100,SUM('TCO TO BE- SW'!F$37:F$46)*VLOOKUP('TCO TO BE- SW'!F$2,MODULY_CBA!$B$3:$L$23,10,0),0),0)</f>
        <v>0</v>
      </c>
      <c r="G100" s="552">
        <f>IFERROR(IF(VLOOKUP(G$2,MODULY_CBA!$B$3:$N$23,13,0)&lt;='TCO TO BE- SW'!$D100,SUM('TCO TO BE- SW'!G$37:G$46)*VLOOKUP('TCO TO BE- SW'!G$2,MODULY_CBA!$B$3:$L$23,10,0),0),0)</f>
        <v>0</v>
      </c>
      <c r="H100" s="552">
        <f>IFERROR(IF(VLOOKUP(H$2,MODULY_CBA!$B$3:$N$23,13,0)&lt;='TCO TO BE- SW'!$D100,SUM('TCO TO BE- SW'!H$37:H$46)*VLOOKUP('TCO TO BE- SW'!H$2,MODULY_CBA!$B$3:$L$23,10,0),0),0)</f>
        <v>0</v>
      </c>
      <c r="I100" s="552">
        <f>IFERROR(IF(VLOOKUP(I$2,MODULY_CBA!$B$3:$N$23,13,0)&lt;='TCO TO BE- SW'!$D100,SUM('TCO TO BE- SW'!I$37:I$46)*VLOOKUP('TCO TO BE- SW'!I$2,MODULY_CBA!$B$3:$L$23,10,0),0),0)</f>
        <v>0</v>
      </c>
      <c r="J100" s="552">
        <f>IFERROR(IF(VLOOKUP(J$2,MODULY_CBA!$B$3:$N$23,13,0)&lt;='TCO TO BE- SW'!$D100,SUM('TCO TO BE- SW'!J$37:J$46)*VLOOKUP('TCO TO BE- SW'!J$2,MODULY_CBA!$B$3:$L$23,10,0),0),0)</f>
        <v>0</v>
      </c>
      <c r="K100" s="552">
        <f>IFERROR(IF(VLOOKUP(K$2,MODULY_CBA!$B$3:$N$23,13,0)&lt;='TCO TO BE- SW'!$D100,SUM('TCO TO BE- SW'!K$37:K$46)*VLOOKUP('TCO TO BE- SW'!K$2,MODULY_CBA!$B$3:$L$23,10,0),0),0)</f>
        <v>0</v>
      </c>
      <c r="L100" s="552">
        <f>IFERROR(IF(VLOOKUP(L$2,MODULY_CBA!$B$3:$N$23,13,0)&lt;='TCO TO BE- SW'!$D100,SUM('TCO TO BE- SW'!L$37:L$46)*VLOOKUP('TCO TO BE- SW'!L$2,MODULY_CBA!$B$3:$L$23,10,0),0),0)</f>
        <v>0</v>
      </c>
      <c r="M100" s="552">
        <f>IFERROR(IF(VLOOKUP(M$2,MODULY_CBA!$B$3:$N$23,13,0)&lt;='TCO TO BE- SW'!$D100,SUM('TCO TO BE- SW'!M$37:M$46)*VLOOKUP('TCO TO BE- SW'!M$2,MODULY_CBA!$B$3:$L$23,10,0),0),0)</f>
        <v>0</v>
      </c>
      <c r="N100" s="552">
        <f>IFERROR(IF(VLOOKUP(N$2,MODULY_CBA!$B$3:$N$23,13,0)&lt;='TCO TO BE- SW'!$D100,SUM('TCO TO BE- SW'!N$37:N$46)*VLOOKUP('TCO TO BE- SW'!N$2,MODULY_CBA!$B$3:$L$23,10,0),0),0)</f>
        <v>0</v>
      </c>
      <c r="O100" s="552">
        <f>IFERROR(IF(VLOOKUP(O$2,MODULY_CBA!$B$3:$N$23,13,0)&lt;='TCO TO BE- SW'!$D100,SUM('TCO TO BE- SW'!O$37:O$46)*VLOOKUP('TCO TO BE- SW'!O$2,MODULY_CBA!$B$3:$L$23,10,0),0),0)</f>
        <v>0</v>
      </c>
      <c r="P100" s="552">
        <f>IFERROR(IF(VLOOKUP(P$2,MODULY_CBA!$B$3:$N$23,13,0)&lt;='TCO TO BE- SW'!$D100,SUM('TCO TO BE- SW'!P$37:P$46)*VLOOKUP('TCO TO BE- SW'!P$2,MODULY_CBA!$B$3:$L$23,10,0),0),0)</f>
        <v>0</v>
      </c>
      <c r="Q100" s="552">
        <f>IFERROR(IF(VLOOKUP(Q$2,MODULY_CBA!$B$3:$N$23,13,0)&lt;='TCO TO BE- SW'!$D100,SUM('TCO TO BE- SW'!Q$37:Q$46)*VLOOKUP('TCO TO BE- SW'!Q$2,MODULY_CBA!$B$3:$L$23,10,0),0),0)</f>
        <v>0</v>
      </c>
      <c r="R100" s="552">
        <f>IFERROR(IF(VLOOKUP(R$2,MODULY_CBA!$B$3:$N$23,13,0)&lt;='TCO TO BE- SW'!$D100,SUM('TCO TO BE- SW'!R$37:R$46)*VLOOKUP('TCO TO BE- SW'!R$2,MODULY_CBA!$B$3:$L$23,10,0),0),0)</f>
        <v>0</v>
      </c>
      <c r="S100" s="552">
        <f>IFERROR(IF(VLOOKUP(S$2,MODULY_CBA!$B$3:$N$23,13,0)&lt;='TCO TO BE- SW'!$D100,SUM('TCO TO BE- SW'!S$37:S$46)*VLOOKUP('TCO TO BE- SW'!S$2,MODULY_CBA!$B$3:$L$23,10,0),0),0)</f>
        <v>0</v>
      </c>
      <c r="T100" s="552">
        <f>IFERROR(IF(VLOOKUP(T$2,MODULY_CBA!$B$3:$N$23,13,0)&lt;='TCO TO BE- SW'!$D100,SUM('TCO TO BE- SW'!T$37:T$46)*VLOOKUP('TCO TO BE- SW'!T$2,MODULY_CBA!$B$3:$L$23,10,0),0),0)</f>
        <v>0</v>
      </c>
      <c r="U100" s="552">
        <f>IFERROR(IF(VLOOKUP(U$2,MODULY_CBA!$B$3:$N$23,13,0)&lt;='TCO TO BE- SW'!$D100,SUM('TCO TO BE- SW'!U$37:U$46)*VLOOKUP('TCO TO BE- SW'!U$2,MODULY_CBA!$B$3:$L$23,10,0),0),0)</f>
        <v>0</v>
      </c>
      <c r="V100" s="552">
        <f>IFERROR(IF(VLOOKUP(V$2,MODULY_CBA!$B$3:$N$23,13,0)&lt;='TCO TO BE- SW'!$D100,SUM('TCO TO BE- SW'!V$37:V$46)*VLOOKUP('TCO TO BE- SW'!V$2,MODULY_CBA!$B$3:$L$23,10,0),0),0)</f>
        <v>0</v>
      </c>
      <c r="W100" s="552">
        <f>IFERROR(IF(VLOOKUP(W$2,MODULY_CBA!$B$3:$N$23,13,0)&lt;='TCO TO BE- SW'!$D100,SUM('TCO TO BE- SW'!W$37:W$46)*VLOOKUP('TCO TO BE- SW'!W$2,MODULY_CBA!$B$3:$L$23,10,0),0),0)</f>
        <v>0</v>
      </c>
      <c r="X100" s="552">
        <f>IFERROR(IF(VLOOKUP(X$2,MODULY_CBA!$B$3:$N$23,13,0)&lt;='TCO TO BE- SW'!$D100,SUM('TCO TO BE- SW'!X$37:X$46)*VLOOKUP('TCO TO BE- SW'!X$2,MODULY_CBA!$B$3:$L$23,10,0),0),0)</f>
        <v>0</v>
      </c>
      <c r="Y100" s="552">
        <f>IFERROR(IF(VLOOKUP(Y$2,MODULY_CBA!$B$3:$N$23,13,0)&lt;='TCO TO BE- SW'!$D100,SUM('TCO TO BE- SW'!Y$37:Y$46)*VLOOKUP('TCO TO BE- SW'!Y$2,MODULY_CBA!$B$3:$L$23,10,0),0),0)</f>
        <v>0</v>
      </c>
      <c r="Z100" s="552">
        <f>IFERROR(IF(VLOOKUP(Z$2,MODULY_CBA!$B$3:$N$23,13,0)&lt;='TCO TO BE- SW'!$D100,SUM('TCO TO BE- SW'!Z$37:Z$46)*VLOOKUP('TCO TO BE- SW'!Z$2,MODULY_CBA!$B$3:$L$23,10,0),0),0)</f>
        <v>0</v>
      </c>
    </row>
    <row r="101" spans="1:26" outlineLevel="2" x14ac:dyDescent="0.2">
      <c r="A101" s="884"/>
      <c r="B101" s="885"/>
      <c r="C101" s="885"/>
      <c r="D101" s="64">
        <v>2</v>
      </c>
      <c r="E101" s="68">
        <f t="shared" si="14"/>
        <v>150174.4515</v>
      </c>
      <c r="F101" s="552">
        <f>IFERROR(IF(VLOOKUP(F$2,MODULY_CBA!$B$3:$N$23,13,0)&lt;='TCO TO BE- SW'!$D101,SUM('TCO TO BE- SW'!F$37:F$46)*VLOOKUP('TCO TO BE- SW'!F$2,MODULY_CBA!$B$3:$L$23,10,0),0),0)</f>
        <v>54300.525024360657</v>
      </c>
      <c r="G101" s="552">
        <f>IFERROR(IF(VLOOKUP(G$2,MODULY_CBA!$B$3:$N$23,13,0)&lt;='TCO TO BE- SW'!$D101,SUM('TCO TO BE- SW'!G$37:G$46)*VLOOKUP('TCO TO BE- SW'!G$2,MODULY_CBA!$B$3:$L$23,10,0),0),0)</f>
        <v>16791.953789154377</v>
      </c>
      <c r="H101" s="552">
        <f>IFERROR(IF(VLOOKUP(H$2,MODULY_CBA!$B$3:$N$23,13,0)&lt;='TCO TO BE- SW'!$D101,SUM('TCO TO BE- SW'!H$37:H$46)*VLOOKUP('TCO TO BE- SW'!H$2,MODULY_CBA!$B$3:$L$23,10,0),0),0)</f>
        <v>26211.146565708419</v>
      </c>
      <c r="I101" s="552">
        <f>IFERROR(IF(VLOOKUP(I$2,MODULY_CBA!$B$3:$N$23,13,0)&lt;='TCO TO BE- SW'!$D101,SUM('TCO TO BE- SW'!I$37:I$46)*VLOOKUP('TCO TO BE- SW'!I$2,MODULY_CBA!$B$3:$L$23,10,0),0),0)</f>
        <v>32434.541793074488</v>
      </c>
      <c r="J101" s="552">
        <f>IFERROR(IF(VLOOKUP(J$2,MODULY_CBA!$B$3:$N$23,13,0)&lt;='TCO TO BE- SW'!$D101,SUM('TCO TO BE- SW'!J$37:J$46)*VLOOKUP('TCO TO BE- SW'!J$2,MODULY_CBA!$B$3:$L$23,10,0),0),0)</f>
        <v>12951.390067761808</v>
      </c>
      <c r="K101" s="552">
        <f>IFERROR(IF(VLOOKUP(K$2,MODULY_CBA!$B$3:$N$23,13,0)&lt;='TCO TO BE- SW'!$D101,SUM('TCO TO BE- SW'!K$37:K$46)*VLOOKUP('TCO TO BE- SW'!K$2,MODULY_CBA!$B$3:$L$23,10,0),0),0)</f>
        <v>3952.6969687325</v>
      </c>
      <c r="L101" s="552">
        <f>IFERROR(IF(VLOOKUP(L$2,MODULY_CBA!$B$3:$N$23,13,0)&lt;='TCO TO BE- SW'!$D101,SUM('TCO TO BE- SW'!L$37:L$46)*VLOOKUP('TCO TO BE- SW'!L$2,MODULY_CBA!$B$3:$L$23,10,0),0),0)</f>
        <v>3532.1972912077654</v>
      </c>
      <c r="M101" s="552">
        <f>IFERROR(IF(VLOOKUP(M$2,MODULY_CBA!$B$3:$N$23,13,0)&lt;='TCO TO BE- SW'!$D101,SUM('TCO TO BE- SW'!M$37:M$46)*VLOOKUP('TCO TO BE- SW'!M$2,MODULY_CBA!$B$3:$L$23,10,0),0),0)</f>
        <v>0</v>
      </c>
      <c r="N101" s="552">
        <f>IFERROR(IF(VLOOKUP(N$2,MODULY_CBA!$B$3:$N$23,13,0)&lt;='TCO TO BE- SW'!$D101,SUM('TCO TO BE- SW'!N$37:N$46)*VLOOKUP('TCO TO BE- SW'!N$2,MODULY_CBA!$B$3:$L$23,10,0),0),0)</f>
        <v>0</v>
      </c>
      <c r="O101" s="552">
        <f>IFERROR(IF(VLOOKUP(O$2,MODULY_CBA!$B$3:$N$23,13,0)&lt;='TCO TO BE- SW'!$D101,SUM('TCO TO BE- SW'!O$37:O$46)*VLOOKUP('TCO TO BE- SW'!O$2,MODULY_CBA!$B$3:$L$23,10,0),0),0)</f>
        <v>0</v>
      </c>
      <c r="P101" s="552">
        <f>IFERROR(IF(VLOOKUP(P$2,MODULY_CBA!$B$3:$N$23,13,0)&lt;='TCO TO BE- SW'!$D101,SUM('TCO TO BE- SW'!P$37:P$46)*VLOOKUP('TCO TO BE- SW'!P$2,MODULY_CBA!$B$3:$L$23,10,0),0),0)</f>
        <v>0</v>
      </c>
      <c r="Q101" s="552">
        <f>IFERROR(IF(VLOOKUP(Q$2,MODULY_CBA!$B$3:$N$23,13,0)&lt;='TCO TO BE- SW'!$D101,SUM('TCO TO BE- SW'!Q$37:Q$46)*VLOOKUP('TCO TO BE- SW'!Q$2,MODULY_CBA!$B$3:$L$23,10,0),0),0)</f>
        <v>0</v>
      </c>
      <c r="R101" s="552">
        <f>IFERROR(IF(VLOOKUP(R$2,MODULY_CBA!$B$3:$N$23,13,0)&lt;='TCO TO BE- SW'!$D101,SUM('TCO TO BE- SW'!R$37:R$46)*VLOOKUP('TCO TO BE- SW'!R$2,MODULY_CBA!$B$3:$L$23,10,0),0),0)</f>
        <v>0</v>
      </c>
      <c r="S101" s="552">
        <f>IFERROR(IF(VLOOKUP(S$2,MODULY_CBA!$B$3:$N$23,13,0)&lt;='TCO TO BE- SW'!$D101,SUM('TCO TO BE- SW'!S$37:S$46)*VLOOKUP('TCO TO BE- SW'!S$2,MODULY_CBA!$B$3:$L$23,10,0),0),0)</f>
        <v>0</v>
      </c>
      <c r="T101" s="552">
        <f>IFERROR(IF(VLOOKUP(T$2,MODULY_CBA!$B$3:$N$23,13,0)&lt;='TCO TO BE- SW'!$D101,SUM('TCO TO BE- SW'!T$37:T$46)*VLOOKUP('TCO TO BE- SW'!T$2,MODULY_CBA!$B$3:$L$23,10,0),0),0)</f>
        <v>0</v>
      </c>
      <c r="U101" s="552">
        <f>IFERROR(IF(VLOOKUP(U$2,MODULY_CBA!$B$3:$N$23,13,0)&lt;='TCO TO BE- SW'!$D101,SUM('TCO TO BE- SW'!U$37:U$46)*VLOOKUP('TCO TO BE- SW'!U$2,MODULY_CBA!$B$3:$L$23,10,0),0),0)</f>
        <v>0</v>
      </c>
      <c r="V101" s="552">
        <f>IFERROR(IF(VLOOKUP(V$2,MODULY_CBA!$B$3:$N$23,13,0)&lt;='TCO TO BE- SW'!$D101,SUM('TCO TO BE- SW'!V$37:V$46)*VLOOKUP('TCO TO BE- SW'!V$2,MODULY_CBA!$B$3:$L$23,10,0),0),0)</f>
        <v>0</v>
      </c>
      <c r="W101" s="552">
        <f>IFERROR(IF(VLOOKUP(W$2,MODULY_CBA!$B$3:$N$23,13,0)&lt;='TCO TO BE- SW'!$D101,SUM('TCO TO BE- SW'!W$37:W$46)*VLOOKUP('TCO TO BE- SW'!W$2,MODULY_CBA!$B$3:$L$23,10,0),0),0)</f>
        <v>0</v>
      </c>
      <c r="X101" s="552">
        <f>IFERROR(IF(VLOOKUP(X$2,MODULY_CBA!$B$3:$N$23,13,0)&lt;='TCO TO BE- SW'!$D101,SUM('TCO TO BE- SW'!X$37:X$46)*VLOOKUP('TCO TO BE- SW'!X$2,MODULY_CBA!$B$3:$L$23,10,0),0),0)</f>
        <v>0</v>
      </c>
      <c r="Y101" s="552">
        <f>IFERROR(IF(VLOOKUP(Y$2,MODULY_CBA!$B$3:$N$23,13,0)&lt;='TCO TO BE- SW'!$D101,SUM('TCO TO BE- SW'!Y$37:Y$46)*VLOOKUP('TCO TO BE- SW'!Y$2,MODULY_CBA!$B$3:$L$23,10,0),0),0)</f>
        <v>0</v>
      </c>
      <c r="Z101" s="552">
        <f>IFERROR(IF(VLOOKUP(Z$2,MODULY_CBA!$B$3:$N$23,13,0)&lt;='TCO TO BE- SW'!$D101,SUM('TCO TO BE- SW'!Z$37:Z$46)*VLOOKUP('TCO TO BE- SW'!Z$2,MODULY_CBA!$B$3:$L$23,10,0),0),0)</f>
        <v>0</v>
      </c>
    </row>
    <row r="102" spans="1:26" outlineLevel="2" x14ac:dyDescent="0.2">
      <c r="A102" s="884"/>
      <c r="B102" s="885"/>
      <c r="C102" s="885"/>
      <c r="D102" s="64">
        <v>3</v>
      </c>
      <c r="E102" s="68">
        <f t="shared" si="14"/>
        <v>150174.4515</v>
      </c>
      <c r="F102" s="552">
        <f>IFERROR(IF(VLOOKUP(F$2,MODULY_CBA!$B$3:$N$23,13,0)&lt;='TCO TO BE- SW'!$D102,SUM('TCO TO BE- SW'!F$37:F$46)*VLOOKUP('TCO TO BE- SW'!F$2,MODULY_CBA!$B$3:$L$23,10,0),0),0)</f>
        <v>54300.525024360657</v>
      </c>
      <c r="G102" s="552">
        <f>IFERROR(IF(VLOOKUP(G$2,MODULY_CBA!$B$3:$N$23,13,0)&lt;='TCO TO BE- SW'!$D102,SUM('TCO TO BE- SW'!G$37:G$46)*VLOOKUP('TCO TO BE- SW'!G$2,MODULY_CBA!$B$3:$L$23,10,0),0),0)</f>
        <v>16791.953789154377</v>
      </c>
      <c r="H102" s="552">
        <f>IFERROR(IF(VLOOKUP(H$2,MODULY_CBA!$B$3:$N$23,13,0)&lt;='TCO TO BE- SW'!$D102,SUM('TCO TO BE- SW'!H$37:H$46)*VLOOKUP('TCO TO BE- SW'!H$2,MODULY_CBA!$B$3:$L$23,10,0),0),0)</f>
        <v>26211.146565708419</v>
      </c>
      <c r="I102" s="552">
        <f>IFERROR(IF(VLOOKUP(I$2,MODULY_CBA!$B$3:$N$23,13,0)&lt;='TCO TO BE- SW'!$D102,SUM('TCO TO BE- SW'!I$37:I$46)*VLOOKUP('TCO TO BE- SW'!I$2,MODULY_CBA!$B$3:$L$23,10,0),0),0)</f>
        <v>32434.541793074488</v>
      </c>
      <c r="J102" s="552">
        <f>IFERROR(IF(VLOOKUP(J$2,MODULY_CBA!$B$3:$N$23,13,0)&lt;='TCO TO BE- SW'!$D102,SUM('TCO TO BE- SW'!J$37:J$46)*VLOOKUP('TCO TO BE- SW'!J$2,MODULY_CBA!$B$3:$L$23,10,0),0),0)</f>
        <v>12951.390067761808</v>
      </c>
      <c r="K102" s="552">
        <f>IFERROR(IF(VLOOKUP(K$2,MODULY_CBA!$B$3:$N$23,13,0)&lt;='TCO TO BE- SW'!$D102,SUM('TCO TO BE- SW'!K$37:K$46)*VLOOKUP('TCO TO BE- SW'!K$2,MODULY_CBA!$B$3:$L$23,10,0),0),0)</f>
        <v>3952.6969687325</v>
      </c>
      <c r="L102" s="552">
        <f>IFERROR(IF(VLOOKUP(L$2,MODULY_CBA!$B$3:$N$23,13,0)&lt;='TCO TO BE- SW'!$D102,SUM('TCO TO BE- SW'!L$37:L$46)*VLOOKUP('TCO TO BE- SW'!L$2,MODULY_CBA!$B$3:$L$23,10,0),0),0)</f>
        <v>3532.1972912077654</v>
      </c>
      <c r="M102" s="552">
        <f>IFERROR(IF(VLOOKUP(M$2,MODULY_CBA!$B$3:$N$23,13,0)&lt;='TCO TO BE- SW'!$D102,SUM('TCO TO BE- SW'!M$37:M$46)*VLOOKUP('TCO TO BE- SW'!M$2,MODULY_CBA!$B$3:$L$23,10,0),0),0)</f>
        <v>0</v>
      </c>
      <c r="N102" s="552">
        <f>IFERROR(IF(VLOOKUP(N$2,MODULY_CBA!$B$3:$N$23,13,0)&lt;='TCO TO BE- SW'!$D102,SUM('TCO TO BE- SW'!N$37:N$46)*VLOOKUP('TCO TO BE- SW'!N$2,MODULY_CBA!$B$3:$L$23,10,0),0),0)</f>
        <v>0</v>
      </c>
      <c r="O102" s="552">
        <f>IFERROR(IF(VLOOKUP(O$2,MODULY_CBA!$B$3:$N$23,13,0)&lt;='TCO TO BE- SW'!$D102,SUM('TCO TO BE- SW'!O$37:O$46)*VLOOKUP('TCO TO BE- SW'!O$2,MODULY_CBA!$B$3:$L$23,10,0),0),0)</f>
        <v>0</v>
      </c>
      <c r="P102" s="552">
        <f>IFERROR(IF(VLOOKUP(P$2,MODULY_CBA!$B$3:$N$23,13,0)&lt;='TCO TO BE- SW'!$D102,SUM('TCO TO BE- SW'!P$37:P$46)*VLOOKUP('TCO TO BE- SW'!P$2,MODULY_CBA!$B$3:$L$23,10,0),0),0)</f>
        <v>0</v>
      </c>
      <c r="Q102" s="552">
        <f>IFERROR(IF(VLOOKUP(Q$2,MODULY_CBA!$B$3:$N$23,13,0)&lt;='TCO TO BE- SW'!$D102,SUM('TCO TO BE- SW'!Q$37:Q$46)*VLOOKUP('TCO TO BE- SW'!Q$2,MODULY_CBA!$B$3:$L$23,10,0),0),0)</f>
        <v>0</v>
      </c>
      <c r="R102" s="552">
        <f>IFERROR(IF(VLOOKUP(R$2,MODULY_CBA!$B$3:$N$23,13,0)&lt;='TCO TO BE- SW'!$D102,SUM('TCO TO BE- SW'!R$37:R$46)*VLOOKUP('TCO TO BE- SW'!R$2,MODULY_CBA!$B$3:$L$23,10,0),0),0)</f>
        <v>0</v>
      </c>
      <c r="S102" s="552">
        <f>IFERROR(IF(VLOOKUP(S$2,MODULY_CBA!$B$3:$N$23,13,0)&lt;='TCO TO BE- SW'!$D102,SUM('TCO TO BE- SW'!S$37:S$46)*VLOOKUP('TCO TO BE- SW'!S$2,MODULY_CBA!$B$3:$L$23,10,0),0),0)</f>
        <v>0</v>
      </c>
      <c r="T102" s="552">
        <f>IFERROR(IF(VLOOKUP(T$2,MODULY_CBA!$B$3:$N$23,13,0)&lt;='TCO TO BE- SW'!$D102,SUM('TCO TO BE- SW'!T$37:T$46)*VLOOKUP('TCO TO BE- SW'!T$2,MODULY_CBA!$B$3:$L$23,10,0),0),0)</f>
        <v>0</v>
      </c>
      <c r="U102" s="552">
        <f>IFERROR(IF(VLOOKUP(U$2,MODULY_CBA!$B$3:$N$23,13,0)&lt;='TCO TO BE- SW'!$D102,SUM('TCO TO BE- SW'!U$37:U$46)*VLOOKUP('TCO TO BE- SW'!U$2,MODULY_CBA!$B$3:$L$23,10,0),0),0)</f>
        <v>0</v>
      </c>
      <c r="V102" s="552">
        <f>IFERROR(IF(VLOOKUP(V$2,MODULY_CBA!$B$3:$N$23,13,0)&lt;='TCO TO BE- SW'!$D102,SUM('TCO TO BE- SW'!V$37:V$46)*VLOOKUP('TCO TO BE- SW'!V$2,MODULY_CBA!$B$3:$L$23,10,0),0),0)</f>
        <v>0</v>
      </c>
      <c r="W102" s="552">
        <f>IFERROR(IF(VLOOKUP(W$2,MODULY_CBA!$B$3:$N$23,13,0)&lt;='TCO TO BE- SW'!$D102,SUM('TCO TO BE- SW'!W$37:W$46)*VLOOKUP('TCO TO BE- SW'!W$2,MODULY_CBA!$B$3:$L$23,10,0),0),0)</f>
        <v>0</v>
      </c>
      <c r="X102" s="552">
        <f>IFERROR(IF(VLOOKUP(X$2,MODULY_CBA!$B$3:$N$23,13,0)&lt;='TCO TO BE- SW'!$D102,SUM('TCO TO BE- SW'!X$37:X$46)*VLOOKUP('TCO TO BE- SW'!X$2,MODULY_CBA!$B$3:$L$23,10,0),0),0)</f>
        <v>0</v>
      </c>
      <c r="Y102" s="552">
        <f>IFERROR(IF(VLOOKUP(Y$2,MODULY_CBA!$B$3:$N$23,13,0)&lt;='TCO TO BE- SW'!$D102,SUM('TCO TO BE- SW'!Y$37:Y$46)*VLOOKUP('TCO TO BE- SW'!Y$2,MODULY_CBA!$B$3:$L$23,10,0),0),0)</f>
        <v>0</v>
      </c>
      <c r="Z102" s="552">
        <f>IFERROR(IF(VLOOKUP(Z$2,MODULY_CBA!$B$3:$N$23,13,0)&lt;='TCO TO BE- SW'!$D102,SUM('TCO TO BE- SW'!Z$37:Z$46)*VLOOKUP('TCO TO BE- SW'!Z$2,MODULY_CBA!$B$3:$L$23,10,0),0),0)</f>
        <v>0</v>
      </c>
    </row>
    <row r="103" spans="1:26" outlineLevel="2" x14ac:dyDescent="0.2">
      <c r="A103" s="884"/>
      <c r="B103" s="885"/>
      <c r="C103" s="885"/>
      <c r="D103" s="64">
        <v>4</v>
      </c>
      <c r="E103" s="68">
        <f t="shared" si="14"/>
        <v>150174.4515</v>
      </c>
      <c r="F103" s="552">
        <f>IFERROR(IF(VLOOKUP(F$2,MODULY_CBA!$B$3:$N$23,13,0)&lt;='TCO TO BE- SW'!$D103,SUM('TCO TO BE- SW'!F$37:F$46)*VLOOKUP('TCO TO BE- SW'!F$2,MODULY_CBA!$B$3:$L$23,10,0),0),0)</f>
        <v>54300.525024360657</v>
      </c>
      <c r="G103" s="552">
        <f>IFERROR(IF(VLOOKUP(G$2,MODULY_CBA!$B$3:$N$23,13,0)&lt;='TCO TO BE- SW'!$D103,SUM('TCO TO BE- SW'!G$37:G$46)*VLOOKUP('TCO TO BE- SW'!G$2,MODULY_CBA!$B$3:$L$23,10,0),0),0)</f>
        <v>16791.953789154377</v>
      </c>
      <c r="H103" s="552">
        <f>IFERROR(IF(VLOOKUP(H$2,MODULY_CBA!$B$3:$N$23,13,0)&lt;='TCO TO BE- SW'!$D103,SUM('TCO TO BE- SW'!H$37:H$46)*VLOOKUP('TCO TO BE- SW'!H$2,MODULY_CBA!$B$3:$L$23,10,0),0),0)</f>
        <v>26211.146565708419</v>
      </c>
      <c r="I103" s="552">
        <f>IFERROR(IF(VLOOKUP(I$2,MODULY_CBA!$B$3:$N$23,13,0)&lt;='TCO TO BE- SW'!$D103,SUM('TCO TO BE- SW'!I$37:I$46)*VLOOKUP('TCO TO BE- SW'!I$2,MODULY_CBA!$B$3:$L$23,10,0),0),0)</f>
        <v>32434.541793074488</v>
      </c>
      <c r="J103" s="552">
        <f>IFERROR(IF(VLOOKUP(J$2,MODULY_CBA!$B$3:$N$23,13,0)&lt;='TCO TO BE- SW'!$D103,SUM('TCO TO BE- SW'!J$37:J$46)*VLOOKUP('TCO TO BE- SW'!J$2,MODULY_CBA!$B$3:$L$23,10,0),0),0)</f>
        <v>12951.390067761808</v>
      </c>
      <c r="K103" s="552">
        <f>IFERROR(IF(VLOOKUP(K$2,MODULY_CBA!$B$3:$N$23,13,0)&lt;='TCO TO BE- SW'!$D103,SUM('TCO TO BE- SW'!K$37:K$46)*VLOOKUP('TCO TO BE- SW'!K$2,MODULY_CBA!$B$3:$L$23,10,0),0),0)</f>
        <v>3952.6969687325</v>
      </c>
      <c r="L103" s="552">
        <f>IFERROR(IF(VLOOKUP(L$2,MODULY_CBA!$B$3:$N$23,13,0)&lt;='TCO TO BE- SW'!$D103,SUM('TCO TO BE- SW'!L$37:L$46)*VLOOKUP('TCO TO BE- SW'!L$2,MODULY_CBA!$B$3:$L$23,10,0),0),0)</f>
        <v>3532.1972912077654</v>
      </c>
      <c r="M103" s="552">
        <f>IFERROR(IF(VLOOKUP(M$2,MODULY_CBA!$B$3:$N$23,13,0)&lt;='TCO TO BE- SW'!$D103,SUM('TCO TO BE- SW'!M$37:M$46)*VLOOKUP('TCO TO BE- SW'!M$2,MODULY_CBA!$B$3:$L$23,10,0),0),0)</f>
        <v>0</v>
      </c>
      <c r="N103" s="552">
        <f>IFERROR(IF(VLOOKUP(N$2,MODULY_CBA!$B$3:$N$23,13,0)&lt;='TCO TO BE- SW'!$D103,SUM('TCO TO BE- SW'!N$37:N$46)*VLOOKUP('TCO TO BE- SW'!N$2,MODULY_CBA!$B$3:$L$23,10,0),0),0)</f>
        <v>0</v>
      </c>
      <c r="O103" s="552">
        <f>IFERROR(IF(VLOOKUP(O$2,MODULY_CBA!$B$3:$N$23,13,0)&lt;='TCO TO BE- SW'!$D103,SUM('TCO TO BE- SW'!O$37:O$46)*VLOOKUP('TCO TO BE- SW'!O$2,MODULY_CBA!$B$3:$L$23,10,0),0),0)</f>
        <v>0</v>
      </c>
      <c r="P103" s="552">
        <f>IFERROR(IF(VLOOKUP(P$2,MODULY_CBA!$B$3:$N$23,13,0)&lt;='TCO TO BE- SW'!$D103,SUM('TCO TO BE- SW'!P$37:P$46)*VLOOKUP('TCO TO BE- SW'!P$2,MODULY_CBA!$B$3:$L$23,10,0),0),0)</f>
        <v>0</v>
      </c>
      <c r="Q103" s="552">
        <f>IFERROR(IF(VLOOKUP(Q$2,MODULY_CBA!$B$3:$N$23,13,0)&lt;='TCO TO BE- SW'!$D103,SUM('TCO TO BE- SW'!Q$37:Q$46)*VLOOKUP('TCO TO BE- SW'!Q$2,MODULY_CBA!$B$3:$L$23,10,0),0),0)</f>
        <v>0</v>
      </c>
      <c r="R103" s="552">
        <f>IFERROR(IF(VLOOKUP(R$2,MODULY_CBA!$B$3:$N$23,13,0)&lt;='TCO TO BE- SW'!$D103,SUM('TCO TO BE- SW'!R$37:R$46)*VLOOKUP('TCO TO BE- SW'!R$2,MODULY_CBA!$B$3:$L$23,10,0),0),0)</f>
        <v>0</v>
      </c>
      <c r="S103" s="552">
        <f>IFERROR(IF(VLOOKUP(S$2,MODULY_CBA!$B$3:$N$23,13,0)&lt;='TCO TO BE- SW'!$D103,SUM('TCO TO BE- SW'!S$37:S$46)*VLOOKUP('TCO TO BE- SW'!S$2,MODULY_CBA!$B$3:$L$23,10,0),0),0)</f>
        <v>0</v>
      </c>
      <c r="T103" s="552">
        <f>IFERROR(IF(VLOOKUP(T$2,MODULY_CBA!$B$3:$N$23,13,0)&lt;='TCO TO BE- SW'!$D103,SUM('TCO TO BE- SW'!T$37:T$46)*VLOOKUP('TCO TO BE- SW'!T$2,MODULY_CBA!$B$3:$L$23,10,0),0),0)</f>
        <v>0</v>
      </c>
      <c r="U103" s="552">
        <f>IFERROR(IF(VLOOKUP(U$2,MODULY_CBA!$B$3:$N$23,13,0)&lt;='TCO TO BE- SW'!$D103,SUM('TCO TO BE- SW'!U$37:U$46)*VLOOKUP('TCO TO BE- SW'!U$2,MODULY_CBA!$B$3:$L$23,10,0),0),0)</f>
        <v>0</v>
      </c>
      <c r="V103" s="552">
        <f>IFERROR(IF(VLOOKUP(V$2,MODULY_CBA!$B$3:$N$23,13,0)&lt;='TCO TO BE- SW'!$D103,SUM('TCO TO BE- SW'!V$37:V$46)*VLOOKUP('TCO TO BE- SW'!V$2,MODULY_CBA!$B$3:$L$23,10,0),0),0)</f>
        <v>0</v>
      </c>
      <c r="W103" s="552">
        <f>IFERROR(IF(VLOOKUP(W$2,MODULY_CBA!$B$3:$N$23,13,0)&lt;='TCO TO BE- SW'!$D103,SUM('TCO TO BE- SW'!W$37:W$46)*VLOOKUP('TCO TO BE- SW'!W$2,MODULY_CBA!$B$3:$L$23,10,0),0),0)</f>
        <v>0</v>
      </c>
      <c r="X103" s="552">
        <f>IFERROR(IF(VLOOKUP(X$2,MODULY_CBA!$B$3:$N$23,13,0)&lt;='TCO TO BE- SW'!$D103,SUM('TCO TO BE- SW'!X$37:X$46)*VLOOKUP('TCO TO BE- SW'!X$2,MODULY_CBA!$B$3:$L$23,10,0),0),0)</f>
        <v>0</v>
      </c>
      <c r="Y103" s="552">
        <f>IFERROR(IF(VLOOKUP(Y$2,MODULY_CBA!$B$3:$N$23,13,0)&lt;='TCO TO BE- SW'!$D103,SUM('TCO TO BE- SW'!Y$37:Y$46)*VLOOKUP('TCO TO BE- SW'!Y$2,MODULY_CBA!$B$3:$L$23,10,0),0),0)</f>
        <v>0</v>
      </c>
      <c r="Z103" s="552">
        <f>IFERROR(IF(VLOOKUP(Z$2,MODULY_CBA!$B$3:$N$23,13,0)&lt;='TCO TO BE- SW'!$D103,SUM('TCO TO BE- SW'!Z$37:Z$46)*VLOOKUP('TCO TO BE- SW'!Z$2,MODULY_CBA!$B$3:$L$23,10,0),0),0)</f>
        <v>0</v>
      </c>
    </row>
    <row r="104" spans="1:26" outlineLevel="2" x14ac:dyDescent="0.2">
      <c r="A104" s="884"/>
      <c r="B104" s="885"/>
      <c r="C104" s="885"/>
      <c r="D104" s="64">
        <v>5</v>
      </c>
      <c r="E104" s="68">
        <f t="shared" si="14"/>
        <v>150174.4515</v>
      </c>
      <c r="F104" s="552">
        <f>IFERROR(IF(VLOOKUP(F$2,MODULY_CBA!$B$3:$N$23,13,0)&lt;='TCO TO BE- SW'!$D104,SUM('TCO TO BE- SW'!F$37:F$46)*VLOOKUP('TCO TO BE- SW'!F$2,MODULY_CBA!$B$3:$L$23,10,0),0),0)</f>
        <v>54300.525024360657</v>
      </c>
      <c r="G104" s="552">
        <f>IFERROR(IF(VLOOKUP(G$2,MODULY_CBA!$B$3:$N$23,13,0)&lt;='TCO TO BE- SW'!$D104,SUM('TCO TO BE- SW'!G$37:G$46)*VLOOKUP('TCO TO BE- SW'!G$2,MODULY_CBA!$B$3:$L$23,10,0),0),0)</f>
        <v>16791.953789154377</v>
      </c>
      <c r="H104" s="552">
        <f>IFERROR(IF(VLOOKUP(H$2,MODULY_CBA!$B$3:$N$23,13,0)&lt;='TCO TO BE- SW'!$D104,SUM('TCO TO BE- SW'!H$37:H$46)*VLOOKUP('TCO TO BE- SW'!H$2,MODULY_CBA!$B$3:$L$23,10,0),0),0)</f>
        <v>26211.146565708419</v>
      </c>
      <c r="I104" s="552">
        <f>IFERROR(IF(VLOOKUP(I$2,MODULY_CBA!$B$3:$N$23,13,0)&lt;='TCO TO BE- SW'!$D104,SUM('TCO TO BE- SW'!I$37:I$46)*VLOOKUP('TCO TO BE- SW'!I$2,MODULY_CBA!$B$3:$L$23,10,0),0),0)</f>
        <v>32434.541793074488</v>
      </c>
      <c r="J104" s="552">
        <f>IFERROR(IF(VLOOKUP(J$2,MODULY_CBA!$B$3:$N$23,13,0)&lt;='TCO TO BE- SW'!$D104,SUM('TCO TO BE- SW'!J$37:J$46)*VLOOKUP('TCO TO BE- SW'!J$2,MODULY_CBA!$B$3:$L$23,10,0),0),0)</f>
        <v>12951.390067761808</v>
      </c>
      <c r="K104" s="552">
        <f>IFERROR(IF(VLOOKUP(K$2,MODULY_CBA!$B$3:$N$23,13,0)&lt;='TCO TO BE- SW'!$D104,SUM('TCO TO BE- SW'!K$37:K$46)*VLOOKUP('TCO TO BE- SW'!K$2,MODULY_CBA!$B$3:$L$23,10,0),0),0)</f>
        <v>3952.6969687325</v>
      </c>
      <c r="L104" s="552">
        <f>IFERROR(IF(VLOOKUP(L$2,MODULY_CBA!$B$3:$N$23,13,0)&lt;='TCO TO BE- SW'!$D104,SUM('TCO TO BE- SW'!L$37:L$46)*VLOOKUP('TCO TO BE- SW'!L$2,MODULY_CBA!$B$3:$L$23,10,0),0),0)</f>
        <v>3532.1972912077654</v>
      </c>
      <c r="M104" s="552">
        <f>IFERROR(IF(VLOOKUP(M$2,MODULY_CBA!$B$3:$N$23,13,0)&lt;='TCO TO BE- SW'!$D104,SUM('TCO TO BE- SW'!M$37:M$46)*VLOOKUP('TCO TO BE- SW'!M$2,MODULY_CBA!$B$3:$L$23,10,0),0),0)</f>
        <v>0</v>
      </c>
      <c r="N104" s="552">
        <f>IFERROR(IF(VLOOKUP(N$2,MODULY_CBA!$B$3:$N$23,13,0)&lt;='TCO TO BE- SW'!$D104,SUM('TCO TO BE- SW'!N$37:N$46)*VLOOKUP('TCO TO BE- SW'!N$2,MODULY_CBA!$B$3:$L$23,10,0),0),0)</f>
        <v>0</v>
      </c>
      <c r="O104" s="552">
        <f>IFERROR(IF(VLOOKUP(O$2,MODULY_CBA!$B$3:$N$23,13,0)&lt;='TCO TO BE- SW'!$D104,SUM('TCO TO BE- SW'!O$37:O$46)*VLOOKUP('TCO TO BE- SW'!O$2,MODULY_CBA!$B$3:$L$23,10,0),0),0)</f>
        <v>0</v>
      </c>
      <c r="P104" s="552">
        <f>IFERROR(IF(VLOOKUP(P$2,MODULY_CBA!$B$3:$N$23,13,0)&lt;='TCO TO BE- SW'!$D104,SUM('TCO TO BE- SW'!P$37:P$46)*VLOOKUP('TCO TO BE- SW'!P$2,MODULY_CBA!$B$3:$L$23,10,0),0),0)</f>
        <v>0</v>
      </c>
      <c r="Q104" s="552">
        <f>IFERROR(IF(VLOOKUP(Q$2,MODULY_CBA!$B$3:$N$23,13,0)&lt;='TCO TO BE- SW'!$D104,SUM('TCO TO BE- SW'!Q$37:Q$46)*VLOOKUP('TCO TO BE- SW'!Q$2,MODULY_CBA!$B$3:$L$23,10,0),0),0)</f>
        <v>0</v>
      </c>
      <c r="R104" s="552">
        <f>IFERROR(IF(VLOOKUP(R$2,MODULY_CBA!$B$3:$N$23,13,0)&lt;='TCO TO BE- SW'!$D104,SUM('TCO TO BE- SW'!R$37:R$46)*VLOOKUP('TCO TO BE- SW'!R$2,MODULY_CBA!$B$3:$L$23,10,0),0),0)</f>
        <v>0</v>
      </c>
      <c r="S104" s="552">
        <f>IFERROR(IF(VLOOKUP(S$2,MODULY_CBA!$B$3:$N$23,13,0)&lt;='TCO TO BE- SW'!$D104,SUM('TCO TO BE- SW'!S$37:S$46)*VLOOKUP('TCO TO BE- SW'!S$2,MODULY_CBA!$B$3:$L$23,10,0),0),0)</f>
        <v>0</v>
      </c>
      <c r="T104" s="552">
        <f>IFERROR(IF(VLOOKUP(T$2,MODULY_CBA!$B$3:$N$23,13,0)&lt;='TCO TO BE- SW'!$D104,SUM('TCO TO BE- SW'!T$37:T$46)*VLOOKUP('TCO TO BE- SW'!T$2,MODULY_CBA!$B$3:$L$23,10,0),0),0)</f>
        <v>0</v>
      </c>
      <c r="U104" s="552">
        <f>IFERROR(IF(VLOOKUP(U$2,MODULY_CBA!$B$3:$N$23,13,0)&lt;='TCO TO BE- SW'!$D104,SUM('TCO TO BE- SW'!U$37:U$46)*VLOOKUP('TCO TO BE- SW'!U$2,MODULY_CBA!$B$3:$L$23,10,0),0),0)</f>
        <v>0</v>
      </c>
      <c r="V104" s="552">
        <f>IFERROR(IF(VLOOKUP(V$2,MODULY_CBA!$B$3:$N$23,13,0)&lt;='TCO TO BE- SW'!$D104,SUM('TCO TO BE- SW'!V$37:V$46)*VLOOKUP('TCO TO BE- SW'!V$2,MODULY_CBA!$B$3:$L$23,10,0),0),0)</f>
        <v>0</v>
      </c>
      <c r="W104" s="552">
        <f>IFERROR(IF(VLOOKUP(W$2,MODULY_CBA!$B$3:$N$23,13,0)&lt;='TCO TO BE- SW'!$D104,SUM('TCO TO BE- SW'!W$37:W$46)*VLOOKUP('TCO TO BE- SW'!W$2,MODULY_CBA!$B$3:$L$23,10,0),0),0)</f>
        <v>0</v>
      </c>
      <c r="X104" s="552">
        <f>IFERROR(IF(VLOOKUP(X$2,MODULY_CBA!$B$3:$N$23,13,0)&lt;='TCO TO BE- SW'!$D104,SUM('TCO TO BE- SW'!X$37:X$46)*VLOOKUP('TCO TO BE- SW'!X$2,MODULY_CBA!$B$3:$L$23,10,0),0),0)</f>
        <v>0</v>
      </c>
      <c r="Y104" s="552">
        <f>IFERROR(IF(VLOOKUP(Y$2,MODULY_CBA!$B$3:$N$23,13,0)&lt;='TCO TO BE- SW'!$D104,SUM('TCO TO BE- SW'!Y$37:Y$46)*VLOOKUP('TCO TO BE- SW'!Y$2,MODULY_CBA!$B$3:$L$23,10,0),0),0)</f>
        <v>0</v>
      </c>
      <c r="Z104" s="552">
        <f>IFERROR(IF(VLOOKUP(Z$2,MODULY_CBA!$B$3:$N$23,13,0)&lt;='TCO TO BE- SW'!$D104,SUM('TCO TO BE- SW'!Z$37:Z$46)*VLOOKUP('TCO TO BE- SW'!Z$2,MODULY_CBA!$B$3:$L$23,10,0),0),0)</f>
        <v>0</v>
      </c>
    </row>
    <row r="105" spans="1:26" outlineLevel="2" x14ac:dyDescent="0.2">
      <c r="A105" s="884"/>
      <c r="B105" s="885"/>
      <c r="C105" s="885"/>
      <c r="D105" s="64">
        <v>6</v>
      </c>
      <c r="E105" s="68">
        <f t="shared" si="14"/>
        <v>150174.4515</v>
      </c>
      <c r="F105" s="552">
        <f>IFERROR(IF(VLOOKUP(F$2,MODULY_CBA!$B$3:$N$23,13,0)&lt;='TCO TO BE- SW'!$D105,SUM('TCO TO BE- SW'!F$37:F$46)*VLOOKUP('TCO TO BE- SW'!F$2,MODULY_CBA!$B$3:$L$23,10,0),0),0)</f>
        <v>54300.525024360657</v>
      </c>
      <c r="G105" s="552">
        <f>IFERROR(IF(VLOOKUP(G$2,MODULY_CBA!$B$3:$N$23,13,0)&lt;='TCO TO BE- SW'!$D105,SUM('TCO TO BE- SW'!G$37:G$46)*VLOOKUP('TCO TO BE- SW'!G$2,MODULY_CBA!$B$3:$L$23,10,0),0),0)</f>
        <v>16791.953789154377</v>
      </c>
      <c r="H105" s="552">
        <f>IFERROR(IF(VLOOKUP(H$2,MODULY_CBA!$B$3:$N$23,13,0)&lt;='TCO TO BE- SW'!$D105,SUM('TCO TO BE- SW'!H$37:H$46)*VLOOKUP('TCO TO BE- SW'!H$2,MODULY_CBA!$B$3:$L$23,10,0),0),0)</f>
        <v>26211.146565708419</v>
      </c>
      <c r="I105" s="552">
        <f>IFERROR(IF(VLOOKUP(I$2,MODULY_CBA!$B$3:$N$23,13,0)&lt;='TCO TO BE- SW'!$D105,SUM('TCO TO BE- SW'!I$37:I$46)*VLOOKUP('TCO TO BE- SW'!I$2,MODULY_CBA!$B$3:$L$23,10,0),0),0)</f>
        <v>32434.541793074488</v>
      </c>
      <c r="J105" s="552">
        <f>IFERROR(IF(VLOOKUP(J$2,MODULY_CBA!$B$3:$N$23,13,0)&lt;='TCO TO BE- SW'!$D105,SUM('TCO TO BE- SW'!J$37:J$46)*VLOOKUP('TCO TO BE- SW'!J$2,MODULY_CBA!$B$3:$L$23,10,0),0),0)</f>
        <v>12951.390067761808</v>
      </c>
      <c r="K105" s="552">
        <f>IFERROR(IF(VLOOKUP(K$2,MODULY_CBA!$B$3:$N$23,13,0)&lt;='TCO TO BE- SW'!$D105,SUM('TCO TO BE- SW'!K$37:K$46)*VLOOKUP('TCO TO BE- SW'!K$2,MODULY_CBA!$B$3:$L$23,10,0),0),0)</f>
        <v>3952.6969687325</v>
      </c>
      <c r="L105" s="552">
        <f>IFERROR(IF(VLOOKUP(L$2,MODULY_CBA!$B$3:$N$23,13,0)&lt;='TCO TO BE- SW'!$D105,SUM('TCO TO BE- SW'!L$37:L$46)*VLOOKUP('TCO TO BE- SW'!L$2,MODULY_CBA!$B$3:$L$23,10,0),0),0)</f>
        <v>3532.1972912077654</v>
      </c>
      <c r="M105" s="552">
        <f>IFERROR(IF(VLOOKUP(M$2,MODULY_CBA!$B$3:$N$23,13,0)&lt;='TCO TO BE- SW'!$D105,SUM('TCO TO BE- SW'!M$37:M$46)*VLOOKUP('TCO TO BE- SW'!M$2,MODULY_CBA!$B$3:$L$23,10,0),0),0)</f>
        <v>0</v>
      </c>
      <c r="N105" s="552">
        <f>IFERROR(IF(VLOOKUP(N$2,MODULY_CBA!$B$3:$N$23,13,0)&lt;='TCO TO BE- SW'!$D105,SUM('TCO TO BE- SW'!N$37:N$46)*VLOOKUP('TCO TO BE- SW'!N$2,MODULY_CBA!$B$3:$L$23,10,0),0),0)</f>
        <v>0</v>
      </c>
      <c r="O105" s="552">
        <f>IFERROR(IF(VLOOKUP(O$2,MODULY_CBA!$B$3:$N$23,13,0)&lt;='TCO TO BE- SW'!$D105,SUM('TCO TO BE- SW'!O$37:O$46)*VLOOKUP('TCO TO BE- SW'!O$2,MODULY_CBA!$B$3:$L$23,10,0),0),0)</f>
        <v>0</v>
      </c>
      <c r="P105" s="552">
        <f>IFERROR(IF(VLOOKUP(P$2,MODULY_CBA!$B$3:$N$23,13,0)&lt;='TCO TO BE- SW'!$D105,SUM('TCO TO BE- SW'!P$37:P$46)*VLOOKUP('TCO TO BE- SW'!P$2,MODULY_CBA!$B$3:$L$23,10,0),0),0)</f>
        <v>0</v>
      </c>
      <c r="Q105" s="552">
        <f>IFERROR(IF(VLOOKUP(Q$2,MODULY_CBA!$B$3:$N$23,13,0)&lt;='TCO TO BE- SW'!$D105,SUM('TCO TO BE- SW'!Q$37:Q$46)*VLOOKUP('TCO TO BE- SW'!Q$2,MODULY_CBA!$B$3:$L$23,10,0),0),0)</f>
        <v>0</v>
      </c>
      <c r="R105" s="552">
        <f>IFERROR(IF(VLOOKUP(R$2,MODULY_CBA!$B$3:$N$23,13,0)&lt;='TCO TO BE- SW'!$D105,SUM('TCO TO BE- SW'!R$37:R$46)*VLOOKUP('TCO TO BE- SW'!R$2,MODULY_CBA!$B$3:$L$23,10,0),0),0)</f>
        <v>0</v>
      </c>
      <c r="S105" s="552">
        <f>IFERROR(IF(VLOOKUP(S$2,MODULY_CBA!$B$3:$N$23,13,0)&lt;='TCO TO BE- SW'!$D105,SUM('TCO TO BE- SW'!S$37:S$46)*VLOOKUP('TCO TO BE- SW'!S$2,MODULY_CBA!$B$3:$L$23,10,0),0),0)</f>
        <v>0</v>
      </c>
      <c r="T105" s="552">
        <f>IFERROR(IF(VLOOKUP(T$2,MODULY_CBA!$B$3:$N$23,13,0)&lt;='TCO TO BE- SW'!$D105,SUM('TCO TO BE- SW'!T$37:T$46)*VLOOKUP('TCO TO BE- SW'!T$2,MODULY_CBA!$B$3:$L$23,10,0),0),0)</f>
        <v>0</v>
      </c>
      <c r="U105" s="552">
        <f>IFERROR(IF(VLOOKUP(U$2,MODULY_CBA!$B$3:$N$23,13,0)&lt;='TCO TO BE- SW'!$D105,SUM('TCO TO BE- SW'!U$37:U$46)*VLOOKUP('TCO TO BE- SW'!U$2,MODULY_CBA!$B$3:$L$23,10,0),0),0)</f>
        <v>0</v>
      </c>
      <c r="V105" s="552">
        <f>IFERROR(IF(VLOOKUP(V$2,MODULY_CBA!$B$3:$N$23,13,0)&lt;='TCO TO BE- SW'!$D105,SUM('TCO TO BE- SW'!V$37:V$46)*VLOOKUP('TCO TO BE- SW'!V$2,MODULY_CBA!$B$3:$L$23,10,0),0),0)</f>
        <v>0</v>
      </c>
      <c r="W105" s="552">
        <f>IFERROR(IF(VLOOKUP(W$2,MODULY_CBA!$B$3:$N$23,13,0)&lt;='TCO TO BE- SW'!$D105,SUM('TCO TO BE- SW'!W$37:W$46)*VLOOKUP('TCO TO BE- SW'!W$2,MODULY_CBA!$B$3:$L$23,10,0),0),0)</f>
        <v>0</v>
      </c>
      <c r="X105" s="552">
        <f>IFERROR(IF(VLOOKUP(X$2,MODULY_CBA!$B$3:$N$23,13,0)&lt;='TCO TO BE- SW'!$D105,SUM('TCO TO BE- SW'!X$37:X$46)*VLOOKUP('TCO TO BE- SW'!X$2,MODULY_CBA!$B$3:$L$23,10,0),0),0)</f>
        <v>0</v>
      </c>
      <c r="Y105" s="552">
        <f>IFERROR(IF(VLOOKUP(Y$2,MODULY_CBA!$B$3:$N$23,13,0)&lt;='TCO TO BE- SW'!$D105,SUM('TCO TO BE- SW'!Y$37:Y$46)*VLOOKUP('TCO TO BE- SW'!Y$2,MODULY_CBA!$B$3:$L$23,10,0),0),0)</f>
        <v>0</v>
      </c>
      <c r="Z105" s="552">
        <f>IFERROR(IF(VLOOKUP(Z$2,MODULY_CBA!$B$3:$N$23,13,0)&lt;='TCO TO BE- SW'!$D105,SUM('TCO TO BE- SW'!Z$37:Z$46)*VLOOKUP('TCO TO BE- SW'!Z$2,MODULY_CBA!$B$3:$L$23,10,0),0),0)</f>
        <v>0</v>
      </c>
    </row>
    <row r="106" spans="1:26" outlineLevel="2" x14ac:dyDescent="0.2">
      <c r="A106" s="884"/>
      <c r="B106" s="885"/>
      <c r="C106" s="885"/>
      <c r="D106" s="64">
        <v>7</v>
      </c>
      <c r="E106" s="68">
        <f t="shared" si="14"/>
        <v>150174.4515</v>
      </c>
      <c r="F106" s="552">
        <f>IFERROR(IF(VLOOKUP(F$2,MODULY_CBA!$B$3:$N$23,13,0)&lt;='TCO TO BE- SW'!$D106,SUM('TCO TO BE- SW'!F$37:F$46)*VLOOKUP('TCO TO BE- SW'!F$2,MODULY_CBA!$B$3:$L$23,10,0),0),0)</f>
        <v>54300.525024360657</v>
      </c>
      <c r="G106" s="552">
        <f>IFERROR(IF(VLOOKUP(G$2,MODULY_CBA!$B$3:$N$23,13,0)&lt;='TCO TO BE- SW'!$D106,SUM('TCO TO BE- SW'!G$37:G$46)*VLOOKUP('TCO TO BE- SW'!G$2,MODULY_CBA!$B$3:$L$23,10,0),0),0)</f>
        <v>16791.953789154377</v>
      </c>
      <c r="H106" s="552">
        <f>IFERROR(IF(VLOOKUP(H$2,MODULY_CBA!$B$3:$N$23,13,0)&lt;='TCO TO BE- SW'!$D106,SUM('TCO TO BE- SW'!H$37:H$46)*VLOOKUP('TCO TO BE- SW'!H$2,MODULY_CBA!$B$3:$L$23,10,0),0),0)</f>
        <v>26211.146565708419</v>
      </c>
      <c r="I106" s="552">
        <f>IFERROR(IF(VLOOKUP(I$2,MODULY_CBA!$B$3:$N$23,13,0)&lt;='TCO TO BE- SW'!$D106,SUM('TCO TO BE- SW'!I$37:I$46)*VLOOKUP('TCO TO BE- SW'!I$2,MODULY_CBA!$B$3:$L$23,10,0),0),0)</f>
        <v>32434.541793074488</v>
      </c>
      <c r="J106" s="552">
        <f>IFERROR(IF(VLOOKUP(J$2,MODULY_CBA!$B$3:$N$23,13,0)&lt;='TCO TO BE- SW'!$D106,SUM('TCO TO BE- SW'!J$37:J$46)*VLOOKUP('TCO TO BE- SW'!J$2,MODULY_CBA!$B$3:$L$23,10,0),0),0)</f>
        <v>12951.390067761808</v>
      </c>
      <c r="K106" s="552">
        <f>IFERROR(IF(VLOOKUP(K$2,MODULY_CBA!$B$3:$N$23,13,0)&lt;='TCO TO BE- SW'!$D106,SUM('TCO TO BE- SW'!K$37:K$46)*VLOOKUP('TCO TO BE- SW'!K$2,MODULY_CBA!$B$3:$L$23,10,0),0),0)</f>
        <v>3952.6969687325</v>
      </c>
      <c r="L106" s="552">
        <f>IFERROR(IF(VLOOKUP(L$2,MODULY_CBA!$B$3:$N$23,13,0)&lt;='TCO TO BE- SW'!$D106,SUM('TCO TO BE- SW'!L$37:L$46)*VLOOKUP('TCO TO BE- SW'!L$2,MODULY_CBA!$B$3:$L$23,10,0),0),0)</f>
        <v>3532.1972912077654</v>
      </c>
      <c r="M106" s="552">
        <f>IFERROR(IF(VLOOKUP(M$2,MODULY_CBA!$B$3:$N$23,13,0)&lt;='TCO TO BE- SW'!$D106,SUM('TCO TO BE- SW'!M$37:M$46)*VLOOKUP('TCO TO BE- SW'!M$2,MODULY_CBA!$B$3:$L$23,10,0),0),0)</f>
        <v>0</v>
      </c>
      <c r="N106" s="552">
        <f>IFERROR(IF(VLOOKUP(N$2,MODULY_CBA!$B$3:$N$23,13,0)&lt;='TCO TO BE- SW'!$D106,SUM('TCO TO BE- SW'!N$37:N$46)*VLOOKUP('TCO TO BE- SW'!N$2,MODULY_CBA!$B$3:$L$23,10,0),0),0)</f>
        <v>0</v>
      </c>
      <c r="O106" s="552">
        <f>IFERROR(IF(VLOOKUP(O$2,MODULY_CBA!$B$3:$N$23,13,0)&lt;='TCO TO BE- SW'!$D106,SUM('TCO TO BE- SW'!O$37:O$46)*VLOOKUP('TCO TO BE- SW'!O$2,MODULY_CBA!$B$3:$L$23,10,0),0),0)</f>
        <v>0</v>
      </c>
      <c r="P106" s="552">
        <f>IFERROR(IF(VLOOKUP(P$2,MODULY_CBA!$B$3:$N$23,13,0)&lt;='TCO TO BE- SW'!$D106,SUM('TCO TO BE- SW'!P$37:P$46)*VLOOKUP('TCO TO BE- SW'!P$2,MODULY_CBA!$B$3:$L$23,10,0),0),0)</f>
        <v>0</v>
      </c>
      <c r="Q106" s="552">
        <f>IFERROR(IF(VLOOKUP(Q$2,MODULY_CBA!$B$3:$N$23,13,0)&lt;='TCO TO BE- SW'!$D106,SUM('TCO TO BE- SW'!Q$37:Q$46)*VLOOKUP('TCO TO BE- SW'!Q$2,MODULY_CBA!$B$3:$L$23,10,0),0),0)</f>
        <v>0</v>
      </c>
      <c r="R106" s="552">
        <f>IFERROR(IF(VLOOKUP(R$2,MODULY_CBA!$B$3:$N$23,13,0)&lt;='TCO TO BE- SW'!$D106,SUM('TCO TO BE- SW'!R$37:R$46)*VLOOKUP('TCO TO BE- SW'!R$2,MODULY_CBA!$B$3:$L$23,10,0),0),0)</f>
        <v>0</v>
      </c>
      <c r="S106" s="552">
        <f>IFERROR(IF(VLOOKUP(S$2,MODULY_CBA!$B$3:$N$23,13,0)&lt;='TCO TO BE- SW'!$D106,SUM('TCO TO BE- SW'!S$37:S$46)*VLOOKUP('TCO TO BE- SW'!S$2,MODULY_CBA!$B$3:$L$23,10,0),0),0)</f>
        <v>0</v>
      </c>
      <c r="T106" s="552">
        <f>IFERROR(IF(VLOOKUP(T$2,MODULY_CBA!$B$3:$N$23,13,0)&lt;='TCO TO BE- SW'!$D106,SUM('TCO TO BE- SW'!T$37:T$46)*VLOOKUP('TCO TO BE- SW'!T$2,MODULY_CBA!$B$3:$L$23,10,0),0),0)</f>
        <v>0</v>
      </c>
      <c r="U106" s="552">
        <f>IFERROR(IF(VLOOKUP(U$2,MODULY_CBA!$B$3:$N$23,13,0)&lt;='TCO TO BE- SW'!$D106,SUM('TCO TO BE- SW'!U$37:U$46)*VLOOKUP('TCO TO BE- SW'!U$2,MODULY_CBA!$B$3:$L$23,10,0),0),0)</f>
        <v>0</v>
      </c>
      <c r="V106" s="552">
        <f>IFERROR(IF(VLOOKUP(V$2,MODULY_CBA!$B$3:$N$23,13,0)&lt;='TCO TO BE- SW'!$D106,SUM('TCO TO BE- SW'!V$37:V$46)*VLOOKUP('TCO TO BE- SW'!V$2,MODULY_CBA!$B$3:$L$23,10,0),0),0)</f>
        <v>0</v>
      </c>
      <c r="W106" s="552">
        <f>IFERROR(IF(VLOOKUP(W$2,MODULY_CBA!$B$3:$N$23,13,0)&lt;='TCO TO BE- SW'!$D106,SUM('TCO TO BE- SW'!W$37:W$46)*VLOOKUP('TCO TO BE- SW'!W$2,MODULY_CBA!$B$3:$L$23,10,0),0),0)</f>
        <v>0</v>
      </c>
      <c r="X106" s="552">
        <f>IFERROR(IF(VLOOKUP(X$2,MODULY_CBA!$B$3:$N$23,13,0)&lt;='TCO TO BE- SW'!$D106,SUM('TCO TO BE- SW'!X$37:X$46)*VLOOKUP('TCO TO BE- SW'!X$2,MODULY_CBA!$B$3:$L$23,10,0),0),0)</f>
        <v>0</v>
      </c>
      <c r="Y106" s="552">
        <f>IFERROR(IF(VLOOKUP(Y$2,MODULY_CBA!$B$3:$N$23,13,0)&lt;='TCO TO BE- SW'!$D106,SUM('TCO TO BE- SW'!Y$37:Y$46)*VLOOKUP('TCO TO BE- SW'!Y$2,MODULY_CBA!$B$3:$L$23,10,0),0),0)</f>
        <v>0</v>
      </c>
      <c r="Z106" s="552">
        <f>IFERROR(IF(VLOOKUP(Z$2,MODULY_CBA!$B$3:$N$23,13,0)&lt;='TCO TO BE- SW'!$D106,SUM('TCO TO BE- SW'!Z$37:Z$46)*VLOOKUP('TCO TO BE- SW'!Z$2,MODULY_CBA!$B$3:$L$23,10,0),0),0)</f>
        <v>0</v>
      </c>
    </row>
    <row r="107" spans="1:26" outlineLevel="2" x14ac:dyDescent="0.2">
      <c r="A107" s="884"/>
      <c r="B107" s="885"/>
      <c r="C107" s="885"/>
      <c r="D107" s="64">
        <v>8</v>
      </c>
      <c r="E107" s="68">
        <f t="shared" si="14"/>
        <v>150174.4515</v>
      </c>
      <c r="F107" s="552">
        <f>IFERROR(IF(VLOOKUP(F$2,MODULY_CBA!$B$3:$N$23,13,0)&lt;='TCO TO BE- SW'!$D107,SUM('TCO TO BE- SW'!F$37:F$46)*VLOOKUP('TCO TO BE- SW'!F$2,MODULY_CBA!$B$3:$L$23,10,0),0),0)</f>
        <v>54300.525024360657</v>
      </c>
      <c r="G107" s="552">
        <f>IFERROR(IF(VLOOKUP(G$2,MODULY_CBA!$B$3:$N$23,13,0)&lt;='TCO TO BE- SW'!$D107,SUM('TCO TO BE- SW'!G$37:G$46)*VLOOKUP('TCO TO BE- SW'!G$2,MODULY_CBA!$B$3:$L$23,10,0),0),0)</f>
        <v>16791.953789154377</v>
      </c>
      <c r="H107" s="552">
        <f>IFERROR(IF(VLOOKUP(H$2,MODULY_CBA!$B$3:$N$23,13,0)&lt;='TCO TO BE- SW'!$D107,SUM('TCO TO BE- SW'!H$37:H$46)*VLOOKUP('TCO TO BE- SW'!H$2,MODULY_CBA!$B$3:$L$23,10,0),0),0)</f>
        <v>26211.146565708419</v>
      </c>
      <c r="I107" s="552">
        <f>IFERROR(IF(VLOOKUP(I$2,MODULY_CBA!$B$3:$N$23,13,0)&lt;='TCO TO BE- SW'!$D107,SUM('TCO TO BE- SW'!I$37:I$46)*VLOOKUP('TCO TO BE- SW'!I$2,MODULY_CBA!$B$3:$L$23,10,0),0),0)</f>
        <v>32434.541793074488</v>
      </c>
      <c r="J107" s="552">
        <f>IFERROR(IF(VLOOKUP(J$2,MODULY_CBA!$B$3:$N$23,13,0)&lt;='TCO TO BE- SW'!$D107,SUM('TCO TO BE- SW'!J$37:J$46)*VLOOKUP('TCO TO BE- SW'!J$2,MODULY_CBA!$B$3:$L$23,10,0),0),0)</f>
        <v>12951.390067761808</v>
      </c>
      <c r="K107" s="552">
        <f>IFERROR(IF(VLOOKUP(K$2,MODULY_CBA!$B$3:$N$23,13,0)&lt;='TCO TO BE- SW'!$D107,SUM('TCO TO BE- SW'!K$37:K$46)*VLOOKUP('TCO TO BE- SW'!K$2,MODULY_CBA!$B$3:$L$23,10,0),0),0)</f>
        <v>3952.6969687325</v>
      </c>
      <c r="L107" s="552">
        <f>IFERROR(IF(VLOOKUP(L$2,MODULY_CBA!$B$3:$N$23,13,0)&lt;='TCO TO BE- SW'!$D107,SUM('TCO TO BE- SW'!L$37:L$46)*VLOOKUP('TCO TO BE- SW'!L$2,MODULY_CBA!$B$3:$L$23,10,0),0),0)</f>
        <v>3532.1972912077654</v>
      </c>
      <c r="M107" s="552">
        <f>IFERROR(IF(VLOOKUP(M$2,MODULY_CBA!$B$3:$N$23,13,0)&lt;='TCO TO BE- SW'!$D107,SUM('TCO TO BE- SW'!M$37:M$46)*VLOOKUP('TCO TO BE- SW'!M$2,MODULY_CBA!$B$3:$L$23,10,0),0),0)</f>
        <v>0</v>
      </c>
      <c r="N107" s="552">
        <f>IFERROR(IF(VLOOKUP(N$2,MODULY_CBA!$B$3:$N$23,13,0)&lt;='TCO TO BE- SW'!$D107,SUM('TCO TO BE- SW'!N$37:N$46)*VLOOKUP('TCO TO BE- SW'!N$2,MODULY_CBA!$B$3:$L$23,10,0),0),0)</f>
        <v>0</v>
      </c>
      <c r="O107" s="552">
        <f>IFERROR(IF(VLOOKUP(O$2,MODULY_CBA!$B$3:$N$23,13,0)&lt;='TCO TO BE- SW'!$D107,SUM('TCO TO BE- SW'!O$37:O$46)*VLOOKUP('TCO TO BE- SW'!O$2,MODULY_CBA!$B$3:$L$23,10,0),0),0)</f>
        <v>0</v>
      </c>
      <c r="P107" s="552">
        <f>IFERROR(IF(VLOOKUP(P$2,MODULY_CBA!$B$3:$N$23,13,0)&lt;='TCO TO BE- SW'!$D107,SUM('TCO TO BE- SW'!P$37:P$46)*VLOOKUP('TCO TO BE- SW'!P$2,MODULY_CBA!$B$3:$L$23,10,0),0),0)</f>
        <v>0</v>
      </c>
      <c r="Q107" s="552">
        <f>IFERROR(IF(VLOOKUP(Q$2,MODULY_CBA!$B$3:$N$23,13,0)&lt;='TCO TO BE- SW'!$D107,SUM('TCO TO BE- SW'!Q$37:Q$46)*VLOOKUP('TCO TO BE- SW'!Q$2,MODULY_CBA!$B$3:$L$23,10,0),0),0)</f>
        <v>0</v>
      </c>
      <c r="R107" s="552">
        <f>IFERROR(IF(VLOOKUP(R$2,MODULY_CBA!$B$3:$N$23,13,0)&lt;='TCO TO BE- SW'!$D107,SUM('TCO TO BE- SW'!R$37:R$46)*VLOOKUP('TCO TO BE- SW'!R$2,MODULY_CBA!$B$3:$L$23,10,0),0),0)</f>
        <v>0</v>
      </c>
      <c r="S107" s="552">
        <f>IFERROR(IF(VLOOKUP(S$2,MODULY_CBA!$B$3:$N$23,13,0)&lt;='TCO TO BE- SW'!$D107,SUM('TCO TO BE- SW'!S$37:S$46)*VLOOKUP('TCO TO BE- SW'!S$2,MODULY_CBA!$B$3:$L$23,10,0),0),0)</f>
        <v>0</v>
      </c>
      <c r="T107" s="552">
        <f>IFERROR(IF(VLOOKUP(T$2,MODULY_CBA!$B$3:$N$23,13,0)&lt;='TCO TO BE- SW'!$D107,SUM('TCO TO BE- SW'!T$37:T$46)*VLOOKUP('TCO TO BE- SW'!T$2,MODULY_CBA!$B$3:$L$23,10,0),0),0)</f>
        <v>0</v>
      </c>
      <c r="U107" s="552">
        <f>IFERROR(IF(VLOOKUP(U$2,MODULY_CBA!$B$3:$N$23,13,0)&lt;='TCO TO BE- SW'!$D107,SUM('TCO TO BE- SW'!U$37:U$46)*VLOOKUP('TCO TO BE- SW'!U$2,MODULY_CBA!$B$3:$L$23,10,0),0),0)</f>
        <v>0</v>
      </c>
      <c r="V107" s="552">
        <f>IFERROR(IF(VLOOKUP(V$2,MODULY_CBA!$B$3:$N$23,13,0)&lt;='TCO TO BE- SW'!$D107,SUM('TCO TO BE- SW'!V$37:V$46)*VLOOKUP('TCO TO BE- SW'!V$2,MODULY_CBA!$B$3:$L$23,10,0),0),0)</f>
        <v>0</v>
      </c>
      <c r="W107" s="552">
        <f>IFERROR(IF(VLOOKUP(W$2,MODULY_CBA!$B$3:$N$23,13,0)&lt;='TCO TO BE- SW'!$D107,SUM('TCO TO BE- SW'!W$37:W$46)*VLOOKUP('TCO TO BE- SW'!W$2,MODULY_CBA!$B$3:$L$23,10,0),0),0)</f>
        <v>0</v>
      </c>
      <c r="X107" s="552">
        <f>IFERROR(IF(VLOOKUP(X$2,MODULY_CBA!$B$3:$N$23,13,0)&lt;='TCO TO BE- SW'!$D107,SUM('TCO TO BE- SW'!X$37:X$46)*VLOOKUP('TCO TO BE- SW'!X$2,MODULY_CBA!$B$3:$L$23,10,0),0),0)</f>
        <v>0</v>
      </c>
      <c r="Y107" s="552">
        <f>IFERROR(IF(VLOOKUP(Y$2,MODULY_CBA!$B$3:$N$23,13,0)&lt;='TCO TO BE- SW'!$D107,SUM('TCO TO BE- SW'!Y$37:Y$46)*VLOOKUP('TCO TO BE- SW'!Y$2,MODULY_CBA!$B$3:$L$23,10,0),0),0)</f>
        <v>0</v>
      </c>
      <c r="Z107" s="552">
        <f>IFERROR(IF(VLOOKUP(Z$2,MODULY_CBA!$B$3:$N$23,13,0)&lt;='TCO TO BE- SW'!$D107,SUM('TCO TO BE- SW'!Z$37:Z$46)*VLOOKUP('TCO TO BE- SW'!Z$2,MODULY_CBA!$B$3:$L$23,10,0),0),0)</f>
        <v>0</v>
      </c>
    </row>
    <row r="108" spans="1:26" outlineLevel="2" x14ac:dyDescent="0.2">
      <c r="A108" s="884"/>
      <c r="B108" s="885"/>
      <c r="C108" s="885"/>
      <c r="D108" s="64">
        <v>9</v>
      </c>
      <c r="E108" s="68">
        <f t="shared" si="14"/>
        <v>150174.4515</v>
      </c>
      <c r="F108" s="552">
        <f>IFERROR(IF(VLOOKUP(F$2,MODULY_CBA!$B$3:$N$23,13,0)&lt;='TCO TO BE- SW'!$D108,SUM('TCO TO BE- SW'!F$37:F$46)*VLOOKUP('TCO TO BE- SW'!F$2,MODULY_CBA!$B$3:$L$23,10,0),0),0)</f>
        <v>54300.525024360657</v>
      </c>
      <c r="G108" s="552">
        <f>IFERROR(IF(VLOOKUP(G$2,MODULY_CBA!$B$3:$N$23,13,0)&lt;='TCO TO BE- SW'!$D108,SUM('TCO TO BE- SW'!G$37:G$46)*VLOOKUP('TCO TO BE- SW'!G$2,MODULY_CBA!$B$3:$L$23,10,0),0),0)</f>
        <v>16791.953789154377</v>
      </c>
      <c r="H108" s="552">
        <f>IFERROR(IF(VLOOKUP(H$2,MODULY_CBA!$B$3:$N$23,13,0)&lt;='TCO TO BE- SW'!$D108,SUM('TCO TO BE- SW'!H$37:H$46)*VLOOKUP('TCO TO BE- SW'!H$2,MODULY_CBA!$B$3:$L$23,10,0),0),0)</f>
        <v>26211.146565708419</v>
      </c>
      <c r="I108" s="552">
        <f>IFERROR(IF(VLOOKUP(I$2,MODULY_CBA!$B$3:$N$23,13,0)&lt;='TCO TO BE- SW'!$D108,SUM('TCO TO BE- SW'!I$37:I$46)*VLOOKUP('TCO TO BE- SW'!I$2,MODULY_CBA!$B$3:$L$23,10,0),0),0)</f>
        <v>32434.541793074488</v>
      </c>
      <c r="J108" s="552">
        <f>IFERROR(IF(VLOOKUP(J$2,MODULY_CBA!$B$3:$N$23,13,0)&lt;='TCO TO BE- SW'!$D108,SUM('TCO TO BE- SW'!J$37:J$46)*VLOOKUP('TCO TO BE- SW'!J$2,MODULY_CBA!$B$3:$L$23,10,0),0),0)</f>
        <v>12951.390067761808</v>
      </c>
      <c r="K108" s="552">
        <f>IFERROR(IF(VLOOKUP(K$2,MODULY_CBA!$B$3:$N$23,13,0)&lt;='TCO TO BE- SW'!$D108,SUM('TCO TO BE- SW'!K$37:K$46)*VLOOKUP('TCO TO BE- SW'!K$2,MODULY_CBA!$B$3:$L$23,10,0),0),0)</f>
        <v>3952.6969687325</v>
      </c>
      <c r="L108" s="552">
        <f>IFERROR(IF(VLOOKUP(L$2,MODULY_CBA!$B$3:$N$23,13,0)&lt;='TCO TO BE- SW'!$D108,SUM('TCO TO BE- SW'!L$37:L$46)*VLOOKUP('TCO TO BE- SW'!L$2,MODULY_CBA!$B$3:$L$23,10,0),0),0)</f>
        <v>3532.1972912077654</v>
      </c>
      <c r="M108" s="552">
        <f>IFERROR(IF(VLOOKUP(M$2,MODULY_CBA!$B$3:$N$23,13,0)&lt;='TCO TO BE- SW'!$D108,SUM('TCO TO BE- SW'!M$37:M$46)*VLOOKUP('TCO TO BE- SW'!M$2,MODULY_CBA!$B$3:$L$23,10,0),0),0)</f>
        <v>0</v>
      </c>
      <c r="N108" s="552">
        <f>IFERROR(IF(VLOOKUP(N$2,MODULY_CBA!$B$3:$N$23,13,0)&lt;='TCO TO BE- SW'!$D108,SUM('TCO TO BE- SW'!N$37:N$46)*VLOOKUP('TCO TO BE- SW'!N$2,MODULY_CBA!$B$3:$L$23,10,0),0),0)</f>
        <v>0</v>
      </c>
      <c r="O108" s="552">
        <f>IFERROR(IF(VLOOKUP(O$2,MODULY_CBA!$B$3:$N$23,13,0)&lt;='TCO TO BE- SW'!$D108,SUM('TCO TO BE- SW'!O$37:O$46)*VLOOKUP('TCO TO BE- SW'!O$2,MODULY_CBA!$B$3:$L$23,10,0),0),0)</f>
        <v>0</v>
      </c>
      <c r="P108" s="552">
        <f>IFERROR(IF(VLOOKUP(P$2,MODULY_CBA!$B$3:$N$23,13,0)&lt;='TCO TO BE- SW'!$D108,SUM('TCO TO BE- SW'!P$37:P$46)*VLOOKUP('TCO TO BE- SW'!P$2,MODULY_CBA!$B$3:$L$23,10,0),0),0)</f>
        <v>0</v>
      </c>
      <c r="Q108" s="552">
        <f>IFERROR(IF(VLOOKUP(Q$2,MODULY_CBA!$B$3:$N$23,13,0)&lt;='TCO TO BE- SW'!$D108,SUM('TCO TO BE- SW'!Q$37:Q$46)*VLOOKUP('TCO TO BE- SW'!Q$2,MODULY_CBA!$B$3:$L$23,10,0),0),0)</f>
        <v>0</v>
      </c>
      <c r="R108" s="552">
        <f>IFERROR(IF(VLOOKUP(R$2,MODULY_CBA!$B$3:$N$23,13,0)&lt;='TCO TO BE- SW'!$D108,SUM('TCO TO BE- SW'!R$37:R$46)*VLOOKUP('TCO TO BE- SW'!R$2,MODULY_CBA!$B$3:$L$23,10,0),0),0)</f>
        <v>0</v>
      </c>
      <c r="S108" s="552">
        <f>IFERROR(IF(VLOOKUP(S$2,MODULY_CBA!$B$3:$N$23,13,0)&lt;='TCO TO BE- SW'!$D108,SUM('TCO TO BE- SW'!S$37:S$46)*VLOOKUP('TCO TO BE- SW'!S$2,MODULY_CBA!$B$3:$L$23,10,0),0),0)</f>
        <v>0</v>
      </c>
      <c r="T108" s="552">
        <f>IFERROR(IF(VLOOKUP(T$2,MODULY_CBA!$B$3:$N$23,13,0)&lt;='TCO TO BE- SW'!$D108,SUM('TCO TO BE- SW'!T$37:T$46)*VLOOKUP('TCO TO BE- SW'!T$2,MODULY_CBA!$B$3:$L$23,10,0),0),0)</f>
        <v>0</v>
      </c>
      <c r="U108" s="552">
        <f>IFERROR(IF(VLOOKUP(U$2,MODULY_CBA!$B$3:$N$23,13,0)&lt;='TCO TO BE- SW'!$D108,SUM('TCO TO BE- SW'!U$37:U$46)*VLOOKUP('TCO TO BE- SW'!U$2,MODULY_CBA!$B$3:$L$23,10,0),0),0)</f>
        <v>0</v>
      </c>
      <c r="V108" s="552">
        <f>IFERROR(IF(VLOOKUP(V$2,MODULY_CBA!$B$3:$N$23,13,0)&lt;='TCO TO BE- SW'!$D108,SUM('TCO TO BE- SW'!V$37:V$46)*VLOOKUP('TCO TO BE- SW'!V$2,MODULY_CBA!$B$3:$L$23,10,0),0),0)</f>
        <v>0</v>
      </c>
      <c r="W108" s="552">
        <f>IFERROR(IF(VLOOKUP(W$2,MODULY_CBA!$B$3:$N$23,13,0)&lt;='TCO TO BE- SW'!$D108,SUM('TCO TO BE- SW'!W$37:W$46)*VLOOKUP('TCO TO BE- SW'!W$2,MODULY_CBA!$B$3:$L$23,10,0),0),0)</f>
        <v>0</v>
      </c>
      <c r="X108" s="552">
        <f>IFERROR(IF(VLOOKUP(X$2,MODULY_CBA!$B$3:$N$23,13,0)&lt;='TCO TO BE- SW'!$D108,SUM('TCO TO BE- SW'!X$37:X$46)*VLOOKUP('TCO TO BE- SW'!X$2,MODULY_CBA!$B$3:$L$23,10,0),0),0)</f>
        <v>0</v>
      </c>
      <c r="Y108" s="552">
        <f>IFERROR(IF(VLOOKUP(Y$2,MODULY_CBA!$B$3:$N$23,13,0)&lt;='TCO TO BE- SW'!$D108,SUM('TCO TO BE- SW'!Y$37:Y$46)*VLOOKUP('TCO TO BE- SW'!Y$2,MODULY_CBA!$B$3:$L$23,10,0),0),0)</f>
        <v>0</v>
      </c>
      <c r="Z108" s="552">
        <f>IFERROR(IF(VLOOKUP(Z$2,MODULY_CBA!$B$3:$N$23,13,0)&lt;='TCO TO BE- SW'!$D108,SUM('TCO TO BE- SW'!Z$37:Z$46)*VLOOKUP('TCO TO BE- SW'!Z$2,MODULY_CBA!$B$3:$L$23,10,0),0),0)</f>
        <v>0</v>
      </c>
    </row>
    <row r="109" spans="1:26" ht="16" outlineLevel="2" thickBot="1" x14ac:dyDescent="0.25">
      <c r="A109" s="884"/>
      <c r="B109" s="885"/>
      <c r="C109" s="885"/>
      <c r="D109" s="65">
        <v>10</v>
      </c>
      <c r="E109" s="69">
        <f t="shared" si="14"/>
        <v>150174.4515</v>
      </c>
      <c r="F109" s="552">
        <f>IFERROR(IF(VLOOKUP(F$2,MODULY_CBA!$B$3:$N$23,13,0)&lt;='TCO TO BE- SW'!$D109,SUM('TCO TO BE- SW'!F$37:F$46)*VLOOKUP('TCO TO BE- SW'!F$2,MODULY_CBA!$B$3:$L$23,10,0),0),0)</f>
        <v>54300.525024360657</v>
      </c>
      <c r="G109" s="552">
        <f>IFERROR(IF(VLOOKUP(G$2,MODULY_CBA!$B$3:$N$23,13,0)&lt;='TCO TO BE- SW'!$D109,SUM('TCO TO BE- SW'!G$37:G$46)*VLOOKUP('TCO TO BE- SW'!G$2,MODULY_CBA!$B$3:$L$23,10,0),0),0)</f>
        <v>16791.953789154377</v>
      </c>
      <c r="H109" s="552">
        <f>IFERROR(IF(VLOOKUP(H$2,MODULY_CBA!$B$3:$N$23,13,0)&lt;='TCO TO BE- SW'!$D109,SUM('TCO TO BE- SW'!H$37:H$46)*VLOOKUP('TCO TO BE- SW'!H$2,MODULY_CBA!$B$3:$L$23,10,0),0),0)</f>
        <v>26211.146565708419</v>
      </c>
      <c r="I109" s="552">
        <f>IFERROR(IF(VLOOKUP(I$2,MODULY_CBA!$B$3:$N$23,13,0)&lt;='TCO TO BE- SW'!$D109,SUM('TCO TO BE- SW'!I$37:I$46)*VLOOKUP('TCO TO BE- SW'!I$2,MODULY_CBA!$B$3:$L$23,10,0),0),0)</f>
        <v>32434.541793074488</v>
      </c>
      <c r="J109" s="552">
        <f>IFERROR(IF(VLOOKUP(J$2,MODULY_CBA!$B$3:$N$23,13,0)&lt;='TCO TO BE- SW'!$D109,SUM('TCO TO BE- SW'!J$37:J$46)*VLOOKUP('TCO TO BE- SW'!J$2,MODULY_CBA!$B$3:$L$23,10,0),0),0)</f>
        <v>12951.390067761808</v>
      </c>
      <c r="K109" s="552">
        <f>IFERROR(IF(VLOOKUP(K$2,MODULY_CBA!$B$3:$N$23,13,0)&lt;='TCO TO BE- SW'!$D109,SUM('TCO TO BE- SW'!K$37:K$46)*VLOOKUP('TCO TO BE- SW'!K$2,MODULY_CBA!$B$3:$L$23,10,0),0),0)</f>
        <v>3952.6969687325</v>
      </c>
      <c r="L109" s="552">
        <f>IFERROR(IF(VLOOKUP(L$2,MODULY_CBA!$B$3:$N$23,13,0)&lt;='TCO TO BE- SW'!$D109,SUM('TCO TO BE- SW'!L$37:L$46)*VLOOKUP('TCO TO BE- SW'!L$2,MODULY_CBA!$B$3:$L$23,10,0),0),0)</f>
        <v>3532.1972912077654</v>
      </c>
      <c r="M109" s="552">
        <f>IFERROR(IF(VLOOKUP(M$2,MODULY_CBA!$B$3:$N$23,13,0)&lt;='TCO TO BE- SW'!$D109,SUM('TCO TO BE- SW'!M$37:M$46)*VLOOKUP('TCO TO BE- SW'!M$2,MODULY_CBA!$B$3:$L$23,10,0),0),0)</f>
        <v>0</v>
      </c>
      <c r="N109" s="552">
        <f>IFERROR(IF(VLOOKUP(N$2,MODULY_CBA!$B$3:$N$23,13,0)&lt;='TCO TO BE- SW'!$D109,SUM('TCO TO BE- SW'!N$37:N$46)*VLOOKUP('TCO TO BE- SW'!N$2,MODULY_CBA!$B$3:$L$23,10,0),0),0)</f>
        <v>0</v>
      </c>
      <c r="O109" s="552">
        <f>IFERROR(IF(VLOOKUP(O$2,MODULY_CBA!$B$3:$N$23,13,0)&lt;='TCO TO BE- SW'!$D109,SUM('TCO TO BE- SW'!O$37:O$46)*VLOOKUP('TCO TO BE- SW'!O$2,MODULY_CBA!$B$3:$L$23,10,0),0),0)</f>
        <v>0</v>
      </c>
      <c r="P109" s="552">
        <f>IFERROR(IF(VLOOKUP(P$2,MODULY_CBA!$B$3:$N$23,13,0)&lt;='TCO TO BE- SW'!$D109,SUM('TCO TO BE- SW'!P$37:P$46)*VLOOKUP('TCO TO BE- SW'!P$2,MODULY_CBA!$B$3:$L$23,10,0),0),0)</f>
        <v>0</v>
      </c>
      <c r="Q109" s="552">
        <f>IFERROR(IF(VLOOKUP(Q$2,MODULY_CBA!$B$3:$N$23,13,0)&lt;='TCO TO BE- SW'!$D109,SUM('TCO TO BE- SW'!Q$37:Q$46)*VLOOKUP('TCO TO BE- SW'!Q$2,MODULY_CBA!$B$3:$L$23,10,0),0),0)</f>
        <v>0</v>
      </c>
      <c r="R109" s="552">
        <f>IFERROR(IF(VLOOKUP(R$2,MODULY_CBA!$B$3:$N$23,13,0)&lt;='TCO TO BE- SW'!$D109,SUM('TCO TO BE- SW'!R$37:R$46)*VLOOKUP('TCO TO BE- SW'!R$2,MODULY_CBA!$B$3:$L$23,10,0),0),0)</f>
        <v>0</v>
      </c>
      <c r="S109" s="552">
        <f>IFERROR(IF(VLOOKUP(S$2,MODULY_CBA!$B$3:$N$23,13,0)&lt;='TCO TO BE- SW'!$D109,SUM('TCO TO BE- SW'!S$37:S$46)*VLOOKUP('TCO TO BE- SW'!S$2,MODULY_CBA!$B$3:$L$23,10,0),0),0)</f>
        <v>0</v>
      </c>
      <c r="T109" s="552">
        <f>IFERROR(IF(VLOOKUP(T$2,MODULY_CBA!$B$3:$N$23,13,0)&lt;='TCO TO BE- SW'!$D109,SUM('TCO TO BE- SW'!T$37:T$46)*VLOOKUP('TCO TO BE- SW'!T$2,MODULY_CBA!$B$3:$L$23,10,0),0),0)</f>
        <v>0</v>
      </c>
      <c r="U109" s="552">
        <f>IFERROR(IF(VLOOKUP(U$2,MODULY_CBA!$B$3:$N$23,13,0)&lt;='TCO TO BE- SW'!$D109,SUM('TCO TO BE- SW'!U$37:U$46)*VLOOKUP('TCO TO BE- SW'!U$2,MODULY_CBA!$B$3:$L$23,10,0),0),0)</f>
        <v>0</v>
      </c>
      <c r="V109" s="552">
        <f>IFERROR(IF(VLOOKUP(V$2,MODULY_CBA!$B$3:$N$23,13,0)&lt;='TCO TO BE- SW'!$D109,SUM('TCO TO BE- SW'!V$37:V$46)*VLOOKUP('TCO TO BE- SW'!V$2,MODULY_CBA!$B$3:$L$23,10,0),0),0)</f>
        <v>0</v>
      </c>
      <c r="W109" s="552">
        <f>IFERROR(IF(VLOOKUP(W$2,MODULY_CBA!$B$3:$N$23,13,0)&lt;='TCO TO BE- SW'!$D109,SUM('TCO TO BE- SW'!W$37:W$46)*VLOOKUP('TCO TO BE- SW'!W$2,MODULY_CBA!$B$3:$L$23,10,0),0),0)</f>
        <v>0</v>
      </c>
      <c r="X109" s="552">
        <f>IFERROR(IF(VLOOKUP(X$2,MODULY_CBA!$B$3:$N$23,13,0)&lt;='TCO TO BE- SW'!$D109,SUM('TCO TO BE- SW'!X$37:X$46)*VLOOKUP('TCO TO BE- SW'!X$2,MODULY_CBA!$B$3:$L$23,10,0),0),0)</f>
        <v>0</v>
      </c>
      <c r="Y109" s="552">
        <f>IFERROR(IF(VLOOKUP(Y$2,MODULY_CBA!$B$3:$N$23,13,0)&lt;='TCO TO BE- SW'!$D109,SUM('TCO TO BE- SW'!Y$37:Y$46)*VLOOKUP('TCO TO BE- SW'!Y$2,MODULY_CBA!$B$3:$L$23,10,0),0),0)</f>
        <v>0</v>
      </c>
      <c r="Z109" s="552">
        <f>IFERROR(IF(VLOOKUP(Z$2,MODULY_CBA!$B$3:$N$23,13,0)&lt;='TCO TO BE- SW'!$D109,SUM('TCO TO BE- SW'!Z$37:Z$46)*VLOOKUP('TCO TO BE- SW'!Z$2,MODULY_CBA!$B$3:$L$23,10,0),0),0)</f>
        <v>0</v>
      </c>
    </row>
    <row r="110" spans="1:26" outlineLevel="2" x14ac:dyDescent="0.2">
      <c r="A110" s="884" t="s">
        <v>1162</v>
      </c>
      <c r="B110" s="885" t="s">
        <v>1158</v>
      </c>
      <c r="C110" s="885">
        <v>635009</v>
      </c>
      <c r="D110" s="63">
        <v>1</v>
      </c>
      <c r="E110" s="68">
        <f t="shared" si="14"/>
        <v>0</v>
      </c>
      <c r="F110" s="542">
        <v>0</v>
      </c>
      <c r="G110" s="542">
        <v>0</v>
      </c>
      <c r="H110" s="542">
        <v>0</v>
      </c>
      <c r="I110" s="542">
        <v>0</v>
      </c>
      <c r="J110" s="542">
        <v>0</v>
      </c>
      <c r="K110" s="542">
        <v>0</v>
      </c>
      <c r="L110" s="542">
        <v>0</v>
      </c>
      <c r="M110" s="542">
        <v>0</v>
      </c>
      <c r="N110" s="542">
        <v>0</v>
      </c>
      <c r="O110" s="542">
        <v>0</v>
      </c>
      <c r="P110" s="542">
        <v>0</v>
      </c>
      <c r="Q110" s="542">
        <v>0</v>
      </c>
      <c r="R110" s="542">
        <v>0</v>
      </c>
      <c r="S110" s="542">
        <v>0</v>
      </c>
      <c r="T110" s="542">
        <v>0</v>
      </c>
      <c r="U110" s="542">
        <v>0</v>
      </c>
      <c r="V110" s="542">
        <v>0</v>
      </c>
      <c r="W110" s="542">
        <v>0</v>
      </c>
      <c r="X110" s="542">
        <v>0</v>
      </c>
      <c r="Y110" s="542">
        <v>0</v>
      </c>
      <c r="Z110" s="542">
        <v>0</v>
      </c>
    </row>
    <row r="111" spans="1:26" outlineLevel="2" x14ac:dyDescent="0.2">
      <c r="A111" s="884"/>
      <c r="B111" s="885"/>
      <c r="C111" s="885"/>
      <c r="D111" s="64">
        <v>2</v>
      </c>
      <c r="E111" s="68">
        <f t="shared" si="14"/>
        <v>0</v>
      </c>
      <c r="F111" s="543">
        <v>0</v>
      </c>
      <c r="G111" s="543">
        <v>0</v>
      </c>
      <c r="H111" s="543">
        <v>0</v>
      </c>
      <c r="I111" s="543">
        <v>0</v>
      </c>
      <c r="J111" s="543">
        <v>0</v>
      </c>
      <c r="K111" s="543">
        <v>0</v>
      </c>
      <c r="L111" s="543">
        <v>0</v>
      </c>
      <c r="M111" s="543">
        <v>0</v>
      </c>
      <c r="N111" s="543">
        <v>0</v>
      </c>
      <c r="O111" s="543">
        <v>0</v>
      </c>
      <c r="P111" s="543">
        <v>0</v>
      </c>
      <c r="Q111" s="543">
        <v>0</v>
      </c>
      <c r="R111" s="543">
        <v>0</v>
      </c>
      <c r="S111" s="543">
        <v>0</v>
      </c>
      <c r="T111" s="543">
        <v>0</v>
      </c>
      <c r="U111" s="543">
        <v>0</v>
      </c>
      <c r="V111" s="543">
        <v>0</v>
      </c>
      <c r="W111" s="543">
        <v>0</v>
      </c>
      <c r="X111" s="543">
        <v>0</v>
      </c>
      <c r="Y111" s="543">
        <v>0</v>
      </c>
      <c r="Z111" s="543">
        <v>0</v>
      </c>
    </row>
    <row r="112" spans="1:26" outlineLevel="2" x14ac:dyDescent="0.2">
      <c r="A112" s="884"/>
      <c r="B112" s="885"/>
      <c r="C112" s="885"/>
      <c r="D112" s="64">
        <v>3</v>
      </c>
      <c r="E112" s="68">
        <f t="shared" si="14"/>
        <v>0</v>
      </c>
      <c r="F112" s="543">
        <v>0</v>
      </c>
      <c r="G112" s="543">
        <v>0</v>
      </c>
      <c r="H112" s="543">
        <v>0</v>
      </c>
      <c r="I112" s="543">
        <v>0</v>
      </c>
      <c r="J112" s="543">
        <v>0</v>
      </c>
      <c r="K112" s="543">
        <v>0</v>
      </c>
      <c r="L112" s="543">
        <v>0</v>
      </c>
      <c r="M112" s="543">
        <v>0</v>
      </c>
      <c r="N112" s="543">
        <v>0</v>
      </c>
      <c r="O112" s="543">
        <v>0</v>
      </c>
      <c r="P112" s="543">
        <v>0</v>
      </c>
      <c r="Q112" s="543">
        <v>0</v>
      </c>
      <c r="R112" s="543">
        <v>0</v>
      </c>
      <c r="S112" s="543">
        <v>0</v>
      </c>
      <c r="T112" s="543">
        <v>0</v>
      </c>
      <c r="U112" s="543">
        <v>0</v>
      </c>
      <c r="V112" s="543">
        <v>0</v>
      </c>
      <c r="W112" s="543">
        <v>0</v>
      </c>
      <c r="X112" s="543">
        <v>0</v>
      </c>
      <c r="Y112" s="543">
        <v>0</v>
      </c>
      <c r="Z112" s="543">
        <v>0</v>
      </c>
    </row>
    <row r="113" spans="1:26" outlineLevel="2" x14ac:dyDescent="0.2">
      <c r="A113" s="884"/>
      <c r="B113" s="885"/>
      <c r="C113" s="885"/>
      <c r="D113" s="64">
        <v>4</v>
      </c>
      <c r="E113" s="68">
        <f t="shared" si="14"/>
        <v>0</v>
      </c>
      <c r="F113" s="543">
        <v>0</v>
      </c>
      <c r="G113" s="543">
        <v>0</v>
      </c>
      <c r="H113" s="543">
        <v>0</v>
      </c>
      <c r="I113" s="543">
        <v>0</v>
      </c>
      <c r="J113" s="543">
        <v>0</v>
      </c>
      <c r="K113" s="543">
        <v>0</v>
      </c>
      <c r="L113" s="543">
        <v>0</v>
      </c>
      <c r="M113" s="543">
        <v>0</v>
      </c>
      <c r="N113" s="543">
        <v>0</v>
      </c>
      <c r="O113" s="543">
        <v>0</v>
      </c>
      <c r="P113" s="543">
        <v>0</v>
      </c>
      <c r="Q113" s="543">
        <v>0</v>
      </c>
      <c r="R113" s="543">
        <v>0</v>
      </c>
      <c r="S113" s="543">
        <v>0</v>
      </c>
      <c r="T113" s="543">
        <v>0</v>
      </c>
      <c r="U113" s="543">
        <v>0</v>
      </c>
      <c r="V113" s="543">
        <v>0</v>
      </c>
      <c r="W113" s="543">
        <v>0</v>
      </c>
      <c r="X113" s="543">
        <v>0</v>
      </c>
      <c r="Y113" s="543">
        <v>0</v>
      </c>
      <c r="Z113" s="543">
        <v>0</v>
      </c>
    </row>
    <row r="114" spans="1:26" outlineLevel="2" x14ac:dyDescent="0.2">
      <c r="A114" s="884"/>
      <c r="B114" s="885"/>
      <c r="C114" s="885"/>
      <c r="D114" s="64">
        <v>5</v>
      </c>
      <c r="E114" s="68">
        <f t="shared" si="14"/>
        <v>0</v>
      </c>
      <c r="F114" s="543">
        <v>0</v>
      </c>
      <c r="G114" s="543">
        <v>0</v>
      </c>
      <c r="H114" s="543">
        <v>0</v>
      </c>
      <c r="I114" s="543">
        <v>0</v>
      </c>
      <c r="J114" s="543">
        <v>0</v>
      </c>
      <c r="K114" s="543">
        <v>0</v>
      </c>
      <c r="L114" s="543">
        <v>0</v>
      </c>
      <c r="M114" s="543">
        <v>0</v>
      </c>
      <c r="N114" s="543">
        <v>0</v>
      </c>
      <c r="O114" s="543">
        <v>0</v>
      </c>
      <c r="P114" s="543">
        <v>0</v>
      </c>
      <c r="Q114" s="543">
        <v>0</v>
      </c>
      <c r="R114" s="543">
        <v>0</v>
      </c>
      <c r="S114" s="543">
        <v>0</v>
      </c>
      <c r="T114" s="543">
        <v>0</v>
      </c>
      <c r="U114" s="543">
        <v>0</v>
      </c>
      <c r="V114" s="543">
        <v>0</v>
      </c>
      <c r="W114" s="543">
        <v>0</v>
      </c>
      <c r="X114" s="543">
        <v>0</v>
      </c>
      <c r="Y114" s="543">
        <v>0</v>
      </c>
      <c r="Z114" s="543">
        <v>0</v>
      </c>
    </row>
    <row r="115" spans="1:26" outlineLevel="2" x14ac:dyDescent="0.2">
      <c r="A115" s="884"/>
      <c r="B115" s="885"/>
      <c r="C115" s="885"/>
      <c r="D115" s="64">
        <v>6</v>
      </c>
      <c r="E115" s="68">
        <f t="shared" si="14"/>
        <v>0</v>
      </c>
      <c r="F115" s="543">
        <v>0</v>
      </c>
      <c r="G115" s="543">
        <v>0</v>
      </c>
      <c r="H115" s="543">
        <v>0</v>
      </c>
      <c r="I115" s="543">
        <v>0</v>
      </c>
      <c r="J115" s="543">
        <v>0</v>
      </c>
      <c r="K115" s="543">
        <v>0</v>
      </c>
      <c r="L115" s="543">
        <v>0</v>
      </c>
      <c r="M115" s="543">
        <v>0</v>
      </c>
      <c r="N115" s="543">
        <v>0</v>
      </c>
      <c r="O115" s="543">
        <v>0</v>
      </c>
      <c r="P115" s="543">
        <v>0</v>
      </c>
      <c r="Q115" s="543">
        <v>0</v>
      </c>
      <c r="R115" s="543">
        <v>0</v>
      </c>
      <c r="S115" s="543">
        <v>0</v>
      </c>
      <c r="T115" s="543">
        <v>0</v>
      </c>
      <c r="U115" s="543">
        <v>0</v>
      </c>
      <c r="V115" s="543">
        <v>0</v>
      </c>
      <c r="W115" s="543">
        <v>0</v>
      </c>
      <c r="X115" s="543">
        <v>0</v>
      </c>
      <c r="Y115" s="543">
        <v>0</v>
      </c>
      <c r="Z115" s="543">
        <v>0</v>
      </c>
    </row>
    <row r="116" spans="1:26" outlineLevel="2" x14ac:dyDescent="0.2">
      <c r="A116" s="884"/>
      <c r="B116" s="885"/>
      <c r="C116" s="885"/>
      <c r="D116" s="64">
        <v>7</v>
      </c>
      <c r="E116" s="68">
        <f t="shared" si="14"/>
        <v>0</v>
      </c>
      <c r="F116" s="543">
        <v>0</v>
      </c>
      <c r="G116" s="543">
        <v>0</v>
      </c>
      <c r="H116" s="543">
        <v>0</v>
      </c>
      <c r="I116" s="543">
        <v>0</v>
      </c>
      <c r="J116" s="543">
        <v>0</v>
      </c>
      <c r="K116" s="543">
        <v>0</v>
      </c>
      <c r="L116" s="543">
        <v>0</v>
      </c>
      <c r="M116" s="543">
        <v>0</v>
      </c>
      <c r="N116" s="543">
        <v>0</v>
      </c>
      <c r="O116" s="543">
        <v>0</v>
      </c>
      <c r="P116" s="543">
        <v>0</v>
      </c>
      <c r="Q116" s="543">
        <v>0</v>
      </c>
      <c r="R116" s="543">
        <v>0</v>
      </c>
      <c r="S116" s="543">
        <v>0</v>
      </c>
      <c r="T116" s="543">
        <v>0</v>
      </c>
      <c r="U116" s="543">
        <v>0</v>
      </c>
      <c r="V116" s="543">
        <v>0</v>
      </c>
      <c r="W116" s="543">
        <v>0</v>
      </c>
      <c r="X116" s="543">
        <v>0</v>
      </c>
      <c r="Y116" s="543">
        <v>0</v>
      </c>
      <c r="Z116" s="543">
        <v>0</v>
      </c>
    </row>
    <row r="117" spans="1:26" outlineLevel="2" x14ac:dyDescent="0.2">
      <c r="A117" s="884"/>
      <c r="B117" s="885"/>
      <c r="C117" s="885"/>
      <c r="D117" s="64">
        <v>8</v>
      </c>
      <c r="E117" s="68">
        <f t="shared" si="14"/>
        <v>0</v>
      </c>
      <c r="F117" s="543">
        <v>0</v>
      </c>
      <c r="G117" s="543">
        <v>0</v>
      </c>
      <c r="H117" s="543">
        <v>0</v>
      </c>
      <c r="I117" s="543">
        <v>0</v>
      </c>
      <c r="J117" s="543">
        <v>0</v>
      </c>
      <c r="K117" s="543">
        <v>0</v>
      </c>
      <c r="L117" s="543">
        <v>0</v>
      </c>
      <c r="M117" s="543">
        <v>0</v>
      </c>
      <c r="N117" s="543">
        <v>0</v>
      </c>
      <c r="O117" s="543">
        <v>0</v>
      </c>
      <c r="P117" s="543">
        <v>0</v>
      </c>
      <c r="Q117" s="543">
        <v>0</v>
      </c>
      <c r="R117" s="543">
        <v>0</v>
      </c>
      <c r="S117" s="543">
        <v>0</v>
      </c>
      <c r="T117" s="543">
        <v>0</v>
      </c>
      <c r="U117" s="543">
        <v>0</v>
      </c>
      <c r="V117" s="543">
        <v>0</v>
      </c>
      <c r="W117" s="543">
        <v>0</v>
      </c>
      <c r="X117" s="543">
        <v>0</v>
      </c>
      <c r="Y117" s="543">
        <v>0</v>
      </c>
      <c r="Z117" s="543">
        <v>0</v>
      </c>
    </row>
    <row r="118" spans="1:26" outlineLevel="2" x14ac:dyDescent="0.2">
      <c r="A118" s="884"/>
      <c r="B118" s="885"/>
      <c r="C118" s="885"/>
      <c r="D118" s="64">
        <v>9</v>
      </c>
      <c r="E118" s="68">
        <f t="shared" si="14"/>
        <v>0</v>
      </c>
      <c r="F118" s="543">
        <v>0</v>
      </c>
      <c r="G118" s="543">
        <v>0</v>
      </c>
      <c r="H118" s="543">
        <v>0</v>
      </c>
      <c r="I118" s="543">
        <v>0</v>
      </c>
      <c r="J118" s="543">
        <v>0</v>
      </c>
      <c r="K118" s="543">
        <v>0</v>
      </c>
      <c r="L118" s="543">
        <v>0</v>
      </c>
      <c r="M118" s="543">
        <v>0</v>
      </c>
      <c r="N118" s="543">
        <v>0</v>
      </c>
      <c r="O118" s="543">
        <v>0</v>
      </c>
      <c r="P118" s="543">
        <v>0</v>
      </c>
      <c r="Q118" s="543">
        <v>0</v>
      </c>
      <c r="R118" s="543">
        <v>0</v>
      </c>
      <c r="S118" s="543">
        <v>0</v>
      </c>
      <c r="T118" s="543">
        <v>0</v>
      </c>
      <c r="U118" s="543">
        <v>0</v>
      </c>
      <c r="V118" s="543">
        <v>0</v>
      </c>
      <c r="W118" s="543">
        <v>0</v>
      </c>
      <c r="X118" s="543">
        <v>0</v>
      </c>
      <c r="Y118" s="543">
        <v>0</v>
      </c>
      <c r="Z118" s="543">
        <v>0</v>
      </c>
    </row>
    <row r="119" spans="1:26" ht="16" outlineLevel="2" thickBot="1" x14ac:dyDescent="0.25">
      <c r="A119" s="884"/>
      <c r="B119" s="885"/>
      <c r="C119" s="885"/>
      <c r="D119" s="65">
        <v>10</v>
      </c>
      <c r="E119" s="69">
        <f t="shared" si="14"/>
        <v>0</v>
      </c>
      <c r="F119" s="547">
        <v>0</v>
      </c>
      <c r="G119" s="547">
        <v>0</v>
      </c>
      <c r="H119" s="547">
        <v>0</v>
      </c>
      <c r="I119" s="547">
        <v>0</v>
      </c>
      <c r="J119" s="547">
        <v>0</v>
      </c>
      <c r="K119" s="547">
        <v>0</v>
      </c>
      <c r="L119" s="547">
        <v>0</v>
      </c>
      <c r="M119" s="547">
        <v>0</v>
      </c>
      <c r="N119" s="547">
        <v>0</v>
      </c>
      <c r="O119" s="547">
        <v>0</v>
      </c>
      <c r="P119" s="547">
        <v>0</v>
      </c>
      <c r="Q119" s="547">
        <v>0</v>
      </c>
      <c r="R119" s="547">
        <v>0</v>
      </c>
      <c r="S119" s="547">
        <v>0</v>
      </c>
      <c r="T119" s="547">
        <v>0</v>
      </c>
      <c r="U119" s="547">
        <v>0</v>
      </c>
      <c r="V119" s="547">
        <v>0</v>
      </c>
      <c r="W119" s="547">
        <v>0</v>
      </c>
      <c r="X119" s="547">
        <v>0</v>
      </c>
      <c r="Y119" s="547">
        <v>0</v>
      </c>
      <c r="Z119" s="547">
        <v>0</v>
      </c>
    </row>
    <row r="120" spans="1:26" outlineLevel="2" x14ac:dyDescent="0.2">
      <c r="A120" s="884" t="s">
        <v>1163</v>
      </c>
      <c r="B120" s="885" t="s">
        <v>1160</v>
      </c>
      <c r="C120" s="885">
        <v>718006</v>
      </c>
      <c r="D120" s="63">
        <v>1</v>
      </c>
      <c r="E120" s="68">
        <f t="shared" si="14"/>
        <v>0</v>
      </c>
      <c r="F120" s="552">
        <f>IFERROR(IF(VLOOKUP(F$2,MODULY_CBA!$B$3:$N$23,13,0)&lt;='TCO TO BE- SW'!$D120,SUM('TCO TO BE- SW'!F$37:F$46)*VLOOKUP('TCO TO BE- SW'!F$2,MODULY_CBA!$B$3:$L$23,11,0),0),0)</f>
        <v>0</v>
      </c>
      <c r="G120" s="552">
        <f>IFERROR(IF(VLOOKUP(G$2,MODULY_CBA!$B$3:$N$23,13,0)&lt;='TCO TO BE- SW'!$D120,SUM('TCO TO BE- SW'!G$37:G$46)*VLOOKUP('TCO TO BE- SW'!G$2,MODULY_CBA!$B$3:$L$23,11,0),0),0)</f>
        <v>0</v>
      </c>
      <c r="H120" s="552">
        <f>IFERROR(IF(VLOOKUP(H$2,MODULY_CBA!$B$3:$N$23,13,0)&lt;='TCO TO BE- SW'!$D120,SUM('TCO TO BE- SW'!H$37:H$46)*VLOOKUP('TCO TO BE- SW'!H$2,MODULY_CBA!$B$3:$L$23,11,0),0),0)</f>
        <v>0</v>
      </c>
      <c r="I120" s="552">
        <f>IFERROR(IF(VLOOKUP(I$2,MODULY_CBA!$B$3:$N$23,13,0)&lt;='TCO TO BE- SW'!$D120,SUM('TCO TO BE- SW'!I$37:I$46)*VLOOKUP('TCO TO BE- SW'!I$2,MODULY_CBA!$B$3:$L$23,11,0),0),0)</f>
        <v>0</v>
      </c>
      <c r="J120" s="552">
        <f>IFERROR(IF(VLOOKUP(J$2,MODULY_CBA!$B$3:$N$23,13,0)&lt;='TCO TO BE- SW'!$D120,SUM('TCO TO BE- SW'!J$37:J$46)*VLOOKUP('TCO TO BE- SW'!J$2,MODULY_CBA!$B$3:$L$23,11,0),0),0)</f>
        <v>0</v>
      </c>
      <c r="K120" s="552">
        <f>IFERROR(IF(VLOOKUP(K$2,MODULY_CBA!$B$3:$N$23,13,0)&lt;='TCO TO BE- SW'!$D120,SUM('TCO TO BE- SW'!K$37:K$46)*VLOOKUP('TCO TO BE- SW'!K$2,MODULY_CBA!$B$3:$L$23,11,0),0),0)</f>
        <v>0</v>
      </c>
      <c r="L120" s="552">
        <f>IFERROR(IF(VLOOKUP(L$2,MODULY_CBA!$B$3:$N$23,13,0)&lt;='TCO TO BE- SW'!$D120,SUM('TCO TO BE- SW'!L$37:L$46)*VLOOKUP('TCO TO BE- SW'!L$2,MODULY_CBA!$B$3:$L$23,11,0),0),0)</f>
        <v>0</v>
      </c>
      <c r="M120" s="552">
        <f>IFERROR(IF(VLOOKUP(M$2,MODULY_CBA!$B$3:$N$23,13,0)&lt;='TCO TO BE- SW'!$D120,SUM('TCO TO BE- SW'!M$37:M$46)*VLOOKUP('TCO TO BE- SW'!M$2,MODULY_CBA!$B$3:$L$23,11,0),0),0)</f>
        <v>0</v>
      </c>
      <c r="N120" s="552">
        <f>IFERROR(IF(VLOOKUP(N$2,MODULY_CBA!$B$3:$N$23,13,0)&lt;='TCO TO BE- SW'!$D120,SUM('TCO TO BE- SW'!N$37:N$46)*VLOOKUP('TCO TO BE- SW'!N$2,MODULY_CBA!$B$3:$L$23,11,0),0),0)</f>
        <v>0</v>
      </c>
      <c r="O120" s="552">
        <f>IFERROR(IF(VLOOKUP(O$2,MODULY_CBA!$B$3:$N$23,13,0)&lt;='TCO TO BE- SW'!$D120,SUM('TCO TO BE- SW'!O$37:O$46)*VLOOKUP('TCO TO BE- SW'!O$2,MODULY_CBA!$B$3:$L$23,11,0),0),0)</f>
        <v>0</v>
      </c>
      <c r="P120" s="552">
        <f>IFERROR(IF(VLOOKUP(P$2,MODULY_CBA!$B$3:$N$23,13,0)&lt;='TCO TO BE- SW'!$D120,SUM('TCO TO BE- SW'!P$37:P$46)*VLOOKUP('TCO TO BE- SW'!P$2,MODULY_CBA!$B$3:$L$23,11,0),0),0)</f>
        <v>0</v>
      </c>
      <c r="Q120" s="552">
        <f>IFERROR(IF(VLOOKUP(Q$2,MODULY_CBA!$B$3:$N$23,13,0)&lt;='TCO TO BE- SW'!$D120,SUM('TCO TO BE- SW'!Q$37:Q$46)*VLOOKUP('TCO TO BE- SW'!Q$2,MODULY_CBA!$B$3:$L$23,11,0),0),0)</f>
        <v>0</v>
      </c>
      <c r="R120" s="552">
        <f>IFERROR(IF(VLOOKUP(R$2,MODULY_CBA!$B$3:$N$23,13,0)&lt;='TCO TO BE- SW'!$D120,SUM('TCO TO BE- SW'!R$37:R$46)*VLOOKUP('TCO TO BE- SW'!R$2,MODULY_CBA!$B$3:$L$23,11,0),0),0)</f>
        <v>0</v>
      </c>
      <c r="S120" s="552">
        <f>IFERROR(IF(VLOOKUP(S$2,MODULY_CBA!$B$3:$N$23,13,0)&lt;='TCO TO BE- SW'!$D120,SUM('TCO TO BE- SW'!S$37:S$46)*VLOOKUP('TCO TO BE- SW'!S$2,MODULY_CBA!$B$3:$L$23,11,0),0),0)</f>
        <v>0</v>
      </c>
      <c r="T120" s="552">
        <f>IFERROR(IF(VLOOKUP(T$2,MODULY_CBA!$B$3:$N$23,13,0)&lt;='TCO TO BE- SW'!$D120,SUM('TCO TO BE- SW'!T$37:T$46)*VLOOKUP('TCO TO BE- SW'!T$2,MODULY_CBA!$B$3:$L$23,11,0),0),0)</f>
        <v>0</v>
      </c>
      <c r="U120" s="552">
        <f>IFERROR(IF(VLOOKUP(U$2,MODULY_CBA!$B$3:$N$23,13,0)&lt;='TCO TO BE- SW'!$D120,SUM('TCO TO BE- SW'!U$37:U$46)*VLOOKUP('TCO TO BE- SW'!U$2,MODULY_CBA!$B$3:$L$23,11,0),0),0)</f>
        <v>0</v>
      </c>
      <c r="V120" s="552">
        <f>IFERROR(IF(VLOOKUP(V$2,MODULY_CBA!$B$3:$N$23,13,0)&lt;='TCO TO BE- SW'!$D120,SUM('TCO TO BE- SW'!V$37:V$46)*VLOOKUP('TCO TO BE- SW'!V$2,MODULY_CBA!$B$3:$L$23,11,0),0),0)</f>
        <v>0</v>
      </c>
      <c r="W120" s="552">
        <f>IFERROR(IF(VLOOKUP(W$2,MODULY_CBA!$B$3:$N$23,13,0)&lt;='TCO TO BE- SW'!$D120,SUM('TCO TO BE- SW'!W$37:W$46)*VLOOKUP('TCO TO BE- SW'!W$2,MODULY_CBA!$B$3:$L$23,11,0),0),0)</f>
        <v>0</v>
      </c>
      <c r="X120" s="552">
        <f>IFERROR(IF(VLOOKUP(X$2,MODULY_CBA!$B$3:$N$23,13,0)&lt;='TCO TO BE- SW'!$D120,SUM('TCO TO BE- SW'!X$37:X$46)*VLOOKUP('TCO TO BE- SW'!X$2,MODULY_CBA!$B$3:$L$23,11,0),0),0)</f>
        <v>0</v>
      </c>
      <c r="Y120" s="552">
        <f>IFERROR(IF(VLOOKUP(Y$2,MODULY_CBA!$B$3:$N$23,13,0)&lt;='TCO TO BE- SW'!$D120,SUM('TCO TO BE- SW'!Y$37:Y$46)*VLOOKUP('TCO TO BE- SW'!Y$2,MODULY_CBA!$B$3:$L$23,11,0),0),0)</f>
        <v>0</v>
      </c>
      <c r="Z120" s="552">
        <f>IFERROR(IF(VLOOKUP(Z$2,MODULY_CBA!$B$3:$N$23,13,0)&lt;='TCO TO BE- SW'!$D120,SUM('TCO TO BE- SW'!Z$37:Z$46)*VLOOKUP('TCO TO BE- SW'!Z$2,MODULY_CBA!$B$3:$L$23,11,0),0),0)</f>
        <v>0</v>
      </c>
    </row>
    <row r="121" spans="1:26" outlineLevel="2" x14ac:dyDescent="0.2">
      <c r="A121" s="884"/>
      <c r="B121" s="885"/>
      <c r="C121" s="885"/>
      <c r="D121" s="64">
        <v>2</v>
      </c>
      <c r="E121" s="68">
        <f t="shared" si="14"/>
        <v>210244.23210000005</v>
      </c>
      <c r="F121" s="552">
        <f>IFERROR(IF(VLOOKUP(F$2,MODULY_CBA!$B$3:$N$23,13,0)&lt;='TCO TO BE- SW'!$D121,SUM('TCO TO BE- SW'!F$37:F$46)*VLOOKUP('TCO TO BE- SW'!F$2,MODULY_CBA!$B$3:$L$23,11,0),0),0)</f>
        <v>76020.735034104917</v>
      </c>
      <c r="G121" s="552">
        <f>IFERROR(IF(VLOOKUP(G$2,MODULY_CBA!$B$3:$N$23,13,0)&lt;='TCO TO BE- SW'!$D121,SUM('TCO TO BE- SW'!G$37:G$46)*VLOOKUP('TCO TO BE- SW'!G$2,MODULY_CBA!$B$3:$L$23,11,0),0),0)</f>
        <v>23508.735304816128</v>
      </c>
      <c r="H121" s="552">
        <f>IFERROR(IF(VLOOKUP(H$2,MODULY_CBA!$B$3:$N$23,13,0)&lt;='TCO TO BE- SW'!$D121,SUM('TCO TO BE- SW'!H$37:H$46)*VLOOKUP('TCO TO BE- SW'!H$2,MODULY_CBA!$B$3:$L$23,11,0),0),0)</f>
        <v>36695.605191991788</v>
      </c>
      <c r="I121" s="552">
        <f>IFERROR(IF(VLOOKUP(I$2,MODULY_CBA!$B$3:$N$23,13,0)&lt;='TCO TO BE- SW'!$D121,SUM('TCO TO BE- SW'!I$37:I$46)*VLOOKUP('TCO TO BE- SW'!I$2,MODULY_CBA!$B$3:$L$23,11,0),0),0)</f>
        <v>45408.358510304286</v>
      </c>
      <c r="J121" s="552">
        <f>IFERROR(IF(VLOOKUP(J$2,MODULY_CBA!$B$3:$N$23,13,0)&lt;='TCO TO BE- SW'!$D121,SUM('TCO TO BE- SW'!J$37:J$46)*VLOOKUP('TCO TO BE- SW'!J$2,MODULY_CBA!$B$3:$L$23,11,0),0),0)</f>
        <v>18131.946094866533</v>
      </c>
      <c r="K121" s="552">
        <f>IFERROR(IF(VLOOKUP(K$2,MODULY_CBA!$B$3:$N$23,13,0)&lt;='TCO TO BE- SW'!$D121,SUM('TCO TO BE- SW'!K$37:K$46)*VLOOKUP('TCO TO BE- SW'!K$2,MODULY_CBA!$B$3:$L$23,11,0),0),0)</f>
        <v>5533.7757562255001</v>
      </c>
      <c r="L121" s="552">
        <f>IFERROR(IF(VLOOKUP(L$2,MODULY_CBA!$B$3:$N$23,13,0)&lt;='TCO TO BE- SW'!$D121,SUM('TCO TO BE- SW'!L$37:L$46)*VLOOKUP('TCO TO BE- SW'!L$2,MODULY_CBA!$B$3:$L$23,11,0),0),0)</f>
        <v>4945.0762076908723</v>
      </c>
      <c r="M121" s="552">
        <f>IFERROR(IF(VLOOKUP(M$2,MODULY_CBA!$B$3:$N$23,13,0)&lt;='TCO TO BE- SW'!$D121,SUM('TCO TO BE- SW'!M$37:M$46)*VLOOKUP('TCO TO BE- SW'!M$2,MODULY_CBA!$B$3:$L$23,11,0),0),0)</f>
        <v>0</v>
      </c>
      <c r="N121" s="552">
        <f>IFERROR(IF(VLOOKUP(N$2,MODULY_CBA!$B$3:$N$23,13,0)&lt;='TCO TO BE- SW'!$D121,SUM('TCO TO BE- SW'!N$37:N$46)*VLOOKUP('TCO TO BE- SW'!N$2,MODULY_CBA!$B$3:$L$23,11,0),0),0)</f>
        <v>0</v>
      </c>
      <c r="O121" s="552">
        <f>IFERROR(IF(VLOOKUP(O$2,MODULY_CBA!$B$3:$N$23,13,0)&lt;='TCO TO BE- SW'!$D121,SUM('TCO TO BE- SW'!O$37:O$46)*VLOOKUP('TCO TO BE- SW'!O$2,MODULY_CBA!$B$3:$L$23,11,0),0),0)</f>
        <v>0</v>
      </c>
      <c r="P121" s="552">
        <f>IFERROR(IF(VLOOKUP(P$2,MODULY_CBA!$B$3:$N$23,13,0)&lt;='TCO TO BE- SW'!$D121,SUM('TCO TO BE- SW'!P$37:P$46)*VLOOKUP('TCO TO BE- SW'!P$2,MODULY_CBA!$B$3:$L$23,11,0),0),0)</f>
        <v>0</v>
      </c>
      <c r="Q121" s="552">
        <f>IFERROR(IF(VLOOKUP(Q$2,MODULY_CBA!$B$3:$N$23,13,0)&lt;='TCO TO BE- SW'!$D121,SUM('TCO TO BE- SW'!Q$37:Q$46)*VLOOKUP('TCO TO BE- SW'!Q$2,MODULY_CBA!$B$3:$L$23,11,0),0),0)</f>
        <v>0</v>
      </c>
      <c r="R121" s="552">
        <f>IFERROR(IF(VLOOKUP(R$2,MODULY_CBA!$B$3:$N$23,13,0)&lt;='TCO TO BE- SW'!$D121,SUM('TCO TO BE- SW'!R$37:R$46)*VLOOKUP('TCO TO BE- SW'!R$2,MODULY_CBA!$B$3:$L$23,11,0),0),0)</f>
        <v>0</v>
      </c>
      <c r="S121" s="552">
        <f>IFERROR(IF(VLOOKUP(S$2,MODULY_CBA!$B$3:$N$23,13,0)&lt;='TCO TO BE- SW'!$D121,SUM('TCO TO BE- SW'!S$37:S$46)*VLOOKUP('TCO TO BE- SW'!S$2,MODULY_CBA!$B$3:$L$23,11,0),0),0)</f>
        <v>0</v>
      </c>
      <c r="T121" s="552">
        <f>IFERROR(IF(VLOOKUP(T$2,MODULY_CBA!$B$3:$N$23,13,0)&lt;='TCO TO BE- SW'!$D121,SUM('TCO TO BE- SW'!T$37:T$46)*VLOOKUP('TCO TO BE- SW'!T$2,MODULY_CBA!$B$3:$L$23,11,0),0),0)</f>
        <v>0</v>
      </c>
      <c r="U121" s="552">
        <f>IFERROR(IF(VLOOKUP(U$2,MODULY_CBA!$B$3:$N$23,13,0)&lt;='TCO TO BE- SW'!$D121,SUM('TCO TO BE- SW'!U$37:U$46)*VLOOKUP('TCO TO BE- SW'!U$2,MODULY_CBA!$B$3:$L$23,11,0),0),0)</f>
        <v>0</v>
      </c>
      <c r="V121" s="552">
        <f>IFERROR(IF(VLOOKUP(V$2,MODULY_CBA!$B$3:$N$23,13,0)&lt;='TCO TO BE- SW'!$D121,SUM('TCO TO BE- SW'!V$37:V$46)*VLOOKUP('TCO TO BE- SW'!V$2,MODULY_CBA!$B$3:$L$23,11,0),0),0)</f>
        <v>0</v>
      </c>
      <c r="W121" s="552">
        <f>IFERROR(IF(VLOOKUP(W$2,MODULY_CBA!$B$3:$N$23,13,0)&lt;='TCO TO BE- SW'!$D121,SUM('TCO TO BE- SW'!W$37:W$46)*VLOOKUP('TCO TO BE- SW'!W$2,MODULY_CBA!$B$3:$L$23,11,0),0),0)</f>
        <v>0</v>
      </c>
      <c r="X121" s="552">
        <f>IFERROR(IF(VLOOKUP(X$2,MODULY_CBA!$B$3:$N$23,13,0)&lt;='TCO TO BE- SW'!$D121,SUM('TCO TO BE- SW'!X$37:X$46)*VLOOKUP('TCO TO BE- SW'!X$2,MODULY_CBA!$B$3:$L$23,11,0),0),0)</f>
        <v>0</v>
      </c>
      <c r="Y121" s="552">
        <f>IFERROR(IF(VLOOKUP(Y$2,MODULY_CBA!$B$3:$N$23,13,0)&lt;='TCO TO BE- SW'!$D121,SUM('TCO TO BE- SW'!Y$37:Y$46)*VLOOKUP('TCO TO BE- SW'!Y$2,MODULY_CBA!$B$3:$L$23,11,0),0),0)</f>
        <v>0</v>
      </c>
      <c r="Z121" s="552">
        <f>IFERROR(IF(VLOOKUP(Z$2,MODULY_CBA!$B$3:$N$23,13,0)&lt;='TCO TO BE- SW'!$D121,SUM('TCO TO BE- SW'!Z$37:Z$46)*VLOOKUP('TCO TO BE- SW'!Z$2,MODULY_CBA!$B$3:$L$23,11,0),0),0)</f>
        <v>0</v>
      </c>
    </row>
    <row r="122" spans="1:26" outlineLevel="2" x14ac:dyDescent="0.2">
      <c r="A122" s="884"/>
      <c r="B122" s="885"/>
      <c r="C122" s="885"/>
      <c r="D122" s="64">
        <v>3</v>
      </c>
      <c r="E122" s="68">
        <f t="shared" si="14"/>
        <v>210244.23210000005</v>
      </c>
      <c r="F122" s="552">
        <f>IFERROR(IF(VLOOKUP(F$2,MODULY_CBA!$B$3:$N$23,13,0)&lt;='TCO TO BE- SW'!$D122,SUM('TCO TO BE- SW'!F$37:F$46)*VLOOKUP('TCO TO BE- SW'!F$2,MODULY_CBA!$B$3:$L$23,11,0),0),0)</f>
        <v>76020.735034104917</v>
      </c>
      <c r="G122" s="552">
        <f>IFERROR(IF(VLOOKUP(G$2,MODULY_CBA!$B$3:$N$23,13,0)&lt;='TCO TO BE- SW'!$D122,SUM('TCO TO BE- SW'!G$37:G$46)*VLOOKUP('TCO TO BE- SW'!G$2,MODULY_CBA!$B$3:$L$23,11,0),0),0)</f>
        <v>23508.735304816128</v>
      </c>
      <c r="H122" s="552">
        <f>IFERROR(IF(VLOOKUP(H$2,MODULY_CBA!$B$3:$N$23,13,0)&lt;='TCO TO BE- SW'!$D122,SUM('TCO TO BE- SW'!H$37:H$46)*VLOOKUP('TCO TO BE- SW'!H$2,MODULY_CBA!$B$3:$L$23,11,0),0),0)</f>
        <v>36695.605191991788</v>
      </c>
      <c r="I122" s="552">
        <f>IFERROR(IF(VLOOKUP(I$2,MODULY_CBA!$B$3:$N$23,13,0)&lt;='TCO TO BE- SW'!$D122,SUM('TCO TO BE- SW'!I$37:I$46)*VLOOKUP('TCO TO BE- SW'!I$2,MODULY_CBA!$B$3:$L$23,11,0),0),0)</f>
        <v>45408.358510304286</v>
      </c>
      <c r="J122" s="552">
        <f>IFERROR(IF(VLOOKUP(J$2,MODULY_CBA!$B$3:$N$23,13,0)&lt;='TCO TO BE- SW'!$D122,SUM('TCO TO BE- SW'!J$37:J$46)*VLOOKUP('TCO TO BE- SW'!J$2,MODULY_CBA!$B$3:$L$23,11,0),0),0)</f>
        <v>18131.946094866533</v>
      </c>
      <c r="K122" s="552">
        <f>IFERROR(IF(VLOOKUP(K$2,MODULY_CBA!$B$3:$N$23,13,0)&lt;='TCO TO BE- SW'!$D122,SUM('TCO TO BE- SW'!K$37:K$46)*VLOOKUP('TCO TO BE- SW'!K$2,MODULY_CBA!$B$3:$L$23,11,0),0),0)</f>
        <v>5533.7757562255001</v>
      </c>
      <c r="L122" s="552">
        <f>IFERROR(IF(VLOOKUP(L$2,MODULY_CBA!$B$3:$N$23,13,0)&lt;='TCO TO BE- SW'!$D122,SUM('TCO TO BE- SW'!L$37:L$46)*VLOOKUP('TCO TO BE- SW'!L$2,MODULY_CBA!$B$3:$L$23,11,0),0),0)</f>
        <v>4945.0762076908723</v>
      </c>
      <c r="M122" s="552">
        <f>IFERROR(IF(VLOOKUP(M$2,MODULY_CBA!$B$3:$N$23,13,0)&lt;='TCO TO BE- SW'!$D122,SUM('TCO TO BE- SW'!M$37:M$46)*VLOOKUP('TCO TO BE- SW'!M$2,MODULY_CBA!$B$3:$L$23,11,0),0),0)</f>
        <v>0</v>
      </c>
      <c r="N122" s="552">
        <f>IFERROR(IF(VLOOKUP(N$2,MODULY_CBA!$B$3:$N$23,13,0)&lt;='TCO TO BE- SW'!$D122,SUM('TCO TO BE- SW'!N$37:N$46)*VLOOKUP('TCO TO BE- SW'!N$2,MODULY_CBA!$B$3:$L$23,11,0),0),0)</f>
        <v>0</v>
      </c>
      <c r="O122" s="552">
        <f>IFERROR(IF(VLOOKUP(O$2,MODULY_CBA!$B$3:$N$23,13,0)&lt;='TCO TO BE- SW'!$D122,SUM('TCO TO BE- SW'!O$37:O$46)*VLOOKUP('TCO TO BE- SW'!O$2,MODULY_CBA!$B$3:$L$23,11,0),0),0)</f>
        <v>0</v>
      </c>
      <c r="P122" s="552">
        <f>IFERROR(IF(VLOOKUP(P$2,MODULY_CBA!$B$3:$N$23,13,0)&lt;='TCO TO BE- SW'!$D122,SUM('TCO TO BE- SW'!P$37:P$46)*VLOOKUP('TCO TO BE- SW'!P$2,MODULY_CBA!$B$3:$L$23,11,0),0),0)</f>
        <v>0</v>
      </c>
      <c r="Q122" s="552">
        <f>IFERROR(IF(VLOOKUP(Q$2,MODULY_CBA!$B$3:$N$23,13,0)&lt;='TCO TO BE- SW'!$D122,SUM('TCO TO BE- SW'!Q$37:Q$46)*VLOOKUP('TCO TO BE- SW'!Q$2,MODULY_CBA!$B$3:$L$23,11,0),0),0)</f>
        <v>0</v>
      </c>
      <c r="R122" s="552">
        <f>IFERROR(IF(VLOOKUP(R$2,MODULY_CBA!$B$3:$N$23,13,0)&lt;='TCO TO BE- SW'!$D122,SUM('TCO TO BE- SW'!R$37:R$46)*VLOOKUP('TCO TO BE- SW'!R$2,MODULY_CBA!$B$3:$L$23,11,0),0),0)</f>
        <v>0</v>
      </c>
      <c r="S122" s="552">
        <f>IFERROR(IF(VLOOKUP(S$2,MODULY_CBA!$B$3:$N$23,13,0)&lt;='TCO TO BE- SW'!$D122,SUM('TCO TO BE- SW'!S$37:S$46)*VLOOKUP('TCO TO BE- SW'!S$2,MODULY_CBA!$B$3:$L$23,11,0),0),0)</f>
        <v>0</v>
      </c>
      <c r="T122" s="552">
        <f>IFERROR(IF(VLOOKUP(T$2,MODULY_CBA!$B$3:$N$23,13,0)&lt;='TCO TO BE- SW'!$D122,SUM('TCO TO BE- SW'!T$37:T$46)*VLOOKUP('TCO TO BE- SW'!T$2,MODULY_CBA!$B$3:$L$23,11,0),0),0)</f>
        <v>0</v>
      </c>
      <c r="U122" s="552">
        <f>IFERROR(IF(VLOOKUP(U$2,MODULY_CBA!$B$3:$N$23,13,0)&lt;='TCO TO BE- SW'!$D122,SUM('TCO TO BE- SW'!U$37:U$46)*VLOOKUP('TCO TO BE- SW'!U$2,MODULY_CBA!$B$3:$L$23,11,0),0),0)</f>
        <v>0</v>
      </c>
      <c r="V122" s="552">
        <f>IFERROR(IF(VLOOKUP(V$2,MODULY_CBA!$B$3:$N$23,13,0)&lt;='TCO TO BE- SW'!$D122,SUM('TCO TO BE- SW'!V$37:V$46)*VLOOKUP('TCO TO BE- SW'!V$2,MODULY_CBA!$B$3:$L$23,11,0),0),0)</f>
        <v>0</v>
      </c>
      <c r="W122" s="552">
        <f>IFERROR(IF(VLOOKUP(W$2,MODULY_CBA!$B$3:$N$23,13,0)&lt;='TCO TO BE- SW'!$D122,SUM('TCO TO BE- SW'!W$37:W$46)*VLOOKUP('TCO TO BE- SW'!W$2,MODULY_CBA!$B$3:$L$23,11,0),0),0)</f>
        <v>0</v>
      </c>
      <c r="X122" s="552">
        <f>IFERROR(IF(VLOOKUP(X$2,MODULY_CBA!$B$3:$N$23,13,0)&lt;='TCO TO BE- SW'!$D122,SUM('TCO TO BE- SW'!X$37:X$46)*VLOOKUP('TCO TO BE- SW'!X$2,MODULY_CBA!$B$3:$L$23,11,0),0),0)</f>
        <v>0</v>
      </c>
      <c r="Y122" s="552">
        <f>IFERROR(IF(VLOOKUP(Y$2,MODULY_CBA!$B$3:$N$23,13,0)&lt;='TCO TO BE- SW'!$D122,SUM('TCO TO BE- SW'!Y$37:Y$46)*VLOOKUP('TCO TO BE- SW'!Y$2,MODULY_CBA!$B$3:$L$23,11,0),0),0)</f>
        <v>0</v>
      </c>
      <c r="Z122" s="552">
        <f>IFERROR(IF(VLOOKUP(Z$2,MODULY_CBA!$B$3:$N$23,13,0)&lt;='TCO TO BE- SW'!$D122,SUM('TCO TO BE- SW'!Z$37:Z$46)*VLOOKUP('TCO TO BE- SW'!Z$2,MODULY_CBA!$B$3:$L$23,11,0),0),0)</f>
        <v>0</v>
      </c>
    </row>
    <row r="123" spans="1:26" outlineLevel="2" x14ac:dyDescent="0.2">
      <c r="A123" s="884"/>
      <c r="B123" s="885"/>
      <c r="C123" s="885"/>
      <c r="D123" s="64">
        <v>4</v>
      </c>
      <c r="E123" s="68">
        <f t="shared" si="14"/>
        <v>210244.23210000005</v>
      </c>
      <c r="F123" s="552">
        <f>IFERROR(IF(VLOOKUP(F$2,MODULY_CBA!$B$3:$N$23,13,0)&lt;='TCO TO BE- SW'!$D123,SUM('TCO TO BE- SW'!F$37:F$46)*VLOOKUP('TCO TO BE- SW'!F$2,MODULY_CBA!$B$3:$L$23,11,0),0),0)</f>
        <v>76020.735034104917</v>
      </c>
      <c r="G123" s="552">
        <f>IFERROR(IF(VLOOKUP(G$2,MODULY_CBA!$B$3:$N$23,13,0)&lt;='TCO TO BE- SW'!$D123,SUM('TCO TO BE- SW'!G$37:G$46)*VLOOKUP('TCO TO BE- SW'!G$2,MODULY_CBA!$B$3:$L$23,11,0),0),0)</f>
        <v>23508.735304816128</v>
      </c>
      <c r="H123" s="552">
        <f>IFERROR(IF(VLOOKUP(H$2,MODULY_CBA!$B$3:$N$23,13,0)&lt;='TCO TO BE- SW'!$D123,SUM('TCO TO BE- SW'!H$37:H$46)*VLOOKUP('TCO TO BE- SW'!H$2,MODULY_CBA!$B$3:$L$23,11,0),0),0)</f>
        <v>36695.605191991788</v>
      </c>
      <c r="I123" s="552">
        <f>IFERROR(IF(VLOOKUP(I$2,MODULY_CBA!$B$3:$N$23,13,0)&lt;='TCO TO BE- SW'!$D123,SUM('TCO TO BE- SW'!I$37:I$46)*VLOOKUP('TCO TO BE- SW'!I$2,MODULY_CBA!$B$3:$L$23,11,0),0),0)</f>
        <v>45408.358510304286</v>
      </c>
      <c r="J123" s="552">
        <f>IFERROR(IF(VLOOKUP(J$2,MODULY_CBA!$B$3:$N$23,13,0)&lt;='TCO TO BE- SW'!$D123,SUM('TCO TO BE- SW'!J$37:J$46)*VLOOKUP('TCO TO BE- SW'!J$2,MODULY_CBA!$B$3:$L$23,11,0),0),0)</f>
        <v>18131.946094866533</v>
      </c>
      <c r="K123" s="552">
        <f>IFERROR(IF(VLOOKUP(K$2,MODULY_CBA!$B$3:$N$23,13,0)&lt;='TCO TO BE- SW'!$D123,SUM('TCO TO BE- SW'!K$37:K$46)*VLOOKUP('TCO TO BE- SW'!K$2,MODULY_CBA!$B$3:$L$23,11,0),0),0)</f>
        <v>5533.7757562255001</v>
      </c>
      <c r="L123" s="552">
        <f>IFERROR(IF(VLOOKUP(L$2,MODULY_CBA!$B$3:$N$23,13,0)&lt;='TCO TO BE- SW'!$D123,SUM('TCO TO BE- SW'!L$37:L$46)*VLOOKUP('TCO TO BE- SW'!L$2,MODULY_CBA!$B$3:$L$23,11,0),0),0)</f>
        <v>4945.0762076908723</v>
      </c>
      <c r="M123" s="552">
        <f>IFERROR(IF(VLOOKUP(M$2,MODULY_CBA!$B$3:$N$23,13,0)&lt;='TCO TO BE- SW'!$D123,SUM('TCO TO BE- SW'!M$37:M$46)*VLOOKUP('TCO TO BE- SW'!M$2,MODULY_CBA!$B$3:$L$23,11,0),0),0)</f>
        <v>0</v>
      </c>
      <c r="N123" s="552">
        <f>IFERROR(IF(VLOOKUP(N$2,MODULY_CBA!$B$3:$N$23,13,0)&lt;='TCO TO BE- SW'!$D123,SUM('TCO TO BE- SW'!N$37:N$46)*VLOOKUP('TCO TO BE- SW'!N$2,MODULY_CBA!$B$3:$L$23,11,0),0),0)</f>
        <v>0</v>
      </c>
      <c r="O123" s="552">
        <f>IFERROR(IF(VLOOKUP(O$2,MODULY_CBA!$B$3:$N$23,13,0)&lt;='TCO TO BE- SW'!$D123,SUM('TCO TO BE- SW'!O$37:O$46)*VLOOKUP('TCO TO BE- SW'!O$2,MODULY_CBA!$B$3:$L$23,11,0),0),0)</f>
        <v>0</v>
      </c>
      <c r="P123" s="552">
        <f>IFERROR(IF(VLOOKUP(P$2,MODULY_CBA!$B$3:$N$23,13,0)&lt;='TCO TO BE- SW'!$D123,SUM('TCO TO BE- SW'!P$37:P$46)*VLOOKUP('TCO TO BE- SW'!P$2,MODULY_CBA!$B$3:$L$23,11,0),0),0)</f>
        <v>0</v>
      </c>
      <c r="Q123" s="552">
        <f>IFERROR(IF(VLOOKUP(Q$2,MODULY_CBA!$B$3:$N$23,13,0)&lt;='TCO TO BE- SW'!$D123,SUM('TCO TO BE- SW'!Q$37:Q$46)*VLOOKUP('TCO TO BE- SW'!Q$2,MODULY_CBA!$B$3:$L$23,11,0),0),0)</f>
        <v>0</v>
      </c>
      <c r="R123" s="552">
        <f>IFERROR(IF(VLOOKUP(R$2,MODULY_CBA!$B$3:$N$23,13,0)&lt;='TCO TO BE- SW'!$D123,SUM('TCO TO BE- SW'!R$37:R$46)*VLOOKUP('TCO TO BE- SW'!R$2,MODULY_CBA!$B$3:$L$23,11,0),0),0)</f>
        <v>0</v>
      </c>
      <c r="S123" s="552">
        <f>IFERROR(IF(VLOOKUP(S$2,MODULY_CBA!$B$3:$N$23,13,0)&lt;='TCO TO BE- SW'!$D123,SUM('TCO TO BE- SW'!S$37:S$46)*VLOOKUP('TCO TO BE- SW'!S$2,MODULY_CBA!$B$3:$L$23,11,0),0),0)</f>
        <v>0</v>
      </c>
      <c r="T123" s="552">
        <f>IFERROR(IF(VLOOKUP(T$2,MODULY_CBA!$B$3:$N$23,13,0)&lt;='TCO TO BE- SW'!$D123,SUM('TCO TO BE- SW'!T$37:T$46)*VLOOKUP('TCO TO BE- SW'!T$2,MODULY_CBA!$B$3:$L$23,11,0),0),0)</f>
        <v>0</v>
      </c>
      <c r="U123" s="552">
        <f>IFERROR(IF(VLOOKUP(U$2,MODULY_CBA!$B$3:$N$23,13,0)&lt;='TCO TO BE- SW'!$D123,SUM('TCO TO BE- SW'!U$37:U$46)*VLOOKUP('TCO TO BE- SW'!U$2,MODULY_CBA!$B$3:$L$23,11,0),0),0)</f>
        <v>0</v>
      </c>
      <c r="V123" s="552">
        <f>IFERROR(IF(VLOOKUP(V$2,MODULY_CBA!$B$3:$N$23,13,0)&lt;='TCO TO BE- SW'!$D123,SUM('TCO TO BE- SW'!V$37:V$46)*VLOOKUP('TCO TO BE- SW'!V$2,MODULY_CBA!$B$3:$L$23,11,0),0),0)</f>
        <v>0</v>
      </c>
      <c r="W123" s="552">
        <f>IFERROR(IF(VLOOKUP(W$2,MODULY_CBA!$B$3:$N$23,13,0)&lt;='TCO TO BE- SW'!$D123,SUM('TCO TO BE- SW'!W$37:W$46)*VLOOKUP('TCO TO BE- SW'!W$2,MODULY_CBA!$B$3:$L$23,11,0),0),0)</f>
        <v>0</v>
      </c>
      <c r="X123" s="552">
        <f>IFERROR(IF(VLOOKUP(X$2,MODULY_CBA!$B$3:$N$23,13,0)&lt;='TCO TO BE- SW'!$D123,SUM('TCO TO BE- SW'!X$37:X$46)*VLOOKUP('TCO TO BE- SW'!X$2,MODULY_CBA!$B$3:$L$23,11,0),0),0)</f>
        <v>0</v>
      </c>
      <c r="Y123" s="552">
        <f>IFERROR(IF(VLOOKUP(Y$2,MODULY_CBA!$B$3:$N$23,13,0)&lt;='TCO TO BE- SW'!$D123,SUM('TCO TO BE- SW'!Y$37:Y$46)*VLOOKUP('TCO TO BE- SW'!Y$2,MODULY_CBA!$B$3:$L$23,11,0),0),0)</f>
        <v>0</v>
      </c>
      <c r="Z123" s="552">
        <f>IFERROR(IF(VLOOKUP(Z$2,MODULY_CBA!$B$3:$N$23,13,0)&lt;='TCO TO BE- SW'!$D123,SUM('TCO TO BE- SW'!Z$37:Z$46)*VLOOKUP('TCO TO BE- SW'!Z$2,MODULY_CBA!$B$3:$L$23,11,0),0),0)</f>
        <v>0</v>
      </c>
    </row>
    <row r="124" spans="1:26" outlineLevel="2" x14ac:dyDescent="0.2">
      <c r="A124" s="884"/>
      <c r="B124" s="885"/>
      <c r="C124" s="885"/>
      <c r="D124" s="64">
        <v>5</v>
      </c>
      <c r="E124" s="68">
        <f t="shared" si="14"/>
        <v>210244.23210000005</v>
      </c>
      <c r="F124" s="552">
        <f>IFERROR(IF(VLOOKUP(F$2,MODULY_CBA!$B$3:$N$23,13,0)&lt;='TCO TO BE- SW'!$D124,SUM('TCO TO BE- SW'!F$37:F$46)*VLOOKUP('TCO TO BE- SW'!F$2,MODULY_CBA!$B$3:$L$23,11,0),0),0)</f>
        <v>76020.735034104917</v>
      </c>
      <c r="G124" s="552">
        <f>IFERROR(IF(VLOOKUP(G$2,MODULY_CBA!$B$3:$N$23,13,0)&lt;='TCO TO BE- SW'!$D124,SUM('TCO TO BE- SW'!G$37:G$46)*VLOOKUP('TCO TO BE- SW'!G$2,MODULY_CBA!$B$3:$L$23,11,0),0),0)</f>
        <v>23508.735304816128</v>
      </c>
      <c r="H124" s="552">
        <f>IFERROR(IF(VLOOKUP(H$2,MODULY_CBA!$B$3:$N$23,13,0)&lt;='TCO TO BE- SW'!$D124,SUM('TCO TO BE- SW'!H$37:H$46)*VLOOKUP('TCO TO BE- SW'!H$2,MODULY_CBA!$B$3:$L$23,11,0),0),0)</f>
        <v>36695.605191991788</v>
      </c>
      <c r="I124" s="552">
        <f>IFERROR(IF(VLOOKUP(I$2,MODULY_CBA!$B$3:$N$23,13,0)&lt;='TCO TO BE- SW'!$D124,SUM('TCO TO BE- SW'!I$37:I$46)*VLOOKUP('TCO TO BE- SW'!I$2,MODULY_CBA!$B$3:$L$23,11,0),0),0)</f>
        <v>45408.358510304286</v>
      </c>
      <c r="J124" s="552">
        <f>IFERROR(IF(VLOOKUP(J$2,MODULY_CBA!$B$3:$N$23,13,0)&lt;='TCO TO BE- SW'!$D124,SUM('TCO TO BE- SW'!J$37:J$46)*VLOOKUP('TCO TO BE- SW'!J$2,MODULY_CBA!$B$3:$L$23,11,0),0),0)</f>
        <v>18131.946094866533</v>
      </c>
      <c r="K124" s="552">
        <f>IFERROR(IF(VLOOKUP(K$2,MODULY_CBA!$B$3:$N$23,13,0)&lt;='TCO TO BE- SW'!$D124,SUM('TCO TO BE- SW'!K$37:K$46)*VLOOKUP('TCO TO BE- SW'!K$2,MODULY_CBA!$B$3:$L$23,11,0),0),0)</f>
        <v>5533.7757562255001</v>
      </c>
      <c r="L124" s="552">
        <f>IFERROR(IF(VLOOKUP(L$2,MODULY_CBA!$B$3:$N$23,13,0)&lt;='TCO TO BE- SW'!$D124,SUM('TCO TO BE- SW'!L$37:L$46)*VLOOKUP('TCO TO BE- SW'!L$2,MODULY_CBA!$B$3:$L$23,11,0),0),0)</f>
        <v>4945.0762076908723</v>
      </c>
      <c r="M124" s="552">
        <f>IFERROR(IF(VLOOKUP(M$2,MODULY_CBA!$B$3:$N$23,13,0)&lt;='TCO TO BE- SW'!$D124,SUM('TCO TO BE- SW'!M$37:M$46)*VLOOKUP('TCO TO BE- SW'!M$2,MODULY_CBA!$B$3:$L$23,11,0),0),0)</f>
        <v>0</v>
      </c>
      <c r="N124" s="552">
        <f>IFERROR(IF(VLOOKUP(N$2,MODULY_CBA!$B$3:$N$23,13,0)&lt;='TCO TO BE- SW'!$D124,SUM('TCO TO BE- SW'!N$37:N$46)*VLOOKUP('TCO TO BE- SW'!N$2,MODULY_CBA!$B$3:$L$23,11,0),0),0)</f>
        <v>0</v>
      </c>
      <c r="O124" s="552">
        <f>IFERROR(IF(VLOOKUP(O$2,MODULY_CBA!$B$3:$N$23,13,0)&lt;='TCO TO BE- SW'!$D124,SUM('TCO TO BE- SW'!O$37:O$46)*VLOOKUP('TCO TO BE- SW'!O$2,MODULY_CBA!$B$3:$L$23,11,0),0),0)</f>
        <v>0</v>
      </c>
      <c r="P124" s="552">
        <f>IFERROR(IF(VLOOKUP(P$2,MODULY_CBA!$B$3:$N$23,13,0)&lt;='TCO TO BE- SW'!$D124,SUM('TCO TO BE- SW'!P$37:P$46)*VLOOKUP('TCO TO BE- SW'!P$2,MODULY_CBA!$B$3:$L$23,11,0),0),0)</f>
        <v>0</v>
      </c>
      <c r="Q124" s="552">
        <f>IFERROR(IF(VLOOKUP(Q$2,MODULY_CBA!$B$3:$N$23,13,0)&lt;='TCO TO BE- SW'!$D124,SUM('TCO TO BE- SW'!Q$37:Q$46)*VLOOKUP('TCO TO BE- SW'!Q$2,MODULY_CBA!$B$3:$L$23,11,0),0),0)</f>
        <v>0</v>
      </c>
      <c r="R124" s="552">
        <f>IFERROR(IF(VLOOKUP(R$2,MODULY_CBA!$B$3:$N$23,13,0)&lt;='TCO TO BE- SW'!$D124,SUM('TCO TO BE- SW'!R$37:R$46)*VLOOKUP('TCO TO BE- SW'!R$2,MODULY_CBA!$B$3:$L$23,11,0),0),0)</f>
        <v>0</v>
      </c>
      <c r="S124" s="552">
        <f>IFERROR(IF(VLOOKUP(S$2,MODULY_CBA!$B$3:$N$23,13,0)&lt;='TCO TO BE- SW'!$D124,SUM('TCO TO BE- SW'!S$37:S$46)*VLOOKUP('TCO TO BE- SW'!S$2,MODULY_CBA!$B$3:$L$23,11,0),0),0)</f>
        <v>0</v>
      </c>
      <c r="T124" s="552">
        <f>IFERROR(IF(VLOOKUP(T$2,MODULY_CBA!$B$3:$N$23,13,0)&lt;='TCO TO BE- SW'!$D124,SUM('TCO TO BE- SW'!T$37:T$46)*VLOOKUP('TCO TO BE- SW'!T$2,MODULY_CBA!$B$3:$L$23,11,0),0),0)</f>
        <v>0</v>
      </c>
      <c r="U124" s="552">
        <f>IFERROR(IF(VLOOKUP(U$2,MODULY_CBA!$B$3:$N$23,13,0)&lt;='TCO TO BE- SW'!$D124,SUM('TCO TO BE- SW'!U$37:U$46)*VLOOKUP('TCO TO BE- SW'!U$2,MODULY_CBA!$B$3:$L$23,11,0),0),0)</f>
        <v>0</v>
      </c>
      <c r="V124" s="552">
        <f>IFERROR(IF(VLOOKUP(V$2,MODULY_CBA!$B$3:$N$23,13,0)&lt;='TCO TO BE- SW'!$D124,SUM('TCO TO BE- SW'!V$37:V$46)*VLOOKUP('TCO TO BE- SW'!V$2,MODULY_CBA!$B$3:$L$23,11,0),0),0)</f>
        <v>0</v>
      </c>
      <c r="W124" s="552">
        <f>IFERROR(IF(VLOOKUP(W$2,MODULY_CBA!$B$3:$N$23,13,0)&lt;='TCO TO BE- SW'!$D124,SUM('TCO TO BE- SW'!W$37:W$46)*VLOOKUP('TCO TO BE- SW'!W$2,MODULY_CBA!$B$3:$L$23,11,0),0),0)</f>
        <v>0</v>
      </c>
      <c r="X124" s="552">
        <f>IFERROR(IF(VLOOKUP(X$2,MODULY_CBA!$B$3:$N$23,13,0)&lt;='TCO TO BE- SW'!$D124,SUM('TCO TO BE- SW'!X$37:X$46)*VLOOKUP('TCO TO BE- SW'!X$2,MODULY_CBA!$B$3:$L$23,11,0),0),0)</f>
        <v>0</v>
      </c>
      <c r="Y124" s="552">
        <f>IFERROR(IF(VLOOKUP(Y$2,MODULY_CBA!$B$3:$N$23,13,0)&lt;='TCO TO BE- SW'!$D124,SUM('TCO TO BE- SW'!Y$37:Y$46)*VLOOKUP('TCO TO BE- SW'!Y$2,MODULY_CBA!$B$3:$L$23,11,0),0),0)</f>
        <v>0</v>
      </c>
      <c r="Z124" s="552">
        <f>IFERROR(IF(VLOOKUP(Z$2,MODULY_CBA!$B$3:$N$23,13,0)&lt;='TCO TO BE- SW'!$D124,SUM('TCO TO BE- SW'!Z$37:Z$46)*VLOOKUP('TCO TO BE- SW'!Z$2,MODULY_CBA!$B$3:$L$23,11,0),0),0)</f>
        <v>0</v>
      </c>
    </row>
    <row r="125" spans="1:26" outlineLevel="2" x14ac:dyDescent="0.2">
      <c r="A125" s="884"/>
      <c r="B125" s="885"/>
      <c r="C125" s="885"/>
      <c r="D125" s="64">
        <v>6</v>
      </c>
      <c r="E125" s="68">
        <f t="shared" si="14"/>
        <v>210244.23210000005</v>
      </c>
      <c r="F125" s="552">
        <f>IFERROR(IF(VLOOKUP(F$2,MODULY_CBA!$B$3:$N$23,13,0)&lt;='TCO TO BE- SW'!$D125,SUM('TCO TO BE- SW'!F$37:F$46)*VLOOKUP('TCO TO BE- SW'!F$2,MODULY_CBA!$B$3:$L$23,11,0),0),0)</f>
        <v>76020.735034104917</v>
      </c>
      <c r="G125" s="552">
        <f>IFERROR(IF(VLOOKUP(G$2,MODULY_CBA!$B$3:$N$23,13,0)&lt;='TCO TO BE- SW'!$D125,SUM('TCO TO BE- SW'!G$37:G$46)*VLOOKUP('TCO TO BE- SW'!G$2,MODULY_CBA!$B$3:$L$23,11,0),0),0)</f>
        <v>23508.735304816128</v>
      </c>
      <c r="H125" s="552">
        <f>IFERROR(IF(VLOOKUP(H$2,MODULY_CBA!$B$3:$N$23,13,0)&lt;='TCO TO BE- SW'!$D125,SUM('TCO TO BE- SW'!H$37:H$46)*VLOOKUP('TCO TO BE- SW'!H$2,MODULY_CBA!$B$3:$L$23,11,0),0),0)</f>
        <v>36695.605191991788</v>
      </c>
      <c r="I125" s="552">
        <f>IFERROR(IF(VLOOKUP(I$2,MODULY_CBA!$B$3:$N$23,13,0)&lt;='TCO TO BE- SW'!$D125,SUM('TCO TO BE- SW'!I$37:I$46)*VLOOKUP('TCO TO BE- SW'!I$2,MODULY_CBA!$B$3:$L$23,11,0),0),0)</f>
        <v>45408.358510304286</v>
      </c>
      <c r="J125" s="552">
        <f>IFERROR(IF(VLOOKUP(J$2,MODULY_CBA!$B$3:$N$23,13,0)&lt;='TCO TO BE- SW'!$D125,SUM('TCO TO BE- SW'!J$37:J$46)*VLOOKUP('TCO TO BE- SW'!J$2,MODULY_CBA!$B$3:$L$23,11,0),0),0)</f>
        <v>18131.946094866533</v>
      </c>
      <c r="K125" s="552">
        <f>IFERROR(IF(VLOOKUP(K$2,MODULY_CBA!$B$3:$N$23,13,0)&lt;='TCO TO BE- SW'!$D125,SUM('TCO TO BE- SW'!K$37:K$46)*VLOOKUP('TCO TO BE- SW'!K$2,MODULY_CBA!$B$3:$L$23,11,0),0),0)</f>
        <v>5533.7757562255001</v>
      </c>
      <c r="L125" s="552">
        <f>IFERROR(IF(VLOOKUP(L$2,MODULY_CBA!$B$3:$N$23,13,0)&lt;='TCO TO BE- SW'!$D125,SUM('TCO TO BE- SW'!L$37:L$46)*VLOOKUP('TCO TO BE- SW'!L$2,MODULY_CBA!$B$3:$L$23,11,0),0),0)</f>
        <v>4945.0762076908723</v>
      </c>
      <c r="M125" s="552">
        <f>IFERROR(IF(VLOOKUP(M$2,MODULY_CBA!$B$3:$N$23,13,0)&lt;='TCO TO BE- SW'!$D125,SUM('TCO TO BE- SW'!M$37:M$46)*VLOOKUP('TCO TO BE- SW'!M$2,MODULY_CBA!$B$3:$L$23,11,0),0),0)</f>
        <v>0</v>
      </c>
      <c r="N125" s="552">
        <f>IFERROR(IF(VLOOKUP(N$2,MODULY_CBA!$B$3:$N$23,13,0)&lt;='TCO TO BE- SW'!$D125,SUM('TCO TO BE- SW'!N$37:N$46)*VLOOKUP('TCO TO BE- SW'!N$2,MODULY_CBA!$B$3:$L$23,11,0),0),0)</f>
        <v>0</v>
      </c>
      <c r="O125" s="552">
        <f>IFERROR(IF(VLOOKUP(O$2,MODULY_CBA!$B$3:$N$23,13,0)&lt;='TCO TO BE- SW'!$D125,SUM('TCO TO BE- SW'!O$37:O$46)*VLOOKUP('TCO TO BE- SW'!O$2,MODULY_CBA!$B$3:$L$23,11,0),0),0)</f>
        <v>0</v>
      </c>
      <c r="P125" s="552">
        <f>IFERROR(IF(VLOOKUP(P$2,MODULY_CBA!$B$3:$N$23,13,0)&lt;='TCO TO BE- SW'!$D125,SUM('TCO TO BE- SW'!P$37:P$46)*VLOOKUP('TCO TO BE- SW'!P$2,MODULY_CBA!$B$3:$L$23,11,0),0),0)</f>
        <v>0</v>
      </c>
      <c r="Q125" s="552">
        <f>IFERROR(IF(VLOOKUP(Q$2,MODULY_CBA!$B$3:$N$23,13,0)&lt;='TCO TO BE- SW'!$D125,SUM('TCO TO BE- SW'!Q$37:Q$46)*VLOOKUP('TCO TO BE- SW'!Q$2,MODULY_CBA!$B$3:$L$23,11,0),0),0)</f>
        <v>0</v>
      </c>
      <c r="R125" s="552">
        <f>IFERROR(IF(VLOOKUP(R$2,MODULY_CBA!$B$3:$N$23,13,0)&lt;='TCO TO BE- SW'!$D125,SUM('TCO TO BE- SW'!R$37:R$46)*VLOOKUP('TCO TO BE- SW'!R$2,MODULY_CBA!$B$3:$L$23,11,0),0),0)</f>
        <v>0</v>
      </c>
      <c r="S125" s="552">
        <f>IFERROR(IF(VLOOKUP(S$2,MODULY_CBA!$B$3:$N$23,13,0)&lt;='TCO TO BE- SW'!$D125,SUM('TCO TO BE- SW'!S$37:S$46)*VLOOKUP('TCO TO BE- SW'!S$2,MODULY_CBA!$B$3:$L$23,11,0),0),0)</f>
        <v>0</v>
      </c>
      <c r="T125" s="552">
        <f>IFERROR(IF(VLOOKUP(T$2,MODULY_CBA!$B$3:$N$23,13,0)&lt;='TCO TO BE- SW'!$D125,SUM('TCO TO BE- SW'!T$37:T$46)*VLOOKUP('TCO TO BE- SW'!T$2,MODULY_CBA!$B$3:$L$23,11,0),0),0)</f>
        <v>0</v>
      </c>
      <c r="U125" s="552">
        <f>IFERROR(IF(VLOOKUP(U$2,MODULY_CBA!$B$3:$N$23,13,0)&lt;='TCO TO BE- SW'!$D125,SUM('TCO TO BE- SW'!U$37:U$46)*VLOOKUP('TCO TO BE- SW'!U$2,MODULY_CBA!$B$3:$L$23,11,0),0),0)</f>
        <v>0</v>
      </c>
      <c r="V125" s="552">
        <f>IFERROR(IF(VLOOKUP(V$2,MODULY_CBA!$B$3:$N$23,13,0)&lt;='TCO TO BE- SW'!$D125,SUM('TCO TO BE- SW'!V$37:V$46)*VLOOKUP('TCO TO BE- SW'!V$2,MODULY_CBA!$B$3:$L$23,11,0),0),0)</f>
        <v>0</v>
      </c>
      <c r="W125" s="552">
        <f>IFERROR(IF(VLOOKUP(W$2,MODULY_CBA!$B$3:$N$23,13,0)&lt;='TCO TO BE- SW'!$D125,SUM('TCO TO BE- SW'!W$37:W$46)*VLOOKUP('TCO TO BE- SW'!W$2,MODULY_CBA!$B$3:$L$23,11,0),0),0)</f>
        <v>0</v>
      </c>
      <c r="X125" s="552">
        <f>IFERROR(IF(VLOOKUP(X$2,MODULY_CBA!$B$3:$N$23,13,0)&lt;='TCO TO BE- SW'!$D125,SUM('TCO TO BE- SW'!X$37:X$46)*VLOOKUP('TCO TO BE- SW'!X$2,MODULY_CBA!$B$3:$L$23,11,0),0),0)</f>
        <v>0</v>
      </c>
      <c r="Y125" s="552">
        <f>IFERROR(IF(VLOOKUP(Y$2,MODULY_CBA!$B$3:$N$23,13,0)&lt;='TCO TO BE- SW'!$D125,SUM('TCO TO BE- SW'!Y$37:Y$46)*VLOOKUP('TCO TO BE- SW'!Y$2,MODULY_CBA!$B$3:$L$23,11,0),0),0)</f>
        <v>0</v>
      </c>
      <c r="Z125" s="552">
        <f>IFERROR(IF(VLOOKUP(Z$2,MODULY_CBA!$B$3:$N$23,13,0)&lt;='TCO TO BE- SW'!$D125,SUM('TCO TO BE- SW'!Z$37:Z$46)*VLOOKUP('TCO TO BE- SW'!Z$2,MODULY_CBA!$B$3:$L$23,11,0),0),0)</f>
        <v>0</v>
      </c>
    </row>
    <row r="126" spans="1:26" outlineLevel="2" x14ac:dyDescent="0.2">
      <c r="A126" s="884"/>
      <c r="B126" s="885"/>
      <c r="C126" s="885"/>
      <c r="D126" s="64">
        <v>7</v>
      </c>
      <c r="E126" s="68">
        <f t="shared" si="14"/>
        <v>210244.23210000005</v>
      </c>
      <c r="F126" s="552">
        <f>IFERROR(IF(VLOOKUP(F$2,MODULY_CBA!$B$3:$N$23,13,0)&lt;='TCO TO BE- SW'!$D126,SUM('TCO TO BE- SW'!F$37:F$46)*VLOOKUP('TCO TO BE- SW'!F$2,MODULY_CBA!$B$3:$L$23,11,0),0),0)</f>
        <v>76020.735034104917</v>
      </c>
      <c r="G126" s="552">
        <f>IFERROR(IF(VLOOKUP(G$2,MODULY_CBA!$B$3:$N$23,13,0)&lt;='TCO TO BE- SW'!$D126,SUM('TCO TO BE- SW'!G$37:G$46)*VLOOKUP('TCO TO BE- SW'!G$2,MODULY_CBA!$B$3:$L$23,11,0),0),0)</f>
        <v>23508.735304816128</v>
      </c>
      <c r="H126" s="552">
        <f>IFERROR(IF(VLOOKUP(H$2,MODULY_CBA!$B$3:$N$23,13,0)&lt;='TCO TO BE- SW'!$D126,SUM('TCO TO BE- SW'!H$37:H$46)*VLOOKUP('TCO TO BE- SW'!H$2,MODULY_CBA!$B$3:$L$23,11,0),0),0)</f>
        <v>36695.605191991788</v>
      </c>
      <c r="I126" s="552">
        <f>IFERROR(IF(VLOOKUP(I$2,MODULY_CBA!$B$3:$N$23,13,0)&lt;='TCO TO BE- SW'!$D126,SUM('TCO TO BE- SW'!I$37:I$46)*VLOOKUP('TCO TO BE- SW'!I$2,MODULY_CBA!$B$3:$L$23,11,0),0),0)</f>
        <v>45408.358510304286</v>
      </c>
      <c r="J126" s="552">
        <f>IFERROR(IF(VLOOKUP(J$2,MODULY_CBA!$B$3:$N$23,13,0)&lt;='TCO TO BE- SW'!$D126,SUM('TCO TO BE- SW'!J$37:J$46)*VLOOKUP('TCO TO BE- SW'!J$2,MODULY_CBA!$B$3:$L$23,11,0),0),0)</f>
        <v>18131.946094866533</v>
      </c>
      <c r="K126" s="552">
        <f>IFERROR(IF(VLOOKUP(K$2,MODULY_CBA!$B$3:$N$23,13,0)&lt;='TCO TO BE- SW'!$D126,SUM('TCO TO BE- SW'!K$37:K$46)*VLOOKUP('TCO TO BE- SW'!K$2,MODULY_CBA!$B$3:$L$23,11,0),0),0)</f>
        <v>5533.7757562255001</v>
      </c>
      <c r="L126" s="552">
        <f>IFERROR(IF(VLOOKUP(L$2,MODULY_CBA!$B$3:$N$23,13,0)&lt;='TCO TO BE- SW'!$D126,SUM('TCO TO BE- SW'!L$37:L$46)*VLOOKUP('TCO TO BE- SW'!L$2,MODULY_CBA!$B$3:$L$23,11,0),0),0)</f>
        <v>4945.0762076908723</v>
      </c>
      <c r="M126" s="552">
        <f>IFERROR(IF(VLOOKUP(M$2,MODULY_CBA!$B$3:$N$23,13,0)&lt;='TCO TO BE- SW'!$D126,SUM('TCO TO BE- SW'!M$37:M$46)*VLOOKUP('TCO TO BE- SW'!M$2,MODULY_CBA!$B$3:$L$23,11,0),0),0)</f>
        <v>0</v>
      </c>
      <c r="N126" s="552">
        <f>IFERROR(IF(VLOOKUP(N$2,MODULY_CBA!$B$3:$N$23,13,0)&lt;='TCO TO BE- SW'!$D126,SUM('TCO TO BE- SW'!N$37:N$46)*VLOOKUP('TCO TO BE- SW'!N$2,MODULY_CBA!$B$3:$L$23,11,0),0),0)</f>
        <v>0</v>
      </c>
      <c r="O126" s="552">
        <f>IFERROR(IF(VLOOKUP(O$2,MODULY_CBA!$B$3:$N$23,13,0)&lt;='TCO TO BE- SW'!$D126,SUM('TCO TO BE- SW'!O$37:O$46)*VLOOKUP('TCO TO BE- SW'!O$2,MODULY_CBA!$B$3:$L$23,11,0),0),0)</f>
        <v>0</v>
      </c>
      <c r="P126" s="552">
        <f>IFERROR(IF(VLOOKUP(P$2,MODULY_CBA!$B$3:$N$23,13,0)&lt;='TCO TO BE- SW'!$D126,SUM('TCO TO BE- SW'!P$37:P$46)*VLOOKUP('TCO TO BE- SW'!P$2,MODULY_CBA!$B$3:$L$23,11,0),0),0)</f>
        <v>0</v>
      </c>
      <c r="Q126" s="552">
        <f>IFERROR(IF(VLOOKUP(Q$2,MODULY_CBA!$B$3:$N$23,13,0)&lt;='TCO TO BE- SW'!$D126,SUM('TCO TO BE- SW'!Q$37:Q$46)*VLOOKUP('TCO TO BE- SW'!Q$2,MODULY_CBA!$B$3:$L$23,11,0),0),0)</f>
        <v>0</v>
      </c>
      <c r="R126" s="552">
        <f>IFERROR(IF(VLOOKUP(R$2,MODULY_CBA!$B$3:$N$23,13,0)&lt;='TCO TO BE- SW'!$D126,SUM('TCO TO BE- SW'!R$37:R$46)*VLOOKUP('TCO TO BE- SW'!R$2,MODULY_CBA!$B$3:$L$23,11,0),0),0)</f>
        <v>0</v>
      </c>
      <c r="S126" s="552">
        <f>IFERROR(IF(VLOOKUP(S$2,MODULY_CBA!$B$3:$N$23,13,0)&lt;='TCO TO BE- SW'!$D126,SUM('TCO TO BE- SW'!S$37:S$46)*VLOOKUP('TCO TO BE- SW'!S$2,MODULY_CBA!$B$3:$L$23,11,0),0),0)</f>
        <v>0</v>
      </c>
      <c r="T126" s="552">
        <f>IFERROR(IF(VLOOKUP(T$2,MODULY_CBA!$B$3:$N$23,13,0)&lt;='TCO TO BE- SW'!$D126,SUM('TCO TO BE- SW'!T$37:T$46)*VLOOKUP('TCO TO BE- SW'!T$2,MODULY_CBA!$B$3:$L$23,11,0),0),0)</f>
        <v>0</v>
      </c>
      <c r="U126" s="552">
        <f>IFERROR(IF(VLOOKUP(U$2,MODULY_CBA!$B$3:$N$23,13,0)&lt;='TCO TO BE- SW'!$D126,SUM('TCO TO BE- SW'!U$37:U$46)*VLOOKUP('TCO TO BE- SW'!U$2,MODULY_CBA!$B$3:$L$23,11,0),0),0)</f>
        <v>0</v>
      </c>
      <c r="V126" s="552">
        <f>IFERROR(IF(VLOOKUP(V$2,MODULY_CBA!$B$3:$N$23,13,0)&lt;='TCO TO BE- SW'!$D126,SUM('TCO TO BE- SW'!V$37:V$46)*VLOOKUP('TCO TO BE- SW'!V$2,MODULY_CBA!$B$3:$L$23,11,0),0),0)</f>
        <v>0</v>
      </c>
      <c r="W126" s="552">
        <f>IFERROR(IF(VLOOKUP(W$2,MODULY_CBA!$B$3:$N$23,13,0)&lt;='TCO TO BE- SW'!$D126,SUM('TCO TO BE- SW'!W$37:W$46)*VLOOKUP('TCO TO BE- SW'!W$2,MODULY_CBA!$B$3:$L$23,11,0),0),0)</f>
        <v>0</v>
      </c>
      <c r="X126" s="552">
        <f>IFERROR(IF(VLOOKUP(X$2,MODULY_CBA!$B$3:$N$23,13,0)&lt;='TCO TO BE- SW'!$D126,SUM('TCO TO BE- SW'!X$37:X$46)*VLOOKUP('TCO TO BE- SW'!X$2,MODULY_CBA!$B$3:$L$23,11,0),0),0)</f>
        <v>0</v>
      </c>
      <c r="Y126" s="552">
        <f>IFERROR(IF(VLOOKUP(Y$2,MODULY_CBA!$B$3:$N$23,13,0)&lt;='TCO TO BE- SW'!$D126,SUM('TCO TO BE- SW'!Y$37:Y$46)*VLOOKUP('TCO TO BE- SW'!Y$2,MODULY_CBA!$B$3:$L$23,11,0),0),0)</f>
        <v>0</v>
      </c>
      <c r="Z126" s="552">
        <f>IFERROR(IF(VLOOKUP(Z$2,MODULY_CBA!$B$3:$N$23,13,0)&lt;='TCO TO BE- SW'!$D126,SUM('TCO TO BE- SW'!Z$37:Z$46)*VLOOKUP('TCO TO BE- SW'!Z$2,MODULY_CBA!$B$3:$L$23,11,0),0),0)</f>
        <v>0</v>
      </c>
    </row>
    <row r="127" spans="1:26" outlineLevel="2" x14ac:dyDescent="0.2">
      <c r="A127" s="884"/>
      <c r="B127" s="885"/>
      <c r="C127" s="885"/>
      <c r="D127" s="64">
        <v>8</v>
      </c>
      <c r="E127" s="68">
        <f t="shared" si="14"/>
        <v>210244.23210000005</v>
      </c>
      <c r="F127" s="552">
        <f>IFERROR(IF(VLOOKUP(F$2,MODULY_CBA!$B$3:$N$23,13,0)&lt;='TCO TO BE- SW'!$D127,SUM('TCO TO BE- SW'!F$37:F$46)*VLOOKUP('TCO TO BE- SW'!F$2,MODULY_CBA!$B$3:$L$23,11,0),0),0)</f>
        <v>76020.735034104917</v>
      </c>
      <c r="G127" s="552">
        <f>IFERROR(IF(VLOOKUP(G$2,MODULY_CBA!$B$3:$N$23,13,0)&lt;='TCO TO BE- SW'!$D127,SUM('TCO TO BE- SW'!G$37:G$46)*VLOOKUP('TCO TO BE- SW'!G$2,MODULY_CBA!$B$3:$L$23,11,0),0),0)</f>
        <v>23508.735304816128</v>
      </c>
      <c r="H127" s="552">
        <f>IFERROR(IF(VLOOKUP(H$2,MODULY_CBA!$B$3:$N$23,13,0)&lt;='TCO TO BE- SW'!$D127,SUM('TCO TO BE- SW'!H$37:H$46)*VLOOKUP('TCO TO BE- SW'!H$2,MODULY_CBA!$B$3:$L$23,11,0),0),0)</f>
        <v>36695.605191991788</v>
      </c>
      <c r="I127" s="552">
        <f>IFERROR(IF(VLOOKUP(I$2,MODULY_CBA!$B$3:$N$23,13,0)&lt;='TCO TO BE- SW'!$D127,SUM('TCO TO BE- SW'!I$37:I$46)*VLOOKUP('TCO TO BE- SW'!I$2,MODULY_CBA!$B$3:$L$23,11,0),0),0)</f>
        <v>45408.358510304286</v>
      </c>
      <c r="J127" s="552">
        <f>IFERROR(IF(VLOOKUP(J$2,MODULY_CBA!$B$3:$N$23,13,0)&lt;='TCO TO BE- SW'!$D127,SUM('TCO TO BE- SW'!J$37:J$46)*VLOOKUP('TCO TO BE- SW'!J$2,MODULY_CBA!$B$3:$L$23,11,0),0),0)</f>
        <v>18131.946094866533</v>
      </c>
      <c r="K127" s="552">
        <f>IFERROR(IF(VLOOKUP(K$2,MODULY_CBA!$B$3:$N$23,13,0)&lt;='TCO TO BE- SW'!$D127,SUM('TCO TO BE- SW'!K$37:K$46)*VLOOKUP('TCO TO BE- SW'!K$2,MODULY_CBA!$B$3:$L$23,11,0),0),0)</f>
        <v>5533.7757562255001</v>
      </c>
      <c r="L127" s="552">
        <f>IFERROR(IF(VLOOKUP(L$2,MODULY_CBA!$B$3:$N$23,13,0)&lt;='TCO TO BE- SW'!$D127,SUM('TCO TO BE- SW'!L$37:L$46)*VLOOKUP('TCO TO BE- SW'!L$2,MODULY_CBA!$B$3:$L$23,11,0),0),0)</f>
        <v>4945.0762076908723</v>
      </c>
      <c r="M127" s="552">
        <f>IFERROR(IF(VLOOKUP(M$2,MODULY_CBA!$B$3:$N$23,13,0)&lt;='TCO TO BE- SW'!$D127,SUM('TCO TO BE- SW'!M$37:M$46)*VLOOKUP('TCO TO BE- SW'!M$2,MODULY_CBA!$B$3:$L$23,11,0),0),0)</f>
        <v>0</v>
      </c>
      <c r="N127" s="552">
        <f>IFERROR(IF(VLOOKUP(N$2,MODULY_CBA!$B$3:$N$23,13,0)&lt;='TCO TO BE- SW'!$D127,SUM('TCO TO BE- SW'!N$37:N$46)*VLOOKUP('TCO TO BE- SW'!N$2,MODULY_CBA!$B$3:$L$23,11,0),0),0)</f>
        <v>0</v>
      </c>
      <c r="O127" s="552">
        <f>IFERROR(IF(VLOOKUP(O$2,MODULY_CBA!$B$3:$N$23,13,0)&lt;='TCO TO BE- SW'!$D127,SUM('TCO TO BE- SW'!O$37:O$46)*VLOOKUP('TCO TO BE- SW'!O$2,MODULY_CBA!$B$3:$L$23,11,0),0),0)</f>
        <v>0</v>
      </c>
      <c r="P127" s="552">
        <f>IFERROR(IF(VLOOKUP(P$2,MODULY_CBA!$B$3:$N$23,13,0)&lt;='TCO TO BE- SW'!$D127,SUM('TCO TO BE- SW'!P$37:P$46)*VLOOKUP('TCO TO BE- SW'!P$2,MODULY_CBA!$B$3:$L$23,11,0),0),0)</f>
        <v>0</v>
      </c>
      <c r="Q127" s="552">
        <f>IFERROR(IF(VLOOKUP(Q$2,MODULY_CBA!$B$3:$N$23,13,0)&lt;='TCO TO BE- SW'!$D127,SUM('TCO TO BE- SW'!Q$37:Q$46)*VLOOKUP('TCO TO BE- SW'!Q$2,MODULY_CBA!$B$3:$L$23,11,0),0),0)</f>
        <v>0</v>
      </c>
      <c r="R127" s="552">
        <f>IFERROR(IF(VLOOKUP(R$2,MODULY_CBA!$B$3:$N$23,13,0)&lt;='TCO TO BE- SW'!$D127,SUM('TCO TO BE- SW'!R$37:R$46)*VLOOKUP('TCO TO BE- SW'!R$2,MODULY_CBA!$B$3:$L$23,11,0),0),0)</f>
        <v>0</v>
      </c>
      <c r="S127" s="552">
        <f>IFERROR(IF(VLOOKUP(S$2,MODULY_CBA!$B$3:$N$23,13,0)&lt;='TCO TO BE- SW'!$D127,SUM('TCO TO BE- SW'!S$37:S$46)*VLOOKUP('TCO TO BE- SW'!S$2,MODULY_CBA!$B$3:$L$23,11,0),0),0)</f>
        <v>0</v>
      </c>
      <c r="T127" s="552">
        <f>IFERROR(IF(VLOOKUP(T$2,MODULY_CBA!$B$3:$N$23,13,0)&lt;='TCO TO BE- SW'!$D127,SUM('TCO TO BE- SW'!T$37:T$46)*VLOOKUP('TCO TO BE- SW'!T$2,MODULY_CBA!$B$3:$L$23,11,0),0),0)</f>
        <v>0</v>
      </c>
      <c r="U127" s="552">
        <f>IFERROR(IF(VLOOKUP(U$2,MODULY_CBA!$B$3:$N$23,13,0)&lt;='TCO TO BE- SW'!$D127,SUM('TCO TO BE- SW'!U$37:U$46)*VLOOKUP('TCO TO BE- SW'!U$2,MODULY_CBA!$B$3:$L$23,11,0),0),0)</f>
        <v>0</v>
      </c>
      <c r="V127" s="552">
        <f>IFERROR(IF(VLOOKUP(V$2,MODULY_CBA!$B$3:$N$23,13,0)&lt;='TCO TO BE- SW'!$D127,SUM('TCO TO BE- SW'!V$37:V$46)*VLOOKUP('TCO TO BE- SW'!V$2,MODULY_CBA!$B$3:$L$23,11,0),0),0)</f>
        <v>0</v>
      </c>
      <c r="W127" s="552">
        <f>IFERROR(IF(VLOOKUP(W$2,MODULY_CBA!$B$3:$N$23,13,0)&lt;='TCO TO BE- SW'!$D127,SUM('TCO TO BE- SW'!W$37:W$46)*VLOOKUP('TCO TO BE- SW'!W$2,MODULY_CBA!$B$3:$L$23,11,0),0),0)</f>
        <v>0</v>
      </c>
      <c r="X127" s="552">
        <f>IFERROR(IF(VLOOKUP(X$2,MODULY_CBA!$B$3:$N$23,13,0)&lt;='TCO TO BE- SW'!$D127,SUM('TCO TO BE- SW'!X$37:X$46)*VLOOKUP('TCO TO BE- SW'!X$2,MODULY_CBA!$B$3:$L$23,11,0),0),0)</f>
        <v>0</v>
      </c>
      <c r="Y127" s="552">
        <f>IFERROR(IF(VLOOKUP(Y$2,MODULY_CBA!$B$3:$N$23,13,0)&lt;='TCO TO BE- SW'!$D127,SUM('TCO TO BE- SW'!Y$37:Y$46)*VLOOKUP('TCO TO BE- SW'!Y$2,MODULY_CBA!$B$3:$L$23,11,0),0),0)</f>
        <v>0</v>
      </c>
      <c r="Z127" s="552">
        <f>IFERROR(IF(VLOOKUP(Z$2,MODULY_CBA!$B$3:$N$23,13,0)&lt;='TCO TO BE- SW'!$D127,SUM('TCO TO BE- SW'!Z$37:Z$46)*VLOOKUP('TCO TO BE- SW'!Z$2,MODULY_CBA!$B$3:$L$23,11,0),0),0)</f>
        <v>0</v>
      </c>
    </row>
    <row r="128" spans="1:26" outlineLevel="2" x14ac:dyDescent="0.2">
      <c r="A128" s="884"/>
      <c r="B128" s="885"/>
      <c r="C128" s="885"/>
      <c r="D128" s="64">
        <v>9</v>
      </c>
      <c r="E128" s="68">
        <f t="shared" si="14"/>
        <v>210244.23210000005</v>
      </c>
      <c r="F128" s="552">
        <f>IFERROR(IF(VLOOKUP(F$2,MODULY_CBA!$B$3:$N$23,13,0)&lt;='TCO TO BE- SW'!$D128,SUM('TCO TO BE- SW'!F$37:F$46)*VLOOKUP('TCO TO BE- SW'!F$2,MODULY_CBA!$B$3:$L$23,11,0),0),0)</f>
        <v>76020.735034104917</v>
      </c>
      <c r="G128" s="552">
        <f>IFERROR(IF(VLOOKUP(G$2,MODULY_CBA!$B$3:$N$23,13,0)&lt;='TCO TO BE- SW'!$D128,SUM('TCO TO BE- SW'!G$37:G$46)*VLOOKUP('TCO TO BE- SW'!G$2,MODULY_CBA!$B$3:$L$23,11,0),0),0)</f>
        <v>23508.735304816128</v>
      </c>
      <c r="H128" s="552">
        <f>IFERROR(IF(VLOOKUP(H$2,MODULY_CBA!$B$3:$N$23,13,0)&lt;='TCO TO BE- SW'!$D128,SUM('TCO TO BE- SW'!H$37:H$46)*VLOOKUP('TCO TO BE- SW'!H$2,MODULY_CBA!$B$3:$L$23,11,0),0),0)</f>
        <v>36695.605191991788</v>
      </c>
      <c r="I128" s="552">
        <f>IFERROR(IF(VLOOKUP(I$2,MODULY_CBA!$B$3:$N$23,13,0)&lt;='TCO TO BE- SW'!$D128,SUM('TCO TO BE- SW'!I$37:I$46)*VLOOKUP('TCO TO BE- SW'!I$2,MODULY_CBA!$B$3:$L$23,11,0),0),0)</f>
        <v>45408.358510304286</v>
      </c>
      <c r="J128" s="552">
        <f>IFERROR(IF(VLOOKUP(J$2,MODULY_CBA!$B$3:$N$23,13,0)&lt;='TCO TO BE- SW'!$D128,SUM('TCO TO BE- SW'!J$37:J$46)*VLOOKUP('TCO TO BE- SW'!J$2,MODULY_CBA!$B$3:$L$23,11,0),0),0)</f>
        <v>18131.946094866533</v>
      </c>
      <c r="K128" s="552">
        <f>IFERROR(IF(VLOOKUP(K$2,MODULY_CBA!$B$3:$N$23,13,0)&lt;='TCO TO BE- SW'!$D128,SUM('TCO TO BE- SW'!K$37:K$46)*VLOOKUP('TCO TO BE- SW'!K$2,MODULY_CBA!$B$3:$L$23,11,0),0),0)</f>
        <v>5533.7757562255001</v>
      </c>
      <c r="L128" s="552">
        <f>IFERROR(IF(VLOOKUP(L$2,MODULY_CBA!$B$3:$N$23,13,0)&lt;='TCO TO BE- SW'!$D128,SUM('TCO TO BE- SW'!L$37:L$46)*VLOOKUP('TCO TO BE- SW'!L$2,MODULY_CBA!$B$3:$L$23,11,0),0),0)</f>
        <v>4945.0762076908723</v>
      </c>
      <c r="M128" s="552">
        <f>IFERROR(IF(VLOOKUP(M$2,MODULY_CBA!$B$3:$N$23,13,0)&lt;='TCO TO BE- SW'!$D128,SUM('TCO TO BE- SW'!M$37:M$46)*VLOOKUP('TCO TO BE- SW'!M$2,MODULY_CBA!$B$3:$L$23,11,0),0),0)</f>
        <v>0</v>
      </c>
      <c r="N128" s="552">
        <f>IFERROR(IF(VLOOKUP(N$2,MODULY_CBA!$B$3:$N$23,13,0)&lt;='TCO TO BE- SW'!$D128,SUM('TCO TO BE- SW'!N$37:N$46)*VLOOKUP('TCO TO BE- SW'!N$2,MODULY_CBA!$B$3:$L$23,11,0),0),0)</f>
        <v>0</v>
      </c>
      <c r="O128" s="552">
        <f>IFERROR(IF(VLOOKUP(O$2,MODULY_CBA!$B$3:$N$23,13,0)&lt;='TCO TO BE- SW'!$D128,SUM('TCO TO BE- SW'!O$37:O$46)*VLOOKUP('TCO TO BE- SW'!O$2,MODULY_CBA!$B$3:$L$23,11,0),0),0)</f>
        <v>0</v>
      </c>
      <c r="P128" s="552">
        <f>IFERROR(IF(VLOOKUP(P$2,MODULY_CBA!$B$3:$N$23,13,0)&lt;='TCO TO BE- SW'!$D128,SUM('TCO TO BE- SW'!P$37:P$46)*VLOOKUP('TCO TO BE- SW'!P$2,MODULY_CBA!$B$3:$L$23,11,0),0),0)</f>
        <v>0</v>
      </c>
      <c r="Q128" s="552">
        <f>IFERROR(IF(VLOOKUP(Q$2,MODULY_CBA!$B$3:$N$23,13,0)&lt;='TCO TO BE- SW'!$D128,SUM('TCO TO BE- SW'!Q$37:Q$46)*VLOOKUP('TCO TO BE- SW'!Q$2,MODULY_CBA!$B$3:$L$23,11,0),0),0)</f>
        <v>0</v>
      </c>
      <c r="R128" s="552">
        <f>IFERROR(IF(VLOOKUP(R$2,MODULY_CBA!$B$3:$N$23,13,0)&lt;='TCO TO BE- SW'!$D128,SUM('TCO TO BE- SW'!R$37:R$46)*VLOOKUP('TCO TO BE- SW'!R$2,MODULY_CBA!$B$3:$L$23,11,0),0),0)</f>
        <v>0</v>
      </c>
      <c r="S128" s="552">
        <f>IFERROR(IF(VLOOKUP(S$2,MODULY_CBA!$B$3:$N$23,13,0)&lt;='TCO TO BE- SW'!$D128,SUM('TCO TO BE- SW'!S$37:S$46)*VLOOKUP('TCO TO BE- SW'!S$2,MODULY_CBA!$B$3:$L$23,11,0),0),0)</f>
        <v>0</v>
      </c>
      <c r="T128" s="552">
        <f>IFERROR(IF(VLOOKUP(T$2,MODULY_CBA!$B$3:$N$23,13,0)&lt;='TCO TO BE- SW'!$D128,SUM('TCO TO BE- SW'!T$37:T$46)*VLOOKUP('TCO TO BE- SW'!T$2,MODULY_CBA!$B$3:$L$23,11,0),0),0)</f>
        <v>0</v>
      </c>
      <c r="U128" s="552">
        <f>IFERROR(IF(VLOOKUP(U$2,MODULY_CBA!$B$3:$N$23,13,0)&lt;='TCO TO BE- SW'!$D128,SUM('TCO TO BE- SW'!U$37:U$46)*VLOOKUP('TCO TO BE- SW'!U$2,MODULY_CBA!$B$3:$L$23,11,0),0),0)</f>
        <v>0</v>
      </c>
      <c r="V128" s="552">
        <f>IFERROR(IF(VLOOKUP(V$2,MODULY_CBA!$B$3:$N$23,13,0)&lt;='TCO TO BE- SW'!$D128,SUM('TCO TO BE- SW'!V$37:V$46)*VLOOKUP('TCO TO BE- SW'!V$2,MODULY_CBA!$B$3:$L$23,11,0),0),0)</f>
        <v>0</v>
      </c>
      <c r="W128" s="552">
        <f>IFERROR(IF(VLOOKUP(W$2,MODULY_CBA!$B$3:$N$23,13,0)&lt;='TCO TO BE- SW'!$D128,SUM('TCO TO BE- SW'!W$37:W$46)*VLOOKUP('TCO TO BE- SW'!W$2,MODULY_CBA!$B$3:$L$23,11,0),0),0)</f>
        <v>0</v>
      </c>
      <c r="X128" s="552">
        <f>IFERROR(IF(VLOOKUP(X$2,MODULY_CBA!$B$3:$N$23,13,0)&lt;='TCO TO BE- SW'!$D128,SUM('TCO TO BE- SW'!X$37:X$46)*VLOOKUP('TCO TO BE- SW'!X$2,MODULY_CBA!$B$3:$L$23,11,0),0),0)</f>
        <v>0</v>
      </c>
      <c r="Y128" s="552">
        <f>IFERROR(IF(VLOOKUP(Y$2,MODULY_CBA!$B$3:$N$23,13,0)&lt;='TCO TO BE- SW'!$D128,SUM('TCO TO BE- SW'!Y$37:Y$46)*VLOOKUP('TCO TO BE- SW'!Y$2,MODULY_CBA!$B$3:$L$23,11,0),0),0)</f>
        <v>0</v>
      </c>
      <c r="Z128" s="552">
        <f>IFERROR(IF(VLOOKUP(Z$2,MODULY_CBA!$B$3:$N$23,13,0)&lt;='TCO TO BE- SW'!$D128,SUM('TCO TO BE- SW'!Z$37:Z$46)*VLOOKUP('TCO TO BE- SW'!Z$2,MODULY_CBA!$B$3:$L$23,11,0),0),0)</f>
        <v>0</v>
      </c>
    </row>
    <row r="129" spans="1:27" ht="16" outlineLevel="2" thickBot="1" x14ac:dyDescent="0.25">
      <c r="A129" s="884"/>
      <c r="B129" s="885"/>
      <c r="C129" s="885"/>
      <c r="D129" s="65">
        <v>10</v>
      </c>
      <c r="E129" s="69">
        <f t="shared" si="14"/>
        <v>210244.23210000005</v>
      </c>
      <c r="F129" s="552">
        <f>IFERROR(IF(VLOOKUP(F$2,MODULY_CBA!$B$3:$N$23,13,0)&lt;='TCO TO BE- SW'!$D129,SUM('TCO TO BE- SW'!F$37:F$46)*VLOOKUP('TCO TO BE- SW'!F$2,MODULY_CBA!$B$3:$L$23,11,0),0),0)</f>
        <v>76020.735034104917</v>
      </c>
      <c r="G129" s="552">
        <f>IFERROR(IF(VLOOKUP(G$2,MODULY_CBA!$B$3:$N$23,13,0)&lt;='TCO TO BE- SW'!$D129,SUM('TCO TO BE- SW'!G$37:G$46)*VLOOKUP('TCO TO BE- SW'!G$2,MODULY_CBA!$B$3:$L$23,11,0),0),0)</f>
        <v>23508.735304816128</v>
      </c>
      <c r="H129" s="552">
        <f>IFERROR(IF(VLOOKUP(H$2,MODULY_CBA!$B$3:$N$23,13,0)&lt;='TCO TO BE- SW'!$D129,SUM('TCO TO BE- SW'!H$37:H$46)*VLOOKUP('TCO TO BE- SW'!H$2,MODULY_CBA!$B$3:$L$23,11,0),0),0)</f>
        <v>36695.605191991788</v>
      </c>
      <c r="I129" s="552">
        <f>IFERROR(IF(VLOOKUP(I$2,MODULY_CBA!$B$3:$N$23,13,0)&lt;='TCO TO BE- SW'!$D129,SUM('TCO TO BE- SW'!I$37:I$46)*VLOOKUP('TCO TO BE- SW'!I$2,MODULY_CBA!$B$3:$L$23,11,0),0),0)</f>
        <v>45408.358510304286</v>
      </c>
      <c r="J129" s="552">
        <f>IFERROR(IF(VLOOKUP(J$2,MODULY_CBA!$B$3:$N$23,13,0)&lt;='TCO TO BE- SW'!$D129,SUM('TCO TO BE- SW'!J$37:J$46)*VLOOKUP('TCO TO BE- SW'!J$2,MODULY_CBA!$B$3:$L$23,11,0),0),0)</f>
        <v>18131.946094866533</v>
      </c>
      <c r="K129" s="552">
        <f>IFERROR(IF(VLOOKUP(K$2,MODULY_CBA!$B$3:$N$23,13,0)&lt;='TCO TO BE- SW'!$D129,SUM('TCO TO BE- SW'!K$37:K$46)*VLOOKUP('TCO TO BE- SW'!K$2,MODULY_CBA!$B$3:$L$23,11,0),0),0)</f>
        <v>5533.7757562255001</v>
      </c>
      <c r="L129" s="552">
        <f>IFERROR(IF(VLOOKUP(L$2,MODULY_CBA!$B$3:$N$23,13,0)&lt;='TCO TO BE- SW'!$D129,SUM('TCO TO BE- SW'!L$37:L$46)*VLOOKUP('TCO TO BE- SW'!L$2,MODULY_CBA!$B$3:$L$23,11,0),0),0)</f>
        <v>4945.0762076908723</v>
      </c>
      <c r="M129" s="552">
        <f>IFERROR(IF(VLOOKUP(M$2,MODULY_CBA!$B$3:$N$23,13,0)&lt;='TCO TO BE- SW'!$D129,SUM('TCO TO BE- SW'!M$37:M$46)*VLOOKUP('TCO TO BE- SW'!M$2,MODULY_CBA!$B$3:$L$23,11,0),0),0)</f>
        <v>0</v>
      </c>
      <c r="N129" s="552">
        <f>IFERROR(IF(VLOOKUP(N$2,MODULY_CBA!$B$3:$N$23,13,0)&lt;='TCO TO BE- SW'!$D129,SUM('TCO TO BE- SW'!N$37:N$46)*VLOOKUP('TCO TO BE- SW'!N$2,MODULY_CBA!$B$3:$L$23,11,0),0),0)</f>
        <v>0</v>
      </c>
      <c r="O129" s="552">
        <f>IFERROR(IF(VLOOKUP(O$2,MODULY_CBA!$B$3:$N$23,13,0)&lt;='TCO TO BE- SW'!$D129,SUM('TCO TO BE- SW'!O$37:O$46)*VLOOKUP('TCO TO BE- SW'!O$2,MODULY_CBA!$B$3:$L$23,11,0),0),0)</f>
        <v>0</v>
      </c>
      <c r="P129" s="552">
        <f>IFERROR(IF(VLOOKUP(P$2,MODULY_CBA!$B$3:$N$23,13,0)&lt;='TCO TO BE- SW'!$D129,SUM('TCO TO BE- SW'!P$37:P$46)*VLOOKUP('TCO TO BE- SW'!P$2,MODULY_CBA!$B$3:$L$23,11,0),0),0)</f>
        <v>0</v>
      </c>
      <c r="Q129" s="552">
        <f>IFERROR(IF(VLOOKUP(Q$2,MODULY_CBA!$B$3:$N$23,13,0)&lt;='TCO TO BE- SW'!$D129,SUM('TCO TO BE- SW'!Q$37:Q$46)*VLOOKUP('TCO TO BE- SW'!Q$2,MODULY_CBA!$B$3:$L$23,11,0),0),0)</f>
        <v>0</v>
      </c>
      <c r="R129" s="552">
        <f>IFERROR(IF(VLOOKUP(R$2,MODULY_CBA!$B$3:$N$23,13,0)&lt;='TCO TO BE- SW'!$D129,SUM('TCO TO BE- SW'!R$37:R$46)*VLOOKUP('TCO TO BE- SW'!R$2,MODULY_CBA!$B$3:$L$23,11,0),0),0)</f>
        <v>0</v>
      </c>
      <c r="S129" s="552">
        <f>IFERROR(IF(VLOOKUP(S$2,MODULY_CBA!$B$3:$N$23,13,0)&lt;='TCO TO BE- SW'!$D129,SUM('TCO TO BE- SW'!S$37:S$46)*VLOOKUP('TCO TO BE- SW'!S$2,MODULY_CBA!$B$3:$L$23,11,0),0),0)</f>
        <v>0</v>
      </c>
      <c r="T129" s="552">
        <f>IFERROR(IF(VLOOKUP(T$2,MODULY_CBA!$B$3:$N$23,13,0)&lt;='TCO TO BE- SW'!$D129,SUM('TCO TO BE- SW'!T$37:T$46)*VLOOKUP('TCO TO BE- SW'!T$2,MODULY_CBA!$B$3:$L$23,11,0),0),0)</f>
        <v>0</v>
      </c>
      <c r="U129" s="552">
        <f>IFERROR(IF(VLOOKUP(U$2,MODULY_CBA!$B$3:$N$23,13,0)&lt;='TCO TO BE- SW'!$D129,SUM('TCO TO BE- SW'!U$37:U$46)*VLOOKUP('TCO TO BE- SW'!U$2,MODULY_CBA!$B$3:$L$23,11,0),0),0)</f>
        <v>0</v>
      </c>
      <c r="V129" s="552">
        <f>IFERROR(IF(VLOOKUP(V$2,MODULY_CBA!$B$3:$N$23,13,0)&lt;='TCO TO BE- SW'!$D129,SUM('TCO TO BE- SW'!V$37:V$46)*VLOOKUP('TCO TO BE- SW'!V$2,MODULY_CBA!$B$3:$L$23,11,0),0),0)</f>
        <v>0</v>
      </c>
      <c r="W129" s="552">
        <f>IFERROR(IF(VLOOKUP(W$2,MODULY_CBA!$B$3:$N$23,13,0)&lt;='TCO TO BE- SW'!$D129,SUM('TCO TO BE- SW'!W$37:W$46)*VLOOKUP('TCO TO BE- SW'!W$2,MODULY_CBA!$B$3:$L$23,11,0),0),0)</f>
        <v>0</v>
      </c>
      <c r="X129" s="552">
        <f>IFERROR(IF(VLOOKUP(X$2,MODULY_CBA!$B$3:$N$23,13,0)&lt;='TCO TO BE- SW'!$D129,SUM('TCO TO BE- SW'!X$37:X$46)*VLOOKUP('TCO TO BE- SW'!X$2,MODULY_CBA!$B$3:$L$23,11,0),0),0)</f>
        <v>0</v>
      </c>
      <c r="Y129" s="552">
        <f>IFERROR(IF(VLOOKUP(Y$2,MODULY_CBA!$B$3:$N$23,13,0)&lt;='TCO TO BE- SW'!$D129,SUM('TCO TO BE- SW'!Y$37:Y$46)*VLOOKUP('TCO TO BE- SW'!Y$2,MODULY_CBA!$B$3:$L$23,11,0),0),0)</f>
        <v>0</v>
      </c>
      <c r="Z129" s="552">
        <f>IFERROR(IF(VLOOKUP(Z$2,MODULY_CBA!$B$3:$N$23,13,0)&lt;='TCO TO BE- SW'!$D129,SUM('TCO TO BE- SW'!Z$37:Z$46)*VLOOKUP('TCO TO BE- SW'!Z$2,MODULY_CBA!$B$3:$L$23,11,0),0),0)</f>
        <v>0</v>
      </c>
    </row>
    <row r="130" spans="1:27" outlineLevel="2" x14ac:dyDescent="0.2">
      <c r="A130" s="884" t="s">
        <v>1164</v>
      </c>
      <c r="B130" s="885" t="s">
        <v>1165</v>
      </c>
      <c r="C130" s="885">
        <v>610</v>
      </c>
      <c r="D130" s="63">
        <v>1</v>
      </c>
      <c r="E130" s="68">
        <f t="shared" si="14"/>
        <v>0</v>
      </c>
      <c r="F130" s="542">
        <v>0</v>
      </c>
      <c r="G130" s="542">
        <v>0</v>
      </c>
      <c r="H130" s="542">
        <v>0</v>
      </c>
      <c r="I130" s="542">
        <v>0</v>
      </c>
      <c r="J130" s="542">
        <v>0</v>
      </c>
      <c r="K130" s="542">
        <v>0</v>
      </c>
      <c r="L130" s="542">
        <v>0</v>
      </c>
      <c r="M130" s="542">
        <v>0</v>
      </c>
      <c r="N130" s="542">
        <v>0</v>
      </c>
      <c r="O130" s="542">
        <v>0</v>
      </c>
      <c r="P130" s="542">
        <v>0</v>
      </c>
      <c r="Q130" s="542">
        <v>0</v>
      </c>
      <c r="R130" s="542">
        <v>0</v>
      </c>
      <c r="S130" s="542">
        <v>0</v>
      </c>
      <c r="T130" s="542">
        <v>0</v>
      </c>
      <c r="U130" s="542">
        <v>0</v>
      </c>
      <c r="V130" s="542">
        <v>0</v>
      </c>
      <c r="W130" s="542">
        <v>0</v>
      </c>
      <c r="X130" s="542">
        <v>0</v>
      </c>
      <c r="Y130" s="542">
        <v>0</v>
      </c>
      <c r="Z130" s="542">
        <v>0</v>
      </c>
    </row>
    <row r="131" spans="1:27" outlineLevel="2" x14ac:dyDescent="0.2">
      <c r="A131" s="884"/>
      <c r="B131" s="885"/>
      <c r="C131" s="885"/>
      <c r="D131" s="64">
        <v>2</v>
      </c>
      <c r="E131" s="68">
        <f t="shared" si="14"/>
        <v>0</v>
      </c>
      <c r="F131" s="543">
        <v>0</v>
      </c>
      <c r="G131" s="543">
        <v>0</v>
      </c>
      <c r="H131" s="543">
        <v>0</v>
      </c>
      <c r="I131" s="543">
        <v>0</v>
      </c>
      <c r="J131" s="543">
        <v>0</v>
      </c>
      <c r="K131" s="543">
        <v>0</v>
      </c>
      <c r="L131" s="543">
        <v>0</v>
      </c>
      <c r="M131" s="543">
        <v>0</v>
      </c>
      <c r="N131" s="543">
        <v>0</v>
      </c>
      <c r="O131" s="543">
        <v>0</v>
      </c>
      <c r="P131" s="543">
        <v>0</v>
      </c>
      <c r="Q131" s="543">
        <v>0</v>
      </c>
      <c r="R131" s="543">
        <v>0</v>
      </c>
      <c r="S131" s="543">
        <v>0</v>
      </c>
      <c r="T131" s="543">
        <v>0</v>
      </c>
      <c r="U131" s="543">
        <v>0</v>
      </c>
      <c r="V131" s="543">
        <v>0</v>
      </c>
      <c r="W131" s="543">
        <v>0</v>
      </c>
      <c r="X131" s="543">
        <v>0</v>
      </c>
      <c r="Y131" s="543">
        <v>0</v>
      </c>
      <c r="Z131" s="543">
        <v>0</v>
      </c>
    </row>
    <row r="132" spans="1:27" outlineLevel="2" x14ac:dyDescent="0.2">
      <c r="A132" s="884"/>
      <c r="B132" s="885"/>
      <c r="C132" s="885"/>
      <c r="D132" s="64">
        <v>3</v>
      </c>
      <c r="E132" s="68">
        <f t="shared" si="14"/>
        <v>0</v>
      </c>
      <c r="F132" s="543">
        <v>0</v>
      </c>
      <c r="G132" s="543">
        <v>0</v>
      </c>
      <c r="H132" s="543">
        <v>0</v>
      </c>
      <c r="I132" s="543">
        <v>0</v>
      </c>
      <c r="J132" s="543">
        <v>0</v>
      </c>
      <c r="K132" s="543">
        <v>0</v>
      </c>
      <c r="L132" s="543">
        <v>0</v>
      </c>
      <c r="M132" s="543">
        <v>0</v>
      </c>
      <c r="N132" s="543">
        <v>0</v>
      </c>
      <c r="O132" s="543">
        <v>0</v>
      </c>
      <c r="P132" s="543">
        <v>0</v>
      </c>
      <c r="Q132" s="543">
        <v>0</v>
      </c>
      <c r="R132" s="543">
        <v>0</v>
      </c>
      <c r="S132" s="543">
        <v>0</v>
      </c>
      <c r="T132" s="543">
        <v>0</v>
      </c>
      <c r="U132" s="543">
        <v>0</v>
      </c>
      <c r="V132" s="543">
        <v>0</v>
      </c>
      <c r="W132" s="543">
        <v>0</v>
      </c>
      <c r="X132" s="543">
        <v>0</v>
      </c>
      <c r="Y132" s="543">
        <v>0</v>
      </c>
      <c r="Z132" s="543">
        <v>0</v>
      </c>
    </row>
    <row r="133" spans="1:27" outlineLevel="2" x14ac:dyDescent="0.2">
      <c r="A133" s="884"/>
      <c r="B133" s="885"/>
      <c r="C133" s="885"/>
      <c r="D133" s="64">
        <v>4</v>
      </c>
      <c r="E133" s="68">
        <f t="shared" si="14"/>
        <v>0</v>
      </c>
      <c r="F133" s="543">
        <v>0</v>
      </c>
      <c r="G133" s="543">
        <v>0</v>
      </c>
      <c r="H133" s="543">
        <v>0</v>
      </c>
      <c r="I133" s="543">
        <v>0</v>
      </c>
      <c r="J133" s="543">
        <v>0</v>
      </c>
      <c r="K133" s="543">
        <v>0</v>
      </c>
      <c r="L133" s="543">
        <v>0</v>
      </c>
      <c r="M133" s="543">
        <v>0</v>
      </c>
      <c r="N133" s="543">
        <v>0</v>
      </c>
      <c r="O133" s="543">
        <v>0</v>
      </c>
      <c r="P133" s="543">
        <v>0</v>
      </c>
      <c r="Q133" s="543">
        <v>0</v>
      </c>
      <c r="R133" s="543">
        <v>0</v>
      </c>
      <c r="S133" s="543">
        <v>0</v>
      </c>
      <c r="T133" s="543">
        <v>0</v>
      </c>
      <c r="U133" s="543">
        <v>0</v>
      </c>
      <c r="V133" s="543">
        <v>0</v>
      </c>
      <c r="W133" s="543">
        <v>0</v>
      </c>
      <c r="X133" s="543">
        <v>0</v>
      </c>
      <c r="Y133" s="543">
        <v>0</v>
      </c>
      <c r="Z133" s="543">
        <v>0</v>
      </c>
    </row>
    <row r="134" spans="1:27" outlineLevel="2" x14ac:dyDescent="0.2">
      <c r="A134" s="884"/>
      <c r="B134" s="885"/>
      <c r="C134" s="885"/>
      <c r="D134" s="64">
        <v>5</v>
      </c>
      <c r="E134" s="68">
        <f t="shared" si="14"/>
        <v>0</v>
      </c>
      <c r="F134" s="543">
        <v>0</v>
      </c>
      <c r="G134" s="543">
        <v>0</v>
      </c>
      <c r="H134" s="543">
        <v>0</v>
      </c>
      <c r="I134" s="543">
        <v>0</v>
      </c>
      <c r="J134" s="543">
        <v>0</v>
      </c>
      <c r="K134" s="543">
        <v>0</v>
      </c>
      <c r="L134" s="543">
        <v>0</v>
      </c>
      <c r="M134" s="543">
        <v>0</v>
      </c>
      <c r="N134" s="543">
        <v>0</v>
      </c>
      <c r="O134" s="543">
        <v>0</v>
      </c>
      <c r="P134" s="543">
        <v>0</v>
      </c>
      <c r="Q134" s="543">
        <v>0</v>
      </c>
      <c r="R134" s="543">
        <v>0</v>
      </c>
      <c r="S134" s="543">
        <v>0</v>
      </c>
      <c r="T134" s="543">
        <v>0</v>
      </c>
      <c r="U134" s="543">
        <v>0</v>
      </c>
      <c r="V134" s="543">
        <v>0</v>
      </c>
      <c r="W134" s="543">
        <v>0</v>
      </c>
      <c r="X134" s="543">
        <v>0</v>
      </c>
      <c r="Y134" s="543">
        <v>0</v>
      </c>
      <c r="Z134" s="543">
        <v>0</v>
      </c>
    </row>
    <row r="135" spans="1:27" outlineLevel="2" x14ac:dyDescent="0.2">
      <c r="A135" s="884"/>
      <c r="B135" s="885"/>
      <c r="C135" s="885"/>
      <c r="D135" s="64">
        <v>6</v>
      </c>
      <c r="E135" s="68">
        <f t="shared" si="14"/>
        <v>0</v>
      </c>
      <c r="F135" s="543">
        <v>0</v>
      </c>
      <c r="G135" s="543">
        <v>0</v>
      </c>
      <c r="H135" s="543">
        <v>0</v>
      </c>
      <c r="I135" s="543">
        <v>0</v>
      </c>
      <c r="J135" s="543">
        <v>0</v>
      </c>
      <c r="K135" s="543">
        <v>0</v>
      </c>
      <c r="L135" s="543">
        <v>0</v>
      </c>
      <c r="M135" s="543">
        <v>0</v>
      </c>
      <c r="N135" s="543">
        <v>0</v>
      </c>
      <c r="O135" s="543">
        <v>0</v>
      </c>
      <c r="P135" s="543">
        <v>0</v>
      </c>
      <c r="Q135" s="543">
        <v>0</v>
      </c>
      <c r="R135" s="543">
        <v>0</v>
      </c>
      <c r="S135" s="543">
        <v>0</v>
      </c>
      <c r="T135" s="543">
        <v>0</v>
      </c>
      <c r="U135" s="543">
        <v>0</v>
      </c>
      <c r="V135" s="543">
        <v>0</v>
      </c>
      <c r="W135" s="543">
        <v>0</v>
      </c>
      <c r="X135" s="543">
        <v>0</v>
      </c>
      <c r="Y135" s="543">
        <v>0</v>
      </c>
      <c r="Z135" s="543">
        <v>0</v>
      </c>
    </row>
    <row r="136" spans="1:27" outlineLevel="2" x14ac:dyDescent="0.2">
      <c r="A136" s="884"/>
      <c r="B136" s="885"/>
      <c r="C136" s="885"/>
      <c r="D136" s="64">
        <v>7</v>
      </c>
      <c r="E136" s="68">
        <f t="shared" si="14"/>
        <v>0</v>
      </c>
      <c r="F136" s="543">
        <v>0</v>
      </c>
      <c r="G136" s="543">
        <v>0</v>
      </c>
      <c r="H136" s="543">
        <v>0</v>
      </c>
      <c r="I136" s="543">
        <v>0</v>
      </c>
      <c r="J136" s="543">
        <v>0</v>
      </c>
      <c r="K136" s="543">
        <v>0</v>
      </c>
      <c r="L136" s="543">
        <v>0</v>
      </c>
      <c r="M136" s="543">
        <v>0</v>
      </c>
      <c r="N136" s="543">
        <v>0</v>
      </c>
      <c r="O136" s="543">
        <v>0</v>
      </c>
      <c r="P136" s="543">
        <v>0</v>
      </c>
      <c r="Q136" s="543">
        <v>0</v>
      </c>
      <c r="R136" s="543">
        <v>0</v>
      </c>
      <c r="S136" s="543">
        <v>0</v>
      </c>
      <c r="T136" s="543">
        <v>0</v>
      </c>
      <c r="U136" s="543">
        <v>0</v>
      </c>
      <c r="V136" s="543">
        <v>0</v>
      </c>
      <c r="W136" s="543">
        <v>0</v>
      </c>
      <c r="X136" s="543">
        <v>0</v>
      </c>
      <c r="Y136" s="543">
        <v>0</v>
      </c>
      <c r="Z136" s="543">
        <v>0</v>
      </c>
    </row>
    <row r="137" spans="1:27" outlineLevel="2" x14ac:dyDescent="0.2">
      <c r="A137" s="884"/>
      <c r="B137" s="885"/>
      <c r="C137" s="885"/>
      <c r="D137" s="64">
        <v>8</v>
      </c>
      <c r="E137" s="68">
        <f t="shared" si="14"/>
        <v>0</v>
      </c>
      <c r="F137" s="543">
        <v>0</v>
      </c>
      <c r="G137" s="543">
        <v>0</v>
      </c>
      <c r="H137" s="543">
        <v>0</v>
      </c>
      <c r="I137" s="543">
        <v>0</v>
      </c>
      <c r="J137" s="543">
        <v>0</v>
      </c>
      <c r="K137" s="543">
        <v>0</v>
      </c>
      <c r="L137" s="543">
        <v>0</v>
      </c>
      <c r="M137" s="543">
        <v>0</v>
      </c>
      <c r="N137" s="543">
        <v>0</v>
      </c>
      <c r="O137" s="543">
        <v>0</v>
      </c>
      <c r="P137" s="543">
        <v>0</v>
      </c>
      <c r="Q137" s="543">
        <v>0</v>
      </c>
      <c r="R137" s="543">
        <v>0</v>
      </c>
      <c r="S137" s="543">
        <v>0</v>
      </c>
      <c r="T137" s="543">
        <v>0</v>
      </c>
      <c r="U137" s="543">
        <v>0</v>
      </c>
      <c r="V137" s="543">
        <v>0</v>
      </c>
      <c r="W137" s="543">
        <v>0</v>
      </c>
      <c r="X137" s="543">
        <v>0</v>
      </c>
      <c r="Y137" s="543">
        <v>0</v>
      </c>
      <c r="Z137" s="543">
        <v>0</v>
      </c>
    </row>
    <row r="138" spans="1:27" outlineLevel="2" x14ac:dyDescent="0.2">
      <c r="A138" s="884"/>
      <c r="B138" s="885"/>
      <c r="C138" s="885"/>
      <c r="D138" s="64">
        <v>9</v>
      </c>
      <c r="E138" s="68">
        <f t="shared" si="14"/>
        <v>0</v>
      </c>
      <c r="F138" s="543">
        <v>0</v>
      </c>
      <c r="G138" s="543">
        <v>0</v>
      </c>
      <c r="H138" s="543">
        <v>0</v>
      </c>
      <c r="I138" s="543">
        <v>0</v>
      </c>
      <c r="J138" s="543">
        <v>0</v>
      </c>
      <c r="K138" s="543">
        <v>0</v>
      </c>
      <c r="L138" s="543">
        <v>0</v>
      </c>
      <c r="M138" s="543">
        <v>0</v>
      </c>
      <c r="N138" s="543">
        <v>0</v>
      </c>
      <c r="O138" s="543">
        <v>0</v>
      </c>
      <c r="P138" s="543">
        <v>0</v>
      </c>
      <c r="Q138" s="543">
        <v>0</v>
      </c>
      <c r="R138" s="543">
        <v>0</v>
      </c>
      <c r="S138" s="543">
        <v>0</v>
      </c>
      <c r="T138" s="543">
        <v>0</v>
      </c>
      <c r="U138" s="543">
        <v>0</v>
      </c>
      <c r="V138" s="543">
        <v>0</v>
      </c>
      <c r="W138" s="543">
        <v>0</v>
      </c>
      <c r="X138" s="543">
        <v>0</v>
      </c>
      <c r="Y138" s="543">
        <v>0</v>
      </c>
      <c r="Z138" s="543">
        <v>0</v>
      </c>
    </row>
    <row r="139" spans="1:27" ht="16" outlineLevel="2" thickBot="1" x14ac:dyDescent="0.25">
      <c r="A139" s="884"/>
      <c r="B139" s="885"/>
      <c r="C139" s="885"/>
      <c r="D139" s="65">
        <v>10</v>
      </c>
      <c r="E139" s="69">
        <f t="shared" si="14"/>
        <v>0</v>
      </c>
      <c r="F139" s="543">
        <v>0</v>
      </c>
      <c r="G139" s="543">
        <v>0</v>
      </c>
      <c r="H139" s="543">
        <v>0</v>
      </c>
      <c r="I139" s="543">
        <v>0</v>
      </c>
      <c r="J139" s="543">
        <v>0</v>
      </c>
      <c r="K139" s="543">
        <v>0</v>
      </c>
      <c r="L139" s="543">
        <v>0</v>
      </c>
      <c r="M139" s="543">
        <v>0</v>
      </c>
      <c r="N139" s="543">
        <v>0</v>
      </c>
      <c r="O139" s="543">
        <v>0</v>
      </c>
      <c r="P139" s="543">
        <v>0</v>
      </c>
      <c r="Q139" s="543">
        <v>0</v>
      </c>
      <c r="R139" s="543">
        <v>0</v>
      </c>
      <c r="S139" s="543">
        <v>0</v>
      </c>
      <c r="T139" s="543">
        <v>0</v>
      </c>
      <c r="U139" s="543">
        <v>0</v>
      </c>
      <c r="V139" s="543">
        <v>0</v>
      </c>
      <c r="W139" s="543">
        <v>0</v>
      </c>
      <c r="X139" s="543">
        <v>0</v>
      </c>
      <c r="Y139" s="543">
        <v>0</v>
      </c>
      <c r="Z139" s="543">
        <v>0</v>
      </c>
      <c r="AA139" s="364"/>
    </row>
    <row r="140" spans="1:27" outlineLevel="2" x14ac:dyDescent="0.2">
      <c r="A140" s="884" t="s">
        <v>1166</v>
      </c>
      <c r="B140" s="885" t="s">
        <v>1167</v>
      </c>
      <c r="C140" s="885">
        <v>637040</v>
      </c>
      <c r="D140" s="63">
        <v>1</v>
      </c>
      <c r="E140" s="68">
        <f t="shared" si="14"/>
        <v>0</v>
      </c>
      <c r="F140" s="542">
        <v>0</v>
      </c>
      <c r="G140" s="542">
        <v>0</v>
      </c>
      <c r="H140" s="542">
        <v>0</v>
      </c>
      <c r="I140" s="542">
        <v>0</v>
      </c>
      <c r="J140" s="542">
        <v>0</v>
      </c>
      <c r="K140" s="542">
        <v>0</v>
      </c>
      <c r="L140" s="542">
        <v>0</v>
      </c>
      <c r="M140" s="542">
        <v>0</v>
      </c>
      <c r="N140" s="542">
        <v>0</v>
      </c>
      <c r="O140" s="542">
        <v>0</v>
      </c>
      <c r="P140" s="542">
        <v>0</v>
      </c>
      <c r="Q140" s="542">
        <v>0</v>
      </c>
      <c r="R140" s="542">
        <v>0</v>
      </c>
      <c r="S140" s="542">
        <v>0</v>
      </c>
      <c r="T140" s="542">
        <v>0</v>
      </c>
      <c r="U140" s="542">
        <v>0</v>
      </c>
      <c r="V140" s="542">
        <v>0</v>
      </c>
      <c r="W140" s="542">
        <v>0</v>
      </c>
      <c r="X140" s="542">
        <v>0</v>
      </c>
      <c r="Y140" s="542">
        <v>0</v>
      </c>
      <c r="Z140" s="542">
        <v>0</v>
      </c>
    </row>
    <row r="141" spans="1:27" outlineLevel="2" x14ac:dyDescent="0.2">
      <c r="A141" s="884"/>
      <c r="B141" s="885"/>
      <c r="C141" s="885"/>
      <c r="D141" s="64">
        <v>2</v>
      </c>
      <c r="E141" s="68">
        <f t="shared" si="14"/>
        <v>0</v>
      </c>
      <c r="F141" s="543">
        <v>0</v>
      </c>
      <c r="G141" s="543">
        <v>0</v>
      </c>
      <c r="H141" s="543">
        <v>0</v>
      </c>
      <c r="I141" s="543">
        <v>0</v>
      </c>
      <c r="J141" s="543">
        <v>0</v>
      </c>
      <c r="K141" s="543">
        <v>0</v>
      </c>
      <c r="L141" s="543">
        <v>0</v>
      </c>
      <c r="M141" s="543">
        <v>0</v>
      </c>
      <c r="N141" s="543">
        <v>0</v>
      </c>
      <c r="O141" s="543">
        <v>0</v>
      </c>
      <c r="P141" s="543">
        <v>0</v>
      </c>
      <c r="Q141" s="543">
        <v>0</v>
      </c>
      <c r="R141" s="543">
        <v>0</v>
      </c>
      <c r="S141" s="543">
        <v>0</v>
      </c>
      <c r="T141" s="543">
        <v>0</v>
      </c>
      <c r="U141" s="543">
        <v>0</v>
      </c>
      <c r="V141" s="543">
        <v>0</v>
      </c>
      <c r="W141" s="543">
        <v>0</v>
      </c>
      <c r="X141" s="543">
        <v>0</v>
      </c>
      <c r="Y141" s="543">
        <v>0</v>
      </c>
      <c r="Z141" s="543">
        <v>0</v>
      </c>
    </row>
    <row r="142" spans="1:27" outlineLevel="2" x14ac:dyDescent="0.2">
      <c r="A142" s="884"/>
      <c r="B142" s="885"/>
      <c r="C142" s="885"/>
      <c r="D142" s="64">
        <v>3</v>
      </c>
      <c r="E142" s="68">
        <f t="shared" si="14"/>
        <v>0</v>
      </c>
      <c r="F142" s="543">
        <v>0</v>
      </c>
      <c r="G142" s="543">
        <v>0</v>
      </c>
      <c r="H142" s="543">
        <v>0</v>
      </c>
      <c r="I142" s="543">
        <v>0</v>
      </c>
      <c r="J142" s="543">
        <v>0</v>
      </c>
      <c r="K142" s="543">
        <v>0</v>
      </c>
      <c r="L142" s="543">
        <v>0</v>
      </c>
      <c r="M142" s="543">
        <v>0</v>
      </c>
      <c r="N142" s="543">
        <v>0</v>
      </c>
      <c r="O142" s="543">
        <v>0</v>
      </c>
      <c r="P142" s="543">
        <v>0</v>
      </c>
      <c r="Q142" s="543">
        <v>0</v>
      </c>
      <c r="R142" s="543">
        <v>0</v>
      </c>
      <c r="S142" s="543">
        <v>0</v>
      </c>
      <c r="T142" s="543">
        <v>0</v>
      </c>
      <c r="U142" s="543">
        <v>0</v>
      </c>
      <c r="V142" s="543">
        <v>0</v>
      </c>
      <c r="W142" s="543">
        <v>0</v>
      </c>
      <c r="X142" s="543">
        <v>0</v>
      </c>
      <c r="Y142" s="543">
        <v>0</v>
      </c>
      <c r="Z142" s="543">
        <v>0</v>
      </c>
    </row>
    <row r="143" spans="1:27" outlineLevel="2" x14ac:dyDescent="0.2">
      <c r="A143" s="884"/>
      <c r="B143" s="885"/>
      <c r="C143" s="885"/>
      <c r="D143" s="64">
        <v>4</v>
      </c>
      <c r="E143" s="68">
        <f t="shared" si="14"/>
        <v>0</v>
      </c>
      <c r="F143" s="543">
        <v>0</v>
      </c>
      <c r="G143" s="543">
        <v>0</v>
      </c>
      <c r="H143" s="543">
        <v>0</v>
      </c>
      <c r="I143" s="543">
        <v>0</v>
      </c>
      <c r="J143" s="543">
        <v>0</v>
      </c>
      <c r="K143" s="543">
        <v>0</v>
      </c>
      <c r="L143" s="543">
        <v>0</v>
      </c>
      <c r="M143" s="543">
        <v>0</v>
      </c>
      <c r="N143" s="543">
        <v>0</v>
      </c>
      <c r="O143" s="543">
        <v>0</v>
      </c>
      <c r="P143" s="543">
        <v>0</v>
      </c>
      <c r="Q143" s="543">
        <v>0</v>
      </c>
      <c r="R143" s="543">
        <v>0</v>
      </c>
      <c r="S143" s="543">
        <v>0</v>
      </c>
      <c r="T143" s="543">
        <v>0</v>
      </c>
      <c r="U143" s="543">
        <v>0</v>
      </c>
      <c r="V143" s="543">
        <v>0</v>
      </c>
      <c r="W143" s="543">
        <v>0</v>
      </c>
      <c r="X143" s="543">
        <v>0</v>
      </c>
      <c r="Y143" s="543">
        <v>0</v>
      </c>
      <c r="Z143" s="543">
        <v>0</v>
      </c>
    </row>
    <row r="144" spans="1:27" outlineLevel="2" x14ac:dyDescent="0.2">
      <c r="A144" s="884"/>
      <c r="B144" s="885"/>
      <c r="C144" s="885"/>
      <c r="D144" s="64">
        <v>5</v>
      </c>
      <c r="E144" s="68">
        <f t="shared" si="14"/>
        <v>0</v>
      </c>
      <c r="F144" s="543">
        <v>0</v>
      </c>
      <c r="G144" s="543">
        <v>0</v>
      </c>
      <c r="H144" s="543">
        <v>0</v>
      </c>
      <c r="I144" s="543">
        <v>0</v>
      </c>
      <c r="J144" s="543">
        <v>0</v>
      </c>
      <c r="K144" s="543">
        <v>0</v>
      </c>
      <c r="L144" s="543">
        <v>0</v>
      </c>
      <c r="M144" s="543">
        <v>0</v>
      </c>
      <c r="N144" s="543">
        <v>0</v>
      </c>
      <c r="O144" s="543">
        <v>0</v>
      </c>
      <c r="P144" s="543">
        <v>0</v>
      </c>
      <c r="Q144" s="543">
        <v>0</v>
      </c>
      <c r="R144" s="543">
        <v>0</v>
      </c>
      <c r="S144" s="543">
        <v>0</v>
      </c>
      <c r="T144" s="543">
        <v>0</v>
      </c>
      <c r="U144" s="543">
        <v>0</v>
      </c>
      <c r="V144" s="543">
        <v>0</v>
      </c>
      <c r="W144" s="543">
        <v>0</v>
      </c>
      <c r="X144" s="543">
        <v>0</v>
      </c>
      <c r="Y144" s="543">
        <v>0</v>
      </c>
      <c r="Z144" s="543">
        <v>0</v>
      </c>
    </row>
    <row r="145" spans="1:26" outlineLevel="2" x14ac:dyDescent="0.2">
      <c r="A145" s="884"/>
      <c r="B145" s="885"/>
      <c r="C145" s="885"/>
      <c r="D145" s="64">
        <v>6</v>
      </c>
      <c r="E145" s="68">
        <f t="shared" si="14"/>
        <v>0</v>
      </c>
      <c r="F145" s="543">
        <v>0</v>
      </c>
      <c r="G145" s="543">
        <v>0</v>
      </c>
      <c r="H145" s="543">
        <v>0</v>
      </c>
      <c r="I145" s="543">
        <v>0</v>
      </c>
      <c r="J145" s="543">
        <v>0</v>
      </c>
      <c r="K145" s="543">
        <v>0</v>
      </c>
      <c r="L145" s="543">
        <v>0</v>
      </c>
      <c r="M145" s="543">
        <v>0</v>
      </c>
      <c r="N145" s="543">
        <v>0</v>
      </c>
      <c r="O145" s="543">
        <v>0</v>
      </c>
      <c r="P145" s="543">
        <v>0</v>
      </c>
      <c r="Q145" s="543">
        <v>0</v>
      </c>
      <c r="R145" s="543">
        <v>0</v>
      </c>
      <c r="S145" s="543">
        <v>0</v>
      </c>
      <c r="T145" s="543">
        <v>0</v>
      </c>
      <c r="U145" s="543">
        <v>0</v>
      </c>
      <c r="V145" s="543">
        <v>0</v>
      </c>
      <c r="W145" s="543">
        <v>0</v>
      </c>
      <c r="X145" s="543">
        <v>0</v>
      </c>
      <c r="Y145" s="543">
        <v>0</v>
      </c>
      <c r="Z145" s="543">
        <v>0</v>
      </c>
    </row>
    <row r="146" spans="1:26" outlineLevel="2" x14ac:dyDescent="0.2">
      <c r="A146" s="884"/>
      <c r="B146" s="885"/>
      <c r="C146" s="885"/>
      <c r="D146" s="64">
        <v>7</v>
      </c>
      <c r="E146" s="68">
        <f t="shared" si="14"/>
        <v>0</v>
      </c>
      <c r="F146" s="543">
        <v>0</v>
      </c>
      <c r="G146" s="543">
        <v>0</v>
      </c>
      <c r="H146" s="543">
        <v>0</v>
      </c>
      <c r="I146" s="543">
        <v>0</v>
      </c>
      <c r="J146" s="543">
        <v>0</v>
      </c>
      <c r="K146" s="543">
        <v>0</v>
      </c>
      <c r="L146" s="543">
        <v>0</v>
      </c>
      <c r="M146" s="543">
        <v>0</v>
      </c>
      <c r="N146" s="543">
        <v>0</v>
      </c>
      <c r="O146" s="543">
        <v>0</v>
      </c>
      <c r="P146" s="543">
        <v>0</v>
      </c>
      <c r="Q146" s="543">
        <v>0</v>
      </c>
      <c r="R146" s="543">
        <v>0</v>
      </c>
      <c r="S146" s="543">
        <v>0</v>
      </c>
      <c r="T146" s="543">
        <v>0</v>
      </c>
      <c r="U146" s="543">
        <v>0</v>
      </c>
      <c r="V146" s="543">
        <v>0</v>
      </c>
      <c r="W146" s="543">
        <v>0</v>
      </c>
      <c r="X146" s="543">
        <v>0</v>
      </c>
      <c r="Y146" s="543">
        <v>0</v>
      </c>
      <c r="Z146" s="543">
        <v>0</v>
      </c>
    </row>
    <row r="147" spans="1:26" outlineLevel="2" x14ac:dyDescent="0.2">
      <c r="A147" s="884"/>
      <c r="B147" s="885"/>
      <c r="C147" s="885"/>
      <c r="D147" s="64">
        <v>8</v>
      </c>
      <c r="E147" s="68">
        <f t="shared" si="14"/>
        <v>0</v>
      </c>
      <c r="F147" s="543">
        <v>0</v>
      </c>
      <c r="G147" s="543">
        <v>0</v>
      </c>
      <c r="H147" s="543">
        <v>0</v>
      </c>
      <c r="I147" s="543">
        <v>0</v>
      </c>
      <c r="J147" s="543">
        <v>0</v>
      </c>
      <c r="K147" s="543">
        <v>0</v>
      </c>
      <c r="L147" s="543">
        <v>0</v>
      </c>
      <c r="M147" s="543">
        <v>0</v>
      </c>
      <c r="N147" s="543">
        <v>0</v>
      </c>
      <c r="O147" s="543">
        <v>0</v>
      </c>
      <c r="P147" s="543">
        <v>0</v>
      </c>
      <c r="Q147" s="543">
        <v>0</v>
      </c>
      <c r="R147" s="543">
        <v>0</v>
      </c>
      <c r="S147" s="543">
        <v>0</v>
      </c>
      <c r="T147" s="543">
        <v>0</v>
      </c>
      <c r="U147" s="543">
        <v>0</v>
      </c>
      <c r="V147" s="543">
        <v>0</v>
      </c>
      <c r="W147" s="543">
        <v>0</v>
      </c>
      <c r="X147" s="543">
        <v>0</v>
      </c>
      <c r="Y147" s="543">
        <v>0</v>
      </c>
      <c r="Z147" s="543">
        <v>0</v>
      </c>
    </row>
    <row r="148" spans="1:26" outlineLevel="2" x14ac:dyDescent="0.2">
      <c r="A148" s="884"/>
      <c r="B148" s="885"/>
      <c r="C148" s="885"/>
      <c r="D148" s="64">
        <v>9</v>
      </c>
      <c r="E148" s="68">
        <f t="shared" si="14"/>
        <v>0</v>
      </c>
      <c r="F148" s="543">
        <v>0</v>
      </c>
      <c r="G148" s="543">
        <v>0</v>
      </c>
      <c r="H148" s="543">
        <v>0</v>
      </c>
      <c r="I148" s="543">
        <v>0</v>
      </c>
      <c r="J148" s="543">
        <v>0</v>
      </c>
      <c r="K148" s="543">
        <v>0</v>
      </c>
      <c r="L148" s="543">
        <v>0</v>
      </c>
      <c r="M148" s="543">
        <v>0</v>
      </c>
      <c r="N148" s="543">
        <v>0</v>
      </c>
      <c r="O148" s="543">
        <v>0</v>
      </c>
      <c r="P148" s="543">
        <v>0</v>
      </c>
      <c r="Q148" s="543">
        <v>0</v>
      </c>
      <c r="R148" s="543">
        <v>0</v>
      </c>
      <c r="S148" s="543">
        <v>0</v>
      </c>
      <c r="T148" s="543">
        <v>0</v>
      </c>
      <c r="U148" s="543">
        <v>0</v>
      </c>
      <c r="V148" s="543">
        <v>0</v>
      </c>
      <c r="W148" s="543">
        <v>0</v>
      </c>
      <c r="X148" s="543">
        <v>0</v>
      </c>
      <c r="Y148" s="543">
        <v>0</v>
      </c>
      <c r="Z148" s="543">
        <v>0</v>
      </c>
    </row>
    <row r="149" spans="1:26" ht="16" outlineLevel="2" thickBot="1" x14ac:dyDescent="0.25">
      <c r="A149" s="884"/>
      <c r="B149" s="885"/>
      <c r="C149" s="885"/>
      <c r="D149" s="65">
        <v>10</v>
      </c>
      <c r="E149" s="69">
        <f t="shared" si="14"/>
        <v>0</v>
      </c>
      <c r="F149" s="547">
        <v>0</v>
      </c>
      <c r="G149" s="547">
        <v>0</v>
      </c>
      <c r="H149" s="547">
        <v>0</v>
      </c>
      <c r="I149" s="547">
        <v>0</v>
      </c>
      <c r="J149" s="547">
        <v>0</v>
      </c>
      <c r="K149" s="547">
        <v>0</v>
      </c>
      <c r="L149" s="547">
        <v>0</v>
      </c>
      <c r="M149" s="547">
        <v>0</v>
      </c>
      <c r="N149" s="547">
        <v>0</v>
      </c>
      <c r="O149" s="547">
        <v>0</v>
      </c>
      <c r="P149" s="547">
        <v>0</v>
      </c>
      <c r="Q149" s="547">
        <v>0</v>
      </c>
      <c r="R149" s="547">
        <v>0</v>
      </c>
      <c r="S149" s="547">
        <v>0</v>
      </c>
      <c r="T149" s="547">
        <v>0</v>
      </c>
      <c r="U149" s="547">
        <v>0</v>
      </c>
      <c r="V149" s="547">
        <v>0</v>
      </c>
      <c r="W149" s="547">
        <v>0</v>
      </c>
      <c r="X149" s="547">
        <v>0</v>
      </c>
      <c r="Y149" s="547">
        <v>0</v>
      </c>
      <c r="Z149" s="547">
        <v>0</v>
      </c>
    </row>
    <row r="150" spans="1:26" ht="16" thickBot="1" x14ac:dyDescent="0.25">
      <c r="A150" s="17" t="s">
        <v>1181</v>
      </c>
      <c r="B150" s="17"/>
      <c r="C150" s="17"/>
      <c r="D150" s="27"/>
      <c r="E150" s="110">
        <f t="shared" ref="E150:Z150" si="15">SUM(E151:E170)</f>
        <v>221093.84010000003</v>
      </c>
      <c r="F150" s="111">
        <f t="shared" si="15"/>
        <v>79943.768578252755</v>
      </c>
      <c r="G150" s="111">
        <f t="shared" si="15"/>
        <v>24721.898491674441</v>
      </c>
      <c r="H150" s="111">
        <f t="shared" si="15"/>
        <v>38589.27393942506</v>
      </c>
      <c r="I150" s="111">
        <f t="shared" si="15"/>
        <v>47751.647003117432</v>
      </c>
      <c r="J150" s="111">
        <f t="shared" si="15"/>
        <v>19067.641240657085</v>
      </c>
      <c r="K150" s="111">
        <f t="shared" si="15"/>
        <v>5819.3450539667729</v>
      </c>
      <c r="L150" s="111">
        <f t="shared" si="15"/>
        <v>5200.2657929064771</v>
      </c>
      <c r="M150" s="111">
        <f t="shared" si="15"/>
        <v>0</v>
      </c>
      <c r="N150" s="111">
        <f t="shared" si="15"/>
        <v>0</v>
      </c>
      <c r="O150" s="111">
        <f t="shared" si="15"/>
        <v>0</v>
      </c>
      <c r="P150" s="111">
        <f t="shared" si="15"/>
        <v>0</v>
      </c>
      <c r="Q150" s="111">
        <f t="shared" si="15"/>
        <v>0</v>
      </c>
      <c r="R150" s="111">
        <f t="shared" si="15"/>
        <v>0</v>
      </c>
      <c r="S150" s="111">
        <f t="shared" si="15"/>
        <v>0</v>
      </c>
      <c r="T150" s="111">
        <f t="shared" si="15"/>
        <v>0</v>
      </c>
      <c r="U150" s="111">
        <f t="shared" si="15"/>
        <v>0</v>
      </c>
      <c r="V150" s="111">
        <f t="shared" si="15"/>
        <v>0</v>
      </c>
      <c r="W150" s="111">
        <f t="shared" si="15"/>
        <v>0</v>
      </c>
      <c r="X150" s="111">
        <f t="shared" si="15"/>
        <v>0</v>
      </c>
      <c r="Y150" s="111">
        <f t="shared" si="15"/>
        <v>0</v>
      </c>
      <c r="Z150" s="111">
        <f t="shared" si="15"/>
        <v>0</v>
      </c>
    </row>
    <row r="151" spans="1:26" x14ac:dyDescent="0.2">
      <c r="A151" s="884" t="s">
        <v>1069</v>
      </c>
      <c r="B151" s="885"/>
      <c r="C151" s="885"/>
      <c r="D151" s="63">
        <v>1</v>
      </c>
      <c r="E151" s="67">
        <f t="shared" ref="E151:E170" si="16">SUM(F151:Z151)</f>
        <v>65260.800000000003</v>
      </c>
      <c r="F151" s="539">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HW'!$E$4)*SUM(AKTIVITY_POZICIE!$M$41:$M$52)*1.2)/AKTIVITY_POZICIE!$B$41)),0)+IFERROR(SUM(#REF!)*'TCO TO BE- SW'!F$4/'TCO TO BE- SW'!$E$4,0)</f>
        <v>23597.194250513348</v>
      </c>
      <c r="G151" s="539">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HW'!$E$4)*SUM(AKTIVITY_POZICIE!$M$41:$M$52)*1.2)/AKTIVITY_POZICIE!$B$41)),0)+IFERROR(SUM(#REF!)*'TCO TO BE- SW'!G$4/'TCO TO BE- SW'!$E$4,0)</f>
        <v>7297.2221765913764</v>
      </c>
      <c r="H151" s="539">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HW'!$E$4)*SUM(AKTIVITY_POZICIE!$M$41:$M$52)*1.2)/AKTIVITY_POZICIE!$B$41)),0)+IFERROR(SUM(#REF!)*'TCO TO BE- SW'!H$4/'TCO TO BE- SW'!$E$4,0)</f>
        <v>11390.488706365506</v>
      </c>
      <c r="I151" s="539">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HW'!$E$4)*SUM(AKTIVITY_POZICIE!$M$41:$M$52)*1.2)/AKTIVITY_POZICIE!$B$41)),0)+IFERROR(SUM(#REF!)*'TCO TO BE- SW'!I$4/'TCO TO BE- SW'!$E$4,0)</f>
        <v>14094.968377823414</v>
      </c>
      <c r="J151" s="539">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HW'!$E$4)*SUM(AKTIVITY_POZICIE!$M$41:$M$52)*1.2)/AKTIVITY_POZICIE!$B$41)),0)+IFERROR(SUM(#REF!)*'TCO TO BE- SW'!J$4/'TCO TO BE- SW'!$E$4,0)</f>
        <v>5628.2414784394268</v>
      </c>
      <c r="K151" s="539">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HW'!$E$4)*SUM(AKTIVITY_POZICIE!$M$41:$M$52)*1.2)/AKTIVITY_POZICIE!$B$41)),0)+IFERROR(SUM(#REF!)*'TCO TO BE- SW'!K$4/'TCO TO BE- SW'!$E$4,0)</f>
        <v>1717.710061601643</v>
      </c>
      <c r="L151" s="539">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HW'!$E$4)*SUM(AKTIVITY_POZICIE!$M$41:$M$52)*1.2)/AKTIVITY_POZICIE!$B$41)),0)+IFERROR(SUM(#REF!)*'TCO TO BE- SW'!L$4/'TCO TO BE- SW'!$E$4,0)</f>
        <v>1534.9749486652979</v>
      </c>
      <c r="M151" s="539">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HW'!$E$4)*SUM(AKTIVITY_POZICIE!$M$41:$M$52)*1.2)/AKTIVITY_POZICIE!$B$41)),0)+IFERROR(SUM(#REF!)*'TCO TO BE- SW'!M$4/'TCO TO BE- SW'!$E$4,0)</f>
        <v>0</v>
      </c>
      <c r="N151" s="539">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HW'!$E$4)*SUM(AKTIVITY_POZICIE!$M$41:$M$52)*1.2)/AKTIVITY_POZICIE!$B$41)),0)+IFERROR(SUM(#REF!)*'TCO TO BE- SW'!N$4/'TCO TO BE- SW'!$E$4,0)</f>
        <v>0</v>
      </c>
      <c r="O151" s="539">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HW'!$E$4)*SUM(AKTIVITY_POZICIE!$M$41:$M$52)*1.2)/AKTIVITY_POZICIE!$B$41)),0)+IFERROR(SUM(#REF!)*'TCO TO BE- SW'!O$4/'TCO TO BE- SW'!$E$4,0)</f>
        <v>0</v>
      </c>
      <c r="P151" s="539">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HW'!$E$4)*SUM(AKTIVITY_POZICIE!$M$41:$M$52)*1.2)/AKTIVITY_POZICIE!$B$41)),0)+IFERROR(SUM(#REF!)*'TCO TO BE- SW'!P$4/'TCO TO BE- SW'!$E$4,0)</f>
        <v>0</v>
      </c>
      <c r="Q151" s="539">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HW'!$E$4)*SUM(AKTIVITY_POZICIE!$M$41:$M$52)*1.2)/AKTIVITY_POZICIE!$B$41)),0)+IFERROR(SUM(#REF!)*'TCO TO BE- SW'!Q$4/'TCO TO BE- SW'!$E$4,0)</f>
        <v>0</v>
      </c>
      <c r="R151" s="539">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HW'!$E$4)*SUM(AKTIVITY_POZICIE!$M$41:$M$52)*1.2)/AKTIVITY_POZICIE!$B$41)),0)+IFERROR(SUM(#REF!)*'TCO TO BE- SW'!R$4/'TCO TO BE- SW'!$E$4,0)</f>
        <v>0</v>
      </c>
      <c r="S151" s="539">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HW'!$E$4)*SUM(AKTIVITY_POZICIE!$M$41:$M$52)*1.2)/AKTIVITY_POZICIE!$B$41)),0)+IFERROR(SUM(#REF!)*'TCO TO BE- SW'!S$4/'TCO TO BE- SW'!$E$4,0)</f>
        <v>0</v>
      </c>
      <c r="T151" s="539">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HW'!$E$4)*SUM(AKTIVITY_POZICIE!$M$41:$M$52)*1.2)/AKTIVITY_POZICIE!$B$41)),0)+IFERROR(SUM(#REF!)*'TCO TO BE- SW'!T$4/'TCO TO BE- SW'!$E$4,0)</f>
        <v>0</v>
      </c>
      <c r="U151" s="539">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HW'!$E$4)*SUM(AKTIVITY_POZICIE!$M$41:$M$52)*1.2)/AKTIVITY_POZICIE!$B$41)),0)+IFERROR(SUM(#REF!)*'TCO TO BE- SW'!U$4/'TCO TO BE- SW'!$E$4,0)</f>
        <v>0</v>
      </c>
      <c r="V151" s="539">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HW'!$E$4)*SUM(AKTIVITY_POZICIE!$M$41:$M$52)*1.2)/AKTIVITY_POZICIE!$B$41)),0)+IFERROR(SUM(#REF!)*'TCO TO BE- SW'!V$4/'TCO TO BE- SW'!$E$4,0)</f>
        <v>0</v>
      </c>
      <c r="W151" s="539">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HW'!$E$4)*SUM(AKTIVITY_POZICIE!$M$41:$M$52)*1.2)/AKTIVITY_POZICIE!$B$41)),0)+IFERROR(SUM(#REF!)*'TCO TO BE- SW'!W$4/'TCO TO BE- SW'!$E$4,0)</f>
        <v>0</v>
      </c>
      <c r="X151" s="539">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HW'!$E$4)*SUM(AKTIVITY_POZICIE!$M$41:$M$52)*1.2)/AKTIVITY_POZICIE!$B$41)),0)+IFERROR(SUM(#REF!)*'TCO TO BE- SW'!X$4/'TCO TO BE- SW'!$E$4,0)</f>
        <v>0</v>
      </c>
      <c r="Y151" s="539">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HW'!$E$4)*SUM(AKTIVITY_POZICIE!$M$41:$M$52)*1.2)/AKTIVITY_POZICIE!$B$41)),0)+IFERROR(SUM(#REF!)*'TCO TO BE- SW'!Y$4/'TCO TO BE- SW'!$E$4,0)</f>
        <v>0</v>
      </c>
      <c r="Z151" s="539">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HW'!$E$4)*SUM(AKTIVITY_POZICIE!$M$41:$M$52)*1.2)/AKTIVITY_POZICIE!$B$41)),0)+IFERROR(SUM(#REF!)*'TCO TO BE- SW'!Z$4/'TCO TO BE- SW'!$E$4,0)</f>
        <v>0</v>
      </c>
    </row>
    <row r="152" spans="1:26" x14ac:dyDescent="0.2">
      <c r="A152" s="884"/>
      <c r="B152" s="885"/>
      <c r="C152" s="885"/>
      <c r="D152" s="64">
        <v>2</v>
      </c>
      <c r="E152" s="68">
        <f t="shared" si="16"/>
        <v>16315.2</v>
      </c>
      <c r="F152" s="540">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5899.2985626283371</v>
      </c>
      <c r="G152" s="540">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1824.3055441478436</v>
      </c>
      <c r="H152" s="540">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2847.6221765913765</v>
      </c>
      <c r="I152" s="540">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3523.742094455853</v>
      </c>
      <c r="J152" s="540">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1407.0603696098565</v>
      </c>
      <c r="K152" s="540">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429.42751540041075</v>
      </c>
      <c r="L152" s="540">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383.74373716632448</v>
      </c>
      <c r="M152" s="540">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40">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40">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40">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40">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40">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40">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40">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40">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40">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40">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40">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40">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40">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x14ac:dyDescent="0.2">
      <c r="A153" s="884"/>
      <c r="B153" s="885"/>
      <c r="C153" s="885"/>
      <c r="D153" s="64">
        <v>3</v>
      </c>
      <c r="E153" s="68">
        <f t="shared" si="16"/>
        <v>0</v>
      </c>
      <c r="F153" s="540">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40">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40">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40">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40">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40">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40">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40">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40">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40">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40">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40">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40">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40">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40">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40">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40">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40">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40">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40">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40">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x14ac:dyDescent="0.2">
      <c r="A154" s="884"/>
      <c r="B154" s="885"/>
      <c r="C154" s="885"/>
      <c r="D154" s="64">
        <v>4</v>
      </c>
      <c r="E154" s="68">
        <f t="shared" si="16"/>
        <v>0</v>
      </c>
      <c r="F154" s="540">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40">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40">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40">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40">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40">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40">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40">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40">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40">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40">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40">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40">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40">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40">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40">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40">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40">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40">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40">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40">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x14ac:dyDescent="0.2">
      <c r="A155" s="884"/>
      <c r="B155" s="885"/>
      <c r="C155" s="885"/>
      <c r="D155" s="64">
        <v>5</v>
      </c>
      <c r="E155" s="68">
        <f t="shared" si="16"/>
        <v>0</v>
      </c>
      <c r="F155" s="540">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40">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40">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40">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40">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40">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40">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40">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40">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40">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40">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40">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40">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40">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40">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40">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40">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40">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40">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40">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40">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x14ac:dyDescent="0.2">
      <c r="A156" s="884"/>
      <c r="B156" s="885"/>
      <c r="C156" s="885"/>
      <c r="D156" s="64">
        <v>6</v>
      </c>
      <c r="E156" s="68">
        <f t="shared" si="16"/>
        <v>0</v>
      </c>
      <c r="F156" s="540">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40">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40">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40">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40">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40">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40">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40">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40">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40">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40">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40">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40">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40">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40">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40">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40">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40">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40">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40">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40">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x14ac:dyDescent="0.2">
      <c r="A157" s="884"/>
      <c r="B157" s="885"/>
      <c r="C157" s="885"/>
      <c r="D157" s="64">
        <v>7</v>
      </c>
      <c r="E157" s="68">
        <f t="shared" si="16"/>
        <v>0</v>
      </c>
      <c r="F157" s="540">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40">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40">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40">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40">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40">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40">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40">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40">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40">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40">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40">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40">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40">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40">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40">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40">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40">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40">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40">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40">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x14ac:dyDescent="0.2">
      <c r="A158" s="884"/>
      <c r="B158" s="885"/>
      <c r="C158" s="885"/>
      <c r="D158" s="64">
        <v>8</v>
      </c>
      <c r="E158" s="68">
        <f t="shared" si="16"/>
        <v>0</v>
      </c>
      <c r="F158" s="540">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40">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40">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40">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40">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40">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40">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40">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40">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40">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40">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40">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40">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40">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40">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40">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40">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40">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40">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40">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40">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x14ac:dyDescent="0.2">
      <c r="A159" s="884"/>
      <c r="B159" s="885"/>
      <c r="C159" s="885"/>
      <c r="D159" s="64">
        <v>9</v>
      </c>
      <c r="E159" s="68">
        <f t="shared" si="16"/>
        <v>0</v>
      </c>
      <c r="F159" s="540">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40">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40">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40">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40">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40">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40">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40">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40">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40">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40">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40">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40">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40">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40">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40">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40">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40">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40">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40">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40">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6" thickBot="1" x14ac:dyDescent="0.25">
      <c r="A160" s="884"/>
      <c r="B160" s="885"/>
      <c r="C160" s="885"/>
      <c r="D160" s="65">
        <v>10</v>
      </c>
      <c r="E160" s="69">
        <f t="shared" si="16"/>
        <v>0</v>
      </c>
      <c r="F160" s="540">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40">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40">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40">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40">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40">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40">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40">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40">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40">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40">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40">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40">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40">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40">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40">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40">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40">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40">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40">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40">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x14ac:dyDescent="0.2">
      <c r="A161" s="884" t="s">
        <v>1182</v>
      </c>
      <c r="B161" s="885"/>
      <c r="C161" s="885" t="s">
        <v>1183</v>
      </c>
      <c r="D161" s="63">
        <v>1</v>
      </c>
      <c r="E161" s="68">
        <f t="shared" si="16"/>
        <v>111614.27208000001</v>
      </c>
      <c r="F161" s="539">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HW'!$E$4)*SUM(AKTIVITY_POZICIE!$M$53:$M$64)*1.2)/AKTIVITY_POZICIE!$B$53)),0)+IFERROR(SUM(#REF!)*'TCO TO BE- SW'!F$4/'TCO TO BE- SW'!$E$4,0)</f>
        <v>40357.820612088857</v>
      </c>
      <c r="G161" s="539">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HW'!$E$4)*SUM(AKTIVITY_POZICIE!$M$53:$M$64)*1.2)/AKTIVITY_POZICIE!$B$53)),0)+IFERROR(SUM(#REF!)*'TCO TO BE- SW'!G$4/'TCO TO BE- SW'!$E$4,0)</f>
        <v>12480.296616748175</v>
      </c>
      <c r="H161" s="539">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HW'!$E$4)*SUM(AKTIVITY_POZICIE!$M$53:$M$64)*1.2)/AKTIVITY_POZICIE!$B$53)),0)+IFERROR(SUM(#REF!)*'TCO TO BE- SW'!H$4/'TCO TO BE- SW'!$E$4,0)</f>
        <v>19480.930445174541</v>
      </c>
      <c r="I161" s="539">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HW'!$E$4)*SUM(AKTIVITY_POZICIE!$M$53:$M$64)*1.2)/AKTIVITY_POZICIE!$B$53)),0)+IFERROR(SUM(#REF!)*'TCO TO BE- SW'!I$4/'TCO TO BE- SW'!$E$4,0)</f>
        <v>24106.349224670528</v>
      </c>
      <c r="J161" s="539">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HW'!$E$4)*SUM(AKTIVITY_POZICIE!$M$53:$M$64)*1.2)/AKTIVITY_POZICIE!$B$53)),0)+IFERROR(SUM(#REF!)*'TCO TO BE- SW'!J$4/'TCO TO BE- SW'!$E$4,0)</f>
        <v>9625.8715140862423</v>
      </c>
      <c r="K161" s="539">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HW'!$E$4)*SUM(AKTIVITY_POZICIE!$M$53:$M$64)*1.2)/AKTIVITY_POZICIE!$B$53)),0)+IFERROR(SUM(#REF!)*'TCO TO BE- SW'!K$4/'TCO TO BE- SW'!$E$4,0)</f>
        <v>2937.7659815717757</v>
      </c>
      <c r="L161" s="539">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HW'!$E$4)*SUM(AKTIVITY_POZICIE!$M$53:$M$64)*1.2)/AKTIVITY_POZICIE!$B$53)),0)+IFERROR(SUM(#REF!)*'TCO TO BE- SW'!L$4/'TCO TO BE- SW'!$E$4,0)</f>
        <v>2625.2376856598839</v>
      </c>
      <c r="M161" s="539">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HW'!$E$4)*SUM(AKTIVITY_POZICIE!$M$53:$M$64)*1.2)/AKTIVITY_POZICIE!$B$53)),0)+IFERROR(SUM(#REF!)*'TCO TO BE- SW'!M$4/'TCO TO BE- SW'!$E$4,0)</f>
        <v>0</v>
      </c>
      <c r="N161" s="539">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HW'!$E$4)*SUM(AKTIVITY_POZICIE!$M$53:$M$64)*1.2)/AKTIVITY_POZICIE!$B$53)),0)+IFERROR(SUM(#REF!)*'TCO TO BE- SW'!N$4/'TCO TO BE- SW'!$E$4,0)</f>
        <v>0</v>
      </c>
      <c r="O161" s="539">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HW'!$E$4)*SUM(AKTIVITY_POZICIE!$M$53:$M$64)*1.2)/AKTIVITY_POZICIE!$B$53)),0)+IFERROR(SUM(#REF!)*'TCO TO BE- SW'!O$4/'TCO TO BE- SW'!$E$4,0)</f>
        <v>0</v>
      </c>
      <c r="P161" s="539">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HW'!$E$4)*SUM(AKTIVITY_POZICIE!$M$53:$M$64)*1.2)/AKTIVITY_POZICIE!$B$53)),0)+IFERROR(SUM(#REF!)*'TCO TO BE- SW'!P$4/'TCO TO BE- SW'!$E$4,0)</f>
        <v>0</v>
      </c>
      <c r="Q161" s="539">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HW'!$E$4)*SUM(AKTIVITY_POZICIE!$M$53:$M$64)*1.2)/AKTIVITY_POZICIE!$B$53)),0)+IFERROR(SUM(#REF!)*'TCO TO BE- SW'!Q$4/'TCO TO BE- SW'!$E$4,0)</f>
        <v>0</v>
      </c>
      <c r="R161" s="539">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HW'!$E$4)*SUM(AKTIVITY_POZICIE!$M$53:$M$64)*1.2)/AKTIVITY_POZICIE!$B$53)),0)+IFERROR(SUM(#REF!)*'TCO TO BE- SW'!R$4/'TCO TO BE- SW'!$E$4,0)</f>
        <v>0</v>
      </c>
      <c r="S161" s="539">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HW'!$E$4)*SUM(AKTIVITY_POZICIE!$M$53:$M$64)*1.2)/AKTIVITY_POZICIE!$B$53)),0)+IFERROR(SUM(#REF!)*'TCO TO BE- SW'!S$4/'TCO TO BE- SW'!$E$4,0)</f>
        <v>0</v>
      </c>
      <c r="T161" s="539">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HW'!$E$4)*SUM(AKTIVITY_POZICIE!$M$53:$M$64)*1.2)/AKTIVITY_POZICIE!$B$53)),0)+IFERROR(SUM(#REF!)*'TCO TO BE- SW'!T$4/'TCO TO BE- SW'!$E$4,0)</f>
        <v>0</v>
      </c>
      <c r="U161" s="539">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HW'!$E$4)*SUM(AKTIVITY_POZICIE!$M$53:$M$64)*1.2)/AKTIVITY_POZICIE!$B$53)),0)+IFERROR(SUM(#REF!)*'TCO TO BE- SW'!U$4/'TCO TO BE- SW'!$E$4,0)</f>
        <v>0</v>
      </c>
      <c r="V161" s="539">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HW'!$E$4)*SUM(AKTIVITY_POZICIE!$M$53:$M$64)*1.2)/AKTIVITY_POZICIE!$B$53)),0)+IFERROR(SUM(#REF!)*'TCO TO BE- SW'!V$4/'TCO TO BE- SW'!$E$4,0)</f>
        <v>0</v>
      </c>
      <c r="W161" s="539">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HW'!$E$4)*SUM(AKTIVITY_POZICIE!$M$53:$M$64)*1.2)/AKTIVITY_POZICIE!$B$53)),0)+IFERROR(SUM(#REF!)*'TCO TO BE- SW'!W$4/'TCO TO BE- SW'!$E$4,0)</f>
        <v>0</v>
      </c>
      <c r="X161" s="539">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HW'!$E$4)*SUM(AKTIVITY_POZICIE!$M$53:$M$64)*1.2)/AKTIVITY_POZICIE!$B$53)),0)+IFERROR(SUM(#REF!)*'TCO TO BE- SW'!X$4/'TCO TO BE- SW'!$E$4,0)</f>
        <v>0</v>
      </c>
      <c r="Y161" s="539">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HW'!$E$4)*SUM(AKTIVITY_POZICIE!$M$53:$M$64)*1.2)/AKTIVITY_POZICIE!$B$53)),0)+IFERROR(SUM(#REF!)*'TCO TO BE- SW'!Y$4/'TCO TO BE- SW'!$E$4,0)</f>
        <v>0</v>
      </c>
      <c r="Z161" s="539">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HW'!$E$4)*SUM(AKTIVITY_POZICIE!$M$53:$M$64)*1.2)/AKTIVITY_POZICIE!$B$53)),0)+IFERROR(SUM(#REF!)*'TCO TO BE- SW'!Z$4/'TCO TO BE- SW'!$E$4,0)</f>
        <v>0</v>
      </c>
    </row>
    <row r="162" spans="1:26" x14ac:dyDescent="0.2">
      <c r="A162" s="884"/>
      <c r="B162" s="885"/>
      <c r="C162" s="885"/>
      <c r="D162" s="64">
        <v>2</v>
      </c>
      <c r="E162" s="68">
        <f t="shared" si="16"/>
        <v>27903.568020000002</v>
      </c>
      <c r="F162" s="540">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10089.455153022214</v>
      </c>
      <c r="G162" s="540">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3120.0741541870443</v>
      </c>
      <c r="H162" s="540">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4870.2326112936344</v>
      </c>
      <c r="I162" s="540">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6026.5873061676311</v>
      </c>
      <c r="J162" s="540">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2406.4678785215606</v>
      </c>
      <c r="K162" s="540">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734.44149539294392</v>
      </c>
      <c r="L162" s="540">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656.30942141497098</v>
      </c>
      <c r="M162" s="540">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40">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40">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40">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40">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40">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40">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40">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40">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40">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40">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40">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40">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40">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x14ac:dyDescent="0.2">
      <c r="A163" s="884"/>
      <c r="B163" s="885"/>
      <c r="C163" s="885"/>
      <c r="D163" s="64">
        <v>3</v>
      </c>
      <c r="E163" s="68">
        <f t="shared" si="16"/>
        <v>0</v>
      </c>
      <c r="F163" s="540">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40">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40">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40">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40">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40">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40">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40">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40">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40">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40">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40">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40">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40">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40">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40">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40">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40">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40">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40">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40">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x14ac:dyDescent="0.2">
      <c r="A164" s="884"/>
      <c r="B164" s="885"/>
      <c r="C164" s="885"/>
      <c r="D164" s="64">
        <v>4</v>
      </c>
      <c r="E164" s="68">
        <f t="shared" si="16"/>
        <v>0</v>
      </c>
      <c r="F164" s="540">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40">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40">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40">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40">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40">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40">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40">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40">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40">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40">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40">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40">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40">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40">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40">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40">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40">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40">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40">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40">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x14ac:dyDescent="0.2">
      <c r="A165" s="884"/>
      <c r="B165" s="885"/>
      <c r="C165" s="885"/>
      <c r="D165" s="64">
        <v>5</v>
      </c>
      <c r="E165" s="68">
        <f t="shared" si="16"/>
        <v>0</v>
      </c>
      <c r="F165" s="540">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40">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40">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40">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40">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40">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40">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40">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40">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40">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40">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40">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40">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40">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40">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40">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40">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40">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40">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40">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40">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x14ac:dyDescent="0.2">
      <c r="A166" s="884"/>
      <c r="B166" s="885"/>
      <c r="C166" s="885"/>
      <c r="D166" s="64">
        <v>6</v>
      </c>
      <c r="E166" s="68">
        <f t="shared" si="16"/>
        <v>0</v>
      </c>
      <c r="F166" s="540">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40">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40">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40">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40">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40">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40">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40">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40">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40">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40">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40">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40">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40">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40">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40">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40">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40">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40">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40">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40">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x14ac:dyDescent="0.2">
      <c r="A167" s="884"/>
      <c r="B167" s="885"/>
      <c r="C167" s="885"/>
      <c r="D167" s="64">
        <v>7</v>
      </c>
      <c r="E167" s="68">
        <f t="shared" si="16"/>
        <v>0</v>
      </c>
      <c r="F167" s="540">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40">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40">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40">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40">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40">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40">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40">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40">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40">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40">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40">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40">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40">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40">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40">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40">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40">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40">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40">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40">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x14ac:dyDescent="0.2">
      <c r="A168" s="884"/>
      <c r="B168" s="885"/>
      <c r="C168" s="885"/>
      <c r="D168" s="64">
        <v>8</v>
      </c>
      <c r="E168" s="68">
        <f t="shared" si="16"/>
        <v>0</v>
      </c>
      <c r="F168" s="540">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40">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40">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40">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40">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40">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40">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40">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40">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40">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40">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40">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40">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40">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40">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40">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40">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40">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40">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40">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40">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x14ac:dyDescent="0.2">
      <c r="A169" s="884"/>
      <c r="B169" s="885"/>
      <c r="C169" s="885"/>
      <c r="D169" s="64">
        <v>9</v>
      </c>
      <c r="E169" s="68">
        <f t="shared" si="16"/>
        <v>0</v>
      </c>
      <c r="F169" s="540">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40">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40">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40">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40">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40">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40">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40">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40">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40">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40">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40">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40">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40">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40">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40">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40">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40">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40">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40">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40">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6" thickBot="1" x14ac:dyDescent="0.25">
      <c r="A170" s="884"/>
      <c r="B170" s="885"/>
      <c r="C170" s="885"/>
      <c r="D170" s="65">
        <v>10</v>
      </c>
      <c r="E170" s="69">
        <f t="shared" si="16"/>
        <v>0</v>
      </c>
      <c r="F170" s="541">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41">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41">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41">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41">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41">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41">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41">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41">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41">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41">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41">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41">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41">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41">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41">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41">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41">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41">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41">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41">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6" thickBot="1" x14ac:dyDescent="0.25">
      <c r="A171" s="891" t="s">
        <v>105</v>
      </c>
      <c r="B171" s="892"/>
      <c r="C171" s="892"/>
      <c r="D171" s="75"/>
      <c r="E171" s="72">
        <f t="shared" ref="E171:Z171" si="17">SUM(E172:E191)</f>
        <v>0</v>
      </c>
      <c r="F171" s="73">
        <f t="shared" si="17"/>
        <v>0</v>
      </c>
      <c r="G171" s="73">
        <f t="shared" si="17"/>
        <v>0</v>
      </c>
      <c r="H171" s="73">
        <f t="shared" si="17"/>
        <v>0</v>
      </c>
      <c r="I171" s="73">
        <f t="shared" si="17"/>
        <v>0</v>
      </c>
      <c r="J171" s="73">
        <f t="shared" si="17"/>
        <v>0</v>
      </c>
      <c r="K171" s="73">
        <f t="shared" si="17"/>
        <v>0</v>
      </c>
      <c r="L171" s="73">
        <f t="shared" si="17"/>
        <v>0</v>
      </c>
      <c r="M171" s="73">
        <f t="shared" si="17"/>
        <v>0</v>
      </c>
      <c r="N171" s="73">
        <f t="shared" si="17"/>
        <v>0</v>
      </c>
      <c r="O171" s="73">
        <f t="shared" si="17"/>
        <v>0</v>
      </c>
      <c r="P171" s="73">
        <f t="shared" si="17"/>
        <v>0</v>
      </c>
      <c r="Q171" s="73">
        <f t="shared" si="17"/>
        <v>0</v>
      </c>
      <c r="R171" s="73">
        <f t="shared" si="17"/>
        <v>0</v>
      </c>
      <c r="S171" s="73">
        <f t="shared" si="17"/>
        <v>0</v>
      </c>
      <c r="T171" s="73">
        <f t="shared" si="17"/>
        <v>0</v>
      </c>
      <c r="U171" s="73">
        <f t="shared" si="17"/>
        <v>0</v>
      </c>
      <c r="V171" s="73">
        <f t="shared" si="17"/>
        <v>0</v>
      </c>
      <c r="W171" s="73">
        <f t="shared" si="17"/>
        <v>0</v>
      </c>
      <c r="X171" s="73">
        <f t="shared" si="17"/>
        <v>0</v>
      </c>
      <c r="Y171" s="73">
        <f t="shared" si="17"/>
        <v>0</v>
      </c>
      <c r="Z171" s="73">
        <f t="shared" si="17"/>
        <v>0</v>
      </c>
    </row>
    <row r="172" spans="1:26" x14ac:dyDescent="0.2">
      <c r="A172" s="884" t="s">
        <v>1184</v>
      </c>
      <c r="B172" s="885" t="s">
        <v>1167</v>
      </c>
      <c r="C172" s="885">
        <v>633013</v>
      </c>
      <c r="D172" s="63">
        <v>1</v>
      </c>
      <c r="E172" s="60">
        <f t="shared" ref="E172:E191" si="18">SUM(F172:Z172)</f>
        <v>0</v>
      </c>
      <c r="F172" s="544">
        <v>0</v>
      </c>
      <c r="G172" s="544">
        <v>0</v>
      </c>
      <c r="H172" s="544">
        <v>0</v>
      </c>
      <c r="I172" s="544">
        <v>0</v>
      </c>
      <c r="J172" s="544">
        <v>0</v>
      </c>
      <c r="K172" s="544">
        <v>0</v>
      </c>
      <c r="L172" s="544">
        <v>0</v>
      </c>
      <c r="M172" s="544">
        <v>0</v>
      </c>
      <c r="N172" s="544">
        <v>0</v>
      </c>
      <c r="O172" s="544">
        <v>0</v>
      </c>
      <c r="P172" s="544">
        <v>0</v>
      </c>
      <c r="Q172" s="544">
        <v>0</v>
      </c>
      <c r="R172" s="544">
        <v>0</v>
      </c>
      <c r="S172" s="544">
        <v>0</v>
      </c>
      <c r="T172" s="544">
        <v>0</v>
      </c>
      <c r="U172" s="544">
        <v>0</v>
      </c>
      <c r="V172" s="544">
        <v>0</v>
      </c>
      <c r="W172" s="544">
        <v>0</v>
      </c>
      <c r="X172" s="544">
        <v>0</v>
      </c>
      <c r="Y172" s="544">
        <v>0</v>
      </c>
      <c r="Z172" s="544">
        <v>0</v>
      </c>
    </row>
    <row r="173" spans="1:26" x14ac:dyDescent="0.2">
      <c r="A173" s="884"/>
      <c r="B173" s="885"/>
      <c r="C173" s="885"/>
      <c r="D173" s="64">
        <v>2</v>
      </c>
      <c r="E173" s="61">
        <f t="shared" si="18"/>
        <v>0</v>
      </c>
      <c r="F173" s="545">
        <v>0</v>
      </c>
      <c r="G173" s="545">
        <v>0</v>
      </c>
      <c r="H173" s="545">
        <v>0</v>
      </c>
      <c r="I173" s="545">
        <v>0</v>
      </c>
      <c r="J173" s="545">
        <v>0</v>
      </c>
      <c r="K173" s="545">
        <v>0</v>
      </c>
      <c r="L173" s="545">
        <v>0</v>
      </c>
      <c r="M173" s="545">
        <v>0</v>
      </c>
      <c r="N173" s="545">
        <v>0</v>
      </c>
      <c r="O173" s="545">
        <v>0</v>
      </c>
      <c r="P173" s="545">
        <v>0</v>
      </c>
      <c r="Q173" s="545">
        <v>0</v>
      </c>
      <c r="R173" s="545">
        <v>0</v>
      </c>
      <c r="S173" s="545">
        <v>0</v>
      </c>
      <c r="T173" s="545">
        <v>0</v>
      </c>
      <c r="U173" s="545">
        <v>0</v>
      </c>
      <c r="V173" s="545">
        <v>0</v>
      </c>
      <c r="W173" s="545">
        <v>0</v>
      </c>
      <c r="X173" s="545">
        <v>0</v>
      </c>
      <c r="Y173" s="545">
        <v>0</v>
      </c>
      <c r="Z173" s="545">
        <v>0</v>
      </c>
    </row>
    <row r="174" spans="1:26" x14ac:dyDescent="0.2">
      <c r="A174" s="884"/>
      <c r="B174" s="885"/>
      <c r="C174" s="885"/>
      <c r="D174" s="64">
        <v>3</v>
      </c>
      <c r="E174" s="61">
        <f t="shared" si="18"/>
        <v>0</v>
      </c>
      <c r="F174" s="545">
        <v>0</v>
      </c>
      <c r="G174" s="545">
        <v>0</v>
      </c>
      <c r="H174" s="545">
        <v>0</v>
      </c>
      <c r="I174" s="545">
        <v>0</v>
      </c>
      <c r="J174" s="545">
        <v>0</v>
      </c>
      <c r="K174" s="545">
        <v>0</v>
      </c>
      <c r="L174" s="545">
        <v>0</v>
      </c>
      <c r="M174" s="545">
        <v>0</v>
      </c>
      <c r="N174" s="545">
        <v>0</v>
      </c>
      <c r="O174" s="545">
        <v>0</v>
      </c>
      <c r="P174" s="545">
        <v>0</v>
      </c>
      <c r="Q174" s="545">
        <v>0</v>
      </c>
      <c r="R174" s="545">
        <v>0</v>
      </c>
      <c r="S174" s="545">
        <v>0</v>
      </c>
      <c r="T174" s="545">
        <v>0</v>
      </c>
      <c r="U174" s="545">
        <v>0</v>
      </c>
      <c r="V174" s="545">
        <v>0</v>
      </c>
      <c r="W174" s="545">
        <v>0</v>
      </c>
      <c r="X174" s="545">
        <v>0</v>
      </c>
      <c r="Y174" s="545">
        <v>0</v>
      </c>
      <c r="Z174" s="545">
        <v>0</v>
      </c>
    </row>
    <row r="175" spans="1:26" x14ac:dyDescent="0.2">
      <c r="A175" s="884"/>
      <c r="B175" s="885"/>
      <c r="C175" s="885"/>
      <c r="D175" s="64">
        <v>4</v>
      </c>
      <c r="E175" s="61">
        <f t="shared" si="18"/>
        <v>0</v>
      </c>
      <c r="F175" s="545">
        <v>0</v>
      </c>
      <c r="G175" s="545">
        <v>0</v>
      </c>
      <c r="H175" s="545">
        <v>0</v>
      </c>
      <c r="I175" s="545">
        <v>0</v>
      </c>
      <c r="J175" s="545">
        <v>0</v>
      </c>
      <c r="K175" s="545">
        <v>0</v>
      </c>
      <c r="L175" s="545">
        <v>0</v>
      </c>
      <c r="M175" s="545">
        <v>0</v>
      </c>
      <c r="N175" s="545">
        <v>0</v>
      </c>
      <c r="O175" s="545">
        <v>0</v>
      </c>
      <c r="P175" s="545">
        <v>0</v>
      </c>
      <c r="Q175" s="545">
        <v>0</v>
      </c>
      <c r="R175" s="545">
        <v>0</v>
      </c>
      <c r="S175" s="545">
        <v>0</v>
      </c>
      <c r="T175" s="545">
        <v>0</v>
      </c>
      <c r="U175" s="545">
        <v>0</v>
      </c>
      <c r="V175" s="545">
        <v>0</v>
      </c>
      <c r="W175" s="545">
        <v>0</v>
      </c>
      <c r="X175" s="545">
        <v>0</v>
      </c>
      <c r="Y175" s="545">
        <v>0</v>
      </c>
      <c r="Z175" s="545">
        <v>0</v>
      </c>
    </row>
    <row r="176" spans="1:26" x14ac:dyDescent="0.2">
      <c r="A176" s="884"/>
      <c r="B176" s="885"/>
      <c r="C176" s="885"/>
      <c r="D176" s="64">
        <v>5</v>
      </c>
      <c r="E176" s="61">
        <f t="shared" si="18"/>
        <v>0</v>
      </c>
      <c r="F176" s="545">
        <v>0</v>
      </c>
      <c r="G176" s="545">
        <v>0</v>
      </c>
      <c r="H176" s="545">
        <v>0</v>
      </c>
      <c r="I176" s="545">
        <v>0</v>
      </c>
      <c r="J176" s="545">
        <v>0</v>
      </c>
      <c r="K176" s="545">
        <v>0</v>
      </c>
      <c r="L176" s="545">
        <v>0</v>
      </c>
      <c r="M176" s="545">
        <v>0</v>
      </c>
      <c r="N176" s="545">
        <v>0</v>
      </c>
      <c r="O176" s="545">
        <v>0</v>
      </c>
      <c r="P176" s="545">
        <v>0</v>
      </c>
      <c r="Q176" s="545">
        <v>0</v>
      </c>
      <c r="R176" s="545">
        <v>0</v>
      </c>
      <c r="S176" s="545">
        <v>0</v>
      </c>
      <c r="T176" s="545">
        <v>0</v>
      </c>
      <c r="U176" s="545">
        <v>0</v>
      </c>
      <c r="V176" s="545">
        <v>0</v>
      </c>
      <c r="W176" s="545">
        <v>0</v>
      </c>
      <c r="X176" s="545">
        <v>0</v>
      </c>
      <c r="Y176" s="545">
        <v>0</v>
      </c>
      <c r="Z176" s="545">
        <v>0</v>
      </c>
    </row>
    <row r="177" spans="1:26" x14ac:dyDescent="0.2">
      <c r="A177" s="884"/>
      <c r="B177" s="885"/>
      <c r="C177" s="885"/>
      <c r="D177" s="64">
        <v>6</v>
      </c>
      <c r="E177" s="61">
        <f t="shared" si="18"/>
        <v>0</v>
      </c>
      <c r="F177" s="545">
        <v>0</v>
      </c>
      <c r="G177" s="545">
        <v>0</v>
      </c>
      <c r="H177" s="545">
        <v>0</v>
      </c>
      <c r="I177" s="545">
        <v>0</v>
      </c>
      <c r="J177" s="545">
        <v>0</v>
      </c>
      <c r="K177" s="545">
        <v>0</v>
      </c>
      <c r="L177" s="545">
        <v>0</v>
      </c>
      <c r="M177" s="545">
        <v>0</v>
      </c>
      <c r="N177" s="545">
        <v>0</v>
      </c>
      <c r="O177" s="545">
        <v>0</v>
      </c>
      <c r="P177" s="545">
        <v>0</v>
      </c>
      <c r="Q177" s="545">
        <v>0</v>
      </c>
      <c r="R177" s="545">
        <v>0</v>
      </c>
      <c r="S177" s="545">
        <v>0</v>
      </c>
      <c r="T177" s="545">
        <v>0</v>
      </c>
      <c r="U177" s="545">
        <v>0</v>
      </c>
      <c r="V177" s="545">
        <v>0</v>
      </c>
      <c r="W177" s="545">
        <v>0</v>
      </c>
      <c r="X177" s="545">
        <v>0</v>
      </c>
      <c r="Y177" s="545">
        <v>0</v>
      </c>
      <c r="Z177" s="545">
        <v>0</v>
      </c>
    </row>
    <row r="178" spans="1:26" x14ac:dyDescent="0.2">
      <c r="A178" s="884"/>
      <c r="B178" s="885"/>
      <c r="C178" s="885"/>
      <c r="D178" s="64">
        <v>7</v>
      </c>
      <c r="E178" s="61">
        <f t="shared" si="18"/>
        <v>0</v>
      </c>
      <c r="F178" s="545">
        <v>0</v>
      </c>
      <c r="G178" s="545">
        <v>0</v>
      </c>
      <c r="H178" s="545">
        <v>0</v>
      </c>
      <c r="I178" s="545">
        <v>0</v>
      </c>
      <c r="J178" s="545">
        <v>0</v>
      </c>
      <c r="K178" s="545">
        <v>0</v>
      </c>
      <c r="L178" s="545">
        <v>0</v>
      </c>
      <c r="M178" s="545">
        <v>0</v>
      </c>
      <c r="N178" s="545">
        <v>0</v>
      </c>
      <c r="O178" s="545">
        <v>0</v>
      </c>
      <c r="P178" s="545">
        <v>0</v>
      </c>
      <c r="Q178" s="545">
        <v>0</v>
      </c>
      <c r="R178" s="545">
        <v>0</v>
      </c>
      <c r="S178" s="545">
        <v>0</v>
      </c>
      <c r="T178" s="545">
        <v>0</v>
      </c>
      <c r="U178" s="545">
        <v>0</v>
      </c>
      <c r="V178" s="545">
        <v>0</v>
      </c>
      <c r="W178" s="545">
        <v>0</v>
      </c>
      <c r="X178" s="545">
        <v>0</v>
      </c>
      <c r="Y178" s="545">
        <v>0</v>
      </c>
      <c r="Z178" s="545">
        <v>0</v>
      </c>
    </row>
    <row r="179" spans="1:26" x14ac:dyDescent="0.2">
      <c r="A179" s="884"/>
      <c r="B179" s="885"/>
      <c r="C179" s="885"/>
      <c r="D179" s="64">
        <v>8</v>
      </c>
      <c r="E179" s="61">
        <f t="shared" si="18"/>
        <v>0</v>
      </c>
      <c r="F179" s="545">
        <v>0</v>
      </c>
      <c r="G179" s="545">
        <v>0</v>
      </c>
      <c r="H179" s="545">
        <v>0</v>
      </c>
      <c r="I179" s="545">
        <v>0</v>
      </c>
      <c r="J179" s="545">
        <v>0</v>
      </c>
      <c r="K179" s="545">
        <v>0</v>
      </c>
      <c r="L179" s="545">
        <v>0</v>
      </c>
      <c r="M179" s="545">
        <v>0</v>
      </c>
      <c r="N179" s="545">
        <v>0</v>
      </c>
      <c r="O179" s="545">
        <v>0</v>
      </c>
      <c r="P179" s="545">
        <v>0</v>
      </c>
      <c r="Q179" s="545">
        <v>0</v>
      </c>
      <c r="R179" s="545">
        <v>0</v>
      </c>
      <c r="S179" s="545">
        <v>0</v>
      </c>
      <c r="T179" s="545">
        <v>0</v>
      </c>
      <c r="U179" s="545">
        <v>0</v>
      </c>
      <c r="V179" s="545">
        <v>0</v>
      </c>
      <c r="W179" s="545">
        <v>0</v>
      </c>
      <c r="X179" s="545">
        <v>0</v>
      </c>
      <c r="Y179" s="545">
        <v>0</v>
      </c>
      <c r="Z179" s="545">
        <v>0</v>
      </c>
    </row>
    <row r="180" spans="1:26" x14ac:dyDescent="0.2">
      <c r="A180" s="884"/>
      <c r="B180" s="885"/>
      <c r="C180" s="885"/>
      <c r="D180" s="64">
        <v>9</v>
      </c>
      <c r="E180" s="61">
        <f t="shared" si="18"/>
        <v>0</v>
      </c>
      <c r="F180" s="545">
        <v>0</v>
      </c>
      <c r="G180" s="545">
        <v>0</v>
      </c>
      <c r="H180" s="545">
        <v>0</v>
      </c>
      <c r="I180" s="545">
        <v>0</v>
      </c>
      <c r="J180" s="545">
        <v>0</v>
      </c>
      <c r="K180" s="545">
        <v>0</v>
      </c>
      <c r="L180" s="545">
        <v>0</v>
      </c>
      <c r="M180" s="545">
        <v>0</v>
      </c>
      <c r="N180" s="545">
        <v>0</v>
      </c>
      <c r="O180" s="545">
        <v>0</v>
      </c>
      <c r="P180" s="545">
        <v>0</v>
      </c>
      <c r="Q180" s="545">
        <v>0</v>
      </c>
      <c r="R180" s="545">
        <v>0</v>
      </c>
      <c r="S180" s="545">
        <v>0</v>
      </c>
      <c r="T180" s="545">
        <v>0</v>
      </c>
      <c r="U180" s="545">
        <v>0</v>
      </c>
      <c r="V180" s="545">
        <v>0</v>
      </c>
      <c r="W180" s="545">
        <v>0</v>
      </c>
      <c r="X180" s="545">
        <v>0</v>
      </c>
      <c r="Y180" s="545">
        <v>0</v>
      </c>
      <c r="Z180" s="545">
        <v>0</v>
      </c>
    </row>
    <row r="181" spans="1:26" ht="16" thickBot="1" x14ac:dyDescent="0.25">
      <c r="A181" s="884"/>
      <c r="B181" s="885"/>
      <c r="C181" s="885"/>
      <c r="D181" s="65">
        <v>10</v>
      </c>
      <c r="E181" s="62">
        <f t="shared" si="18"/>
        <v>0</v>
      </c>
      <c r="F181" s="546">
        <v>0</v>
      </c>
      <c r="G181" s="546">
        <v>0</v>
      </c>
      <c r="H181" s="546">
        <v>0</v>
      </c>
      <c r="I181" s="546">
        <v>0</v>
      </c>
      <c r="J181" s="546">
        <v>0</v>
      </c>
      <c r="K181" s="546">
        <v>0</v>
      </c>
      <c r="L181" s="546">
        <v>0</v>
      </c>
      <c r="M181" s="546">
        <v>0</v>
      </c>
      <c r="N181" s="546">
        <v>0</v>
      </c>
      <c r="O181" s="546">
        <v>0</v>
      </c>
      <c r="P181" s="546">
        <v>0</v>
      </c>
      <c r="Q181" s="546">
        <v>0</v>
      </c>
      <c r="R181" s="546">
        <v>0</v>
      </c>
      <c r="S181" s="546">
        <v>0</v>
      </c>
      <c r="T181" s="546">
        <v>0</v>
      </c>
      <c r="U181" s="546">
        <v>0</v>
      </c>
      <c r="V181" s="546">
        <v>0</v>
      </c>
      <c r="W181" s="546">
        <v>0</v>
      </c>
      <c r="X181" s="546">
        <v>0</v>
      </c>
      <c r="Y181" s="546">
        <v>0</v>
      </c>
      <c r="Z181" s="546">
        <v>0</v>
      </c>
    </row>
    <row r="182" spans="1:26" x14ac:dyDescent="0.2">
      <c r="A182" s="884" t="s">
        <v>1185</v>
      </c>
      <c r="B182" s="885"/>
      <c r="C182" s="885">
        <v>637031</v>
      </c>
      <c r="D182" s="63">
        <v>1</v>
      </c>
      <c r="E182" s="61">
        <f t="shared" si="18"/>
        <v>0</v>
      </c>
      <c r="F182" s="544">
        <v>0</v>
      </c>
      <c r="G182" s="544">
        <v>0</v>
      </c>
      <c r="H182" s="544">
        <v>0</v>
      </c>
      <c r="I182" s="544">
        <v>0</v>
      </c>
      <c r="J182" s="544">
        <v>0</v>
      </c>
      <c r="K182" s="544">
        <v>0</v>
      </c>
      <c r="L182" s="544">
        <v>0</v>
      </c>
      <c r="M182" s="544">
        <v>0</v>
      </c>
      <c r="N182" s="544">
        <v>0</v>
      </c>
      <c r="O182" s="544">
        <v>0</v>
      </c>
      <c r="P182" s="544">
        <v>0</v>
      </c>
      <c r="Q182" s="544">
        <v>0</v>
      </c>
      <c r="R182" s="544">
        <v>0</v>
      </c>
      <c r="S182" s="544">
        <v>0</v>
      </c>
      <c r="T182" s="544">
        <v>0</v>
      </c>
      <c r="U182" s="544">
        <v>0</v>
      </c>
      <c r="V182" s="544">
        <v>0</v>
      </c>
      <c r="W182" s="544">
        <v>0</v>
      </c>
      <c r="X182" s="544">
        <v>0</v>
      </c>
      <c r="Y182" s="544">
        <v>0</v>
      </c>
      <c r="Z182" s="544">
        <v>0</v>
      </c>
    </row>
    <row r="183" spans="1:26" x14ac:dyDescent="0.2">
      <c r="A183" s="884"/>
      <c r="B183" s="885"/>
      <c r="C183" s="885"/>
      <c r="D183" s="64">
        <v>2</v>
      </c>
      <c r="E183" s="61">
        <f t="shared" si="18"/>
        <v>0</v>
      </c>
      <c r="F183" s="545">
        <v>0</v>
      </c>
      <c r="G183" s="545">
        <v>0</v>
      </c>
      <c r="H183" s="545">
        <v>0</v>
      </c>
      <c r="I183" s="545">
        <v>0</v>
      </c>
      <c r="J183" s="545">
        <v>0</v>
      </c>
      <c r="K183" s="545">
        <v>0</v>
      </c>
      <c r="L183" s="545">
        <v>0</v>
      </c>
      <c r="M183" s="545">
        <v>0</v>
      </c>
      <c r="N183" s="545">
        <v>0</v>
      </c>
      <c r="O183" s="545">
        <v>0</v>
      </c>
      <c r="P183" s="545">
        <v>0</v>
      </c>
      <c r="Q183" s="545">
        <v>0</v>
      </c>
      <c r="R183" s="545">
        <v>0</v>
      </c>
      <c r="S183" s="545">
        <v>0</v>
      </c>
      <c r="T183" s="545">
        <v>0</v>
      </c>
      <c r="U183" s="545">
        <v>0</v>
      </c>
      <c r="V183" s="545">
        <v>0</v>
      </c>
      <c r="W183" s="545">
        <v>0</v>
      </c>
      <c r="X183" s="545">
        <v>0</v>
      </c>
      <c r="Y183" s="545">
        <v>0</v>
      </c>
      <c r="Z183" s="545">
        <v>0</v>
      </c>
    </row>
    <row r="184" spans="1:26" x14ac:dyDescent="0.2">
      <c r="A184" s="884"/>
      <c r="B184" s="885"/>
      <c r="C184" s="885"/>
      <c r="D184" s="64">
        <v>3</v>
      </c>
      <c r="E184" s="61">
        <f t="shared" si="18"/>
        <v>0</v>
      </c>
      <c r="F184" s="545">
        <v>0</v>
      </c>
      <c r="G184" s="545">
        <v>0</v>
      </c>
      <c r="H184" s="545">
        <v>0</v>
      </c>
      <c r="I184" s="545">
        <v>0</v>
      </c>
      <c r="J184" s="545">
        <v>0</v>
      </c>
      <c r="K184" s="545">
        <v>0</v>
      </c>
      <c r="L184" s="545">
        <v>0</v>
      </c>
      <c r="M184" s="545">
        <v>0</v>
      </c>
      <c r="N184" s="545">
        <v>0</v>
      </c>
      <c r="O184" s="545">
        <v>0</v>
      </c>
      <c r="P184" s="545">
        <v>0</v>
      </c>
      <c r="Q184" s="545">
        <v>0</v>
      </c>
      <c r="R184" s="545">
        <v>0</v>
      </c>
      <c r="S184" s="545">
        <v>0</v>
      </c>
      <c r="T184" s="545">
        <v>0</v>
      </c>
      <c r="U184" s="545">
        <v>0</v>
      </c>
      <c r="V184" s="545">
        <v>0</v>
      </c>
      <c r="W184" s="545">
        <v>0</v>
      </c>
      <c r="X184" s="545">
        <v>0</v>
      </c>
      <c r="Y184" s="545">
        <v>0</v>
      </c>
      <c r="Z184" s="545">
        <v>0</v>
      </c>
    </row>
    <row r="185" spans="1:26" x14ac:dyDescent="0.2">
      <c r="A185" s="884"/>
      <c r="B185" s="885"/>
      <c r="C185" s="885"/>
      <c r="D185" s="64">
        <v>4</v>
      </c>
      <c r="E185" s="61">
        <f t="shared" si="18"/>
        <v>0</v>
      </c>
      <c r="F185" s="545">
        <v>0</v>
      </c>
      <c r="G185" s="545">
        <v>0</v>
      </c>
      <c r="H185" s="545">
        <v>0</v>
      </c>
      <c r="I185" s="545">
        <v>0</v>
      </c>
      <c r="J185" s="545">
        <v>0</v>
      </c>
      <c r="K185" s="545">
        <v>0</v>
      </c>
      <c r="L185" s="545">
        <v>0</v>
      </c>
      <c r="M185" s="545">
        <v>0</v>
      </c>
      <c r="N185" s="545">
        <v>0</v>
      </c>
      <c r="O185" s="545">
        <v>0</v>
      </c>
      <c r="P185" s="545">
        <v>0</v>
      </c>
      <c r="Q185" s="545">
        <v>0</v>
      </c>
      <c r="R185" s="545">
        <v>0</v>
      </c>
      <c r="S185" s="545">
        <v>0</v>
      </c>
      <c r="T185" s="545">
        <v>0</v>
      </c>
      <c r="U185" s="545">
        <v>0</v>
      </c>
      <c r="V185" s="545">
        <v>0</v>
      </c>
      <c r="W185" s="545">
        <v>0</v>
      </c>
      <c r="X185" s="545">
        <v>0</v>
      </c>
      <c r="Y185" s="545">
        <v>0</v>
      </c>
      <c r="Z185" s="545">
        <v>0</v>
      </c>
    </row>
    <row r="186" spans="1:26" x14ac:dyDescent="0.2">
      <c r="A186" s="884"/>
      <c r="B186" s="885"/>
      <c r="C186" s="885"/>
      <c r="D186" s="64">
        <v>5</v>
      </c>
      <c r="E186" s="61">
        <f t="shared" si="18"/>
        <v>0</v>
      </c>
      <c r="F186" s="545">
        <v>0</v>
      </c>
      <c r="G186" s="545">
        <v>0</v>
      </c>
      <c r="H186" s="545">
        <v>0</v>
      </c>
      <c r="I186" s="545">
        <v>0</v>
      </c>
      <c r="J186" s="545">
        <v>0</v>
      </c>
      <c r="K186" s="545">
        <v>0</v>
      </c>
      <c r="L186" s="545">
        <v>0</v>
      </c>
      <c r="M186" s="545">
        <v>0</v>
      </c>
      <c r="N186" s="545">
        <v>0</v>
      </c>
      <c r="O186" s="545">
        <v>0</v>
      </c>
      <c r="P186" s="545">
        <v>0</v>
      </c>
      <c r="Q186" s="545">
        <v>0</v>
      </c>
      <c r="R186" s="545">
        <v>0</v>
      </c>
      <c r="S186" s="545">
        <v>0</v>
      </c>
      <c r="T186" s="545">
        <v>0</v>
      </c>
      <c r="U186" s="545">
        <v>0</v>
      </c>
      <c r="V186" s="545">
        <v>0</v>
      </c>
      <c r="W186" s="545">
        <v>0</v>
      </c>
      <c r="X186" s="545">
        <v>0</v>
      </c>
      <c r="Y186" s="545">
        <v>0</v>
      </c>
      <c r="Z186" s="545">
        <v>0</v>
      </c>
    </row>
    <row r="187" spans="1:26" x14ac:dyDescent="0.2">
      <c r="A187" s="884"/>
      <c r="B187" s="885"/>
      <c r="C187" s="885"/>
      <c r="D187" s="64">
        <v>6</v>
      </c>
      <c r="E187" s="61">
        <f t="shared" si="18"/>
        <v>0</v>
      </c>
      <c r="F187" s="545">
        <v>0</v>
      </c>
      <c r="G187" s="545">
        <v>0</v>
      </c>
      <c r="H187" s="545">
        <v>0</v>
      </c>
      <c r="I187" s="545">
        <v>0</v>
      </c>
      <c r="J187" s="545">
        <v>0</v>
      </c>
      <c r="K187" s="545">
        <v>0</v>
      </c>
      <c r="L187" s="545">
        <v>0</v>
      </c>
      <c r="M187" s="545">
        <v>0</v>
      </c>
      <c r="N187" s="545">
        <v>0</v>
      </c>
      <c r="O187" s="545">
        <v>0</v>
      </c>
      <c r="P187" s="545">
        <v>0</v>
      </c>
      <c r="Q187" s="545">
        <v>0</v>
      </c>
      <c r="R187" s="545">
        <v>0</v>
      </c>
      <c r="S187" s="545">
        <v>0</v>
      </c>
      <c r="T187" s="545">
        <v>0</v>
      </c>
      <c r="U187" s="545">
        <v>0</v>
      </c>
      <c r="V187" s="545">
        <v>0</v>
      </c>
      <c r="W187" s="545">
        <v>0</v>
      </c>
      <c r="X187" s="545">
        <v>0</v>
      </c>
      <c r="Y187" s="545">
        <v>0</v>
      </c>
      <c r="Z187" s="545">
        <v>0</v>
      </c>
    </row>
    <row r="188" spans="1:26" x14ac:dyDescent="0.2">
      <c r="A188" s="884"/>
      <c r="B188" s="885"/>
      <c r="C188" s="885"/>
      <c r="D188" s="64">
        <v>7</v>
      </c>
      <c r="E188" s="61">
        <f t="shared" si="18"/>
        <v>0</v>
      </c>
      <c r="F188" s="545">
        <v>0</v>
      </c>
      <c r="G188" s="545">
        <v>0</v>
      </c>
      <c r="H188" s="545">
        <v>0</v>
      </c>
      <c r="I188" s="545">
        <v>0</v>
      </c>
      <c r="J188" s="545">
        <v>0</v>
      </c>
      <c r="K188" s="545">
        <v>0</v>
      </c>
      <c r="L188" s="545">
        <v>0</v>
      </c>
      <c r="M188" s="545">
        <v>0</v>
      </c>
      <c r="N188" s="545">
        <v>0</v>
      </c>
      <c r="O188" s="545">
        <v>0</v>
      </c>
      <c r="P188" s="545">
        <v>0</v>
      </c>
      <c r="Q188" s="545">
        <v>0</v>
      </c>
      <c r="R188" s="545">
        <v>0</v>
      </c>
      <c r="S188" s="545">
        <v>0</v>
      </c>
      <c r="T188" s="545">
        <v>0</v>
      </c>
      <c r="U188" s="545">
        <v>0</v>
      </c>
      <c r="V188" s="545">
        <v>0</v>
      </c>
      <c r="W188" s="545">
        <v>0</v>
      </c>
      <c r="X188" s="545">
        <v>0</v>
      </c>
      <c r="Y188" s="545">
        <v>0</v>
      </c>
      <c r="Z188" s="545">
        <v>0</v>
      </c>
    </row>
    <row r="189" spans="1:26" x14ac:dyDescent="0.2">
      <c r="A189" s="884"/>
      <c r="B189" s="885"/>
      <c r="C189" s="885"/>
      <c r="D189" s="64">
        <v>8</v>
      </c>
      <c r="E189" s="61">
        <f t="shared" si="18"/>
        <v>0</v>
      </c>
      <c r="F189" s="545">
        <v>0</v>
      </c>
      <c r="G189" s="545">
        <v>0</v>
      </c>
      <c r="H189" s="545">
        <v>0</v>
      </c>
      <c r="I189" s="545">
        <v>0</v>
      </c>
      <c r="J189" s="545">
        <v>0</v>
      </c>
      <c r="K189" s="545">
        <v>0</v>
      </c>
      <c r="L189" s="545">
        <v>0</v>
      </c>
      <c r="M189" s="545">
        <v>0</v>
      </c>
      <c r="N189" s="545">
        <v>0</v>
      </c>
      <c r="O189" s="545">
        <v>0</v>
      </c>
      <c r="P189" s="545">
        <v>0</v>
      </c>
      <c r="Q189" s="545">
        <v>0</v>
      </c>
      <c r="R189" s="545">
        <v>0</v>
      </c>
      <c r="S189" s="545">
        <v>0</v>
      </c>
      <c r="T189" s="545">
        <v>0</v>
      </c>
      <c r="U189" s="545">
        <v>0</v>
      </c>
      <c r="V189" s="545">
        <v>0</v>
      </c>
      <c r="W189" s="545">
        <v>0</v>
      </c>
      <c r="X189" s="545">
        <v>0</v>
      </c>
      <c r="Y189" s="545">
        <v>0</v>
      </c>
      <c r="Z189" s="545">
        <v>0</v>
      </c>
    </row>
    <row r="190" spans="1:26" x14ac:dyDescent="0.2">
      <c r="A190" s="884"/>
      <c r="B190" s="885"/>
      <c r="C190" s="885"/>
      <c r="D190" s="64">
        <v>9</v>
      </c>
      <c r="E190" s="61">
        <f t="shared" si="18"/>
        <v>0</v>
      </c>
      <c r="F190" s="545">
        <v>0</v>
      </c>
      <c r="G190" s="545">
        <v>0</v>
      </c>
      <c r="H190" s="545">
        <v>0</v>
      </c>
      <c r="I190" s="545">
        <v>0</v>
      </c>
      <c r="J190" s="545">
        <v>0</v>
      </c>
      <c r="K190" s="545">
        <v>0</v>
      </c>
      <c r="L190" s="545">
        <v>0</v>
      </c>
      <c r="M190" s="545">
        <v>0</v>
      </c>
      <c r="N190" s="545">
        <v>0</v>
      </c>
      <c r="O190" s="545">
        <v>0</v>
      </c>
      <c r="P190" s="545">
        <v>0</v>
      </c>
      <c r="Q190" s="545">
        <v>0</v>
      </c>
      <c r="R190" s="545">
        <v>0</v>
      </c>
      <c r="S190" s="545">
        <v>0</v>
      </c>
      <c r="T190" s="545">
        <v>0</v>
      </c>
      <c r="U190" s="545">
        <v>0</v>
      </c>
      <c r="V190" s="545">
        <v>0</v>
      </c>
      <c r="W190" s="545">
        <v>0</v>
      </c>
      <c r="X190" s="545">
        <v>0</v>
      </c>
      <c r="Y190" s="545">
        <v>0</v>
      </c>
      <c r="Z190" s="545">
        <v>0</v>
      </c>
    </row>
    <row r="191" spans="1:26" ht="16" thickBot="1" x14ac:dyDescent="0.25">
      <c r="A191" s="884"/>
      <c r="B191" s="885"/>
      <c r="C191" s="885"/>
      <c r="D191" s="65">
        <v>10</v>
      </c>
      <c r="E191" s="62">
        <f t="shared" si="18"/>
        <v>0</v>
      </c>
      <c r="F191" s="546">
        <v>0</v>
      </c>
      <c r="G191" s="546">
        <v>0</v>
      </c>
      <c r="H191" s="546">
        <v>0</v>
      </c>
      <c r="I191" s="546">
        <v>0</v>
      </c>
      <c r="J191" s="546">
        <v>0</v>
      </c>
      <c r="K191" s="546">
        <v>0</v>
      </c>
      <c r="L191" s="546">
        <v>0</v>
      </c>
      <c r="M191" s="546">
        <v>0</v>
      </c>
      <c r="N191" s="546">
        <v>0</v>
      </c>
      <c r="O191" s="546">
        <v>0</v>
      </c>
      <c r="P191" s="546">
        <v>0</v>
      </c>
      <c r="Q191" s="546">
        <v>0</v>
      </c>
      <c r="R191" s="546">
        <v>0</v>
      </c>
      <c r="S191" s="546">
        <v>0</v>
      </c>
      <c r="T191" s="546">
        <v>0</v>
      </c>
      <c r="U191" s="546">
        <v>0</v>
      </c>
      <c r="V191" s="546">
        <v>0</v>
      </c>
      <c r="W191" s="546">
        <v>0</v>
      </c>
      <c r="X191" s="546">
        <v>0</v>
      </c>
      <c r="Y191" s="546">
        <v>0</v>
      </c>
      <c r="Z191" s="546">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3">
    <tabColor rgb="FFFFFF00"/>
    <outlinePr summaryBelow="0" summaryRight="0"/>
  </sheetPr>
  <dimension ref="A1:AB105"/>
  <sheetViews>
    <sheetView workbookViewId="0">
      <selection sqref="A1:D1"/>
    </sheetView>
  </sheetViews>
  <sheetFormatPr baseColWidth="10" defaultColWidth="8.6640625" defaultRowHeight="15" outlineLevelRow="1" outlineLevelCol="1" x14ac:dyDescent="0.2"/>
  <cols>
    <col min="1" max="1" width="22.5" customWidth="1"/>
    <col min="2" max="2" width="23.33203125" customWidth="1"/>
    <col min="3" max="3" width="22.5" customWidth="1"/>
    <col min="4" max="4" width="8.6640625" style="197"/>
    <col min="5" max="5" width="17.6640625" customWidth="1"/>
    <col min="6" max="25" width="18.6640625" customWidth="1" outlineLevel="1"/>
    <col min="26" max="26" width="18.6640625" customWidth="1"/>
    <col min="28" max="28" width="10.6640625" bestFit="1" customWidth="1"/>
  </cols>
  <sheetData>
    <row r="1" spans="1:26" ht="29" x14ac:dyDescent="0.35">
      <c r="A1" s="894"/>
      <c r="B1" s="894"/>
      <c r="C1" s="894"/>
      <c r="D1" s="894"/>
      <c r="F1" s="893" t="s">
        <v>232</v>
      </c>
      <c r="G1" s="893"/>
      <c r="H1" s="893"/>
      <c r="I1" s="893"/>
      <c r="J1" s="893"/>
      <c r="K1" s="893"/>
      <c r="L1" s="893"/>
      <c r="M1" s="893"/>
      <c r="N1" s="893"/>
      <c r="O1" s="893"/>
      <c r="P1" s="893"/>
      <c r="Q1" s="893"/>
      <c r="R1" s="893"/>
      <c r="S1" s="893"/>
      <c r="T1" s="893"/>
      <c r="U1" s="893"/>
      <c r="V1" s="893"/>
      <c r="W1" s="893"/>
      <c r="X1" s="893"/>
      <c r="Y1" s="893"/>
      <c r="Z1" s="893"/>
    </row>
    <row r="2" spans="1:26" ht="36" customHeight="1" thickBot="1" x14ac:dyDescent="0.3">
      <c r="A2" s="880" t="s">
        <v>1168</v>
      </c>
      <c r="B2" s="880"/>
      <c r="C2" s="880"/>
      <c r="D2" s="881"/>
      <c r="E2" s="66" t="s">
        <v>149</v>
      </c>
      <c r="F2" s="536" t="str">
        <f>MODULY_CBA!B3</f>
        <v>Modul MyData</v>
      </c>
      <c r="G2" s="536" t="str">
        <f>MODULY_CBA!$B4</f>
        <v>Transformačný modul</v>
      </c>
      <c r="H2" s="536" t="str">
        <f>MODULY_CBA!$B5</f>
        <v xml:space="preserve">Modul kvality a čistenia údajov </v>
      </c>
      <c r="I2" s="536" t="str">
        <f>MODULY_CBA!$B6</f>
        <v>Centrálny integračný komponent </v>
      </c>
      <c r="J2" s="536" t="str">
        <f>MODULY_CBA!$B7</f>
        <v xml:space="preserve">Centrálna správa kmeňových údajov </v>
      </c>
      <c r="K2" s="536" t="str">
        <f>MODULY_CBA!$B8</f>
        <v>Centrálna správa agendových číselníkov</v>
      </c>
      <c r="L2" s="536" t="str">
        <f>MODULY_CBA!$B9</f>
        <v>Lokálny katalóg otvorených údajov</v>
      </c>
      <c r="M2" s="536">
        <f>MODULY_CBA!$B10</f>
        <v>0</v>
      </c>
      <c r="N2" s="536">
        <f>MODULY_CBA!$B11</f>
        <v>0</v>
      </c>
      <c r="O2" s="536">
        <f>MODULY_CBA!$B12</f>
        <v>0</v>
      </c>
      <c r="P2" s="536">
        <f>MODULY_CBA!$B13</f>
        <v>0</v>
      </c>
      <c r="Q2" s="536">
        <f>MODULY_CBA!$B14</f>
        <v>0</v>
      </c>
      <c r="R2" s="536">
        <f>MODULY_CBA!$B15</f>
        <v>0</v>
      </c>
      <c r="S2" s="536">
        <f>MODULY_CBA!$B16</f>
        <v>0</v>
      </c>
      <c r="T2" s="536">
        <f>MODULY_CBA!$B17</f>
        <v>0</v>
      </c>
      <c r="U2" s="536">
        <f>MODULY_CBA!$B18</f>
        <v>0</v>
      </c>
      <c r="V2" s="536">
        <f>MODULY_CBA!$B19</f>
        <v>0</v>
      </c>
      <c r="W2" s="536">
        <f>MODULY_CBA!$B20</f>
        <v>0</v>
      </c>
      <c r="X2" s="536">
        <f>MODULY_CBA!$B21</f>
        <v>0</v>
      </c>
      <c r="Y2" s="536">
        <f>MODULY_CBA!$B22</f>
        <v>0</v>
      </c>
      <c r="Z2" s="536">
        <f>MODULY_CBA!$B23</f>
        <v>0</v>
      </c>
    </row>
    <row r="3" spans="1:26" ht="16" thickBot="1" x14ac:dyDescent="0.25">
      <c r="A3" s="36" t="s">
        <v>1152</v>
      </c>
      <c r="B3" s="70" t="s">
        <v>1153</v>
      </c>
      <c r="C3" s="70" t="s">
        <v>1154</v>
      </c>
      <c r="D3" s="157" t="s">
        <v>159</v>
      </c>
      <c r="E3" s="17"/>
      <c r="F3" s="17"/>
      <c r="G3" s="17"/>
      <c r="H3" s="17"/>
      <c r="I3" s="17"/>
      <c r="J3" s="17"/>
      <c r="K3" s="17"/>
      <c r="L3" s="17"/>
      <c r="M3" s="17"/>
      <c r="N3" s="17"/>
      <c r="O3" s="17"/>
      <c r="P3" s="17"/>
      <c r="Q3" s="17"/>
      <c r="R3" s="17"/>
      <c r="S3" s="17"/>
      <c r="T3" s="17"/>
      <c r="U3" s="17"/>
      <c r="V3" s="17"/>
      <c r="W3" s="17"/>
      <c r="X3" s="17"/>
      <c r="Y3" s="17"/>
      <c r="Z3" s="17"/>
    </row>
    <row r="4" spans="1:26" ht="16" thickBot="1" x14ac:dyDescent="0.25">
      <c r="A4" s="895" t="s">
        <v>1186</v>
      </c>
      <c r="B4" s="895"/>
      <c r="C4" s="895"/>
      <c r="D4" s="553"/>
      <c r="E4" s="72">
        <f t="shared" ref="E4:F4" si="0">SUM(E5:E54)</f>
        <v>0</v>
      </c>
      <c r="F4" s="73">
        <f t="shared" si="0"/>
        <v>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x14ac:dyDescent="0.2">
      <c r="A5" s="884" t="s">
        <v>1187</v>
      </c>
      <c r="B5" s="884" t="s">
        <v>1188</v>
      </c>
      <c r="C5" s="885">
        <v>713002</v>
      </c>
      <c r="D5" s="463">
        <v>1</v>
      </c>
      <c r="E5" s="67">
        <f t="shared" ref="E5:E54" si="2">SUM(F5:Z5)</f>
        <v>0</v>
      </c>
      <c r="F5" s="540">
        <f>IFERROR(SUMIFS('Rozpočet - HW a licencie'!$J$3:$J$102,'Rozpočet - HW a licencie'!$A$3:$A$102,'TCO TO BE - HW'!F$2,'Rozpočet - HW a licencie'!$D$3:$D$102,"HW",'Rozpočet - HW a licencie'!$H$3:$H$102,'TCO TO BE - HW'!$D5,'Rozpočet - HW a licencie'!$E$3:$E$102,'TCO TO BE - HW'!$B$5)+SUMIFS('Rozpočet - HW a licencie'!$J$3:$J$102,'Rozpočet - HW a licencie'!$A$3:$A$102,'TCO TO BE - HW'!F$2,'Rozpočet - HW a licencie'!$D$3:$D$102,"SW pre HW",'Rozpočet - HW a licencie'!$H$3:$H$102,'TCO TO BE - HW'!$D5,'Rozpočet - HW a licencie'!$E$3:$E$102,'TCO TO BE - HW'!$B$5),)</f>
        <v>0</v>
      </c>
      <c r="G5" s="540">
        <f>IFERROR(SUMIFS('Rozpočet - HW a licencie'!$J$3:$J$102,'Rozpočet - HW a licencie'!$A$3:$A$102,'TCO TO BE - HW'!G$2,'Rozpočet - HW a licencie'!$D$3:$D$102,"HW",'Rozpočet - HW a licencie'!$H$3:$H$102,'TCO TO BE - HW'!$D5,'Rozpočet - HW a licencie'!$E$3:$E$102,'TCO TO BE - HW'!$B$5)+SUMIFS('Rozpočet - HW a licencie'!$J$3:$J$102,'Rozpočet - HW a licencie'!$A$3:$A$102,'TCO TO BE - HW'!G$2,'Rozpočet - HW a licencie'!$D$3:$D$102,"SW pre HW",'Rozpočet - HW a licencie'!$H$3:$H$102,'TCO TO BE - HW'!$D5,'Rozpočet - HW a licencie'!$E$3:$E$102,'TCO TO BE - HW'!$B$5),)</f>
        <v>0</v>
      </c>
      <c r="H5" s="540">
        <f>IFERROR(SUMIFS('Rozpočet - HW a licencie'!$J$3:$J$102,'Rozpočet - HW a licencie'!$A$3:$A$102,'TCO TO BE - HW'!H$2,'Rozpočet - HW a licencie'!$D$3:$D$102,"HW",'Rozpočet - HW a licencie'!$H$3:$H$102,'TCO TO BE - HW'!$D5,'Rozpočet - HW a licencie'!$E$3:$E$102,'TCO TO BE - HW'!$B$5)+SUMIFS('Rozpočet - HW a licencie'!$J$3:$J$102,'Rozpočet - HW a licencie'!$A$3:$A$102,'TCO TO BE - HW'!H$2,'Rozpočet - HW a licencie'!$D$3:$D$102,"SW pre HW",'Rozpočet - HW a licencie'!$H$3:$H$102,'TCO TO BE - HW'!$D5,'Rozpočet - HW a licencie'!$E$3:$E$102,'TCO TO BE - HW'!$B$5),)</f>
        <v>0</v>
      </c>
      <c r="I5" s="540">
        <f>IFERROR(SUMIFS('Rozpočet - HW a licencie'!$J$3:$J$102,'Rozpočet - HW a licencie'!$A$3:$A$102,'TCO TO BE - HW'!I$2,'Rozpočet - HW a licencie'!$D$3:$D$102,"HW",'Rozpočet - HW a licencie'!$H$3:$H$102,'TCO TO BE - HW'!$D5,'Rozpočet - HW a licencie'!$E$3:$E$102,'TCO TO BE - HW'!$B$5)+SUMIFS('Rozpočet - HW a licencie'!$J$3:$J$102,'Rozpočet - HW a licencie'!$A$3:$A$102,'TCO TO BE - HW'!I$2,'Rozpočet - HW a licencie'!$D$3:$D$102,"SW pre HW",'Rozpočet - HW a licencie'!$H$3:$H$102,'TCO TO BE - HW'!$D5,'Rozpočet - HW a licencie'!$E$3:$E$102,'TCO TO BE - HW'!$B$5),)</f>
        <v>0</v>
      </c>
      <c r="J5" s="540">
        <f>IFERROR(SUMIFS('Rozpočet - HW a licencie'!$J$3:$J$102,'Rozpočet - HW a licencie'!$A$3:$A$102,'TCO TO BE - HW'!J$2,'Rozpočet - HW a licencie'!$D$3:$D$102,"HW",'Rozpočet - HW a licencie'!$H$3:$H$102,'TCO TO BE - HW'!$D5,'Rozpočet - HW a licencie'!$E$3:$E$102,'TCO TO BE - HW'!$B$5)+SUMIFS('Rozpočet - HW a licencie'!$J$3:$J$102,'Rozpočet - HW a licencie'!$A$3:$A$102,'TCO TO BE - HW'!J$2,'Rozpočet - HW a licencie'!$D$3:$D$102,"SW pre HW",'Rozpočet - HW a licencie'!$H$3:$H$102,'TCO TO BE - HW'!$D5,'Rozpočet - HW a licencie'!$E$3:$E$102,'TCO TO BE - HW'!$B$5),)</f>
        <v>0</v>
      </c>
      <c r="K5" s="540">
        <f>IFERROR(SUMIFS('Rozpočet - HW a licencie'!$J$3:$J$102,'Rozpočet - HW a licencie'!$A$3:$A$102,'TCO TO BE - HW'!K$2,'Rozpočet - HW a licencie'!$D$3:$D$102,"HW",'Rozpočet - HW a licencie'!$H$3:$H$102,'TCO TO BE - HW'!$D5,'Rozpočet - HW a licencie'!$E$3:$E$102,'TCO TO BE - HW'!$B$5)+SUMIFS('Rozpočet - HW a licencie'!$J$3:$J$102,'Rozpočet - HW a licencie'!$A$3:$A$102,'TCO TO BE - HW'!K$2,'Rozpočet - HW a licencie'!$D$3:$D$102,"SW pre HW",'Rozpočet - HW a licencie'!$H$3:$H$102,'TCO TO BE - HW'!$D5,'Rozpočet - HW a licencie'!$E$3:$E$102,'TCO TO BE - HW'!$B$5),)</f>
        <v>0</v>
      </c>
      <c r="L5" s="540">
        <f>IFERROR(SUMIFS('Rozpočet - HW a licencie'!$J$3:$J$102,'Rozpočet - HW a licencie'!$A$3:$A$102,'TCO TO BE - HW'!L$2,'Rozpočet - HW a licencie'!$D$3:$D$102,"HW",'Rozpočet - HW a licencie'!$H$3:$H$102,'TCO TO BE - HW'!$D5,'Rozpočet - HW a licencie'!$E$3:$E$102,'TCO TO BE - HW'!$B$5)+SUMIFS('Rozpočet - HW a licencie'!$J$3:$J$102,'Rozpočet - HW a licencie'!$A$3:$A$102,'TCO TO BE - HW'!L$2,'Rozpočet - HW a licencie'!$D$3:$D$102,"SW pre HW",'Rozpočet - HW a licencie'!$H$3:$H$102,'TCO TO BE - HW'!$D5,'Rozpočet - HW a licencie'!$E$3:$E$102,'TCO TO BE - HW'!$B$5),)</f>
        <v>0</v>
      </c>
      <c r="M5" s="540">
        <f>IFERROR(SUMIFS('Rozpočet - HW a licencie'!$J$3:$J$102,'Rozpočet - HW a licencie'!$A$3:$A$102,'TCO TO BE - HW'!M$2,'Rozpočet - HW a licencie'!$D$3:$D$102,"HW",'Rozpočet - HW a licencie'!$H$3:$H$102,'TCO TO BE - HW'!$D5,'Rozpočet - HW a licencie'!$E$3:$E$102,'TCO TO BE - HW'!$B$5)+SUMIFS('Rozpočet - HW a licencie'!$J$3:$J$102,'Rozpočet - HW a licencie'!$A$3:$A$102,'TCO TO BE - HW'!M$2,'Rozpočet - HW a licencie'!$D$3:$D$102,"SW pre HW",'Rozpočet - HW a licencie'!$H$3:$H$102,'TCO TO BE - HW'!$D5,'Rozpočet - HW a licencie'!$E$3:$E$102,'TCO TO BE - HW'!$B$5),)</f>
        <v>0</v>
      </c>
      <c r="N5" s="540">
        <f>IFERROR(SUMIFS('Rozpočet - HW a licencie'!$J$3:$J$102,'Rozpočet - HW a licencie'!$A$3:$A$102,'TCO TO BE - HW'!N$2,'Rozpočet - HW a licencie'!$D$3:$D$102,"HW",'Rozpočet - HW a licencie'!$H$3:$H$102,'TCO TO BE - HW'!$D5,'Rozpočet - HW a licencie'!$E$3:$E$102,'TCO TO BE - HW'!$B$5)+SUMIFS('Rozpočet - HW a licencie'!$J$3:$J$102,'Rozpočet - HW a licencie'!$A$3:$A$102,'TCO TO BE - HW'!N$2,'Rozpočet - HW a licencie'!$D$3:$D$102,"SW pre HW",'Rozpočet - HW a licencie'!$H$3:$H$102,'TCO TO BE - HW'!$D5,'Rozpočet - HW a licencie'!$E$3:$E$102,'TCO TO BE - HW'!$B$5),)</f>
        <v>0</v>
      </c>
      <c r="O5" s="540">
        <f>IFERROR(SUMIFS('Rozpočet - HW a licencie'!$J$3:$J$102,'Rozpočet - HW a licencie'!$A$3:$A$102,'TCO TO BE - HW'!O$2,'Rozpočet - HW a licencie'!$D$3:$D$102,"HW",'Rozpočet - HW a licencie'!$H$3:$H$102,'TCO TO BE - HW'!$D5,'Rozpočet - HW a licencie'!$E$3:$E$102,'TCO TO BE - HW'!$B$5)+SUMIFS('Rozpočet - HW a licencie'!$J$3:$J$102,'Rozpočet - HW a licencie'!$A$3:$A$102,'TCO TO BE - HW'!O$2,'Rozpočet - HW a licencie'!$D$3:$D$102,"SW pre HW",'Rozpočet - HW a licencie'!$H$3:$H$102,'TCO TO BE - HW'!$D5,'Rozpočet - HW a licencie'!$E$3:$E$102,'TCO TO BE - HW'!$B$5),)</f>
        <v>0</v>
      </c>
      <c r="P5" s="540">
        <f>IFERROR(SUMIFS('Rozpočet - HW a licencie'!$J$3:$J$102,'Rozpočet - HW a licencie'!$A$3:$A$102,'TCO TO BE - HW'!P$2,'Rozpočet - HW a licencie'!$D$3:$D$102,"HW",'Rozpočet - HW a licencie'!$H$3:$H$102,'TCO TO BE - HW'!$D5,'Rozpočet - HW a licencie'!$E$3:$E$102,'TCO TO BE - HW'!$B$5)+SUMIFS('Rozpočet - HW a licencie'!$J$3:$J$102,'Rozpočet - HW a licencie'!$A$3:$A$102,'TCO TO BE - HW'!P$2,'Rozpočet - HW a licencie'!$D$3:$D$102,"SW pre HW",'Rozpočet - HW a licencie'!$H$3:$H$102,'TCO TO BE - HW'!$D5,'Rozpočet - HW a licencie'!$E$3:$E$102,'TCO TO BE - HW'!$B$5),)</f>
        <v>0</v>
      </c>
      <c r="Q5" s="540">
        <f>IFERROR(SUMIFS('Rozpočet - HW a licencie'!$J$3:$J$102,'Rozpočet - HW a licencie'!$A$3:$A$102,'TCO TO BE - HW'!Q$2,'Rozpočet - HW a licencie'!$D$3:$D$102,"HW",'Rozpočet - HW a licencie'!$H$3:$H$102,'TCO TO BE - HW'!$D5,'Rozpočet - HW a licencie'!$E$3:$E$102,'TCO TO BE - HW'!$B$5)+SUMIFS('Rozpočet - HW a licencie'!$J$3:$J$102,'Rozpočet - HW a licencie'!$A$3:$A$102,'TCO TO BE - HW'!Q$2,'Rozpočet - HW a licencie'!$D$3:$D$102,"SW pre HW",'Rozpočet - HW a licencie'!$H$3:$H$102,'TCO TO BE - HW'!$D5,'Rozpočet - HW a licencie'!$E$3:$E$102,'TCO TO BE - HW'!$B$5),)</f>
        <v>0</v>
      </c>
      <c r="R5" s="540">
        <f>IFERROR(SUMIFS('Rozpočet - HW a licencie'!$J$3:$J$102,'Rozpočet - HW a licencie'!$A$3:$A$102,'TCO TO BE - HW'!R$2,'Rozpočet - HW a licencie'!$D$3:$D$102,"HW",'Rozpočet - HW a licencie'!$H$3:$H$102,'TCO TO BE - HW'!$D5,'Rozpočet - HW a licencie'!$E$3:$E$102,'TCO TO BE - HW'!$B$5)+SUMIFS('Rozpočet - HW a licencie'!$J$3:$J$102,'Rozpočet - HW a licencie'!$A$3:$A$102,'TCO TO BE - HW'!R$2,'Rozpočet - HW a licencie'!$D$3:$D$102,"SW pre HW",'Rozpočet - HW a licencie'!$H$3:$H$102,'TCO TO BE - HW'!$D5,'Rozpočet - HW a licencie'!$E$3:$E$102,'TCO TO BE - HW'!$B$5),)</f>
        <v>0</v>
      </c>
      <c r="S5" s="540">
        <f>IFERROR(SUMIFS('Rozpočet - HW a licencie'!$J$3:$J$102,'Rozpočet - HW a licencie'!$A$3:$A$102,'TCO TO BE - HW'!S$2,'Rozpočet - HW a licencie'!$D$3:$D$102,"HW",'Rozpočet - HW a licencie'!$H$3:$H$102,'TCO TO BE - HW'!$D5,'Rozpočet - HW a licencie'!$E$3:$E$102,'TCO TO BE - HW'!$B$5)+SUMIFS('Rozpočet - HW a licencie'!$J$3:$J$102,'Rozpočet - HW a licencie'!$A$3:$A$102,'TCO TO BE - HW'!S$2,'Rozpočet - HW a licencie'!$D$3:$D$102,"SW pre HW",'Rozpočet - HW a licencie'!$H$3:$H$102,'TCO TO BE - HW'!$D5,'Rozpočet - HW a licencie'!$E$3:$E$102,'TCO TO BE - HW'!$B$5),)</f>
        <v>0</v>
      </c>
      <c r="T5" s="540">
        <f>IFERROR(SUMIFS('Rozpočet - HW a licencie'!$J$3:$J$102,'Rozpočet - HW a licencie'!$A$3:$A$102,'TCO TO BE - HW'!T$2,'Rozpočet - HW a licencie'!$D$3:$D$102,"HW",'Rozpočet - HW a licencie'!$H$3:$H$102,'TCO TO BE - HW'!$D5,'Rozpočet - HW a licencie'!$E$3:$E$102,'TCO TO BE - HW'!$B$5)+SUMIFS('Rozpočet - HW a licencie'!$J$3:$J$102,'Rozpočet - HW a licencie'!$A$3:$A$102,'TCO TO BE - HW'!T$2,'Rozpočet - HW a licencie'!$D$3:$D$102,"SW pre HW",'Rozpočet - HW a licencie'!$H$3:$H$102,'TCO TO BE - HW'!$D5,'Rozpočet - HW a licencie'!$E$3:$E$102,'TCO TO BE - HW'!$B$5),)</f>
        <v>0</v>
      </c>
      <c r="U5" s="540">
        <f>IFERROR(SUMIFS('Rozpočet - HW a licencie'!$J$3:$J$102,'Rozpočet - HW a licencie'!$A$3:$A$102,'TCO TO BE - HW'!U$2,'Rozpočet - HW a licencie'!$D$3:$D$102,"HW",'Rozpočet - HW a licencie'!$H$3:$H$102,'TCO TO BE - HW'!$D5,'Rozpočet - HW a licencie'!$E$3:$E$102,'TCO TO BE - HW'!$B$5)+SUMIFS('Rozpočet - HW a licencie'!$J$3:$J$102,'Rozpočet - HW a licencie'!$A$3:$A$102,'TCO TO BE - HW'!U$2,'Rozpočet - HW a licencie'!$D$3:$D$102,"SW pre HW",'Rozpočet - HW a licencie'!$H$3:$H$102,'TCO TO BE - HW'!$D5,'Rozpočet - HW a licencie'!$E$3:$E$102,'TCO TO BE - HW'!$B$5),)</f>
        <v>0</v>
      </c>
      <c r="V5" s="540">
        <f>IFERROR(SUMIFS('Rozpočet - HW a licencie'!$J$3:$J$102,'Rozpočet - HW a licencie'!$A$3:$A$102,'TCO TO BE - HW'!V$2,'Rozpočet - HW a licencie'!$D$3:$D$102,"HW",'Rozpočet - HW a licencie'!$H$3:$H$102,'TCO TO BE - HW'!$D5,'Rozpočet - HW a licencie'!$E$3:$E$102,'TCO TO BE - HW'!$B$5)+SUMIFS('Rozpočet - HW a licencie'!$J$3:$J$102,'Rozpočet - HW a licencie'!$A$3:$A$102,'TCO TO BE - HW'!V$2,'Rozpočet - HW a licencie'!$D$3:$D$102,"SW pre HW",'Rozpočet - HW a licencie'!$H$3:$H$102,'TCO TO BE - HW'!$D5,'Rozpočet - HW a licencie'!$E$3:$E$102,'TCO TO BE - HW'!$B$5),)</f>
        <v>0</v>
      </c>
      <c r="W5" s="540">
        <f>IFERROR(SUMIFS('Rozpočet - HW a licencie'!$J$3:$J$102,'Rozpočet - HW a licencie'!$A$3:$A$102,'TCO TO BE - HW'!W$2,'Rozpočet - HW a licencie'!$D$3:$D$102,"HW",'Rozpočet - HW a licencie'!$H$3:$H$102,'TCO TO BE - HW'!$D5,'Rozpočet - HW a licencie'!$E$3:$E$102,'TCO TO BE - HW'!$B$5)+SUMIFS('Rozpočet - HW a licencie'!$J$3:$J$102,'Rozpočet - HW a licencie'!$A$3:$A$102,'TCO TO BE - HW'!W$2,'Rozpočet - HW a licencie'!$D$3:$D$102,"SW pre HW",'Rozpočet - HW a licencie'!$H$3:$H$102,'TCO TO BE - HW'!$D5,'Rozpočet - HW a licencie'!$E$3:$E$102,'TCO TO BE - HW'!$B$5),)</f>
        <v>0</v>
      </c>
      <c r="X5" s="540">
        <f>IFERROR(SUMIFS('Rozpočet - HW a licencie'!$J$3:$J$102,'Rozpočet - HW a licencie'!$A$3:$A$102,'TCO TO BE - HW'!X$2,'Rozpočet - HW a licencie'!$D$3:$D$102,"HW",'Rozpočet - HW a licencie'!$H$3:$H$102,'TCO TO BE - HW'!$D5,'Rozpočet - HW a licencie'!$E$3:$E$102,'TCO TO BE - HW'!$B$5)+SUMIFS('Rozpočet - HW a licencie'!$J$3:$J$102,'Rozpočet - HW a licencie'!$A$3:$A$102,'TCO TO BE - HW'!X$2,'Rozpočet - HW a licencie'!$D$3:$D$102,"SW pre HW",'Rozpočet - HW a licencie'!$H$3:$H$102,'TCO TO BE - HW'!$D5,'Rozpočet - HW a licencie'!$E$3:$E$102,'TCO TO BE - HW'!$B$5),)</f>
        <v>0</v>
      </c>
      <c r="Y5" s="540">
        <f>IFERROR(SUMIFS('Rozpočet - HW a licencie'!$J$3:$J$102,'Rozpočet - HW a licencie'!$A$3:$A$102,'TCO TO BE - HW'!Y$2,'Rozpočet - HW a licencie'!$D$3:$D$102,"HW",'Rozpočet - HW a licencie'!$H$3:$H$102,'TCO TO BE - HW'!$D5,'Rozpočet - HW a licencie'!$E$3:$E$102,'TCO TO BE - HW'!$B$5)+SUMIFS('Rozpočet - HW a licencie'!$J$3:$J$102,'Rozpočet - HW a licencie'!$A$3:$A$102,'TCO TO BE - HW'!Y$2,'Rozpočet - HW a licencie'!$D$3:$D$102,"SW pre HW",'Rozpočet - HW a licencie'!$H$3:$H$102,'TCO TO BE - HW'!$D5,'Rozpočet - HW a licencie'!$E$3:$E$102,'TCO TO BE - HW'!$B$5),)</f>
        <v>0</v>
      </c>
      <c r="Z5" s="540">
        <f>IFERROR(SUMIFS('Rozpočet - HW a licencie'!$J$3:$J$102,'Rozpočet - HW a licencie'!$A$3:$A$102,'TCO TO BE - HW'!Z$2,'Rozpočet - HW a licencie'!$D$3:$D$102,"HW",'Rozpočet - HW a licencie'!$H$3:$H$102,'TCO TO BE - HW'!$D5,'Rozpočet - HW a licencie'!$E$3:$E$102,'TCO TO BE - HW'!$B$5)+SUMIFS('Rozpočet - HW a licencie'!$J$3:$J$102,'Rozpočet - HW a licencie'!$A$3:$A$102,'TCO TO BE - HW'!Z$2,'Rozpočet - HW a licencie'!$D$3:$D$102,"SW pre HW",'Rozpočet - HW a licencie'!$H$3:$H$102,'TCO TO BE - HW'!$D5,'Rozpočet - HW a licencie'!$E$3:$E$102,'TCO TO BE - HW'!$B$5),)</f>
        <v>0</v>
      </c>
    </row>
    <row r="6" spans="1:26" outlineLevel="1" x14ac:dyDescent="0.2">
      <c r="A6" s="884"/>
      <c r="B6" s="885"/>
      <c r="C6" s="885"/>
      <c r="D6" s="464">
        <v>2</v>
      </c>
      <c r="E6" s="68">
        <f t="shared" si="2"/>
        <v>0</v>
      </c>
      <c r="F6" s="540">
        <f>IFERROR(SUMIFS('Rozpočet - HW a licencie'!$J$3:$J$102,'Rozpočet - HW a licencie'!$A$3:$A$102,'TCO TO BE - HW'!F$2,'Rozpočet - HW a licencie'!$D$3:$D$102,"HW",'Rozpočet - HW a licencie'!$H$3:$H$102,'TCO TO BE - HW'!$D6,'Rozpočet - HW a licencie'!$E$3:$E$102,'TCO TO BE - HW'!$B$5)+SUMIFS('Rozpočet - HW a licencie'!$J$3:$J$102,'Rozpočet - HW a licencie'!$A$3:$A$102,'TCO TO BE - HW'!F$2,'Rozpočet - HW a licencie'!$D$3:$D$102,"SW pre HW",'Rozpočet - HW a licencie'!$H$3:$H$102,'TCO TO BE - HW'!$D6,'Rozpočet - HW a licencie'!$E$3:$E$102,'TCO TO BE - HW'!$B$5),)</f>
        <v>0</v>
      </c>
      <c r="G6" s="540">
        <f>IFERROR(SUMIFS('Rozpočet - HW a licencie'!$J$3:$J$102,'Rozpočet - HW a licencie'!$A$3:$A$102,'TCO TO BE - HW'!G$2,'Rozpočet - HW a licencie'!$D$3:$D$102,"HW",'Rozpočet - HW a licencie'!$H$3:$H$102,'TCO TO BE - HW'!$D6,'Rozpočet - HW a licencie'!$E$3:$E$102,'TCO TO BE - HW'!$B$5)+SUMIFS('Rozpočet - HW a licencie'!$J$3:$J$102,'Rozpočet - HW a licencie'!$A$3:$A$102,'TCO TO BE - HW'!G$2,'Rozpočet - HW a licencie'!$D$3:$D$102,"SW pre HW",'Rozpočet - HW a licencie'!$H$3:$H$102,'TCO TO BE - HW'!$D6,'Rozpočet - HW a licencie'!$E$3:$E$102,'TCO TO BE - HW'!$B$5),)</f>
        <v>0</v>
      </c>
      <c r="H6" s="540">
        <f>IFERROR(SUMIFS('Rozpočet - HW a licencie'!$J$3:$J$102,'Rozpočet - HW a licencie'!$A$3:$A$102,'TCO TO BE - HW'!H$2,'Rozpočet - HW a licencie'!$D$3:$D$102,"HW",'Rozpočet - HW a licencie'!$H$3:$H$102,'TCO TO BE - HW'!$D6,'Rozpočet - HW a licencie'!$E$3:$E$102,'TCO TO BE - HW'!$B$5)+SUMIFS('Rozpočet - HW a licencie'!$J$3:$J$102,'Rozpočet - HW a licencie'!$A$3:$A$102,'TCO TO BE - HW'!H$2,'Rozpočet - HW a licencie'!$D$3:$D$102,"SW pre HW",'Rozpočet - HW a licencie'!$H$3:$H$102,'TCO TO BE - HW'!$D6,'Rozpočet - HW a licencie'!$E$3:$E$102,'TCO TO BE - HW'!$B$5),)</f>
        <v>0</v>
      </c>
      <c r="I6" s="540">
        <f>IFERROR(SUMIFS('Rozpočet - HW a licencie'!$J$3:$J$102,'Rozpočet - HW a licencie'!$A$3:$A$102,'TCO TO BE - HW'!I$2,'Rozpočet - HW a licencie'!$D$3:$D$102,"HW",'Rozpočet - HW a licencie'!$H$3:$H$102,'TCO TO BE - HW'!$D6,'Rozpočet - HW a licencie'!$E$3:$E$102,'TCO TO BE - HW'!$B$5)+SUMIFS('Rozpočet - HW a licencie'!$J$3:$J$102,'Rozpočet - HW a licencie'!$A$3:$A$102,'TCO TO BE - HW'!I$2,'Rozpočet - HW a licencie'!$D$3:$D$102,"SW pre HW",'Rozpočet - HW a licencie'!$H$3:$H$102,'TCO TO BE - HW'!$D6,'Rozpočet - HW a licencie'!$E$3:$E$102,'TCO TO BE - HW'!$B$5),)</f>
        <v>0</v>
      </c>
      <c r="J6" s="540">
        <f>IFERROR(SUMIFS('Rozpočet - HW a licencie'!$J$3:$J$102,'Rozpočet - HW a licencie'!$A$3:$A$102,'TCO TO BE - HW'!J$2,'Rozpočet - HW a licencie'!$D$3:$D$102,"HW",'Rozpočet - HW a licencie'!$H$3:$H$102,'TCO TO BE - HW'!$D6,'Rozpočet - HW a licencie'!$E$3:$E$102,'TCO TO BE - HW'!$B$5)+SUMIFS('Rozpočet - HW a licencie'!$J$3:$J$102,'Rozpočet - HW a licencie'!$A$3:$A$102,'TCO TO BE - HW'!J$2,'Rozpočet - HW a licencie'!$D$3:$D$102,"SW pre HW",'Rozpočet - HW a licencie'!$H$3:$H$102,'TCO TO BE - HW'!$D6,'Rozpočet - HW a licencie'!$E$3:$E$102,'TCO TO BE - HW'!$B$5),)</f>
        <v>0</v>
      </c>
      <c r="K6" s="540">
        <f>IFERROR(SUMIFS('Rozpočet - HW a licencie'!$J$3:$J$102,'Rozpočet - HW a licencie'!$A$3:$A$102,'TCO TO BE - HW'!K$2,'Rozpočet - HW a licencie'!$D$3:$D$102,"HW",'Rozpočet - HW a licencie'!$H$3:$H$102,'TCO TO BE - HW'!$D6,'Rozpočet - HW a licencie'!$E$3:$E$102,'TCO TO BE - HW'!$B$5)+SUMIFS('Rozpočet - HW a licencie'!$J$3:$J$102,'Rozpočet - HW a licencie'!$A$3:$A$102,'TCO TO BE - HW'!K$2,'Rozpočet - HW a licencie'!$D$3:$D$102,"SW pre HW",'Rozpočet - HW a licencie'!$H$3:$H$102,'TCO TO BE - HW'!$D6,'Rozpočet - HW a licencie'!$E$3:$E$102,'TCO TO BE - HW'!$B$5),)</f>
        <v>0</v>
      </c>
      <c r="L6" s="540">
        <f>IFERROR(SUMIFS('Rozpočet - HW a licencie'!$J$3:$J$102,'Rozpočet - HW a licencie'!$A$3:$A$102,'TCO TO BE - HW'!L$2,'Rozpočet - HW a licencie'!$D$3:$D$102,"HW",'Rozpočet - HW a licencie'!$H$3:$H$102,'TCO TO BE - HW'!$D6,'Rozpočet - HW a licencie'!$E$3:$E$102,'TCO TO BE - HW'!$B$5)+SUMIFS('Rozpočet - HW a licencie'!$J$3:$J$102,'Rozpočet - HW a licencie'!$A$3:$A$102,'TCO TO BE - HW'!L$2,'Rozpočet - HW a licencie'!$D$3:$D$102,"SW pre HW",'Rozpočet - HW a licencie'!$H$3:$H$102,'TCO TO BE - HW'!$D6,'Rozpočet - HW a licencie'!$E$3:$E$102,'TCO TO BE - HW'!$B$5),)</f>
        <v>0</v>
      </c>
      <c r="M6" s="540">
        <f>IFERROR(SUMIFS('Rozpočet - HW a licencie'!$J$3:$J$102,'Rozpočet - HW a licencie'!$A$3:$A$102,'TCO TO BE - HW'!M$2,'Rozpočet - HW a licencie'!$D$3:$D$102,"HW",'Rozpočet - HW a licencie'!$H$3:$H$102,'TCO TO BE - HW'!$D6,'Rozpočet - HW a licencie'!$E$3:$E$102,'TCO TO BE - HW'!$B$5)+SUMIFS('Rozpočet - HW a licencie'!$J$3:$J$102,'Rozpočet - HW a licencie'!$A$3:$A$102,'TCO TO BE - HW'!M$2,'Rozpočet - HW a licencie'!$D$3:$D$102,"SW pre HW",'Rozpočet - HW a licencie'!$H$3:$H$102,'TCO TO BE - HW'!$D6,'Rozpočet - HW a licencie'!$E$3:$E$102,'TCO TO BE - HW'!$B$5),)</f>
        <v>0</v>
      </c>
      <c r="N6" s="540">
        <f>IFERROR(SUMIFS('Rozpočet - HW a licencie'!$J$3:$J$102,'Rozpočet - HW a licencie'!$A$3:$A$102,'TCO TO BE - HW'!N$2,'Rozpočet - HW a licencie'!$D$3:$D$102,"HW",'Rozpočet - HW a licencie'!$H$3:$H$102,'TCO TO BE - HW'!$D6,'Rozpočet - HW a licencie'!$E$3:$E$102,'TCO TO BE - HW'!$B$5)+SUMIFS('Rozpočet - HW a licencie'!$J$3:$J$102,'Rozpočet - HW a licencie'!$A$3:$A$102,'TCO TO BE - HW'!N$2,'Rozpočet - HW a licencie'!$D$3:$D$102,"SW pre HW",'Rozpočet - HW a licencie'!$H$3:$H$102,'TCO TO BE - HW'!$D6,'Rozpočet - HW a licencie'!$E$3:$E$102,'TCO TO BE - HW'!$B$5),)</f>
        <v>0</v>
      </c>
      <c r="O6" s="540">
        <f>IFERROR(SUMIFS('Rozpočet - HW a licencie'!$J$3:$J$102,'Rozpočet - HW a licencie'!$A$3:$A$102,'TCO TO BE - HW'!O$2,'Rozpočet - HW a licencie'!$D$3:$D$102,"HW",'Rozpočet - HW a licencie'!$H$3:$H$102,'TCO TO BE - HW'!$D6,'Rozpočet - HW a licencie'!$E$3:$E$102,'TCO TO BE - HW'!$B$5)+SUMIFS('Rozpočet - HW a licencie'!$J$3:$J$102,'Rozpočet - HW a licencie'!$A$3:$A$102,'TCO TO BE - HW'!O$2,'Rozpočet - HW a licencie'!$D$3:$D$102,"SW pre HW",'Rozpočet - HW a licencie'!$H$3:$H$102,'TCO TO BE - HW'!$D6,'Rozpočet - HW a licencie'!$E$3:$E$102,'TCO TO BE - HW'!$B$5),)</f>
        <v>0</v>
      </c>
      <c r="P6" s="540">
        <f>IFERROR(SUMIFS('Rozpočet - HW a licencie'!$J$3:$J$102,'Rozpočet - HW a licencie'!$A$3:$A$102,'TCO TO BE - HW'!P$2,'Rozpočet - HW a licencie'!$D$3:$D$102,"HW",'Rozpočet - HW a licencie'!$H$3:$H$102,'TCO TO BE - HW'!$D6,'Rozpočet - HW a licencie'!$E$3:$E$102,'TCO TO BE - HW'!$B$5)+SUMIFS('Rozpočet - HW a licencie'!$J$3:$J$102,'Rozpočet - HW a licencie'!$A$3:$A$102,'TCO TO BE - HW'!P$2,'Rozpočet - HW a licencie'!$D$3:$D$102,"SW pre HW",'Rozpočet - HW a licencie'!$H$3:$H$102,'TCO TO BE - HW'!$D6,'Rozpočet - HW a licencie'!$E$3:$E$102,'TCO TO BE - HW'!$B$5),)</f>
        <v>0</v>
      </c>
      <c r="Q6" s="540">
        <f>IFERROR(SUMIFS('Rozpočet - HW a licencie'!$J$3:$J$102,'Rozpočet - HW a licencie'!$A$3:$A$102,'TCO TO BE - HW'!Q$2,'Rozpočet - HW a licencie'!$D$3:$D$102,"HW",'Rozpočet - HW a licencie'!$H$3:$H$102,'TCO TO BE - HW'!$D6,'Rozpočet - HW a licencie'!$E$3:$E$102,'TCO TO BE - HW'!$B$5)+SUMIFS('Rozpočet - HW a licencie'!$J$3:$J$102,'Rozpočet - HW a licencie'!$A$3:$A$102,'TCO TO BE - HW'!Q$2,'Rozpočet - HW a licencie'!$D$3:$D$102,"SW pre HW",'Rozpočet - HW a licencie'!$H$3:$H$102,'TCO TO BE - HW'!$D6,'Rozpočet - HW a licencie'!$E$3:$E$102,'TCO TO BE - HW'!$B$5),)</f>
        <v>0</v>
      </c>
      <c r="R6" s="540">
        <f>IFERROR(SUMIFS('Rozpočet - HW a licencie'!$J$3:$J$102,'Rozpočet - HW a licencie'!$A$3:$A$102,'TCO TO BE - HW'!R$2,'Rozpočet - HW a licencie'!$D$3:$D$102,"HW",'Rozpočet - HW a licencie'!$H$3:$H$102,'TCO TO BE - HW'!$D6,'Rozpočet - HW a licencie'!$E$3:$E$102,'TCO TO BE - HW'!$B$5)+SUMIFS('Rozpočet - HW a licencie'!$J$3:$J$102,'Rozpočet - HW a licencie'!$A$3:$A$102,'TCO TO BE - HW'!R$2,'Rozpočet - HW a licencie'!$D$3:$D$102,"SW pre HW",'Rozpočet - HW a licencie'!$H$3:$H$102,'TCO TO BE - HW'!$D6,'Rozpočet - HW a licencie'!$E$3:$E$102,'TCO TO BE - HW'!$B$5),)</f>
        <v>0</v>
      </c>
      <c r="S6" s="540">
        <f>IFERROR(SUMIFS('Rozpočet - HW a licencie'!$J$3:$J$102,'Rozpočet - HW a licencie'!$A$3:$A$102,'TCO TO BE - HW'!S$2,'Rozpočet - HW a licencie'!$D$3:$D$102,"HW",'Rozpočet - HW a licencie'!$H$3:$H$102,'TCO TO BE - HW'!$D6,'Rozpočet - HW a licencie'!$E$3:$E$102,'TCO TO BE - HW'!$B$5)+SUMIFS('Rozpočet - HW a licencie'!$J$3:$J$102,'Rozpočet - HW a licencie'!$A$3:$A$102,'TCO TO BE - HW'!S$2,'Rozpočet - HW a licencie'!$D$3:$D$102,"SW pre HW",'Rozpočet - HW a licencie'!$H$3:$H$102,'TCO TO BE - HW'!$D6,'Rozpočet - HW a licencie'!$E$3:$E$102,'TCO TO BE - HW'!$B$5),)</f>
        <v>0</v>
      </c>
      <c r="T6" s="540">
        <f>IFERROR(SUMIFS('Rozpočet - HW a licencie'!$J$3:$J$102,'Rozpočet - HW a licencie'!$A$3:$A$102,'TCO TO BE - HW'!T$2,'Rozpočet - HW a licencie'!$D$3:$D$102,"HW",'Rozpočet - HW a licencie'!$H$3:$H$102,'TCO TO BE - HW'!$D6,'Rozpočet - HW a licencie'!$E$3:$E$102,'TCO TO BE - HW'!$B$5)+SUMIFS('Rozpočet - HW a licencie'!$J$3:$J$102,'Rozpočet - HW a licencie'!$A$3:$A$102,'TCO TO BE - HW'!T$2,'Rozpočet - HW a licencie'!$D$3:$D$102,"SW pre HW",'Rozpočet - HW a licencie'!$H$3:$H$102,'TCO TO BE - HW'!$D6,'Rozpočet - HW a licencie'!$E$3:$E$102,'TCO TO BE - HW'!$B$5),)</f>
        <v>0</v>
      </c>
      <c r="U6" s="540">
        <f>IFERROR(SUMIFS('Rozpočet - HW a licencie'!$J$3:$J$102,'Rozpočet - HW a licencie'!$A$3:$A$102,'TCO TO BE - HW'!U$2,'Rozpočet - HW a licencie'!$D$3:$D$102,"HW",'Rozpočet - HW a licencie'!$H$3:$H$102,'TCO TO BE - HW'!$D6,'Rozpočet - HW a licencie'!$E$3:$E$102,'TCO TO BE - HW'!$B$5)+SUMIFS('Rozpočet - HW a licencie'!$J$3:$J$102,'Rozpočet - HW a licencie'!$A$3:$A$102,'TCO TO BE - HW'!U$2,'Rozpočet - HW a licencie'!$D$3:$D$102,"SW pre HW",'Rozpočet - HW a licencie'!$H$3:$H$102,'TCO TO BE - HW'!$D6,'Rozpočet - HW a licencie'!$E$3:$E$102,'TCO TO BE - HW'!$B$5),)</f>
        <v>0</v>
      </c>
      <c r="V6" s="540">
        <f>IFERROR(SUMIFS('Rozpočet - HW a licencie'!$J$3:$J$102,'Rozpočet - HW a licencie'!$A$3:$A$102,'TCO TO BE - HW'!V$2,'Rozpočet - HW a licencie'!$D$3:$D$102,"HW",'Rozpočet - HW a licencie'!$H$3:$H$102,'TCO TO BE - HW'!$D6,'Rozpočet - HW a licencie'!$E$3:$E$102,'TCO TO BE - HW'!$B$5)+SUMIFS('Rozpočet - HW a licencie'!$J$3:$J$102,'Rozpočet - HW a licencie'!$A$3:$A$102,'TCO TO BE - HW'!V$2,'Rozpočet - HW a licencie'!$D$3:$D$102,"SW pre HW",'Rozpočet - HW a licencie'!$H$3:$H$102,'TCO TO BE - HW'!$D6,'Rozpočet - HW a licencie'!$E$3:$E$102,'TCO TO BE - HW'!$B$5),)</f>
        <v>0</v>
      </c>
      <c r="W6" s="540">
        <f>IFERROR(SUMIFS('Rozpočet - HW a licencie'!$J$3:$J$102,'Rozpočet - HW a licencie'!$A$3:$A$102,'TCO TO BE - HW'!W$2,'Rozpočet - HW a licencie'!$D$3:$D$102,"HW",'Rozpočet - HW a licencie'!$H$3:$H$102,'TCO TO BE - HW'!$D6,'Rozpočet - HW a licencie'!$E$3:$E$102,'TCO TO BE - HW'!$B$5)+SUMIFS('Rozpočet - HW a licencie'!$J$3:$J$102,'Rozpočet - HW a licencie'!$A$3:$A$102,'TCO TO BE - HW'!W$2,'Rozpočet - HW a licencie'!$D$3:$D$102,"SW pre HW",'Rozpočet - HW a licencie'!$H$3:$H$102,'TCO TO BE - HW'!$D6,'Rozpočet - HW a licencie'!$E$3:$E$102,'TCO TO BE - HW'!$B$5),)</f>
        <v>0</v>
      </c>
      <c r="X6" s="540">
        <f>IFERROR(SUMIFS('Rozpočet - HW a licencie'!$J$3:$J$102,'Rozpočet - HW a licencie'!$A$3:$A$102,'TCO TO BE - HW'!X$2,'Rozpočet - HW a licencie'!$D$3:$D$102,"HW",'Rozpočet - HW a licencie'!$H$3:$H$102,'TCO TO BE - HW'!$D6,'Rozpočet - HW a licencie'!$E$3:$E$102,'TCO TO BE - HW'!$B$5)+SUMIFS('Rozpočet - HW a licencie'!$J$3:$J$102,'Rozpočet - HW a licencie'!$A$3:$A$102,'TCO TO BE - HW'!X$2,'Rozpočet - HW a licencie'!$D$3:$D$102,"SW pre HW",'Rozpočet - HW a licencie'!$H$3:$H$102,'TCO TO BE - HW'!$D6,'Rozpočet - HW a licencie'!$E$3:$E$102,'TCO TO BE - HW'!$B$5),)</f>
        <v>0</v>
      </c>
      <c r="Y6" s="540">
        <f>IFERROR(SUMIFS('Rozpočet - HW a licencie'!$J$3:$J$102,'Rozpočet - HW a licencie'!$A$3:$A$102,'TCO TO BE - HW'!Y$2,'Rozpočet - HW a licencie'!$D$3:$D$102,"HW",'Rozpočet - HW a licencie'!$H$3:$H$102,'TCO TO BE - HW'!$D6,'Rozpočet - HW a licencie'!$E$3:$E$102,'TCO TO BE - HW'!$B$5)+SUMIFS('Rozpočet - HW a licencie'!$J$3:$J$102,'Rozpočet - HW a licencie'!$A$3:$A$102,'TCO TO BE - HW'!Y$2,'Rozpočet - HW a licencie'!$D$3:$D$102,"SW pre HW",'Rozpočet - HW a licencie'!$H$3:$H$102,'TCO TO BE - HW'!$D6,'Rozpočet - HW a licencie'!$E$3:$E$102,'TCO TO BE - HW'!$B$5),)</f>
        <v>0</v>
      </c>
      <c r="Z6" s="540">
        <f>IFERROR(SUMIFS('Rozpočet - HW a licencie'!$J$3:$J$102,'Rozpočet - HW a licencie'!$A$3:$A$102,'TCO TO BE - HW'!Z$2,'Rozpočet - HW a licencie'!$D$3:$D$102,"HW",'Rozpočet - HW a licencie'!$H$3:$H$102,'TCO TO BE - HW'!$D6,'Rozpočet - HW a licencie'!$E$3:$E$102,'TCO TO BE - HW'!$B$5)+SUMIFS('Rozpočet - HW a licencie'!$J$3:$J$102,'Rozpočet - HW a licencie'!$A$3:$A$102,'TCO TO BE - HW'!Z$2,'Rozpočet - HW a licencie'!$D$3:$D$102,"SW pre HW",'Rozpočet - HW a licencie'!$H$3:$H$102,'TCO TO BE - HW'!$D6,'Rozpočet - HW a licencie'!$E$3:$E$102,'TCO TO BE - HW'!$B$5),)</f>
        <v>0</v>
      </c>
    </row>
    <row r="7" spans="1:26" outlineLevel="1" x14ac:dyDescent="0.2">
      <c r="A7" s="884"/>
      <c r="B7" s="885"/>
      <c r="C7" s="885"/>
      <c r="D7" s="464">
        <v>3</v>
      </c>
      <c r="E7" s="68">
        <f t="shared" si="2"/>
        <v>0</v>
      </c>
      <c r="F7" s="540">
        <f>IFERROR(SUMIFS('Rozpočet - HW a licencie'!$J$3:$J$102,'Rozpočet - HW a licencie'!$A$3:$A$102,'TCO TO BE - HW'!F$2,'Rozpočet - HW a licencie'!$D$3:$D$102,"HW",'Rozpočet - HW a licencie'!$H$3:$H$102,'TCO TO BE - HW'!$D7,'Rozpočet - HW a licencie'!$E$3:$E$102,'TCO TO BE - HW'!$B$5)+SUMIFS('Rozpočet - HW a licencie'!$J$3:$J$102,'Rozpočet - HW a licencie'!$A$3:$A$102,'TCO TO BE - HW'!F$2,'Rozpočet - HW a licencie'!$D$3:$D$102,"SW pre HW",'Rozpočet - HW a licencie'!$H$3:$H$102,'TCO TO BE - HW'!$D7,'Rozpočet - HW a licencie'!$E$3:$E$102,'TCO TO BE - HW'!$B$5),)</f>
        <v>0</v>
      </c>
      <c r="G7" s="540">
        <f>IFERROR(SUMIFS('Rozpočet - HW a licencie'!$J$3:$J$102,'Rozpočet - HW a licencie'!$A$3:$A$102,'TCO TO BE - HW'!G$2,'Rozpočet - HW a licencie'!$D$3:$D$102,"HW",'Rozpočet - HW a licencie'!$H$3:$H$102,'TCO TO BE - HW'!$D7,'Rozpočet - HW a licencie'!$E$3:$E$102,'TCO TO BE - HW'!$B$5)+SUMIFS('Rozpočet - HW a licencie'!$J$3:$J$102,'Rozpočet - HW a licencie'!$A$3:$A$102,'TCO TO BE - HW'!G$2,'Rozpočet - HW a licencie'!$D$3:$D$102,"SW pre HW",'Rozpočet - HW a licencie'!$H$3:$H$102,'TCO TO BE - HW'!$D7,'Rozpočet - HW a licencie'!$E$3:$E$102,'TCO TO BE - HW'!$B$5),)</f>
        <v>0</v>
      </c>
      <c r="H7" s="540">
        <f>IFERROR(SUMIFS('Rozpočet - HW a licencie'!$J$3:$J$102,'Rozpočet - HW a licencie'!$A$3:$A$102,'TCO TO BE - HW'!H$2,'Rozpočet - HW a licencie'!$D$3:$D$102,"HW",'Rozpočet - HW a licencie'!$H$3:$H$102,'TCO TO BE - HW'!$D7,'Rozpočet - HW a licencie'!$E$3:$E$102,'TCO TO BE - HW'!$B$5)+SUMIFS('Rozpočet - HW a licencie'!$J$3:$J$102,'Rozpočet - HW a licencie'!$A$3:$A$102,'TCO TO BE - HW'!H$2,'Rozpočet - HW a licencie'!$D$3:$D$102,"SW pre HW",'Rozpočet - HW a licencie'!$H$3:$H$102,'TCO TO BE - HW'!$D7,'Rozpočet - HW a licencie'!$E$3:$E$102,'TCO TO BE - HW'!$B$5),)</f>
        <v>0</v>
      </c>
      <c r="I7" s="540">
        <f>IFERROR(SUMIFS('Rozpočet - HW a licencie'!$J$3:$J$102,'Rozpočet - HW a licencie'!$A$3:$A$102,'TCO TO BE - HW'!I$2,'Rozpočet - HW a licencie'!$D$3:$D$102,"HW",'Rozpočet - HW a licencie'!$H$3:$H$102,'TCO TO BE - HW'!$D7,'Rozpočet - HW a licencie'!$E$3:$E$102,'TCO TO BE - HW'!$B$5)+SUMIFS('Rozpočet - HW a licencie'!$J$3:$J$102,'Rozpočet - HW a licencie'!$A$3:$A$102,'TCO TO BE - HW'!I$2,'Rozpočet - HW a licencie'!$D$3:$D$102,"SW pre HW",'Rozpočet - HW a licencie'!$H$3:$H$102,'TCO TO BE - HW'!$D7,'Rozpočet - HW a licencie'!$E$3:$E$102,'TCO TO BE - HW'!$B$5),)</f>
        <v>0</v>
      </c>
      <c r="J7" s="540">
        <f>IFERROR(SUMIFS('Rozpočet - HW a licencie'!$J$3:$J$102,'Rozpočet - HW a licencie'!$A$3:$A$102,'TCO TO BE - HW'!J$2,'Rozpočet - HW a licencie'!$D$3:$D$102,"HW",'Rozpočet - HW a licencie'!$H$3:$H$102,'TCO TO BE - HW'!$D7,'Rozpočet - HW a licencie'!$E$3:$E$102,'TCO TO BE - HW'!$B$5)+SUMIFS('Rozpočet - HW a licencie'!$J$3:$J$102,'Rozpočet - HW a licencie'!$A$3:$A$102,'TCO TO BE - HW'!J$2,'Rozpočet - HW a licencie'!$D$3:$D$102,"SW pre HW",'Rozpočet - HW a licencie'!$H$3:$H$102,'TCO TO BE - HW'!$D7,'Rozpočet - HW a licencie'!$E$3:$E$102,'TCO TO BE - HW'!$B$5),)</f>
        <v>0</v>
      </c>
      <c r="K7" s="540">
        <f>IFERROR(SUMIFS('Rozpočet - HW a licencie'!$J$3:$J$102,'Rozpočet - HW a licencie'!$A$3:$A$102,'TCO TO BE - HW'!K$2,'Rozpočet - HW a licencie'!$D$3:$D$102,"HW",'Rozpočet - HW a licencie'!$H$3:$H$102,'TCO TO BE - HW'!$D7,'Rozpočet - HW a licencie'!$E$3:$E$102,'TCO TO BE - HW'!$B$5)+SUMIFS('Rozpočet - HW a licencie'!$J$3:$J$102,'Rozpočet - HW a licencie'!$A$3:$A$102,'TCO TO BE - HW'!K$2,'Rozpočet - HW a licencie'!$D$3:$D$102,"SW pre HW",'Rozpočet - HW a licencie'!$H$3:$H$102,'TCO TO BE - HW'!$D7,'Rozpočet - HW a licencie'!$E$3:$E$102,'TCO TO BE - HW'!$B$5),)</f>
        <v>0</v>
      </c>
      <c r="L7" s="540">
        <f>IFERROR(SUMIFS('Rozpočet - HW a licencie'!$J$3:$J$102,'Rozpočet - HW a licencie'!$A$3:$A$102,'TCO TO BE - HW'!L$2,'Rozpočet - HW a licencie'!$D$3:$D$102,"HW",'Rozpočet - HW a licencie'!$H$3:$H$102,'TCO TO BE - HW'!$D7,'Rozpočet - HW a licencie'!$E$3:$E$102,'TCO TO BE - HW'!$B$5)+SUMIFS('Rozpočet - HW a licencie'!$J$3:$J$102,'Rozpočet - HW a licencie'!$A$3:$A$102,'TCO TO BE - HW'!L$2,'Rozpočet - HW a licencie'!$D$3:$D$102,"SW pre HW",'Rozpočet - HW a licencie'!$H$3:$H$102,'TCO TO BE - HW'!$D7,'Rozpočet - HW a licencie'!$E$3:$E$102,'TCO TO BE - HW'!$B$5),)</f>
        <v>0</v>
      </c>
      <c r="M7" s="540">
        <f>IFERROR(SUMIFS('Rozpočet - HW a licencie'!$J$3:$J$102,'Rozpočet - HW a licencie'!$A$3:$A$102,'TCO TO BE - HW'!M$2,'Rozpočet - HW a licencie'!$D$3:$D$102,"HW",'Rozpočet - HW a licencie'!$H$3:$H$102,'TCO TO BE - HW'!$D7,'Rozpočet - HW a licencie'!$E$3:$E$102,'TCO TO BE - HW'!$B$5)+SUMIFS('Rozpočet - HW a licencie'!$J$3:$J$102,'Rozpočet - HW a licencie'!$A$3:$A$102,'TCO TO BE - HW'!M$2,'Rozpočet - HW a licencie'!$D$3:$D$102,"SW pre HW",'Rozpočet - HW a licencie'!$H$3:$H$102,'TCO TO BE - HW'!$D7,'Rozpočet - HW a licencie'!$E$3:$E$102,'TCO TO BE - HW'!$B$5),)</f>
        <v>0</v>
      </c>
      <c r="N7" s="540">
        <f>IFERROR(SUMIFS('Rozpočet - HW a licencie'!$J$3:$J$102,'Rozpočet - HW a licencie'!$A$3:$A$102,'TCO TO BE - HW'!N$2,'Rozpočet - HW a licencie'!$D$3:$D$102,"HW",'Rozpočet - HW a licencie'!$H$3:$H$102,'TCO TO BE - HW'!$D7,'Rozpočet - HW a licencie'!$E$3:$E$102,'TCO TO BE - HW'!$B$5)+SUMIFS('Rozpočet - HW a licencie'!$J$3:$J$102,'Rozpočet - HW a licencie'!$A$3:$A$102,'TCO TO BE - HW'!N$2,'Rozpočet - HW a licencie'!$D$3:$D$102,"SW pre HW",'Rozpočet - HW a licencie'!$H$3:$H$102,'TCO TO BE - HW'!$D7,'Rozpočet - HW a licencie'!$E$3:$E$102,'TCO TO BE - HW'!$B$5),)</f>
        <v>0</v>
      </c>
      <c r="O7" s="540">
        <f>IFERROR(SUMIFS('Rozpočet - HW a licencie'!$J$3:$J$102,'Rozpočet - HW a licencie'!$A$3:$A$102,'TCO TO BE - HW'!O$2,'Rozpočet - HW a licencie'!$D$3:$D$102,"HW",'Rozpočet - HW a licencie'!$H$3:$H$102,'TCO TO BE - HW'!$D7,'Rozpočet - HW a licencie'!$E$3:$E$102,'TCO TO BE - HW'!$B$5)+SUMIFS('Rozpočet - HW a licencie'!$J$3:$J$102,'Rozpočet - HW a licencie'!$A$3:$A$102,'TCO TO BE - HW'!O$2,'Rozpočet - HW a licencie'!$D$3:$D$102,"SW pre HW",'Rozpočet - HW a licencie'!$H$3:$H$102,'TCO TO BE - HW'!$D7,'Rozpočet - HW a licencie'!$E$3:$E$102,'TCO TO BE - HW'!$B$5),)</f>
        <v>0</v>
      </c>
      <c r="P7" s="540">
        <f>IFERROR(SUMIFS('Rozpočet - HW a licencie'!$J$3:$J$102,'Rozpočet - HW a licencie'!$A$3:$A$102,'TCO TO BE - HW'!P$2,'Rozpočet - HW a licencie'!$D$3:$D$102,"HW",'Rozpočet - HW a licencie'!$H$3:$H$102,'TCO TO BE - HW'!$D7,'Rozpočet - HW a licencie'!$E$3:$E$102,'TCO TO BE - HW'!$B$5)+SUMIFS('Rozpočet - HW a licencie'!$J$3:$J$102,'Rozpočet - HW a licencie'!$A$3:$A$102,'TCO TO BE - HW'!P$2,'Rozpočet - HW a licencie'!$D$3:$D$102,"SW pre HW",'Rozpočet - HW a licencie'!$H$3:$H$102,'TCO TO BE - HW'!$D7,'Rozpočet - HW a licencie'!$E$3:$E$102,'TCO TO BE - HW'!$B$5),)</f>
        <v>0</v>
      </c>
      <c r="Q7" s="540">
        <f>IFERROR(SUMIFS('Rozpočet - HW a licencie'!$J$3:$J$102,'Rozpočet - HW a licencie'!$A$3:$A$102,'TCO TO BE - HW'!Q$2,'Rozpočet - HW a licencie'!$D$3:$D$102,"HW",'Rozpočet - HW a licencie'!$H$3:$H$102,'TCO TO BE - HW'!$D7,'Rozpočet - HW a licencie'!$E$3:$E$102,'TCO TO BE - HW'!$B$5)+SUMIFS('Rozpočet - HW a licencie'!$J$3:$J$102,'Rozpočet - HW a licencie'!$A$3:$A$102,'TCO TO BE - HW'!Q$2,'Rozpočet - HW a licencie'!$D$3:$D$102,"SW pre HW",'Rozpočet - HW a licencie'!$H$3:$H$102,'TCO TO BE - HW'!$D7,'Rozpočet - HW a licencie'!$E$3:$E$102,'TCO TO BE - HW'!$B$5),)</f>
        <v>0</v>
      </c>
      <c r="R7" s="540">
        <f>IFERROR(SUMIFS('Rozpočet - HW a licencie'!$J$3:$J$102,'Rozpočet - HW a licencie'!$A$3:$A$102,'TCO TO BE - HW'!R$2,'Rozpočet - HW a licencie'!$D$3:$D$102,"HW",'Rozpočet - HW a licencie'!$H$3:$H$102,'TCO TO BE - HW'!$D7,'Rozpočet - HW a licencie'!$E$3:$E$102,'TCO TO BE - HW'!$B$5)+SUMIFS('Rozpočet - HW a licencie'!$J$3:$J$102,'Rozpočet - HW a licencie'!$A$3:$A$102,'TCO TO BE - HW'!R$2,'Rozpočet - HW a licencie'!$D$3:$D$102,"SW pre HW",'Rozpočet - HW a licencie'!$H$3:$H$102,'TCO TO BE - HW'!$D7,'Rozpočet - HW a licencie'!$E$3:$E$102,'TCO TO BE - HW'!$B$5),)</f>
        <v>0</v>
      </c>
      <c r="S7" s="540">
        <f>IFERROR(SUMIFS('Rozpočet - HW a licencie'!$J$3:$J$102,'Rozpočet - HW a licencie'!$A$3:$A$102,'TCO TO BE - HW'!S$2,'Rozpočet - HW a licencie'!$D$3:$D$102,"HW",'Rozpočet - HW a licencie'!$H$3:$H$102,'TCO TO BE - HW'!$D7,'Rozpočet - HW a licencie'!$E$3:$E$102,'TCO TO BE - HW'!$B$5)+SUMIFS('Rozpočet - HW a licencie'!$J$3:$J$102,'Rozpočet - HW a licencie'!$A$3:$A$102,'TCO TO BE - HW'!S$2,'Rozpočet - HW a licencie'!$D$3:$D$102,"SW pre HW",'Rozpočet - HW a licencie'!$H$3:$H$102,'TCO TO BE - HW'!$D7,'Rozpočet - HW a licencie'!$E$3:$E$102,'TCO TO BE - HW'!$B$5),)</f>
        <v>0</v>
      </c>
      <c r="T7" s="540">
        <f>IFERROR(SUMIFS('Rozpočet - HW a licencie'!$J$3:$J$102,'Rozpočet - HW a licencie'!$A$3:$A$102,'TCO TO BE - HW'!T$2,'Rozpočet - HW a licencie'!$D$3:$D$102,"HW",'Rozpočet - HW a licencie'!$H$3:$H$102,'TCO TO BE - HW'!$D7,'Rozpočet - HW a licencie'!$E$3:$E$102,'TCO TO BE - HW'!$B$5)+SUMIFS('Rozpočet - HW a licencie'!$J$3:$J$102,'Rozpočet - HW a licencie'!$A$3:$A$102,'TCO TO BE - HW'!T$2,'Rozpočet - HW a licencie'!$D$3:$D$102,"SW pre HW",'Rozpočet - HW a licencie'!$H$3:$H$102,'TCO TO BE - HW'!$D7,'Rozpočet - HW a licencie'!$E$3:$E$102,'TCO TO BE - HW'!$B$5),)</f>
        <v>0</v>
      </c>
      <c r="U7" s="540">
        <f>IFERROR(SUMIFS('Rozpočet - HW a licencie'!$J$3:$J$102,'Rozpočet - HW a licencie'!$A$3:$A$102,'TCO TO BE - HW'!U$2,'Rozpočet - HW a licencie'!$D$3:$D$102,"HW",'Rozpočet - HW a licencie'!$H$3:$H$102,'TCO TO BE - HW'!$D7,'Rozpočet - HW a licencie'!$E$3:$E$102,'TCO TO BE - HW'!$B$5)+SUMIFS('Rozpočet - HW a licencie'!$J$3:$J$102,'Rozpočet - HW a licencie'!$A$3:$A$102,'TCO TO BE - HW'!U$2,'Rozpočet - HW a licencie'!$D$3:$D$102,"SW pre HW",'Rozpočet - HW a licencie'!$H$3:$H$102,'TCO TO BE - HW'!$D7,'Rozpočet - HW a licencie'!$E$3:$E$102,'TCO TO BE - HW'!$B$5),)</f>
        <v>0</v>
      </c>
      <c r="V7" s="540">
        <f>IFERROR(SUMIFS('Rozpočet - HW a licencie'!$J$3:$J$102,'Rozpočet - HW a licencie'!$A$3:$A$102,'TCO TO BE - HW'!V$2,'Rozpočet - HW a licencie'!$D$3:$D$102,"HW",'Rozpočet - HW a licencie'!$H$3:$H$102,'TCO TO BE - HW'!$D7,'Rozpočet - HW a licencie'!$E$3:$E$102,'TCO TO BE - HW'!$B$5)+SUMIFS('Rozpočet - HW a licencie'!$J$3:$J$102,'Rozpočet - HW a licencie'!$A$3:$A$102,'TCO TO BE - HW'!V$2,'Rozpočet - HW a licencie'!$D$3:$D$102,"SW pre HW",'Rozpočet - HW a licencie'!$H$3:$H$102,'TCO TO BE - HW'!$D7,'Rozpočet - HW a licencie'!$E$3:$E$102,'TCO TO BE - HW'!$B$5),)</f>
        <v>0</v>
      </c>
      <c r="W7" s="540">
        <f>IFERROR(SUMIFS('Rozpočet - HW a licencie'!$J$3:$J$102,'Rozpočet - HW a licencie'!$A$3:$A$102,'TCO TO BE - HW'!W$2,'Rozpočet - HW a licencie'!$D$3:$D$102,"HW",'Rozpočet - HW a licencie'!$H$3:$H$102,'TCO TO BE - HW'!$D7,'Rozpočet - HW a licencie'!$E$3:$E$102,'TCO TO BE - HW'!$B$5)+SUMIFS('Rozpočet - HW a licencie'!$J$3:$J$102,'Rozpočet - HW a licencie'!$A$3:$A$102,'TCO TO BE - HW'!W$2,'Rozpočet - HW a licencie'!$D$3:$D$102,"SW pre HW",'Rozpočet - HW a licencie'!$H$3:$H$102,'TCO TO BE - HW'!$D7,'Rozpočet - HW a licencie'!$E$3:$E$102,'TCO TO BE - HW'!$B$5),)</f>
        <v>0</v>
      </c>
      <c r="X7" s="540">
        <f>IFERROR(SUMIFS('Rozpočet - HW a licencie'!$J$3:$J$102,'Rozpočet - HW a licencie'!$A$3:$A$102,'TCO TO BE - HW'!X$2,'Rozpočet - HW a licencie'!$D$3:$D$102,"HW",'Rozpočet - HW a licencie'!$H$3:$H$102,'TCO TO BE - HW'!$D7,'Rozpočet - HW a licencie'!$E$3:$E$102,'TCO TO BE - HW'!$B$5)+SUMIFS('Rozpočet - HW a licencie'!$J$3:$J$102,'Rozpočet - HW a licencie'!$A$3:$A$102,'TCO TO BE - HW'!X$2,'Rozpočet - HW a licencie'!$D$3:$D$102,"SW pre HW",'Rozpočet - HW a licencie'!$H$3:$H$102,'TCO TO BE - HW'!$D7,'Rozpočet - HW a licencie'!$E$3:$E$102,'TCO TO BE - HW'!$B$5),)</f>
        <v>0</v>
      </c>
      <c r="Y7" s="540">
        <f>IFERROR(SUMIFS('Rozpočet - HW a licencie'!$J$3:$J$102,'Rozpočet - HW a licencie'!$A$3:$A$102,'TCO TO BE - HW'!Y$2,'Rozpočet - HW a licencie'!$D$3:$D$102,"HW",'Rozpočet - HW a licencie'!$H$3:$H$102,'TCO TO BE - HW'!$D7,'Rozpočet - HW a licencie'!$E$3:$E$102,'TCO TO BE - HW'!$B$5)+SUMIFS('Rozpočet - HW a licencie'!$J$3:$J$102,'Rozpočet - HW a licencie'!$A$3:$A$102,'TCO TO BE - HW'!Y$2,'Rozpočet - HW a licencie'!$D$3:$D$102,"SW pre HW",'Rozpočet - HW a licencie'!$H$3:$H$102,'TCO TO BE - HW'!$D7,'Rozpočet - HW a licencie'!$E$3:$E$102,'TCO TO BE - HW'!$B$5),)</f>
        <v>0</v>
      </c>
      <c r="Z7" s="540">
        <f>IFERROR(SUMIFS('Rozpočet - HW a licencie'!$J$3:$J$102,'Rozpočet - HW a licencie'!$A$3:$A$102,'TCO TO BE - HW'!Z$2,'Rozpočet - HW a licencie'!$D$3:$D$102,"HW",'Rozpočet - HW a licencie'!$H$3:$H$102,'TCO TO BE - HW'!$D7,'Rozpočet - HW a licencie'!$E$3:$E$102,'TCO TO BE - HW'!$B$5)+SUMIFS('Rozpočet - HW a licencie'!$J$3:$J$102,'Rozpočet - HW a licencie'!$A$3:$A$102,'TCO TO BE - HW'!Z$2,'Rozpočet - HW a licencie'!$D$3:$D$102,"SW pre HW",'Rozpočet - HW a licencie'!$H$3:$H$102,'TCO TO BE - HW'!$D7,'Rozpočet - HW a licencie'!$E$3:$E$102,'TCO TO BE - HW'!$B$5),)</f>
        <v>0</v>
      </c>
    </row>
    <row r="8" spans="1:26" outlineLevel="1" x14ac:dyDescent="0.2">
      <c r="A8" s="884"/>
      <c r="B8" s="885"/>
      <c r="C8" s="885"/>
      <c r="D8" s="464">
        <v>4</v>
      </c>
      <c r="E8" s="68">
        <f t="shared" si="2"/>
        <v>0</v>
      </c>
      <c r="F8" s="540">
        <f>IFERROR(SUMIFS('Rozpočet - HW a licencie'!$J$3:$J$102,'Rozpočet - HW a licencie'!$A$3:$A$102,'TCO TO BE - HW'!F$2,'Rozpočet - HW a licencie'!$D$3:$D$102,"HW",'Rozpočet - HW a licencie'!$H$3:$H$102,'TCO TO BE - HW'!$D8,'Rozpočet - HW a licencie'!$E$3:$E$102,'TCO TO BE - HW'!$B$5)+SUMIFS('Rozpočet - HW a licencie'!$J$3:$J$102,'Rozpočet - HW a licencie'!$A$3:$A$102,'TCO TO BE - HW'!F$2,'Rozpočet - HW a licencie'!$D$3:$D$102,"SW pre HW",'Rozpočet - HW a licencie'!$H$3:$H$102,'TCO TO BE - HW'!$D8,'Rozpočet - HW a licencie'!$E$3:$E$102,'TCO TO BE - HW'!$B$5),)</f>
        <v>0</v>
      </c>
      <c r="G8" s="540">
        <f>IFERROR(SUMIFS('Rozpočet - HW a licencie'!$J$3:$J$102,'Rozpočet - HW a licencie'!$A$3:$A$102,'TCO TO BE - HW'!G$2,'Rozpočet - HW a licencie'!$D$3:$D$102,"HW",'Rozpočet - HW a licencie'!$H$3:$H$102,'TCO TO BE - HW'!$D8,'Rozpočet - HW a licencie'!$E$3:$E$102,'TCO TO BE - HW'!$B$5)+SUMIFS('Rozpočet - HW a licencie'!$J$3:$J$102,'Rozpočet - HW a licencie'!$A$3:$A$102,'TCO TO BE - HW'!G$2,'Rozpočet - HW a licencie'!$D$3:$D$102,"SW pre HW",'Rozpočet - HW a licencie'!$H$3:$H$102,'TCO TO BE - HW'!$D8,'Rozpočet - HW a licencie'!$E$3:$E$102,'TCO TO BE - HW'!$B$5),)</f>
        <v>0</v>
      </c>
      <c r="H8" s="540">
        <f>IFERROR(SUMIFS('Rozpočet - HW a licencie'!$J$3:$J$102,'Rozpočet - HW a licencie'!$A$3:$A$102,'TCO TO BE - HW'!H$2,'Rozpočet - HW a licencie'!$D$3:$D$102,"HW",'Rozpočet - HW a licencie'!$H$3:$H$102,'TCO TO BE - HW'!$D8,'Rozpočet - HW a licencie'!$E$3:$E$102,'TCO TO BE - HW'!$B$5)+SUMIFS('Rozpočet - HW a licencie'!$J$3:$J$102,'Rozpočet - HW a licencie'!$A$3:$A$102,'TCO TO BE - HW'!H$2,'Rozpočet - HW a licencie'!$D$3:$D$102,"SW pre HW",'Rozpočet - HW a licencie'!$H$3:$H$102,'TCO TO BE - HW'!$D8,'Rozpočet - HW a licencie'!$E$3:$E$102,'TCO TO BE - HW'!$B$5),)</f>
        <v>0</v>
      </c>
      <c r="I8" s="540">
        <f>IFERROR(SUMIFS('Rozpočet - HW a licencie'!$J$3:$J$102,'Rozpočet - HW a licencie'!$A$3:$A$102,'TCO TO BE - HW'!I$2,'Rozpočet - HW a licencie'!$D$3:$D$102,"HW",'Rozpočet - HW a licencie'!$H$3:$H$102,'TCO TO BE - HW'!$D8,'Rozpočet - HW a licencie'!$E$3:$E$102,'TCO TO BE - HW'!$B$5)+SUMIFS('Rozpočet - HW a licencie'!$J$3:$J$102,'Rozpočet - HW a licencie'!$A$3:$A$102,'TCO TO BE - HW'!I$2,'Rozpočet - HW a licencie'!$D$3:$D$102,"SW pre HW",'Rozpočet - HW a licencie'!$H$3:$H$102,'TCO TO BE - HW'!$D8,'Rozpočet - HW a licencie'!$E$3:$E$102,'TCO TO BE - HW'!$B$5),)</f>
        <v>0</v>
      </c>
      <c r="J8" s="540">
        <f>IFERROR(SUMIFS('Rozpočet - HW a licencie'!$J$3:$J$102,'Rozpočet - HW a licencie'!$A$3:$A$102,'TCO TO BE - HW'!J$2,'Rozpočet - HW a licencie'!$D$3:$D$102,"HW",'Rozpočet - HW a licencie'!$H$3:$H$102,'TCO TO BE - HW'!$D8,'Rozpočet - HW a licencie'!$E$3:$E$102,'TCO TO BE - HW'!$B$5)+SUMIFS('Rozpočet - HW a licencie'!$J$3:$J$102,'Rozpočet - HW a licencie'!$A$3:$A$102,'TCO TO BE - HW'!J$2,'Rozpočet - HW a licencie'!$D$3:$D$102,"SW pre HW",'Rozpočet - HW a licencie'!$H$3:$H$102,'TCO TO BE - HW'!$D8,'Rozpočet - HW a licencie'!$E$3:$E$102,'TCO TO BE - HW'!$B$5),)</f>
        <v>0</v>
      </c>
      <c r="K8" s="540">
        <f>IFERROR(SUMIFS('Rozpočet - HW a licencie'!$J$3:$J$102,'Rozpočet - HW a licencie'!$A$3:$A$102,'TCO TO BE - HW'!K$2,'Rozpočet - HW a licencie'!$D$3:$D$102,"HW",'Rozpočet - HW a licencie'!$H$3:$H$102,'TCO TO BE - HW'!$D8,'Rozpočet - HW a licencie'!$E$3:$E$102,'TCO TO BE - HW'!$B$5)+SUMIFS('Rozpočet - HW a licencie'!$J$3:$J$102,'Rozpočet - HW a licencie'!$A$3:$A$102,'TCO TO BE - HW'!K$2,'Rozpočet - HW a licencie'!$D$3:$D$102,"SW pre HW",'Rozpočet - HW a licencie'!$H$3:$H$102,'TCO TO BE - HW'!$D8,'Rozpočet - HW a licencie'!$E$3:$E$102,'TCO TO BE - HW'!$B$5),)</f>
        <v>0</v>
      </c>
      <c r="L8" s="540">
        <f>IFERROR(SUMIFS('Rozpočet - HW a licencie'!$J$3:$J$102,'Rozpočet - HW a licencie'!$A$3:$A$102,'TCO TO BE - HW'!L$2,'Rozpočet - HW a licencie'!$D$3:$D$102,"HW",'Rozpočet - HW a licencie'!$H$3:$H$102,'TCO TO BE - HW'!$D8,'Rozpočet - HW a licencie'!$E$3:$E$102,'TCO TO BE - HW'!$B$5)+SUMIFS('Rozpočet - HW a licencie'!$J$3:$J$102,'Rozpočet - HW a licencie'!$A$3:$A$102,'TCO TO BE - HW'!L$2,'Rozpočet - HW a licencie'!$D$3:$D$102,"SW pre HW",'Rozpočet - HW a licencie'!$H$3:$H$102,'TCO TO BE - HW'!$D8,'Rozpočet - HW a licencie'!$E$3:$E$102,'TCO TO BE - HW'!$B$5),)</f>
        <v>0</v>
      </c>
      <c r="M8" s="540">
        <f>IFERROR(SUMIFS('Rozpočet - HW a licencie'!$J$3:$J$102,'Rozpočet - HW a licencie'!$A$3:$A$102,'TCO TO BE - HW'!M$2,'Rozpočet - HW a licencie'!$D$3:$D$102,"HW",'Rozpočet - HW a licencie'!$H$3:$H$102,'TCO TO BE - HW'!$D8,'Rozpočet - HW a licencie'!$E$3:$E$102,'TCO TO BE - HW'!$B$5)+SUMIFS('Rozpočet - HW a licencie'!$J$3:$J$102,'Rozpočet - HW a licencie'!$A$3:$A$102,'TCO TO BE - HW'!M$2,'Rozpočet - HW a licencie'!$D$3:$D$102,"SW pre HW",'Rozpočet - HW a licencie'!$H$3:$H$102,'TCO TO BE - HW'!$D8,'Rozpočet - HW a licencie'!$E$3:$E$102,'TCO TO BE - HW'!$B$5),)</f>
        <v>0</v>
      </c>
      <c r="N8" s="540">
        <f>IFERROR(SUMIFS('Rozpočet - HW a licencie'!$J$3:$J$102,'Rozpočet - HW a licencie'!$A$3:$A$102,'TCO TO BE - HW'!N$2,'Rozpočet - HW a licencie'!$D$3:$D$102,"HW",'Rozpočet - HW a licencie'!$H$3:$H$102,'TCO TO BE - HW'!$D8,'Rozpočet - HW a licencie'!$E$3:$E$102,'TCO TO BE - HW'!$B$5)+SUMIFS('Rozpočet - HW a licencie'!$J$3:$J$102,'Rozpočet - HW a licencie'!$A$3:$A$102,'TCO TO BE - HW'!N$2,'Rozpočet - HW a licencie'!$D$3:$D$102,"SW pre HW",'Rozpočet - HW a licencie'!$H$3:$H$102,'TCO TO BE - HW'!$D8,'Rozpočet - HW a licencie'!$E$3:$E$102,'TCO TO BE - HW'!$B$5),)</f>
        <v>0</v>
      </c>
      <c r="O8" s="540">
        <f>IFERROR(SUMIFS('Rozpočet - HW a licencie'!$J$3:$J$102,'Rozpočet - HW a licencie'!$A$3:$A$102,'TCO TO BE - HW'!O$2,'Rozpočet - HW a licencie'!$D$3:$D$102,"HW",'Rozpočet - HW a licencie'!$H$3:$H$102,'TCO TO BE - HW'!$D8,'Rozpočet - HW a licencie'!$E$3:$E$102,'TCO TO BE - HW'!$B$5)+SUMIFS('Rozpočet - HW a licencie'!$J$3:$J$102,'Rozpočet - HW a licencie'!$A$3:$A$102,'TCO TO BE - HW'!O$2,'Rozpočet - HW a licencie'!$D$3:$D$102,"SW pre HW",'Rozpočet - HW a licencie'!$H$3:$H$102,'TCO TO BE - HW'!$D8,'Rozpočet - HW a licencie'!$E$3:$E$102,'TCO TO BE - HW'!$B$5),)</f>
        <v>0</v>
      </c>
      <c r="P8" s="540">
        <f>IFERROR(SUMIFS('Rozpočet - HW a licencie'!$J$3:$J$102,'Rozpočet - HW a licencie'!$A$3:$A$102,'TCO TO BE - HW'!P$2,'Rozpočet - HW a licencie'!$D$3:$D$102,"HW",'Rozpočet - HW a licencie'!$H$3:$H$102,'TCO TO BE - HW'!$D8,'Rozpočet - HW a licencie'!$E$3:$E$102,'TCO TO BE - HW'!$B$5)+SUMIFS('Rozpočet - HW a licencie'!$J$3:$J$102,'Rozpočet - HW a licencie'!$A$3:$A$102,'TCO TO BE - HW'!P$2,'Rozpočet - HW a licencie'!$D$3:$D$102,"SW pre HW",'Rozpočet - HW a licencie'!$H$3:$H$102,'TCO TO BE - HW'!$D8,'Rozpočet - HW a licencie'!$E$3:$E$102,'TCO TO BE - HW'!$B$5),)</f>
        <v>0</v>
      </c>
      <c r="Q8" s="540">
        <f>IFERROR(SUMIFS('Rozpočet - HW a licencie'!$J$3:$J$102,'Rozpočet - HW a licencie'!$A$3:$A$102,'TCO TO BE - HW'!Q$2,'Rozpočet - HW a licencie'!$D$3:$D$102,"HW",'Rozpočet - HW a licencie'!$H$3:$H$102,'TCO TO BE - HW'!$D8,'Rozpočet - HW a licencie'!$E$3:$E$102,'TCO TO BE - HW'!$B$5)+SUMIFS('Rozpočet - HW a licencie'!$J$3:$J$102,'Rozpočet - HW a licencie'!$A$3:$A$102,'TCO TO BE - HW'!Q$2,'Rozpočet - HW a licencie'!$D$3:$D$102,"SW pre HW",'Rozpočet - HW a licencie'!$H$3:$H$102,'TCO TO BE - HW'!$D8,'Rozpočet - HW a licencie'!$E$3:$E$102,'TCO TO BE - HW'!$B$5),)</f>
        <v>0</v>
      </c>
      <c r="R8" s="540">
        <f>IFERROR(SUMIFS('Rozpočet - HW a licencie'!$J$3:$J$102,'Rozpočet - HW a licencie'!$A$3:$A$102,'TCO TO BE - HW'!R$2,'Rozpočet - HW a licencie'!$D$3:$D$102,"HW",'Rozpočet - HW a licencie'!$H$3:$H$102,'TCO TO BE - HW'!$D8,'Rozpočet - HW a licencie'!$E$3:$E$102,'TCO TO BE - HW'!$B$5)+SUMIFS('Rozpočet - HW a licencie'!$J$3:$J$102,'Rozpočet - HW a licencie'!$A$3:$A$102,'TCO TO BE - HW'!R$2,'Rozpočet - HW a licencie'!$D$3:$D$102,"SW pre HW",'Rozpočet - HW a licencie'!$H$3:$H$102,'TCO TO BE - HW'!$D8,'Rozpočet - HW a licencie'!$E$3:$E$102,'TCO TO BE - HW'!$B$5),)</f>
        <v>0</v>
      </c>
      <c r="S8" s="540">
        <f>IFERROR(SUMIFS('Rozpočet - HW a licencie'!$J$3:$J$102,'Rozpočet - HW a licencie'!$A$3:$A$102,'TCO TO BE - HW'!S$2,'Rozpočet - HW a licencie'!$D$3:$D$102,"HW",'Rozpočet - HW a licencie'!$H$3:$H$102,'TCO TO BE - HW'!$D8,'Rozpočet - HW a licencie'!$E$3:$E$102,'TCO TO BE - HW'!$B$5)+SUMIFS('Rozpočet - HW a licencie'!$J$3:$J$102,'Rozpočet - HW a licencie'!$A$3:$A$102,'TCO TO BE - HW'!S$2,'Rozpočet - HW a licencie'!$D$3:$D$102,"SW pre HW",'Rozpočet - HW a licencie'!$H$3:$H$102,'TCO TO BE - HW'!$D8,'Rozpočet - HW a licencie'!$E$3:$E$102,'TCO TO BE - HW'!$B$5),)</f>
        <v>0</v>
      </c>
      <c r="T8" s="540">
        <f>IFERROR(SUMIFS('Rozpočet - HW a licencie'!$J$3:$J$102,'Rozpočet - HW a licencie'!$A$3:$A$102,'TCO TO BE - HW'!T$2,'Rozpočet - HW a licencie'!$D$3:$D$102,"HW",'Rozpočet - HW a licencie'!$H$3:$H$102,'TCO TO BE - HW'!$D8,'Rozpočet - HW a licencie'!$E$3:$E$102,'TCO TO BE - HW'!$B$5)+SUMIFS('Rozpočet - HW a licencie'!$J$3:$J$102,'Rozpočet - HW a licencie'!$A$3:$A$102,'TCO TO BE - HW'!T$2,'Rozpočet - HW a licencie'!$D$3:$D$102,"SW pre HW",'Rozpočet - HW a licencie'!$H$3:$H$102,'TCO TO BE - HW'!$D8,'Rozpočet - HW a licencie'!$E$3:$E$102,'TCO TO BE - HW'!$B$5),)</f>
        <v>0</v>
      </c>
      <c r="U8" s="540">
        <f>IFERROR(SUMIFS('Rozpočet - HW a licencie'!$J$3:$J$102,'Rozpočet - HW a licencie'!$A$3:$A$102,'TCO TO BE - HW'!U$2,'Rozpočet - HW a licencie'!$D$3:$D$102,"HW",'Rozpočet - HW a licencie'!$H$3:$H$102,'TCO TO BE - HW'!$D8,'Rozpočet - HW a licencie'!$E$3:$E$102,'TCO TO BE - HW'!$B$5)+SUMIFS('Rozpočet - HW a licencie'!$J$3:$J$102,'Rozpočet - HW a licencie'!$A$3:$A$102,'TCO TO BE - HW'!U$2,'Rozpočet - HW a licencie'!$D$3:$D$102,"SW pre HW",'Rozpočet - HW a licencie'!$H$3:$H$102,'TCO TO BE - HW'!$D8,'Rozpočet - HW a licencie'!$E$3:$E$102,'TCO TO BE - HW'!$B$5),)</f>
        <v>0</v>
      </c>
      <c r="V8" s="540">
        <f>IFERROR(SUMIFS('Rozpočet - HW a licencie'!$J$3:$J$102,'Rozpočet - HW a licencie'!$A$3:$A$102,'TCO TO BE - HW'!V$2,'Rozpočet - HW a licencie'!$D$3:$D$102,"HW",'Rozpočet - HW a licencie'!$H$3:$H$102,'TCO TO BE - HW'!$D8,'Rozpočet - HW a licencie'!$E$3:$E$102,'TCO TO BE - HW'!$B$5)+SUMIFS('Rozpočet - HW a licencie'!$J$3:$J$102,'Rozpočet - HW a licencie'!$A$3:$A$102,'TCO TO BE - HW'!V$2,'Rozpočet - HW a licencie'!$D$3:$D$102,"SW pre HW",'Rozpočet - HW a licencie'!$H$3:$H$102,'TCO TO BE - HW'!$D8,'Rozpočet - HW a licencie'!$E$3:$E$102,'TCO TO BE - HW'!$B$5),)</f>
        <v>0</v>
      </c>
      <c r="W8" s="540">
        <f>IFERROR(SUMIFS('Rozpočet - HW a licencie'!$J$3:$J$102,'Rozpočet - HW a licencie'!$A$3:$A$102,'TCO TO BE - HW'!W$2,'Rozpočet - HW a licencie'!$D$3:$D$102,"HW",'Rozpočet - HW a licencie'!$H$3:$H$102,'TCO TO BE - HW'!$D8,'Rozpočet - HW a licencie'!$E$3:$E$102,'TCO TO BE - HW'!$B$5)+SUMIFS('Rozpočet - HW a licencie'!$J$3:$J$102,'Rozpočet - HW a licencie'!$A$3:$A$102,'TCO TO BE - HW'!W$2,'Rozpočet - HW a licencie'!$D$3:$D$102,"SW pre HW",'Rozpočet - HW a licencie'!$H$3:$H$102,'TCO TO BE - HW'!$D8,'Rozpočet - HW a licencie'!$E$3:$E$102,'TCO TO BE - HW'!$B$5),)</f>
        <v>0</v>
      </c>
      <c r="X8" s="540">
        <f>IFERROR(SUMIFS('Rozpočet - HW a licencie'!$J$3:$J$102,'Rozpočet - HW a licencie'!$A$3:$A$102,'TCO TO BE - HW'!X$2,'Rozpočet - HW a licencie'!$D$3:$D$102,"HW",'Rozpočet - HW a licencie'!$H$3:$H$102,'TCO TO BE - HW'!$D8,'Rozpočet - HW a licencie'!$E$3:$E$102,'TCO TO BE - HW'!$B$5)+SUMIFS('Rozpočet - HW a licencie'!$J$3:$J$102,'Rozpočet - HW a licencie'!$A$3:$A$102,'TCO TO BE - HW'!X$2,'Rozpočet - HW a licencie'!$D$3:$D$102,"SW pre HW",'Rozpočet - HW a licencie'!$H$3:$H$102,'TCO TO BE - HW'!$D8,'Rozpočet - HW a licencie'!$E$3:$E$102,'TCO TO BE - HW'!$B$5),)</f>
        <v>0</v>
      </c>
      <c r="Y8" s="540">
        <f>IFERROR(SUMIFS('Rozpočet - HW a licencie'!$J$3:$J$102,'Rozpočet - HW a licencie'!$A$3:$A$102,'TCO TO BE - HW'!Y$2,'Rozpočet - HW a licencie'!$D$3:$D$102,"HW",'Rozpočet - HW a licencie'!$H$3:$H$102,'TCO TO BE - HW'!$D8,'Rozpočet - HW a licencie'!$E$3:$E$102,'TCO TO BE - HW'!$B$5)+SUMIFS('Rozpočet - HW a licencie'!$J$3:$J$102,'Rozpočet - HW a licencie'!$A$3:$A$102,'TCO TO BE - HW'!Y$2,'Rozpočet - HW a licencie'!$D$3:$D$102,"SW pre HW",'Rozpočet - HW a licencie'!$H$3:$H$102,'TCO TO BE - HW'!$D8,'Rozpočet - HW a licencie'!$E$3:$E$102,'TCO TO BE - HW'!$B$5),)</f>
        <v>0</v>
      </c>
      <c r="Z8" s="540">
        <f>IFERROR(SUMIFS('Rozpočet - HW a licencie'!$J$3:$J$102,'Rozpočet - HW a licencie'!$A$3:$A$102,'TCO TO BE - HW'!Z$2,'Rozpočet - HW a licencie'!$D$3:$D$102,"HW",'Rozpočet - HW a licencie'!$H$3:$H$102,'TCO TO BE - HW'!$D8,'Rozpočet - HW a licencie'!$E$3:$E$102,'TCO TO BE - HW'!$B$5)+SUMIFS('Rozpočet - HW a licencie'!$J$3:$J$102,'Rozpočet - HW a licencie'!$A$3:$A$102,'TCO TO BE - HW'!Z$2,'Rozpočet - HW a licencie'!$D$3:$D$102,"SW pre HW",'Rozpočet - HW a licencie'!$H$3:$H$102,'TCO TO BE - HW'!$D8,'Rozpočet - HW a licencie'!$E$3:$E$102,'TCO TO BE - HW'!$B$5),)</f>
        <v>0</v>
      </c>
    </row>
    <row r="9" spans="1:26" outlineLevel="1" x14ac:dyDescent="0.2">
      <c r="A9" s="884"/>
      <c r="B9" s="885"/>
      <c r="C9" s="885"/>
      <c r="D9" s="464">
        <v>5</v>
      </c>
      <c r="E9" s="68">
        <f t="shared" si="2"/>
        <v>0</v>
      </c>
      <c r="F9" s="540">
        <f>IFERROR(SUMIFS('Rozpočet - HW a licencie'!$J$3:$J$102,'Rozpočet - HW a licencie'!$A$3:$A$102,'TCO TO BE - HW'!F$2,'Rozpočet - HW a licencie'!$D$3:$D$102,"HW",'Rozpočet - HW a licencie'!$H$3:$H$102,'TCO TO BE - HW'!$D9,'Rozpočet - HW a licencie'!$E$3:$E$102,'TCO TO BE - HW'!$B$5)+SUMIFS('Rozpočet - HW a licencie'!$J$3:$J$102,'Rozpočet - HW a licencie'!$A$3:$A$102,'TCO TO BE - HW'!F$2,'Rozpočet - HW a licencie'!$D$3:$D$102,"SW pre HW",'Rozpočet - HW a licencie'!$H$3:$H$102,'TCO TO BE - HW'!$D9,'Rozpočet - HW a licencie'!$E$3:$E$102,'TCO TO BE - HW'!$B$5),)</f>
        <v>0</v>
      </c>
      <c r="G9" s="540">
        <f>IFERROR(SUMIFS('Rozpočet - HW a licencie'!$J$3:$J$102,'Rozpočet - HW a licencie'!$A$3:$A$102,'TCO TO BE - HW'!G$2,'Rozpočet - HW a licencie'!$D$3:$D$102,"HW",'Rozpočet - HW a licencie'!$H$3:$H$102,'TCO TO BE - HW'!$D9,'Rozpočet - HW a licencie'!$E$3:$E$102,'TCO TO BE - HW'!$B$5)+SUMIFS('Rozpočet - HW a licencie'!$J$3:$J$102,'Rozpočet - HW a licencie'!$A$3:$A$102,'TCO TO BE - HW'!G$2,'Rozpočet - HW a licencie'!$D$3:$D$102,"SW pre HW",'Rozpočet - HW a licencie'!$H$3:$H$102,'TCO TO BE - HW'!$D9,'Rozpočet - HW a licencie'!$E$3:$E$102,'TCO TO BE - HW'!$B$5),)</f>
        <v>0</v>
      </c>
      <c r="H9" s="540">
        <f>IFERROR(SUMIFS('Rozpočet - HW a licencie'!$J$3:$J$102,'Rozpočet - HW a licencie'!$A$3:$A$102,'TCO TO BE - HW'!H$2,'Rozpočet - HW a licencie'!$D$3:$D$102,"HW",'Rozpočet - HW a licencie'!$H$3:$H$102,'TCO TO BE - HW'!$D9,'Rozpočet - HW a licencie'!$E$3:$E$102,'TCO TO BE - HW'!$B$5)+SUMIFS('Rozpočet - HW a licencie'!$J$3:$J$102,'Rozpočet - HW a licencie'!$A$3:$A$102,'TCO TO BE - HW'!H$2,'Rozpočet - HW a licencie'!$D$3:$D$102,"SW pre HW",'Rozpočet - HW a licencie'!$H$3:$H$102,'TCO TO BE - HW'!$D9,'Rozpočet - HW a licencie'!$E$3:$E$102,'TCO TO BE - HW'!$B$5),)</f>
        <v>0</v>
      </c>
      <c r="I9" s="540">
        <f>IFERROR(SUMIFS('Rozpočet - HW a licencie'!$J$3:$J$102,'Rozpočet - HW a licencie'!$A$3:$A$102,'TCO TO BE - HW'!I$2,'Rozpočet - HW a licencie'!$D$3:$D$102,"HW",'Rozpočet - HW a licencie'!$H$3:$H$102,'TCO TO BE - HW'!$D9,'Rozpočet - HW a licencie'!$E$3:$E$102,'TCO TO BE - HW'!$B$5)+SUMIFS('Rozpočet - HW a licencie'!$J$3:$J$102,'Rozpočet - HW a licencie'!$A$3:$A$102,'TCO TO BE - HW'!I$2,'Rozpočet - HW a licencie'!$D$3:$D$102,"SW pre HW",'Rozpočet - HW a licencie'!$H$3:$H$102,'TCO TO BE - HW'!$D9,'Rozpočet - HW a licencie'!$E$3:$E$102,'TCO TO BE - HW'!$B$5),)</f>
        <v>0</v>
      </c>
      <c r="J9" s="540">
        <f>IFERROR(SUMIFS('Rozpočet - HW a licencie'!$J$3:$J$102,'Rozpočet - HW a licencie'!$A$3:$A$102,'TCO TO BE - HW'!J$2,'Rozpočet - HW a licencie'!$D$3:$D$102,"HW",'Rozpočet - HW a licencie'!$H$3:$H$102,'TCO TO BE - HW'!$D9,'Rozpočet - HW a licencie'!$E$3:$E$102,'TCO TO BE - HW'!$B$5)+SUMIFS('Rozpočet - HW a licencie'!$J$3:$J$102,'Rozpočet - HW a licencie'!$A$3:$A$102,'TCO TO BE - HW'!J$2,'Rozpočet - HW a licencie'!$D$3:$D$102,"SW pre HW",'Rozpočet - HW a licencie'!$H$3:$H$102,'TCO TO BE - HW'!$D9,'Rozpočet - HW a licencie'!$E$3:$E$102,'TCO TO BE - HW'!$B$5),)</f>
        <v>0</v>
      </c>
      <c r="K9" s="540">
        <f>IFERROR(SUMIFS('Rozpočet - HW a licencie'!$J$3:$J$102,'Rozpočet - HW a licencie'!$A$3:$A$102,'TCO TO BE - HW'!K$2,'Rozpočet - HW a licencie'!$D$3:$D$102,"HW",'Rozpočet - HW a licencie'!$H$3:$H$102,'TCO TO BE - HW'!$D9,'Rozpočet - HW a licencie'!$E$3:$E$102,'TCO TO BE - HW'!$B$5)+SUMIFS('Rozpočet - HW a licencie'!$J$3:$J$102,'Rozpočet - HW a licencie'!$A$3:$A$102,'TCO TO BE - HW'!K$2,'Rozpočet - HW a licencie'!$D$3:$D$102,"SW pre HW",'Rozpočet - HW a licencie'!$H$3:$H$102,'TCO TO BE - HW'!$D9,'Rozpočet - HW a licencie'!$E$3:$E$102,'TCO TO BE - HW'!$B$5),)</f>
        <v>0</v>
      </c>
      <c r="L9" s="540">
        <f>IFERROR(SUMIFS('Rozpočet - HW a licencie'!$J$3:$J$102,'Rozpočet - HW a licencie'!$A$3:$A$102,'TCO TO BE - HW'!L$2,'Rozpočet - HW a licencie'!$D$3:$D$102,"HW",'Rozpočet - HW a licencie'!$H$3:$H$102,'TCO TO BE - HW'!$D9,'Rozpočet - HW a licencie'!$E$3:$E$102,'TCO TO BE - HW'!$B$5)+SUMIFS('Rozpočet - HW a licencie'!$J$3:$J$102,'Rozpočet - HW a licencie'!$A$3:$A$102,'TCO TO BE - HW'!L$2,'Rozpočet - HW a licencie'!$D$3:$D$102,"SW pre HW",'Rozpočet - HW a licencie'!$H$3:$H$102,'TCO TO BE - HW'!$D9,'Rozpočet - HW a licencie'!$E$3:$E$102,'TCO TO BE - HW'!$B$5),)</f>
        <v>0</v>
      </c>
      <c r="M9" s="540">
        <f>IFERROR(SUMIFS('Rozpočet - HW a licencie'!$J$3:$J$102,'Rozpočet - HW a licencie'!$A$3:$A$102,'TCO TO BE - HW'!M$2,'Rozpočet - HW a licencie'!$D$3:$D$102,"HW",'Rozpočet - HW a licencie'!$H$3:$H$102,'TCO TO BE - HW'!$D9,'Rozpočet - HW a licencie'!$E$3:$E$102,'TCO TO BE - HW'!$B$5)+SUMIFS('Rozpočet - HW a licencie'!$J$3:$J$102,'Rozpočet - HW a licencie'!$A$3:$A$102,'TCO TO BE - HW'!M$2,'Rozpočet - HW a licencie'!$D$3:$D$102,"SW pre HW",'Rozpočet - HW a licencie'!$H$3:$H$102,'TCO TO BE - HW'!$D9,'Rozpočet - HW a licencie'!$E$3:$E$102,'TCO TO BE - HW'!$B$5),)</f>
        <v>0</v>
      </c>
      <c r="N9" s="540">
        <f>IFERROR(SUMIFS('Rozpočet - HW a licencie'!$J$3:$J$102,'Rozpočet - HW a licencie'!$A$3:$A$102,'TCO TO BE - HW'!N$2,'Rozpočet - HW a licencie'!$D$3:$D$102,"HW",'Rozpočet - HW a licencie'!$H$3:$H$102,'TCO TO BE - HW'!$D9,'Rozpočet - HW a licencie'!$E$3:$E$102,'TCO TO BE - HW'!$B$5)+SUMIFS('Rozpočet - HW a licencie'!$J$3:$J$102,'Rozpočet - HW a licencie'!$A$3:$A$102,'TCO TO BE - HW'!N$2,'Rozpočet - HW a licencie'!$D$3:$D$102,"SW pre HW",'Rozpočet - HW a licencie'!$H$3:$H$102,'TCO TO BE - HW'!$D9,'Rozpočet - HW a licencie'!$E$3:$E$102,'TCO TO BE - HW'!$B$5),)</f>
        <v>0</v>
      </c>
      <c r="O9" s="540">
        <f>IFERROR(SUMIFS('Rozpočet - HW a licencie'!$J$3:$J$102,'Rozpočet - HW a licencie'!$A$3:$A$102,'TCO TO BE - HW'!O$2,'Rozpočet - HW a licencie'!$D$3:$D$102,"HW",'Rozpočet - HW a licencie'!$H$3:$H$102,'TCO TO BE - HW'!$D9,'Rozpočet - HW a licencie'!$E$3:$E$102,'TCO TO BE - HW'!$B$5)+SUMIFS('Rozpočet - HW a licencie'!$J$3:$J$102,'Rozpočet - HW a licencie'!$A$3:$A$102,'TCO TO BE - HW'!O$2,'Rozpočet - HW a licencie'!$D$3:$D$102,"SW pre HW",'Rozpočet - HW a licencie'!$H$3:$H$102,'TCO TO BE - HW'!$D9,'Rozpočet - HW a licencie'!$E$3:$E$102,'TCO TO BE - HW'!$B$5),)</f>
        <v>0</v>
      </c>
      <c r="P9" s="540">
        <f>IFERROR(SUMIFS('Rozpočet - HW a licencie'!$J$3:$J$102,'Rozpočet - HW a licencie'!$A$3:$A$102,'TCO TO BE - HW'!P$2,'Rozpočet - HW a licencie'!$D$3:$D$102,"HW",'Rozpočet - HW a licencie'!$H$3:$H$102,'TCO TO BE - HW'!$D9,'Rozpočet - HW a licencie'!$E$3:$E$102,'TCO TO BE - HW'!$B$5)+SUMIFS('Rozpočet - HW a licencie'!$J$3:$J$102,'Rozpočet - HW a licencie'!$A$3:$A$102,'TCO TO BE - HW'!P$2,'Rozpočet - HW a licencie'!$D$3:$D$102,"SW pre HW",'Rozpočet - HW a licencie'!$H$3:$H$102,'TCO TO BE - HW'!$D9,'Rozpočet - HW a licencie'!$E$3:$E$102,'TCO TO BE - HW'!$B$5),)</f>
        <v>0</v>
      </c>
      <c r="Q9" s="540">
        <f>IFERROR(SUMIFS('Rozpočet - HW a licencie'!$J$3:$J$102,'Rozpočet - HW a licencie'!$A$3:$A$102,'TCO TO BE - HW'!Q$2,'Rozpočet - HW a licencie'!$D$3:$D$102,"HW",'Rozpočet - HW a licencie'!$H$3:$H$102,'TCO TO BE - HW'!$D9,'Rozpočet - HW a licencie'!$E$3:$E$102,'TCO TO BE - HW'!$B$5)+SUMIFS('Rozpočet - HW a licencie'!$J$3:$J$102,'Rozpočet - HW a licencie'!$A$3:$A$102,'TCO TO BE - HW'!Q$2,'Rozpočet - HW a licencie'!$D$3:$D$102,"SW pre HW",'Rozpočet - HW a licencie'!$H$3:$H$102,'TCO TO BE - HW'!$D9,'Rozpočet - HW a licencie'!$E$3:$E$102,'TCO TO BE - HW'!$B$5),)</f>
        <v>0</v>
      </c>
      <c r="R9" s="540">
        <f>IFERROR(SUMIFS('Rozpočet - HW a licencie'!$J$3:$J$102,'Rozpočet - HW a licencie'!$A$3:$A$102,'TCO TO BE - HW'!R$2,'Rozpočet - HW a licencie'!$D$3:$D$102,"HW",'Rozpočet - HW a licencie'!$H$3:$H$102,'TCO TO BE - HW'!$D9,'Rozpočet - HW a licencie'!$E$3:$E$102,'TCO TO BE - HW'!$B$5)+SUMIFS('Rozpočet - HW a licencie'!$J$3:$J$102,'Rozpočet - HW a licencie'!$A$3:$A$102,'TCO TO BE - HW'!R$2,'Rozpočet - HW a licencie'!$D$3:$D$102,"SW pre HW",'Rozpočet - HW a licencie'!$H$3:$H$102,'TCO TO BE - HW'!$D9,'Rozpočet - HW a licencie'!$E$3:$E$102,'TCO TO BE - HW'!$B$5),)</f>
        <v>0</v>
      </c>
      <c r="S9" s="540">
        <f>IFERROR(SUMIFS('Rozpočet - HW a licencie'!$J$3:$J$102,'Rozpočet - HW a licencie'!$A$3:$A$102,'TCO TO BE - HW'!S$2,'Rozpočet - HW a licencie'!$D$3:$D$102,"HW",'Rozpočet - HW a licencie'!$H$3:$H$102,'TCO TO BE - HW'!$D9,'Rozpočet - HW a licencie'!$E$3:$E$102,'TCO TO BE - HW'!$B$5)+SUMIFS('Rozpočet - HW a licencie'!$J$3:$J$102,'Rozpočet - HW a licencie'!$A$3:$A$102,'TCO TO BE - HW'!S$2,'Rozpočet - HW a licencie'!$D$3:$D$102,"SW pre HW",'Rozpočet - HW a licencie'!$H$3:$H$102,'TCO TO BE - HW'!$D9,'Rozpočet - HW a licencie'!$E$3:$E$102,'TCO TO BE - HW'!$B$5),)</f>
        <v>0</v>
      </c>
      <c r="T9" s="540">
        <f>IFERROR(SUMIFS('Rozpočet - HW a licencie'!$J$3:$J$102,'Rozpočet - HW a licencie'!$A$3:$A$102,'TCO TO BE - HW'!T$2,'Rozpočet - HW a licencie'!$D$3:$D$102,"HW",'Rozpočet - HW a licencie'!$H$3:$H$102,'TCO TO BE - HW'!$D9,'Rozpočet - HW a licencie'!$E$3:$E$102,'TCO TO BE - HW'!$B$5)+SUMIFS('Rozpočet - HW a licencie'!$J$3:$J$102,'Rozpočet - HW a licencie'!$A$3:$A$102,'TCO TO BE - HW'!T$2,'Rozpočet - HW a licencie'!$D$3:$D$102,"SW pre HW",'Rozpočet - HW a licencie'!$H$3:$H$102,'TCO TO BE - HW'!$D9,'Rozpočet - HW a licencie'!$E$3:$E$102,'TCO TO BE - HW'!$B$5),)</f>
        <v>0</v>
      </c>
      <c r="U9" s="540">
        <f>IFERROR(SUMIFS('Rozpočet - HW a licencie'!$J$3:$J$102,'Rozpočet - HW a licencie'!$A$3:$A$102,'TCO TO BE - HW'!U$2,'Rozpočet - HW a licencie'!$D$3:$D$102,"HW",'Rozpočet - HW a licencie'!$H$3:$H$102,'TCO TO BE - HW'!$D9,'Rozpočet - HW a licencie'!$E$3:$E$102,'TCO TO BE - HW'!$B$5)+SUMIFS('Rozpočet - HW a licencie'!$J$3:$J$102,'Rozpočet - HW a licencie'!$A$3:$A$102,'TCO TO BE - HW'!U$2,'Rozpočet - HW a licencie'!$D$3:$D$102,"SW pre HW",'Rozpočet - HW a licencie'!$H$3:$H$102,'TCO TO BE - HW'!$D9,'Rozpočet - HW a licencie'!$E$3:$E$102,'TCO TO BE - HW'!$B$5),)</f>
        <v>0</v>
      </c>
      <c r="V9" s="540">
        <f>IFERROR(SUMIFS('Rozpočet - HW a licencie'!$J$3:$J$102,'Rozpočet - HW a licencie'!$A$3:$A$102,'TCO TO BE - HW'!V$2,'Rozpočet - HW a licencie'!$D$3:$D$102,"HW",'Rozpočet - HW a licencie'!$H$3:$H$102,'TCO TO BE - HW'!$D9,'Rozpočet - HW a licencie'!$E$3:$E$102,'TCO TO BE - HW'!$B$5)+SUMIFS('Rozpočet - HW a licencie'!$J$3:$J$102,'Rozpočet - HW a licencie'!$A$3:$A$102,'TCO TO BE - HW'!V$2,'Rozpočet - HW a licencie'!$D$3:$D$102,"SW pre HW",'Rozpočet - HW a licencie'!$H$3:$H$102,'TCO TO BE - HW'!$D9,'Rozpočet - HW a licencie'!$E$3:$E$102,'TCO TO BE - HW'!$B$5),)</f>
        <v>0</v>
      </c>
      <c r="W9" s="540">
        <f>IFERROR(SUMIFS('Rozpočet - HW a licencie'!$J$3:$J$102,'Rozpočet - HW a licencie'!$A$3:$A$102,'TCO TO BE - HW'!W$2,'Rozpočet - HW a licencie'!$D$3:$D$102,"HW",'Rozpočet - HW a licencie'!$H$3:$H$102,'TCO TO BE - HW'!$D9,'Rozpočet - HW a licencie'!$E$3:$E$102,'TCO TO BE - HW'!$B$5)+SUMIFS('Rozpočet - HW a licencie'!$J$3:$J$102,'Rozpočet - HW a licencie'!$A$3:$A$102,'TCO TO BE - HW'!W$2,'Rozpočet - HW a licencie'!$D$3:$D$102,"SW pre HW",'Rozpočet - HW a licencie'!$H$3:$H$102,'TCO TO BE - HW'!$D9,'Rozpočet - HW a licencie'!$E$3:$E$102,'TCO TO BE - HW'!$B$5),)</f>
        <v>0</v>
      </c>
      <c r="X9" s="540">
        <f>IFERROR(SUMIFS('Rozpočet - HW a licencie'!$J$3:$J$102,'Rozpočet - HW a licencie'!$A$3:$A$102,'TCO TO BE - HW'!X$2,'Rozpočet - HW a licencie'!$D$3:$D$102,"HW",'Rozpočet - HW a licencie'!$H$3:$H$102,'TCO TO BE - HW'!$D9,'Rozpočet - HW a licencie'!$E$3:$E$102,'TCO TO BE - HW'!$B$5)+SUMIFS('Rozpočet - HW a licencie'!$J$3:$J$102,'Rozpočet - HW a licencie'!$A$3:$A$102,'TCO TO BE - HW'!X$2,'Rozpočet - HW a licencie'!$D$3:$D$102,"SW pre HW",'Rozpočet - HW a licencie'!$H$3:$H$102,'TCO TO BE - HW'!$D9,'Rozpočet - HW a licencie'!$E$3:$E$102,'TCO TO BE - HW'!$B$5),)</f>
        <v>0</v>
      </c>
      <c r="Y9" s="540">
        <f>IFERROR(SUMIFS('Rozpočet - HW a licencie'!$J$3:$J$102,'Rozpočet - HW a licencie'!$A$3:$A$102,'TCO TO BE - HW'!Y$2,'Rozpočet - HW a licencie'!$D$3:$D$102,"HW",'Rozpočet - HW a licencie'!$H$3:$H$102,'TCO TO BE - HW'!$D9,'Rozpočet - HW a licencie'!$E$3:$E$102,'TCO TO BE - HW'!$B$5)+SUMIFS('Rozpočet - HW a licencie'!$J$3:$J$102,'Rozpočet - HW a licencie'!$A$3:$A$102,'TCO TO BE - HW'!Y$2,'Rozpočet - HW a licencie'!$D$3:$D$102,"SW pre HW",'Rozpočet - HW a licencie'!$H$3:$H$102,'TCO TO BE - HW'!$D9,'Rozpočet - HW a licencie'!$E$3:$E$102,'TCO TO BE - HW'!$B$5),)</f>
        <v>0</v>
      </c>
      <c r="Z9" s="540">
        <f>IFERROR(SUMIFS('Rozpočet - HW a licencie'!$J$3:$J$102,'Rozpočet - HW a licencie'!$A$3:$A$102,'TCO TO BE - HW'!Z$2,'Rozpočet - HW a licencie'!$D$3:$D$102,"HW",'Rozpočet - HW a licencie'!$H$3:$H$102,'TCO TO BE - HW'!$D9,'Rozpočet - HW a licencie'!$E$3:$E$102,'TCO TO BE - HW'!$B$5)+SUMIFS('Rozpočet - HW a licencie'!$J$3:$J$102,'Rozpočet - HW a licencie'!$A$3:$A$102,'TCO TO BE - HW'!Z$2,'Rozpočet - HW a licencie'!$D$3:$D$102,"SW pre HW",'Rozpočet - HW a licencie'!$H$3:$H$102,'TCO TO BE - HW'!$D9,'Rozpočet - HW a licencie'!$E$3:$E$102,'TCO TO BE - HW'!$B$5),)</f>
        <v>0</v>
      </c>
    </row>
    <row r="10" spans="1:26" outlineLevel="1" x14ac:dyDescent="0.2">
      <c r="A10" s="884"/>
      <c r="B10" s="885"/>
      <c r="C10" s="885"/>
      <c r="D10" s="464">
        <v>6</v>
      </c>
      <c r="E10" s="68">
        <f t="shared" si="2"/>
        <v>0</v>
      </c>
      <c r="F10" s="540">
        <f>IFERROR(SUMIFS('Rozpočet - HW a licencie'!$J$3:$J$102,'Rozpočet - HW a licencie'!$A$3:$A$102,'TCO TO BE - HW'!F$2,'Rozpočet - HW a licencie'!$D$3:$D$102,"HW",'Rozpočet - HW a licencie'!$H$3:$H$102,'TCO TO BE - HW'!$D10,'Rozpočet - HW a licencie'!$E$3:$E$102,'TCO TO BE - HW'!$B$5)+SUMIFS('Rozpočet - HW a licencie'!$J$3:$J$102,'Rozpočet - HW a licencie'!$A$3:$A$102,'TCO TO BE - HW'!F$2,'Rozpočet - HW a licencie'!$D$3:$D$102,"SW pre HW",'Rozpočet - HW a licencie'!$H$3:$H$102,'TCO TO BE - HW'!$D10,'Rozpočet - HW a licencie'!$E$3:$E$102,'TCO TO BE - HW'!$B$5),)</f>
        <v>0</v>
      </c>
      <c r="G10" s="540">
        <f>IFERROR(SUMIFS('Rozpočet - HW a licencie'!$J$3:$J$102,'Rozpočet - HW a licencie'!$A$3:$A$102,'TCO TO BE - HW'!G$2,'Rozpočet - HW a licencie'!$D$3:$D$102,"HW",'Rozpočet - HW a licencie'!$H$3:$H$102,'TCO TO BE - HW'!$D10,'Rozpočet - HW a licencie'!$E$3:$E$102,'TCO TO BE - HW'!$B$5)+SUMIFS('Rozpočet - HW a licencie'!$J$3:$J$102,'Rozpočet - HW a licencie'!$A$3:$A$102,'TCO TO BE - HW'!G$2,'Rozpočet - HW a licencie'!$D$3:$D$102,"SW pre HW",'Rozpočet - HW a licencie'!$H$3:$H$102,'TCO TO BE - HW'!$D10,'Rozpočet - HW a licencie'!$E$3:$E$102,'TCO TO BE - HW'!$B$5),)</f>
        <v>0</v>
      </c>
      <c r="H10" s="540">
        <f>IFERROR(SUMIFS('Rozpočet - HW a licencie'!$J$3:$J$102,'Rozpočet - HW a licencie'!$A$3:$A$102,'TCO TO BE - HW'!H$2,'Rozpočet - HW a licencie'!$D$3:$D$102,"HW",'Rozpočet - HW a licencie'!$H$3:$H$102,'TCO TO BE - HW'!$D10,'Rozpočet - HW a licencie'!$E$3:$E$102,'TCO TO BE - HW'!$B$5)+SUMIFS('Rozpočet - HW a licencie'!$J$3:$J$102,'Rozpočet - HW a licencie'!$A$3:$A$102,'TCO TO BE - HW'!H$2,'Rozpočet - HW a licencie'!$D$3:$D$102,"SW pre HW",'Rozpočet - HW a licencie'!$H$3:$H$102,'TCO TO BE - HW'!$D10,'Rozpočet - HW a licencie'!$E$3:$E$102,'TCO TO BE - HW'!$B$5),)</f>
        <v>0</v>
      </c>
      <c r="I10" s="540">
        <f>IFERROR(SUMIFS('Rozpočet - HW a licencie'!$J$3:$J$102,'Rozpočet - HW a licencie'!$A$3:$A$102,'TCO TO BE - HW'!I$2,'Rozpočet - HW a licencie'!$D$3:$D$102,"HW",'Rozpočet - HW a licencie'!$H$3:$H$102,'TCO TO BE - HW'!$D10,'Rozpočet - HW a licencie'!$E$3:$E$102,'TCO TO BE - HW'!$B$5)+SUMIFS('Rozpočet - HW a licencie'!$J$3:$J$102,'Rozpočet - HW a licencie'!$A$3:$A$102,'TCO TO BE - HW'!I$2,'Rozpočet - HW a licencie'!$D$3:$D$102,"SW pre HW",'Rozpočet - HW a licencie'!$H$3:$H$102,'TCO TO BE - HW'!$D10,'Rozpočet - HW a licencie'!$E$3:$E$102,'TCO TO BE - HW'!$B$5),)</f>
        <v>0</v>
      </c>
      <c r="J10" s="540">
        <f>IFERROR(SUMIFS('Rozpočet - HW a licencie'!$J$3:$J$102,'Rozpočet - HW a licencie'!$A$3:$A$102,'TCO TO BE - HW'!J$2,'Rozpočet - HW a licencie'!$D$3:$D$102,"HW",'Rozpočet - HW a licencie'!$H$3:$H$102,'TCO TO BE - HW'!$D10,'Rozpočet - HW a licencie'!$E$3:$E$102,'TCO TO BE - HW'!$B$5)+SUMIFS('Rozpočet - HW a licencie'!$J$3:$J$102,'Rozpočet - HW a licencie'!$A$3:$A$102,'TCO TO BE - HW'!J$2,'Rozpočet - HW a licencie'!$D$3:$D$102,"SW pre HW",'Rozpočet - HW a licencie'!$H$3:$H$102,'TCO TO BE - HW'!$D10,'Rozpočet - HW a licencie'!$E$3:$E$102,'TCO TO BE - HW'!$B$5),)</f>
        <v>0</v>
      </c>
      <c r="K10" s="540">
        <f>IFERROR(SUMIFS('Rozpočet - HW a licencie'!$J$3:$J$102,'Rozpočet - HW a licencie'!$A$3:$A$102,'TCO TO BE - HW'!K$2,'Rozpočet - HW a licencie'!$D$3:$D$102,"HW",'Rozpočet - HW a licencie'!$H$3:$H$102,'TCO TO BE - HW'!$D10,'Rozpočet - HW a licencie'!$E$3:$E$102,'TCO TO BE - HW'!$B$5)+SUMIFS('Rozpočet - HW a licencie'!$J$3:$J$102,'Rozpočet - HW a licencie'!$A$3:$A$102,'TCO TO BE - HW'!K$2,'Rozpočet - HW a licencie'!$D$3:$D$102,"SW pre HW",'Rozpočet - HW a licencie'!$H$3:$H$102,'TCO TO BE - HW'!$D10,'Rozpočet - HW a licencie'!$E$3:$E$102,'TCO TO BE - HW'!$B$5),)</f>
        <v>0</v>
      </c>
      <c r="L10" s="540">
        <f>IFERROR(SUMIFS('Rozpočet - HW a licencie'!$J$3:$J$102,'Rozpočet - HW a licencie'!$A$3:$A$102,'TCO TO BE - HW'!L$2,'Rozpočet - HW a licencie'!$D$3:$D$102,"HW",'Rozpočet - HW a licencie'!$H$3:$H$102,'TCO TO BE - HW'!$D10,'Rozpočet - HW a licencie'!$E$3:$E$102,'TCO TO BE - HW'!$B$5)+SUMIFS('Rozpočet - HW a licencie'!$J$3:$J$102,'Rozpočet - HW a licencie'!$A$3:$A$102,'TCO TO BE - HW'!L$2,'Rozpočet - HW a licencie'!$D$3:$D$102,"SW pre HW",'Rozpočet - HW a licencie'!$H$3:$H$102,'TCO TO BE - HW'!$D10,'Rozpočet - HW a licencie'!$E$3:$E$102,'TCO TO BE - HW'!$B$5),)</f>
        <v>0</v>
      </c>
      <c r="M10" s="540">
        <f>IFERROR(SUMIFS('Rozpočet - HW a licencie'!$J$3:$J$102,'Rozpočet - HW a licencie'!$A$3:$A$102,'TCO TO BE - HW'!M$2,'Rozpočet - HW a licencie'!$D$3:$D$102,"HW",'Rozpočet - HW a licencie'!$H$3:$H$102,'TCO TO BE - HW'!$D10,'Rozpočet - HW a licencie'!$E$3:$E$102,'TCO TO BE - HW'!$B$5)+SUMIFS('Rozpočet - HW a licencie'!$J$3:$J$102,'Rozpočet - HW a licencie'!$A$3:$A$102,'TCO TO BE - HW'!M$2,'Rozpočet - HW a licencie'!$D$3:$D$102,"SW pre HW",'Rozpočet - HW a licencie'!$H$3:$H$102,'TCO TO BE - HW'!$D10,'Rozpočet - HW a licencie'!$E$3:$E$102,'TCO TO BE - HW'!$B$5),)</f>
        <v>0</v>
      </c>
      <c r="N10" s="540">
        <f>IFERROR(SUMIFS('Rozpočet - HW a licencie'!$J$3:$J$102,'Rozpočet - HW a licencie'!$A$3:$A$102,'TCO TO BE - HW'!N$2,'Rozpočet - HW a licencie'!$D$3:$D$102,"HW",'Rozpočet - HW a licencie'!$H$3:$H$102,'TCO TO BE - HW'!$D10,'Rozpočet - HW a licencie'!$E$3:$E$102,'TCO TO BE - HW'!$B$5)+SUMIFS('Rozpočet - HW a licencie'!$J$3:$J$102,'Rozpočet - HW a licencie'!$A$3:$A$102,'TCO TO BE - HW'!N$2,'Rozpočet - HW a licencie'!$D$3:$D$102,"SW pre HW",'Rozpočet - HW a licencie'!$H$3:$H$102,'TCO TO BE - HW'!$D10,'Rozpočet - HW a licencie'!$E$3:$E$102,'TCO TO BE - HW'!$B$5),)</f>
        <v>0</v>
      </c>
      <c r="O10" s="540">
        <f>IFERROR(SUMIFS('Rozpočet - HW a licencie'!$J$3:$J$102,'Rozpočet - HW a licencie'!$A$3:$A$102,'TCO TO BE - HW'!O$2,'Rozpočet - HW a licencie'!$D$3:$D$102,"HW",'Rozpočet - HW a licencie'!$H$3:$H$102,'TCO TO BE - HW'!$D10,'Rozpočet - HW a licencie'!$E$3:$E$102,'TCO TO BE - HW'!$B$5)+SUMIFS('Rozpočet - HW a licencie'!$J$3:$J$102,'Rozpočet - HW a licencie'!$A$3:$A$102,'TCO TO BE - HW'!O$2,'Rozpočet - HW a licencie'!$D$3:$D$102,"SW pre HW",'Rozpočet - HW a licencie'!$H$3:$H$102,'TCO TO BE - HW'!$D10,'Rozpočet - HW a licencie'!$E$3:$E$102,'TCO TO BE - HW'!$B$5),)</f>
        <v>0</v>
      </c>
      <c r="P10" s="540">
        <f>IFERROR(SUMIFS('Rozpočet - HW a licencie'!$J$3:$J$102,'Rozpočet - HW a licencie'!$A$3:$A$102,'TCO TO BE - HW'!P$2,'Rozpočet - HW a licencie'!$D$3:$D$102,"HW",'Rozpočet - HW a licencie'!$H$3:$H$102,'TCO TO BE - HW'!$D10,'Rozpočet - HW a licencie'!$E$3:$E$102,'TCO TO BE - HW'!$B$5)+SUMIFS('Rozpočet - HW a licencie'!$J$3:$J$102,'Rozpočet - HW a licencie'!$A$3:$A$102,'TCO TO BE - HW'!P$2,'Rozpočet - HW a licencie'!$D$3:$D$102,"SW pre HW",'Rozpočet - HW a licencie'!$H$3:$H$102,'TCO TO BE - HW'!$D10,'Rozpočet - HW a licencie'!$E$3:$E$102,'TCO TO BE - HW'!$B$5),)</f>
        <v>0</v>
      </c>
      <c r="Q10" s="540">
        <f>IFERROR(SUMIFS('Rozpočet - HW a licencie'!$J$3:$J$102,'Rozpočet - HW a licencie'!$A$3:$A$102,'TCO TO BE - HW'!Q$2,'Rozpočet - HW a licencie'!$D$3:$D$102,"HW",'Rozpočet - HW a licencie'!$H$3:$H$102,'TCO TO BE - HW'!$D10,'Rozpočet - HW a licencie'!$E$3:$E$102,'TCO TO BE - HW'!$B$5)+SUMIFS('Rozpočet - HW a licencie'!$J$3:$J$102,'Rozpočet - HW a licencie'!$A$3:$A$102,'TCO TO BE - HW'!Q$2,'Rozpočet - HW a licencie'!$D$3:$D$102,"SW pre HW",'Rozpočet - HW a licencie'!$H$3:$H$102,'TCO TO BE - HW'!$D10,'Rozpočet - HW a licencie'!$E$3:$E$102,'TCO TO BE - HW'!$B$5),)</f>
        <v>0</v>
      </c>
      <c r="R10" s="540">
        <f>IFERROR(SUMIFS('Rozpočet - HW a licencie'!$J$3:$J$102,'Rozpočet - HW a licencie'!$A$3:$A$102,'TCO TO BE - HW'!R$2,'Rozpočet - HW a licencie'!$D$3:$D$102,"HW",'Rozpočet - HW a licencie'!$H$3:$H$102,'TCO TO BE - HW'!$D10,'Rozpočet - HW a licencie'!$E$3:$E$102,'TCO TO BE - HW'!$B$5)+SUMIFS('Rozpočet - HW a licencie'!$J$3:$J$102,'Rozpočet - HW a licencie'!$A$3:$A$102,'TCO TO BE - HW'!R$2,'Rozpočet - HW a licencie'!$D$3:$D$102,"SW pre HW",'Rozpočet - HW a licencie'!$H$3:$H$102,'TCO TO BE - HW'!$D10,'Rozpočet - HW a licencie'!$E$3:$E$102,'TCO TO BE - HW'!$B$5),)</f>
        <v>0</v>
      </c>
      <c r="S10" s="540">
        <f>IFERROR(SUMIFS('Rozpočet - HW a licencie'!$J$3:$J$102,'Rozpočet - HW a licencie'!$A$3:$A$102,'TCO TO BE - HW'!S$2,'Rozpočet - HW a licencie'!$D$3:$D$102,"HW",'Rozpočet - HW a licencie'!$H$3:$H$102,'TCO TO BE - HW'!$D10,'Rozpočet - HW a licencie'!$E$3:$E$102,'TCO TO BE - HW'!$B$5)+SUMIFS('Rozpočet - HW a licencie'!$J$3:$J$102,'Rozpočet - HW a licencie'!$A$3:$A$102,'TCO TO BE - HW'!S$2,'Rozpočet - HW a licencie'!$D$3:$D$102,"SW pre HW",'Rozpočet - HW a licencie'!$H$3:$H$102,'TCO TO BE - HW'!$D10,'Rozpočet - HW a licencie'!$E$3:$E$102,'TCO TO BE - HW'!$B$5),)</f>
        <v>0</v>
      </c>
      <c r="T10" s="540">
        <f>IFERROR(SUMIFS('Rozpočet - HW a licencie'!$J$3:$J$102,'Rozpočet - HW a licencie'!$A$3:$A$102,'TCO TO BE - HW'!T$2,'Rozpočet - HW a licencie'!$D$3:$D$102,"HW",'Rozpočet - HW a licencie'!$H$3:$H$102,'TCO TO BE - HW'!$D10,'Rozpočet - HW a licencie'!$E$3:$E$102,'TCO TO BE - HW'!$B$5)+SUMIFS('Rozpočet - HW a licencie'!$J$3:$J$102,'Rozpočet - HW a licencie'!$A$3:$A$102,'TCO TO BE - HW'!T$2,'Rozpočet - HW a licencie'!$D$3:$D$102,"SW pre HW",'Rozpočet - HW a licencie'!$H$3:$H$102,'TCO TO BE - HW'!$D10,'Rozpočet - HW a licencie'!$E$3:$E$102,'TCO TO BE - HW'!$B$5),)</f>
        <v>0</v>
      </c>
      <c r="U10" s="540">
        <f>IFERROR(SUMIFS('Rozpočet - HW a licencie'!$J$3:$J$102,'Rozpočet - HW a licencie'!$A$3:$A$102,'TCO TO BE - HW'!U$2,'Rozpočet - HW a licencie'!$D$3:$D$102,"HW",'Rozpočet - HW a licencie'!$H$3:$H$102,'TCO TO BE - HW'!$D10,'Rozpočet - HW a licencie'!$E$3:$E$102,'TCO TO BE - HW'!$B$5)+SUMIFS('Rozpočet - HW a licencie'!$J$3:$J$102,'Rozpočet - HW a licencie'!$A$3:$A$102,'TCO TO BE - HW'!U$2,'Rozpočet - HW a licencie'!$D$3:$D$102,"SW pre HW",'Rozpočet - HW a licencie'!$H$3:$H$102,'TCO TO BE - HW'!$D10,'Rozpočet - HW a licencie'!$E$3:$E$102,'TCO TO BE - HW'!$B$5),)</f>
        <v>0</v>
      </c>
      <c r="V10" s="540">
        <f>IFERROR(SUMIFS('Rozpočet - HW a licencie'!$J$3:$J$102,'Rozpočet - HW a licencie'!$A$3:$A$102,'TCO TO BE - HW'!V$2,'Rozpočet - HW a licencie'!$D$3:$D$102,"HW",'Rozpočet - HW a licencie'!$H$3:$H$102,'TCO TO BE - HW'!$D10,'Rozpočet - HW a licencie'!$E$3:$E$102,'TCO TO BE - HW'!$B$5)+SUMIFS('Rozpočet - HW a licencie'!$J$3:$J$102,'Rozpočet - HW a licencie'!$A$3:$A$102,'TCO TO BE - HW'!V$2,'Rozpočet - HW a licencie'!$D$3:$D$102,"SW pre HW",'Rozpočet - HW a licencie'!$H$3:$H$102,'TCO TO BE - HW'!$D10,'Rozpočet - HW a licencie'!$E$3:$E$102,'TCO TO BE - HW'!$B$5),)</f>
        <v>0</v>
      </c>
      <c r="W10" s="540">
        <f>IFERROR(SUMIFS('Rozpočet - HW a licencie'!$J$3:$J$102,'Rozpočet - HW a licencie'!$A$3:$A$102,'TCO TO BE - HW'!W$2,'Rozpočet - HW a licencie'!$D$3:$D$102,"HW",'Rozpočet - HW a licencie'!$H$3:$H$102,'TCO TO BE - HW'!$D10,'Rozpočet - HW a licencie'!$E$3:$E$102,'TCO TO BE - HW'!$B$5)+SUMIFS('Rozpočet - HW a licencie'!$J$3:$J$102,'Rozpočet - HW a licencie'!$A$3:$A$102,'TCO TO BE - HW'!W$2,'Rozpočet - HW a licencie'!$D$3:$D$102,"SW pre HW",'Rozpočet - HW a licencie'!$H$3:$H$102,'TCO TO BE - HW'!$D10,'Rozpočet - HW a licencie'!$E$3:$E$102,'TCO TO BE - HW'!$B$5),)</f>
        <v>0</v>
      </c>
      <c r="X10" s="540">
        <f>IFERROR(SUMIFS('Rozpočet - HW a licencie'!$J$3:$J$102,'Rozpočet - HW a licencie'!$A$3:$A$102,'TCO TO BE - HW'!X$2,'Rozpočet - HW a licencie'!$D$3:$D$102,"HW",'Rozpočet - HW a licencie'!$H$3:$H$102,'TCO TO BE - HW'!$D10,'Rozpočet - HW a licencie'!$E$3:$E$102,'TCO TO BE - HW'!$B$5)+SUMIFS('Rozpočet - HW a licencie'!$J$3:$J$102,'Rozpočet - HW a licencie'!$A$3:$A$102,'TCO TO BE - HW'!X$2,'Rozpočet - HW a licencie'!$D$3:$D$102,"SW pre HW",'Rozpočet - HW a licencie'!$H$3:$H$102,'TCO TO BE - HW'!$D10,'Rozpočet - HW a licencie'!$E$3:$E$102,'TCO TO BE - HW'!$B$5),)</f>
        <v>0</v>
      </c>
      <c r="Y10" s="540">
        <f>IFERROR(SUMIFS('Rozpočet - HW a licencie'!$J$3:$J$102,'Rozpočet - HW a licencie'!$A$3:$A$102,'TCO TO BE - HW'!Y$2,'Rozpočet - HW a licencie'!$D$3:$D$102,"HW",'Rozpočet - HW a licencie'!$H$3:$H$102,'TCO TO BE - HW'!$D10,'Rozpočet - HW a licencie'!$E$3:$E$102,'TCO TO BE - HW'!$B$5)+SUMIFS('Rozpočet - HW a licencie'!$J$3:$J$102,'Rozpočet - HW a licencie'!$A$3:$A$102,'TCO TO BE - HW'!Y$2,'Rozpočet - HW a licencie'!$D$3:$D$102,"SW pre HW",'Rozpočet - HW a licencie'!$H$3:$H$102,'TCO TO BE - HW'!$D10,'Rozpočet - HW a licencie'!$E$3:$E$102,'TCO TO BE - HW'!$B$5),)</f>
        <v>0</v>
      </c>
      <c r="Z10" s="540">
        <f>IFERROR(SUMIFS('Rozpočet - HW a licencie'!$J$3:$J$102,'Rozpočet - HW a licencie'!$A$3:$A$102,'TCO TO BE - HW'!Z$2,'Rozpočet - HW a licencie'!$D$3:$D$102,"HW",'Rozpočet - HW a licencie'!$H$3:$H$102,'TCO TO BE - HW'!$D10,'Rozpočet - HW a licencie'!$E$3:$E$102,'TCO TO BE - HW'!$B$5)+SUMIFS('Rozpočet - HW a licencie'!$J$3:$J$102,'Rozpočet - HW a licencie'!$A$3:$A$102,'TCO TO BE - HW'!Z$2,'Rozpočet - HW a licencie'!$D$3:$D$102,"SW pre HW",'Rozpočet - HW a licencie'!$H$3:$H$102,'TCO TO BE - HW'!$D10,'Rozpočet - HW a licencie'!$E$3:$E$102,'TCO TO BE - HW'!$B$5),)</f>
        <v>0</v>
      </c>
    </row>
    <row r="11" spans="1:26" outlineLevel="1" x14ac:dyDescent="0.2">
      <c r="A11" s="884"/>
      <c r="B11" s="885"/>
      <c r="C11" s="885"/>
      <c r="D11" s="464">
        <v>7</v>
      </c>
      <c r="E11" s="68">
        <f t="shared" si="2"/>
        <v>0</v>
      </c>
      <c r="F11" s="540">
        <f>IFERROR(SUMIFS('Rozpočet - HW a licencie'!$J$3:$J$102,'Rozpočet - HW a licencie'!$A$3:$A$102,'TCO TO BE - HW'!F$2,'Rozpočet - HW a licencie'!$D$3:$D$102,"HW",'Rozpočet - HW a licencie'!$H$3:$H$102,'TCO TO BE - HW'!$D11,'Rozpočet - HW a licencie'!$E$3:$E$102,'TCO TO BE - HW'!$B$5)+SUMIFS('Rozpočet - HW a licencie'!$J$3:$J$102,'Rozpočet - HW a licencie'!$A$3:$A$102,'TCO TO BE - HW'!F$2,'Rozpočet - HW a licencie'!$D$3:$D$102,"SW pre HW",'Rozpočet - HW a licencie'!$H$3:$H$102,'TCO TO BE - HW'!$D11,'Rozpočet - HW a licencie'!$E$3:$E$102,'TCO TO BE - HW'!$B$5),)</f>
        <v>0</v>
      </c>
      <c r="G11" s="540">
        <f>IFERROR(SUMIFS('Rozpočet - HW a licencie'!$J$3:$J$102,'Rozpočet - HW a licencie'!$A$3:$A$102,'TCO TO BE - HW'!G$2,'Rozpočet - HW a licencie'!$D$3:$D$102,"HW",'Rozpočet - HW a licencie'!$H$3:$H$102,'TCO TO BE - HW'!$D11,'Rozpočet - HW a licencie'!$E$3:$E$102,'TCO TO BE - HW'!$B$5)+SUMIFS('Rozpočet - HW a licencie'!$J$3:$J$102,'Rozpočet - HW a licencie'!$A$3:$A$102,'TCO TO BE - HW'!G$2,'Rozpočet - HW a licencie'!$D$3:$D$102,"SW pre HW",'Rozpočet - HW a licencie'!$H$3:$H$102,'TCO TO BE - HW'!$D11,'Rozpočet - HW a licencie'!$E$3:$E$102,'TCO TO BE - HW'!$B$5),)</f>
        <v>0</v>
      </c>
      <c r="H11" s="540">
        <f>IFERROR(SUMIFS('Rozpočet - HW a licencie'!$J$3:$J$102,'Rozpočet - HW a licencie'!$A$3:$A$102,'TCO TO BE - HW'!H$2,'Rozpočet - HW a licencie'!$D$3:$D$102,"HW",'Rozpočet - HW a licencie'!$H$3:$H$102,'TCO TO BE - HW'!$D11,'Rozpočet - HW a licencie'!$E$3:$E$102,'TCO TO BE - HW'!$B$5)+SUMIFS('Rozpočet - HW a licencie'!$J$3:$J$102,'Rozpočet - HW a licencie'!$A$3:$A$102,'TCO TO BE - HW'!H$2,'Rozpočet - HW a licencie'!$D$3:$D$102,"SW pre HW",'Rozpočet - HW a licencie'!$H$3:$H$102,'TCO TO BE - HW'!$D11,'Rozpočet - HW a licencie'!$E$3:$E$102,'TCO TO BE - HW'!$B$5),)</f>
        <v>0</v>
      </c>
      <c r="I11" s="540">
        <f>IFERROR(SUMIFS('Rozpočet - HW a licencie'!$J$3:$J$102,'Rozpočet - HW a licencie'!$A$3:$A$102,'TCO TO BE - HW'!I$2,'Rozpočet - HW a licencie'!$D$3:$D$102,"HW",'Rozpočet - HW a licencie'!$H$3:$H$102,'TCO TO BE - HW'!$D11,'Rozpočet - HW a licencie'!$E$3:$E$102,'TCO TO BE - HW'!$B$5)+SUMIFS('Rozpočet - HW a licencie'!$J$3:$J$102,'Rozpočet - HW a licencie'!$A$3:$A$102,'TCO TO BE - HW'!I$2,'Rozpočet - HW a licencie'!$D$3:$D$102,"SW pre HW",'Rozpočet - HW a licencie'!$H$3:$H$102,'TCO TO BE - HW'!$D11,'Rozpočet - HW a licencie'!$E$3:$E$102,'TCO TO BE - HW'!$B$5),)</f>
        <v>0</v>
      </c>
      <c r="J11" s="540">
        <f>IFERROR(SUMIFS('Rozpočet - HW a licencie'!$J$3:$J$102,'Rozpočet - HW a licencie'!$A$3:$A$102,'TCO TO BE - HW'!J$2,'Rozpočet - HW a licencie'!$D$3:$D$102,"HW",'Rozpočet - HW a licencie'!$H$3:$H$102,'TCO TO BE - HW'!$D11,'Rozpočet - HW a licencie'!$E$3:$E$102,'TCO TO BE - HW'!$B$5)+SUMIFS('Rozpočet - HW a licencie'!$J$3:$J$102,'Rozpočet - HW a licencie'!$A$3:$A$102,'TCO TO BE - HW'!J$2,'Rozpočet - HW a licencie'!$D$3:$D$102,"SW pre HW",'Rozpočet - HW a licencie'!$H$3:$H$102,'TCO TO BE - HW'!$D11,'Rozpočet - HW a licencie'!$E$3:$E$102,'TCO TO BE - HW'!$B$5),)</f>
        <v>0</v>
      </c>
      <c r="K11" s="540">
        <f>IFERROR(SUMIFS('Rozpočet - HW a licencie'!$J$3:$J$102,'Rozpočet - HW a licencie'!$A$3:$A$102,'TCO TO BE - HW'!K$2,'Rozpočet - HW a licencie'!$D$3:$D$102,"HW",'Rozpočet - HW a licencie'!$H$3:$H$102,'TCO TO BE - HW'!$D11,'Rozpočet - HW a licencie'!$E$3:$E$102,'TCO TO BE - HW'!$B$5)+SUMIFS('Rozpočet - HW a licencie'!$J$3:$J$102,'Rozpočet - HW a licencie'!$A$3:$A$102,'TCO TO BE - HW'!K$2,'Rozpočet - HW a licencie'!$D$3:$D$102,"SW pre HW",'Rozpočet - HW a licencie'!$H$3:$H$102,'TCO TO BE - HW'!$D11,'Rozpočet - HW a licencie'!$E$3:$E$102,'TCO TO BE - HW'!$B$5),)</f>
        <v>0</v>
      </c>
      <c r="L11" s="540">
        <f>IFERROR(SUMIFS('Rozpočet - HW a licencie'!$J$3:$J$102,'Rozpočet - HW a licencie'!$A$3:$A$102,'TCO TO BE - HW'!L$2,'Rozpočet - HW a licencie'!$D$3:$D$102,"HW",'Rozpočet - HW a licencie'!$H$3:$H$102,'TCO TO BE - HW'!$D11,'Rozpočet - HW a licencie'!$E$3:$E$102,'TCO TO BE - HW'!$B$5)+SUMIFS('Rozpočet - HW a licencie'!$J$3:$J$102,'Rozpočet - HW a licencie'!$A$3:$A$102,'TCO TO BE - HW'!L$2,'Rozpočet - HW a licencie'!$D$3:$D$102,"SW pre HW",'Rozpočet - HW a licencie'!$H$3:$H$102,'TCO TO BE - HW'!$D11,'Rozpočet - HW a licencie'!$E$3:$E$102,'TCO TO BE - HW'!$B$5),)</f>
        <v>0</v>
      </c>
      <c r="M11" s="540">
        <f>IFERROR(SUMIFS('Rozpočet - HW a licencie'!$J$3:$J$102,'Rozpočet - HW a licencie'!$A$3:$A$102,'TCO TO BE - HW'!M$2,'Rozpočet - HW a licencie'!$D$3:$D$102,"HW",'Rozpočet - HW a licencie'!$H$3:$H$102,'TCO TO BE - HW'!$D11,'Rozpočet - HW a licencie'!$E$3:$E$102,'TCO TO BE - HW'!$B$5)+SUMIFS('Rozpočet - HW a licencie'!$J$3:$J$102,'Rozpočet - HW a licencie'!$A$3:$A$102,'TCO TO BE - HW'!M$2,'Rozpočet - HW a licencie'!$D$3:$D$102,"SW pre HW",'Rozpočet - HW a licencie'!$H$3:$H$102,'TCO TO BE - HW'!$D11,'Rozpočet - HW a licencie'!$E$3:$E$102,'TCO TO BE - HW'!$B$5),)</f>
        <v>0</v>
      </c>
      <c r="N11" s="540">
        <f>IFERROR(SUMIFS('Rozpočet - HW a licencie'!$J$3:$J$102,'Rozpočet - HW a licencie'!$A$3:$A$102,'TCO TO BE - HW'!N$2,'Rozpočet - HW a licencie'!$D$3:$D$102,"HW",'Rozpočet - HW a licencie'!$H$3:$H$102,'TCO TO BE - HW'!$D11,'Rozpočet - HW a licencie'!$E$3:$E$102,'TCO TO BE - HW'!$B$5)+SUMIFS('Rozpočet - HW a licencie'!$J$3:$J$102,'Rozpočet - HW a licencie'!$A$3:$A$102,'TCO TO BE - HW'!N$2,'Rozpočet - HW a licencie'!$D$3:$D$102,"SW pre HW",'Rozpočet - HW a licencie'!$H$3:$H$102,'TCO TO BE - HW'!$D11,'Rozpočet - HW a licencie'!$E$3:$E$102,'TCO TO BE - HW'!$B$5),)</f>
        <v>0</v>
      </c>
      <c r="O11" s="540">
        <f>IFERROR(SUMIFS('Rozpočet - HW a licencie'!$J$3:$J$102,'Rozpočet - HW a licencie'!$A$3:$A$102,'TCO TO BE - HW'!O$2,'Rozpočet - HW a licencie'!$D$3:$D$102,"HW",'Rozpočet - HW a licencie'!$H$3:$H$102,'TCO TO BE - HW'!$D11,'Rozpočet - HW a licencie'!$E$3:$E$102,'TCO TO BE - HW'!$B$5)+SUMIFS('Rozpočet - HW a licencie'!$J$3:$J$102,'Rozpočet - HW a licencie'!$A$3:$A$102,'TCO TO BE - HW'!O$2,'Rozpočet - HW a licencie'!$D$3:$D$102,"SW pre HW",'Rozpočet - HW a licencie'!$H$3:$H$102,'TCO TO BE - HW'!$D11,'Rozpočet - HW a licencie'!$E$3:$E$102,'TCO TO BE - HW'!$B$5),)</f>
        <v>0</v>
      </c>
      <c r="P11" s="540">
        <f>IFERROR(SUMIFS('Rozpočet - HW a licencie'!$J$3:$J$102,'Rozpočet - HW a licencie'!$A$3:$A$102,'TCO TO BE - HW'!P$2,'Rozpočet - HW a licencie'!$D$3:$D$102,"HW",'Rozpočet - HW a licencie'!$H$3:$H$102,'TCO TO BE - HW'!$D11,'Rozpočet - HW a licencie'!$E$3:$E$102,'TCO TO BE - HW'!$B$5)+SUMIFS('Rozpočet - HW a licencie'!$J$3:$J$102,'Rozpočet - HW a licencie'!$A$3:$A$102,'TCO TO BE - HW'!P$2,'Rozpočet - HW a licencie'!$D$3:$D$102,"SW pre HW",'Rozpočet - HW a licencie'!$H$3:$H$102,'TCO TO BE - HW'!$D11,'Rozpočet - HW a licencie'!$E$3:$E$102,'TCO TO BE - HW'!$B$5),)</f>
        <v>0</v>
      </c>
      <c r="Q11" s="540">
        <f>IFERROR(SUMIFS('Rozpočet - HW a licencie'!$J$3:$J$102,'Rozpočet - HW a licencie'!$A$3:$A$102,'TCO TO BE - HW'!Q$2,'Rozpočet - HW a licencie'!$D$3:$D$102,"HW",'Rozpočet - HW a licencie'!$H$3:$H$102,'TCO TO BE - HW'!$D11,'Rozpočet - HW a licencie'!$E$3:$E$102,'TCO TO BE - HW'!$B$5)+SUMIFS('Rozpočet - HW a licencie'!$J$3:$J$102,'Rozpočet - HW a licencie'!$A$3:$A$102,'TCO TO BE - HW'!Q$2,'Rozpočet - HW a licencie'!$D$3:$D$102,"SW pre HW",'Rozpočet - HW a licencie'!$H$3:$H$102,'TCO TO BE - HW'!$D11,'Rozpočet - HW a licencie'!$E$3:$E$102,'TCO TO BE - HW'!$B$5),)</f>
        <v>0</v>
      </c>
      <c r="R11" s="540">
        <f>IFERROR(SUMIFS('Rozpočet - HW a licencie'!$J$3:$J$102,'Rozpočet - HW a licencie'!$A$3:$A$102,'TCO TO BE - HW'!R$2,'Rozpočet - HW a licencie'!$D$3:$D$102,"HW",'Rozpočet - HW a licencie'!$H$3:$H$102,'TCO TO BE - HW'!$D11,'Rozpočet - HW a licencie'!$E$3:$E$102,'TCO TO BE - HW'!$B$5)+SUMIFS('Rozpočet - HW a licencie'!$J$3:$J$102,'Rozpočet - HW a licencie'!$A$3:$A$102,'TCO TO BE - HW'!R$2,'Rozpočet - HW a licencie'!$D$3:$D$102,"SW pre HW",'Rozpočet - HW a licencie'!$H$3:$H$102,'TCO TO BE - HW'!$D11,'Rozpočet - HW a licencie'!$E$3:$E$102,'TCO TO BE - HW'!$B$5),)</f>
        <v>0</v>
      </c>
      <c r="S11" s="540">
        <f>IFERROR(SUMIFS('Rozpočet - HW a licencie'!$J$3:$J$102,'Rozpočet - HW a licencie'!$A$3:$A$102,'TCO TO BE - HW'!S$2,'Rozpočet - HW a licencie'!$D$3:$D$102,"HW",'Rozpočet - HW a licencie'!$H$3:$H$102,'TCO TO BE - HW'!$D11,'Rozpočet - HW a licencie'!$E$3:$E$102,'TCO TO BE - HW'!$B$5)+SUMIFS('Rozpočet - HW a licencie'!$J$3:$J$102,'Rozpočet - HW a licencie'!$A$3:$A$102,'TCO TO BE - HW'!S$2,'Rozpočet - HW a licencie'!$D$3:$D$102,"SW pre HW",'Rozpočet - HW a licencie'!$H$3:$H$102,'TCO TO BE - HW'!$D11,'Rozpočet - HW a licencie'!$E$3:$E$102,'TCO TO BE - HW'!$B$5),)</f>
        <v>0</v>
      </c>
      <c r="T11" s="540">
        <f>IFERROR(SUMIFS('Rozpočet - HW a licencie'!$J$3:$J$102,'Rozpočet - HW a licencie'!$A$3:$A$102,'TCO TO BE - HW'!T$2,'Rozpočet - HW a licencie'!$D$3:$D$102,"HW",'Rozpočet - HW a licencie'!$H$3:$H$102,'TCO TO BE - HW'!$D11,'Rozpočet - HW a licencie'!$E$3:$E$102,'TCO TO BE - HW'!$B$5)+SUMIFS('Rozpočet - HW a licencie'!$J$3:$J$102,'Rozpočet - HW a licencie'!$A$3:$A$102,'TCO TO BE - HW'!T$2,'Rozpočet - HW a licencie'!$D$3:$D$102,"SW pre HW",'Rozpočet - HW a licencie'!$H$3:$H$102,'TCO TO BE - HW'!$D11,'Rozpočet - HW a licencie'!$E$3:$E$102,'TCO TO BE - HW'!$B$5),)</f>
        <v>0</v>
      </c>
      <c r="U11" s="540">
        <f>IFERROR(SUMIFS('Rozpočet - HW a licencie'!$J$3:$J$102,'Rozpočet - HW a licencie'!$A$3:$A$102,'TCO TO BE - HW'!U$2,'Rozpočet - HW a licencie'!$D$3:$D$102,"HW",'Rozpočet - HW a licencie'!$H$3:$H$102,'TCO TO BE - HW'!$D11,'Rozpočet - HW a licencie'!$E$3:$E$102,'TCO TO BE - HW'!$B$5)+SUMIFS('Rozpočet - HW a licencie'!$J$3:$J$102,'Rozpočet - HW a licencie'!$A$3:$A$102,'TCO TO BE - HW'!U$2,'Rozpočet - HW a licencie'!$D$3:$D$102,"SW pre HW",'Rozpočet - HW a licencie'!$H$3:$H$102,'TCO TO BE - HW'!$D11,'Rozpočet - HW a licencie'!$E$3:$E$102,'TCO TO BE - HW'!$B$5),)</f>
        <v>0</v>
      </c>
      <c r="V11" s="540">
        <f>IFERROR(SUMIFS('Rozpočet - HW a licencie'!$J$3:$J$102,'Rozpočet - HW a licencie'!$A$3:$A$102,'TCO TO BE - HW'!V$2,'Rozpočet - HW a licencie'!$D$3:$D$102,"HW",'Rozpočet - HW a licencie'!$H$3:$H$102,'TCO TO BE - HW'!$D11,'Rozpočet - HW a licencie'!$E$3:$E$102,'TCO TO BE - HW'!$B$5)+SUMIFS('Rozpočet - HW a licencie'!$J$3:$J$102,'Rozpočet - HW a licencie'!$A$3:$A$102,'TCO TO BE - HW'!V$2,'Rozpočet - HW a licencie'!$D$3:$D$102,"SW pre HW",'Rozpočet - HW a licencie'!$H$3:$H$102,'TCO TO BE - HW'!$D11,'Rozpočet - HW a licencie'!$E$3:$E$102,'TCO TO BE - HW'!$B$5),)</f>
        <v>0</v>
      </c>
      <c r="W11" s="540">
        <f>IFERROR(SUMIFS('Rozpočet - HW a licencie'!$J$3:$J$102,'Rozpočet - HW a licencie'!$A$3:$A$102,'TCO TO BE - HW'!W$2,'Rozpočet - HW a licencie'!$D$3:$D$102,"HW",'Rozpočet - HW a licencie'!$H$3:$H$102,'TCO TO BE - HW'!$D11,'Rozpočet - HW a licencie'!$E$3:$E$102,'TCO TO BE - HW'!$B$5)+SUMIFS('Rozpočet - HW a licencie'!$J$3:$J$102,'Rozpočet - HW a licencie'!$A$3:$A$102,'TCO TO BE - HW'!W$2,'Rozpočet - HW a licencie'!$D$3:$D$102,"SW pre HW",'Rozpočet - HW a licencie'!$H$3:$H$102,'TCO TO BE - HW'!$D11,'Rozpočet - HW a licencie'!$E$3:$E$102,'TCO TO BE - HW'!$B$5),)</f>
        <v>0</v>
      </c>
      <c r="X11" s="540">
        <f>IFERROR(SUMIFS('Rozpočet - HW a licencie'!$J$3:$J$102,'Rozpočet - HW a licencie'!$A$3:$A$102,'TCO TO BE - HW'!X$2,'Rozpočet - HW a licencie'!$D$3:$D$102,"HW",'Rozpočet - HW a licencie'!$H$3:$H$102,'TCO TO BE - HW'!$D11,'Rozpočet - HW a licencie'!$E$3:$E$102,'TCO TO BE - HW'!$B$5)+SUMIFS('Rozpočet - HW a licencie'!$J$3:$J$102,'Rozpočet - HW a licencie'!$A$3:$A$102,'TCO TO BE - HW'!X$2,'Rozpočet - HW a licencie'!$D$3:$D$102,"SW pre HW",'Rozpočet - HW a licencie'!$H$3:$H$102,'TCO TO BE - HW'!$D11,'Rozpočet - HW a licencie'!$E$3:$E$102,'TCO TO BE - HW'!$B$5),)</f>
        <v>0</v>
      </c>
      <c r="Y11" s="540">
        <f>IFERROR(SUMIFS('Rozpočet - HW a licencie'!$J$3:$J$102,'Rozpočet - HW a licencie'!$A$3:$A$102,'TCO TO BE - HW'!Y$2,'Rozpočet - HW a licencie'!$D$3:$D$102,"HW",'Rozpočet - HW a licencie'!$H$3:$H$102,'TCO TO BE - HW'!$D11,'Rozpočet - HW a licencie'!$E$3:$E$102,'TCO TO BE - HW'!$B$5)+SUMIFS('Rozpočet - HW a licencie'!$J$3:$J$102,'Rozpočet - HW a licencie'!$A$3:$A$102,'TCO TO BE - HW'!Y$2,'Rozpočet - HW a licencie'!$D$3:$D$102,"SW pre HW",'Rozpočet - HW a licencie'!$H$3:$H$102,'TCO TO BE - HW'!$D11,'Rozpočet - HW a licencie'!$E$3:$E$102,'TCO TO BE - HW'!$B$5),)</f>
        <v>0</v>
      </c>
      <c r="Z11" s="540">
        <f>IFERROR(SUMIFS('Rozpočet - HW a licencie'!$J$3:$J$102,'Rozpočet - HW a licencie'!$A$3:$A$102,'TCO TO BE - HW'!Z$2,'Rozpočet - HW a licencie'!$D$3:$D$102,"HW",'Rozpočet - HW a licencie'!$H$3:$H$102,'TCO TO BE - HW'!$D11,'Rozpočet - HW a licencie'!$E$3:$E$102,'TCO TO BE - HW'!$B$5)+SUMIFS('Rozpočet - HW a licencie'!$J$3:$J$102,'Rozpočet - HW a licencie'!$A$3:$A$102,'TCO TO BE - HW'!Z$2,'Rozpočet - HW a licencie'!$D$3:$D$102,"SW pre HW",'Rozpočet - HW a licencie'!$H$3:$H$102,'TCO TO BE - HW'!$D11,'Rozpočet - HW a licencie'!$E$3:$E$102,'TCO TO BE - HW'!$B$5),)</f>
        <v>0</v>
      </c>
    </row>
    <row r="12" spans="1:26" outlineLevel="1" x14ac:dyDescent="0.2">
      <c r="A12" s="884"/>
      <c r="B12" s="885"/>
      <c r="C12" s="885"/>
      <c r="D12" s="464">
        <v>8</v>
      </c>
      <c r="E12" s="68">
        <f t="shared" si="2"/>
        <v>0</v>
      </c>
      <c r="F12" s="540">
        <f>IFERROR(SUMIFS('Rozpočet - HW a licencie'!$J$3:$J$102,'Rozpočet - HW a licencie'!$A$3:$A$102,'TCO TO BE - HW'!F$2,'Rozpočet - HW a licencie'!$D$3:$D$102,"HW",'Rozpočet - HW a licencie'!$H$3:$H$102,'TCO TO BE - HW'!$D12,'Rozpočet - HW a licencie'!$E$3:$E$102,'TCO TO BE - HW'!$B$5)+SUMIFS('Rozpočet - HW a licencie'!$J$3:$J$102,'Rozpočet - HW a licencie'!$A$3:$A$102,'TCO TO BE - HW'!F$2,'Rozpočet - HW a licencie'!$D$3:$D$102,"SW pre HW",'Rozpočet - HW a licencie'!$H$3:$H$102,'TCO TO BE - HW'!$D12,'Rozpočet - HW a licencie'!$E$3:$E$102,'TCO TO BE - HW'!$B$5),)</f>
        <v>0</v>
      </c>
      <c r="G12" s="540">
        <f>IFERROR(SUMIFS('Rozpočet - HW a licencie'!$J$3:$J$102,'Rozpočet - HW a licencie'!$A$3:$A$102,'TCO TO BE - HW'!G$2,'Rozpočet - HW a licencie'!$D$3:$D$102,"HW",'Rozpočet - HW a licencie'!$H$3:$H$102,'TCO TO BE - HW'!$D12,'Rozpočet - HW a licencie'!$E$3:$E$102,'TCO TO BE - HW'!$B$5)+SUMIFS('Rozpočet - HW a licencie'!$J$3:$J$102,'Rozpočet - HW a licencie'!$A$3:$A$102,'TCO TO BE - HW'!G$2,'Rozpočet - HW a licencie'!$D$3:$D$102,"SW pre HW",'Rozpočet - HW a licencie'!$H$3:$H$102,'TCO TO BE - HW'!$D12,'Rozpočet - HW a licencie'!$E$3:$E$102,'TCO TO BE - HW'!$B$5),)</f>
        <v>0</v>
      </c>
      <c r="H12" s="540">
        <f>IFERROR(SUMIFS('Rozpočet - HW a licencie'!$J$3:$J$102,'Rozpočet - HW a licencie'!$A$3:$A$102,'TCO TO BE - HW'!H$2,'Rozpočet - HW a licencie'!$D$3:$D$102,"HW",'Rozpočet - HW a licencie'!$H$3:$H$102,'TCO TO BE - HW'!$D12,'Rozpočet - HW a licencie'!$E$3:$E$102,'TCO TO BE - HW'!$B$5)+SUMIFS('Rozpočet - HW a licencie'!$J$3:$J$102,'Rozpočet - HW a licencie'!$A$3:$A$102,'TCO TO BE - HW'!H$2,'Rozpočet - HW a licencie'!$D$3:$D$102,"SW pre HW",'Rozpočet - HW a licencie'!$H$3:$H$102,'TCO TO BE - HW'!$D12,'Rozpočet - HW a licencie'!$E$3:$E$102,'TCO TO BE - HW'!$B$5),)</f>
        <v>0</v>
      </c>
      <c r="I12" s="540">
        <f>IFERROR(SUMIFS('Rozpočet - HW a licencie'!$J$3:$J$102,'Rozpočet - HW a licencie'!$A$3:$A$102,'TCO TO BE - HW'!I$2,'Rozpočet - HW a licencie'!$D$3:$D$102,"HW",'Rozpočet - HW a licencie'!$H$3:$H$102,'TCO TO BE - HW'!$D12,'Rozpočet - HW a licencie'!$E$3:$E$102,'TCO TO BE - HW'!$B$5)+SUMIFS('Rozpočet - HW a licencie'!$J$3:$J$102,'Rozpočet - HW a licencie'!$A$3:$A$102,'TCO TO BE - HW'!I$2,'Rozpočet - HW a licencie'!$D$3:$D$102,"SW pre HW",'Rozpočet - HW a licencie'!$H$3:$H$102,'TCO TO BE - HW'!$D12,'Rozpočet - HW a licencie'!$E$3:$E$102,'TCO TO BE - HW'!$B$5),)</f>
        <v>0</v>
      </c>
      <c r="J12" s="540">
        <f>IFERROR(SUMIFS('Rozpočet - HW a licencie'!$J$3:$J$102,'Rozpočet - HW a licencie'!$A$3:$A$102,'TCO TO BE - HW'!J$2,'Rozpočet - HW a licencie'!$D$3:$D$102,"HW",'Rozpočet - HW a licencie'!$H$3:$H$102,'TCO TO BE - HW'!$D12,'Rozpočet - HW a licencie'!$E$3:$E$102,'TCO TO BE - HW'!$B$5)+SUMIFS('Rozpočet - HW a licencie'!$J$3:$J$102,'Rozpočet - HW a licencie'!$A$3:$A$102,'TCO TO BE - HW'!J$2,'Rozpočet - HW a licencie'!$D$3:$D$102,"SW pre HW",'Rozpočet - HW a licencie'!$H$3:$H$102,'TCO TO BE - HW'!$D12,'Rozpočet - HW a licencie'!$E$3:$E$102,'TCO TO BE - HW'!$B$5),)</f>
        <v>0</v>
      </c>
      <c r="K12" s="540">
        <f>IFERROR(SUMIFS('Rozpočet - HW a licencie'!$J$3:$J$102,'Rozpočet - HW a licencie'!$A$3:$A$102,'TCO TO BE - HW'!K$2,'Rozpočet - HW a licencie'!$D$3:$D$102,"HW",'Rozpočet - HW a licencie'!$H$3:$H$102,'TCO TO BE - HW'!$D12,'Rozpočet - HW a licencie'!$E$3:$E$102,'TCO TO BE - HW'!$B$5)+SUMIFS('Rozpočet - HW a licencie'!$J$3:$J$102,'Rozpočet - HW a licencie'!$A$3:$A$102,'TCO TO BE - HW'!K$2,'Rozpočet - HW a licencie'!$D$3:$D$102,"SW pre HW",'Rozpočet - HW a licencie'!$H$3:$H$102,'TCO TO BE - HW'!$D12,'Rozpočet - HW a licencie'!$E$3:$E$102,'TCO TO BE - HW'!$B$5),)</f>
        <v>0</v>
      </c>
      <c r="L12" s="540">
        <f>IFERROR(SUMIFS('Rozpočet - HW a licencie'!$J$3:$J$102,'Rozpočet - HW a licencie'!$A$3:$A$102,'TCO TO BE - HW'!L$2,'Rozpočet - HW a licencie'!$D$3:$D$102,"HW",'Rozpočet - HW a licencie'!$H$3:$H$102,'TCO TO BE - HW'!$D12,'Rozpočet - HW a licencie'!$E$3:$E$102,'TCO TO BE - HW'!$B$5)+SUMIFS('Rozpočet - HW a licencie'!$J$3:$J$102,'Rozpočet - HW a licencie'!$A$3:$A$102,'TCO TO BE - HW'!L$2,'Rozpočet - HW a licencie'!$D$3:$D$102,"SW pre HW",'Rozpočet - HW a licencie'!$H$3:$H$102,'TCO TO BE - HW'!$D12,'Rozpočet - HW a licencie'!$E$3:$E$102,'TCO TO BE - HW'!$B$5),)</f>
        <v>0</v>
      </c>
      <c r="M12" s="540">
        <f>IFERROR(SUMIFS('Rozpočet - HW a licencie'!$J$3:$J$102,'Rozpočet - HW a licencie'!$A$3:$A$102,'TCO TO BE - HW'!M$2,'Rozpočet - HW a licencie'!$D$3:$D$102,"HW",'Rozpočet - HW a licencie'!$H$3:$H$102,'TCO TO BE - HW'!$D12,'Rozpočet - HW a licencie'!$E$3:$E$102,'TCO TO BE - HW'!$B$5)+SUMIFS('Rozpočet - HW a licencie'!$J$3:$J$102,'Rozpočet - HW a licencie'!$A$3:$A$102,'TCO TO BE - HW'!M$2,'Rozpočet - HW a licencie'!$D$3:$D$102,"SW pre HW",'Rozpočet - HW a licencie'!$H$3:$H$102,'TCO TO BE - HW'!$D12,'Rozpočet - HW a licencie'!$E$3:$E$102,'TCO TO BE - HW'!$B$5),)</f>
        <v>0</v>
      </c>
      <c r="N12" s="540">
        <f>IFERROR(SUMIFS('Rozpočet - HW a licencie'!$J$3:$J$102,'Rozpočet - HW a licencie'!$A$3:$A$102,'TCO TO BE - HW'!N$2,'Rozpočet - HW a licencie'!$D$3:$D$102,"HW",'Rozpočet - HW a licencie'!$H$3:$H$102,'TCO TO BE - HW'!$D12,'Rozpočet - HW a licencie'!$E$3:$E$102,'TCO TO BE - HW'!$B$5)+SUMIFS('Rozpočet - HW a licencie'!$J$3:$J$102,'Rozpočet - HW a licencie'!$A$3:$A$102,'TCO TO BE - HW'!N$2,'Rozpočet - HW a licencie'!$D$3:$D$102,"SW pre HW",'Rozpočet - HW a licencie'!$H$3:$H$102,'TCO TO BE - HW'!$D12,'Rozpočet - HW a licencie'!$E$3:$E$102,'TCO TO BE - HW'!$B$5),)</f>
        <v>0</v>
      </c>
      <c r="O12" s="540">
        <f>IFERROR(SUMIFS('Rozpočet - HW a licencie'!$J$3:$J$102,'Rozpočet - HW a licencie'!$A$3:$A$102,'TCO TO BE - HW'!O$2,'Rozpočet - HW a licencie'!$D$3:$D$102,"HW",'Rozpočet - HW a licencie'!$H$3:$H$102,'TCO TO BE - HW'!$D12,'Rozpočet - HW a licencie'!$E$3:$E$102,'TCO TO BE - HW'!$B$5)+SUMIFS('Rozpočet - HW a licencie'!$J$3:$J$102,'Rozpočet - HW a licencie'!$A$3:$A$102,'TCO TO BE - HW'!O$2,'Rozpočet - HW a licencie'!$D$3:$D$102,"SW pre HW",'Rozpočet - HW a licencie'!$H$3:$H$102,'TCO TO BE - HW'!$D12,'Rozpočet - HW a licencie'!$E$3:$E$102,'TCO TO BE - HW'!$B$5),)</f>
        <v>0</v>
      </c>
      <c r="P12" s="540">
        <f>IFERROR(SUMIFS('Rozpočet - HW a licencie'!$J$3:$J$102,'Rozpočet - HW a licencie'!$A$3:$A$102,'TCO TO BE - HW'!P$2,'Rozpočet - HW a licencie'!$D$3:$D$102,"HW",'Rozpočet - HW a licencie'!$H$3:$H$102,'TCO TO BE - HW'!$D12,'Rozpočet - HW a licencie'!$E$3:$E$102,'TCO TO BE - HW'!$B$5)+SUMIFS('Rozpočet - HW a licencie'!$J$3:$J$102,'Rozpočet - HW a licencie'!$A$3:$A$102,'TCO TO BE - HW'!P$2,'Rozpočet - HW a licencie'!$D$3:$D$102,"SW pre HW",'Rozpočet - HW a licencie'!$H$3:$H$102,'TCO TO BE - HW'!$D12,'Rozpočet - HW a licencie'!$E$3:$E$102,'TCO TO BE - HW'!$B$5),)</f>
        <v>0</v>
      </c>
      <c r="Q12" s="540">
        <f>IFERROR(SUMIFS('Rozpočet - HW a licencie'!$J$3:$J$102,'Rozpočet - HW a licencie'!$A$3:$A$102,'TCO TO BE - HW'!Q$2,'Rozpočet - HW a licencie'!$D$3:$D$102,"HW",'Rozpočet - HW a licencie'!$H$3:$H$102,'TCO TO BE - HW'!$D12,'Rozpočet - HW a licencie'!$E$3:$E$102,'TCO TO BE - HW'!$B$5)+SUMIFS('Rozpočet - HW a licencie'!$J$3:$J$102,'Rozpočet - HW a licencie'!$A$3:$A$102,'TCO TO BE - HW'!Q$2,'Rozpočet - HW a licencie'!$D$3:$D$102,"SW pre HW",'Rozpočet - HW a licencie'!$H$3:$H$102,'TCO TO BE - HW'!$D12,'Rozpočet - HW a licencie'!$E$3:$E$102,'TCO TO BE - HW'!$B$5),)</f>
        <v>0</v>
      </c>
      <c r="R12" s="540">
        <f>IFERROR(SUMIFS('Rozpočet - HW a licencie'!$J$3:$J$102,'Rozpočet - HW a licencie'!$A$3:$A$102,'TCO TO BE - HW'!R$2,'Rozpočet - HW a licencie'!$D$3:$D$102,"HW",'Rozpočet - HW a licencie'!$H$3:$H$102,'TCO TO BE - HW'!$D12,'Rozpočet - HW a licencie'!$E$3:$E$102,'TCO TO BE - HW'!$B$5)+SUMIFS('Rozpočet - HW a licencie'!$J$3:$J$102,'Rozpočet - HW a licencie'!$A$3:$A$102,'TCO TO BE - HW'!R$2,'Rozpočet - HW a licencie'!$D$3:$D$102,"SW pre HW",'Rozpočet - HW a licencie'!$H$3:$H$102,'TCO TO BE - HW'!$D12,'Rozpočet - HW a licencie'!$E$3:$E$102,'TCO TO BE - HW'!$B$5),)</f>
        <v>0</v>
      </c>
      <c r="S12" s="540">
        <f>IFERROR(SUMIFS('Rozpočet - HW a licencie'!$J$3:$J$102,'Rozpočet - HW a licencie'!$A$3:$A$102,'TCO TO BE - HW'!S$2,'Rozpočet - HW a licencie'!$D$3:$D$102,"HW",'Rozpočet - HW a licencie'!$H$3:$H$102,'TCO TO BE - HW'!$D12,'Rozpočet - HW a licencie'!$E$3:$E$102,'TCO TO BE - HW'!$B$5)+SUMIFS('Rozpočet - HW a licencie'!$J$3:$J$102,'Rozpočet - HW a licencie'!$A$3:$A$102,'TCO TO BE - HW'!S$2,'Rozpočet - HW a licencie'!$D$3:$D$102,"SW pre HW",'Rozpočet - HW a licencie'!$H$3:$H$102,'TCO TO BE - HW'!$D12,'Rozpočet - HW a licencie'!$E$3:$E$102,'TCO TO BE - HW'!$B$5),)</f>
        <v>0</v>
      </c>
      <c r="T12" s="540">
        <f>IFERROR(SUMIFS('Rozpočet - HW a licencie'!$J$3:$J$102,'Rozpočet - HW a licencie'!$A$3:$A$102,'TCO TO BE - HW'!T$2,'Rozpočet - HW a licencie'!$D$3:$D$102,"HW",'Rozpočet - HW a licencie'!$H$3:$H$102,'TCO TO BE - HW'!$D12,'Rozpočet - HW a licencie'!$E$3:$E$102,'TCO TO BE - HW'!$B$5)+SUMIFS('Rozpočet - HW a licencie'!$J$3:$J$102,'Rozpočet - HW a licencie'!$A$3:$A$102,'TCO TO BE - HW'!T$2,'Rozpočet - HW a licencie'!$D$3:$D$102,"SW pre HW",'Rozpočet - HW a licencie'!$H$3:$H$102,'TCO TO BE - HW'!$D12,'Rozpočet - HW a licencie'!$E$3:$E$102,'TCO TO BE - HW'!$B$5),)</f>
        <v>0</v>
      </c>
      <c r="U12" s="540">
        <f>IFERROR(SUMIFS('Rozpočet - HW a licencie'!$J$3:$J$102,'Rozpočet - HW a licencie'!$A$3:$A$102,'TCO TO BE - HW'!U$2,'Rozpočet - HW a licencie'!$D$3:$D$102,"HW",'Rozpočet - HW a licencie'!$H$3:$H$102,'TCO TO BE - HW'!$D12,'Rozpočet - HW a licencie'!$E$3:$E$102,'TCO TO BE - HW'!$B$5)+SUMIFS('Rozpočet - HW a licencie'!$J$3:$J$102,'Rozpočet - HW a licencie'!$A$3:$A$102,'TCO TO BE - HW'!U$2,'Rozpočet - HW a licencie'!$D$3:$D$102,"SW pre HW",'Rozpočet - HW a licencie'!$H$3:$H$102,'TCO TO BE - HW'!$D12,'Rozpočet - HW a licencie'!$E$3:$E$102,'TCO TO BE - HW'!$B$5),)</f>
        <v>0</v>
      </c>
      <c r="V12" s="540">
        <f>IFERROR(SUMIFS('Rozpočet - HW a licencie'!$J$3:$J$102,'Rozpočet - HW a licencie'!$A$3:$A$102,'TCO TO BE - HW'!V$2,'Rozpočet - HW a licencie'!$D$3:$D$102,"HW",'Rozpočet - HW a licencie'!$H$3:$H$102,'TCO TO BE - HW'!$D12,'Rozpočet - HW a licencie'!$E$3:$E$102,'TCO TO BE - HW'!$B$5)+SUMIFS('Rozpočet - HW a licencie'!$J$3:$J$102,'Rozpočet - HW a licencie'!$A$3:$A$102,'TCO TO BE - HW'!V$2,'Rozpočet - HW a licencie'!$D$3:$D$102,"SW pre HW",'Rozpočet - HW a licencie'!$H$3:$H$102,'TCO TO BE - HW'!$D12,'Rozpočet - HW a licencie'!$E$3:$E$102,'TCO TO BE - HW'!$B$5),)</f>
        <v>0</v>
      </c>
      <c r="W12" s="540">
        <f>IFERROR(SUMIFS('Rozpočet - HW a licencie'!$J$3:$J$102,'Rozpočet - HW a licencie'!$A$3:$A$102,'TCO TO BE - HW'!W$2,'Rozpočet - HW a licencie'!$D$3:$D$102,"HW",'Rozpočet - HW a licencie'!$H$3:$H$102,'TCO TO BE - HW'!$D12,'Rozpočet - HW a licencie'!$E$3:$E$102,'TCO TO BE - HW'!$B$5)+SUMIFS('Rozpočet - HW a licencie'!$J$3:$J$102,'Rozpočet - HW a licencie'!$A$3:$A$102,'TCO TO BE - HW'!W$2,'Rozpočet - HW a licencie'!$D$3:$D$102,"SW pre HW",'Rozpočet - HW a licencie'!$H$3:$H$102,'TCO TO BE - HW'!$D12,'Rozpočet - HW a licencie'!$E$3:$E$102,'TCO TO BE - HW'!$B$5),)</f>
        <v>0</v>
      </c>
      <c r="X12" s="540">
        <f>IFERROR(SUMIFS('Rozpočet - HW a licencie'!$J$3:$J$102,'Rozpočet - HW a licencie'!$A$3:$A$102,'TCO TO BE - HW'!X$2,'Rozpočet - HW a licencie'!$D$3:$D$102,"HW",'Rozpočet - HW a licencie'!$H$3:$H$102,'TCO TO BE - HW'!$D12,'Rozpočet - HW a licencie'!$E$3:$E$102,'TCO TO BE - HW'!$B$5)+SUMIFS('Rozpočet - HW a licencie'!$J$3:$J$102,'Rozpočet - HW a licencie'!$A$3:$A$102,'TCO TO BE - HW'!X$2,'Rozpočet - HW a licencie'!$D$3:$D$102,"SW pre HW",'Rozpočet - HW a licencie'!$H$3:$H$102,'TCO TO BE - HW'!$D12,'Rozpočet - HW a licencie'!$E$3:$E$102,'TCO TO BE - HW'!$B$5),)</f>
        <v>0</v>
      </c>
      <c r="Y12" s="540">
        <f>IFERROR(SUMIFS('Rozpočet - HW a licencie'!$J$3:$J$102,'Rozpočet - HW a licencie'!$A$3:$A$102,'TCO TO BE - HW'!Y$2,'Rozpočet - HW a licencie'!$D$3:$D$102,"HW",'Rozpočet - HW a licencie'!$H$3:$H$102,'TCO TO BE - HW'!$D12,'Rozpočet - HW a licencie'!$E$3:$E$102,'TCO TO BE - HW'!$B$5)+SUMIFS('Rozpočet - HW a licencie'!$J$3:$J$102,'Rozpočet - HW a licencie'!$A$3:$A$102,'TCO TO BE - HW'!Y$2,'Rozpočet - HW a licencie'!$D$3:$D$102,"SW pre HW",'Rozpočet - HW a licencie'!$H$3:$H$102,'TCO TO BE - HW'!$D12,'Rozpočet - HW a licencie'!$E$3:$E$102,'TCO TO BE - HW'!$B$5),)</f>
        <v>0</v>
      </c>
      <c r="Z12" s="540">
        <f>IFERROR(SUMIFS('Rozpočet - HW a licencie'!$J$3:$J$102,'Rozpočet - HW a licencie'!$A$3:$A$102,'TCO TO BE - HW'!Z$2,'Rozpočet - HW a licencie'!$D$3:$D$102,"HW",'Rozpočet - HW a licencie'!$H$3:$H$102,'TCO TO BE - HW'!$D12,'Rozpočet - HW a licencie'!$E$3:$E$102,'TCO TO BE - HW'!$B$5)+SUMIFS('Rozpočet - HW a licencie'!$J$3:$J$102,'Rozpočet - HW a licencie'!$A$3:$A$102,'TCO TO BE - HW'!Z$2,'Rozpočet - HW a licencie'!$D$3:$D$102,"SW pre HW",'Rozpočet - HW a licencie'!$H$3:$H$102,'TCO TO BE - HW'!$D12,'Rozpočet - HW a licencie'!$E$3:$E$102,'TCO TO BE - HW'!$B$5),)</f>
        <v>0</v>
      </c>
    </row>
    <row r="13" spans="1:26" outlineLevel="1" x14ac:dyDescent="0.2">
      <c r="A13" s="884"/>
      <c r="B13" s="885"/>
      <c r="C13" s="885"/>
      <c r="D13" s="464">
        <v>9</v>
      </c>
      <c r="E13" s="68">
        <f t="shared" si="2"/>
        <v>0</v>
      </c>
      <c r="F13" s="540">
        <f>IFERROR(SUMIFS('Rozpočet - HW a licencie'!$J$3:$J$102,'Rozpočet - HW a licencie'!$A$3:$A$102,'TCO TO BE - HW'!F$2,'Rozpočet - HW a licencie'!$D$3:$D$102,"HW",'Rozpočet - HW a licencie'!$H$3:$H$102,'TCO TO BE - HW'!$D13,'Rozpočet - HW a licencie'!$E$3:$E$102,'TCO TO BE - HW'!$B$5)+SUMIFS('Rozpočet - HW a licencie'!$J$3:$J$102,'Rozpočet - HW a licencie'!$A$3:$A$102,'TCO TO BE - HW'!F$2,'Rozpočet - HW a licencie'!$D$3:$D$102,"SW pre HW",'Rozpočet - HW a licencie'!$H$3:$H$102,'TCO TO BE - HW'!$D13,'Rozpočet - HW a licencie'!$E$3:$E$102,'TCO TO BE - HW'!$B$5),)</f>
        <v>0</v>
      </c>
      <c r="G13" s="540">
        <f>IFERROR(SUMIFS('Rozpočet - HW a licencie'!$J$3:$J$102,'Rozpočet - HW a licencie'!$A$3:$A$102,'TCO TO BE - HW'!G$2,'Rozpočet - HW a licencie'!$D$3:$D$102,"HW",'Rozpočet - HW a licencie'!$H$3:$H$102,'TCO TO BE - HW'!$D13,'Rozpočet - HW a licencie'!$E$3:$E$102,'TCO TO BE - HW'!$B$5)+SUMIFS('Rozpočet - HW a licencie'!$J$3:$J$102,'Rozpočet - HW a licencie'!$A$3:$A$102,'TCO TO BE - HW'!G$2,'Rozpočet - HW a licencie'!$D$3:$D$102,"SW pre HW",'Rozpočet - HW a licencie'!$H$3:$H$102,'TCO TO BE - HW'!$D13,'Rozpočet - HW a licencie'!$E$3:$E$102,'TCO TO BE - HW'!$B$5),)</f>
        <v>0</v>
      </c>
      <c r="H13" s="540">
        <f>IFERROR(SUMIFS('Rozpočet - HW a licencie'!$J$3:$J$102,'Rozpočet - HW a licencie'!$A$3:$A$102,'TCO TO BE - HW'!H$2,'Rozpočet - HW a licencie'!$D$3:$D$102,"HW",'Rozpočet - HW a licencie'!$H$3:$H$102,'TCO TO BE - HW'!$D13,'Rozpočet - HW a licencie'!$E$3:$E$102,'TCO TO BE - HW'!$B$5)+SUMIFS('Rozpočet - HW a licencie'!$J$3:$J$102,'Rozpočet - HW a licencie'!$A$3:$A$102,'TCO TO BE - HW'!H$2,'Rozpočet - HW a licencie'!$D$3:$D$102,"SW pre HW",'Rozpočet - HW a licencie'!$H$3:$H$102,'TCO TO BE - HW'!$D13,'Rozpočet - HW a licencie'!$E$3:$E$102,'TCO TO BE - HW'!$B$5),)</f>
        <v>0</v>
      </c>
      <c r="I13" s="540">
        <f>IFERROR(SUMIFS('Rozpočet - HW a licencie'!$J$3:$J$102,'Rozpočet - HW a licencie'!$A$3:$A$102,'TCO TO BE - HW'!I$2,'Rozpočet - HW a licencie'!$D$3:$D$102,"HW",'Rozpočet - HW a licencie'!$H$3:$H$102,'TCO TO BE - HW'!$D13,'Rozpočet - HW a licencie'!$E$3:$E$102,'TCO TO BE - HW'!$B$5)+SUMIFS('Rozpočet - HW a licencie'!$J$3:$J$102,'Rozpočet - HW a licencie'!$A$3:$A$102,'TCO TO BE - HW'!I$2,'Rozpočet - HW a licencie'!$D$3:$D$102,"SW pre HW",'Rozpočet - HW a licencie'!$H$3:$H$102,'TCO TO BE - HW'!$D13,'Rozpočet - HW a licencie'!$E$3:$E$102,'TCO TO BE - HW'!$B$5),)</f>
        <v>0</v>
      </c>
      <c r="J13" s="540">
        <f>IFERROR(SUMIFS('Rozpočet - HW a licencie'!$J$3:$J$102,'Rozpočet - HW a licencie'!$A$3:$A$102,'TCO TO BE - HW'!J$2,'Rozpočet - HW a licencie'!$D$3:$D$102,"HW",'Rozpočet - HW a licencie'!$H$3:$H$102,'TCO TO BE - HW'!$D13,'Rozpočet - HW a licencie'!$E$3:$E$102,'TCO TO BE - HW'!$B$5)+SUMIFS('Rozpočet - HW a licencie'!$J$3:$J$102,'Rozpočet - HW a licencie'!$A$3:$A$102,'TCO TO BE - HW'!J$2,'Rozpočet - HW a licencie'!$D$3:$D$102,"SW pre HW",'Rozpočet - HW a licencie'!$H$3:$H$102,'TCO TO BE - HW'!$D13,'Rozpočet - HW a licencie'!$E$3:$E$102,'TCO TO BE - HW'!$B$5),)</f>
        <v>0</v>
      </c>
      <c r="K13" s="540">
        <f>IFERROR(SUMIFS('Rozpočet - HW a licencie'!$J$3:$J$102,'Rozpočet - HW a licencie'!$A$3:$A$102,'TCO TO BE - HW'!K$2,'Rozpočet - HW a licencie'!$D$3:$D$102,"HW",'Rozpočet - HW a licencie'!$H$3:$H$102,'TCO TO BE - HW'!$D13,'Rozpočet - HW a licencie'!$E$3:$E$102,'TCO TO BE - HW'!$B$5)+SUMIFS('Rozpočet - HW a licencie'!$J$3:$J$102,'Rozpočet - HW a licencie'!$A$3:$A$102,'TCO TO BE - HW'!K$2,'Rozpočet - HW a licencie'!$D$3:$D$102,"SW pre HW",'Rozpočet - HW a licencie'!$H$3:$H$102,'TCO TO BE - HW'!$D13,'Rozpočet - HW a licencie'!$E$3:$E$102,'TCO TO BE - HW'!$B$5),)</f>
        <v>0</v>
      </c>
      <c r="L13" s="540">
        <f>IFERROR(SUMIFS('Rozpočet - HW a licencie'!$J$3:$J$102,'Rozpočet - HW a licencie'!$A$3:$A$102,'TCO TO BE - HW'!L$2,'Rozpočet - HW a licencie'!$D$3:$D$102,"HW",'Rozpočet - HW a licencie'!$H$3:$H$102,'TCO TO BE - HW'!$D13,'Rozpočet - HW a licencie'!$E$3:$E$102,'TCO TO BE - HW'!$B$5)+SUMIFS('Rozpočet - HW a licencie'!$J$3:$J$102,'Rozpočet - HW a licencie'!$A$3:$A$102,'TCO TO BE - HW'!L$2,'Rozpočet - HW a licencie'!$D$3:$D$102,"SW pre HW",'Rozpočet - HW a licencie'!$H$3:$H$102,'TCO TO BE - HW'!$D13,'Rozpočet - HW a licencie'!$E$3:$E$102,'TCO TO BE - HW'!$B$5),)</f>
        <v>0</v>
      </c>
      <c r="M13" s="540">
        <f>IFERROR(SUMIFS('Rozpočet - HW a licencie'!$J$3:$J$102,'Rozpočet - HW a licencie'!$A$3:$A$102,'TCO TO BE - HW'!M$2,'Rozpočet - HW a licencie'!$D$3:$D$102,"HW",'Rozpočet - HW a licencie'!$H$3:$H$102,'TCO TO BE - HW'!$D13,'Rozpočet - HW a licencie'!$E$3:$E$102,'TCO TO BE - HW'!$B$5)+SUMIFS('Rozpočet - HW a licencie'!$J$3:$J$102,'Rozpočet - HW a licencie'!$A$3:$A$102,'TCO TO BE - HW'!M$2,'Rozpočet - HW a licencie'!$D$3:$D$102,"SW pre HW",'Rozpočet - HW a licencie'!$H$3:$H$102,'TCO TO BE - HW'!$D13,'Rozpočet - HW a licencie'!$E$3:$E$102,'TCO TO BE - HW'!$B$5),)</f>
        <v>0</v>
      </c>
      <c r="N13" s="540">
        <f>IFERROR(SUMIFS('Rozpočet - HW a licencie'!$J$3:$J$102,'Rozpočet - HW a licencie'!$A$3:$A$102,'TCO TO BE - HW'!N$2,'Rozpočet - HW a licencie'!$D$3:$D$102,"HW",'Rozpočet - HW a licencie'!$H$3:$H$102,'TCO TO BE - HW'!$D13,'Rozpočet - HW a licencie'!$E$3:$E$102,'TCO TO BE - HW'!$B$5)+SUMIFS('Rozpočet - HW a licencie'!$J$3:$J$102,'Rozpočet - HW a licencie'!$A$3:$A$102,'TCO TO BE - HW'!N$2,'Rozpočet - HW a licencie'!$D$3:$D$102,"SW pre HW",'Rozpočet - HW a licencie'!$H$3:$H$102,'TCO TO BE - HW'!$D13,'Rozpočet - HW a licencie'!$E$3:$E$102,'TCO TO BE - HW'!$B$5),)</f>
        <v>0</v>
      </c>
      <c r="O13" s="540">
        <f>IFERROR(SUMIFS('Rozpočet - HW a licencie'!$J$3:$J$102,'Rozpočet - HW a licencie'!$A$3:$A$102,'TCO TO BE - HW'!O$2,'Rozpočet - HW a licencie'!$D$3:$D$102,"HW",'Rozpočet - HW a licencie'!$H$3:$H$102,'TCO TO BE - HW'!$D13,'Rozpočet - HW a licencie'!$E$3:$E$102,'TCO TO BE - HW'!$B$5)+SUMIFS('Rozpočet - HW a licencie'!$J$3:$J$102,'Rozpočet - HW a licencie'!$A$3:$A$102,'TCO TO BE - HW'!O$2,'Rozpočet - HW a licencie'!$D$3:$D$102,"SW pre HW",'Rozpočet - HW a licencie'!$H$3:$H$102,'TCO TO BE - HW'!$D13,'Rozpočet - HW a licencie'!$E$3:$E$102,'TCO TO BE - HW'!$B$5),)</f>
        <v>0</v>
      </c>
      <c r="P13" s="540">
        <f>IFERROR(SUMIFS('Rozpočet - HW a licencie'!$J$3:$J$102,'Rozpočet - HW a licencie'!$A$3:$A$102,'TCO TO BE - HW'!P$2,'Rozpočet - HW a licencie'!$D$3:$D$102,"HW",'Rozpočet - HW a licencie'!$H$3:$H$102,'TCO TO BE - HW'!$D13,'Rozpočet - HW a licencie'!$E$3:$E$102,'TCO TO BE - HW'!$B$5)+SUMIFS('Rozpočet - HW a licencie'!$J$3:$J$102,'Rozpočet - HW a licencie'!$A$3:$A$102,'TCO TO BE - HW'!P$2,'Rozpočet - HW a licencie'!$D$3:$D$102,"SW pre HW",'Rozpočet - HW a licencie'!$H$3:$H$102,'TCO TO BE - HW'!$D13,'Rozpočet - HW a licencie'!$E$3:$E$102,'TCO TO BE - HW'!$B$5),)</f>
        <v>0</v>
      </c>
      <c r="Q13" s="540">
        <f>IFERROR(SUMIFS('Rozpočet - HW a licencie'!$J$3:$J$102,'Rozpočet - HW a licencie'!$A$3:$A$102,'TCO TO BE - HW'!Q$2,'Rozpočet - HW a licencie'!$D$3:$D$102,"HW",'Rozpočet - HW a licencie'!$H$3:$H$102,'TCO TO BE - HW'!$D13,'Rozpočet - HW a licencie'!$E$3:$E$102,'TCO TO BE - HW'!$B$5)+SUMIFS('Rozpočet - HW a licencie'!$J$3:$J$102,'Rozpočet - HW a licencie'!$A$3:$A$102,'TCO TO BE - HW'!Q$2,'Rozpočet - HW a licencie'!$D$3:$D$102,"SW pre HW",'Rozpočet - HW a licencie'!$H$3:$H$102,'TCO TO BE - HW'!$D13,'Rozpočet - HW a licencie'!$E$3:$E$102,'TCO TO BE - HW'!$B$5),)</f>
        <v>0</v>
      </c>
      <c r="R13" s="540">
        <f>IFERROR(SUMIFS('Rozpočet - HW a licencie'!$J$3:$J$102,'Rozpočet - HW a licencie'!$A$3:$A$102,'TCO TO BE - HW'!R$2,'Rozpočet - HW a licencie'!$D$3:$D$102,"HW",'Rozpočet - HW a licencie'!$H$3:$H$102,'TCO TO BE - HW'!$D13,'Rozpočet - HW a licencie'!$E$3:$E$102,'TCO TO BE - HW'!$B$5)+SUMIFS('Rozpočet - HW a licencie'!$J$3:$J$102,'Rozpočet - HW a licencie'!$A$3:$A$102,'TCO TO BE - HW'!R$2,'Rozpočet - HW a licencie'!$D$3:$D$102,"SW pre HW",'Rozpočet - HW a licencie'!$H$3:$H$102,'TCO TO BE - HW'!$D13,'Rozpočet - HW a licencie'!$E$3:$E$102,'TCO TO BE - HW'!$B$5),)</f>
        <v>0</v>
      </c>
      <c r="S13" s="540">
        <f>IFERROR(SUMIFS('Rozpočet - HW a licencie'!$J$3:$J$102,'Rozpočet - HW a licencie'!$A$3:$A$102,'TCO TO BE - HW'!S$2,'Rozpočet - HW a licencie'!$D$3:$D$102,"HW",'Rozpočet - HW a licencie'!$H$3:$H$102,'TCO TO BE - HW'!$D13,'Rozpočet - HW a licencie'!$E$3:$E$102,'TCO TO BE - HW'!$B$5)+SUMIFS('Rozpočet - HW a licencie'!$J$3:$J$102,'Rozpočet - HW a licencie'!$A$3:$A$102,'TCO TO BE - HW'!S$2,'Rozpočet - HW a licencie'!$D$3:$D$102,"SW pre HW",'Rozpočet - HW a licencie'!$H$3:$H$102,'TCO TO BE - HW'!$D13,'Rozpočet - HW a licencie'!$E$3:$E$102,'TCO TO BE - HW'!$B$5),)</f>
        <v>0</v>
      </c>
      <c r="T13" s="540">
        <f>IFERROR(SUMIFS('Rozpočet - HW a licencie'!$J$3:$J$102,'Rozpočet - HW a licencie'!$A$3:$A$102,'TCO TO BE - HW'!T$2,'Rozpočet - HW a licencie'!$D$3:$D$102,"HW",'Rozpočet - HW a licencie'!$H$3:$H$102,'TCO TO BE - HW'!$D13,'Rozpočet - HW a licencie'!$E$3:$E$102,'TCO TO BE - HW'!$B$5)+SUMIFS('Rozpočet - HW a licencie'!$J$3:$J$102,'Rozpočet - HW a licencie'!$A$3:$A$102,'TCO TO BE - HW'!T$2,'Rozpočet - HW a licencie'!$D$3:$D$102,"SW pre HW",'Rozpočet - HW a licencie'!$H$3:$H$102,'TCO TO BE - HW'!$D13,'Rozpočet - HW a licencie'!$E$3:$E$102,'TCO TO BE - HW'!$B$5),)</f>
        <v>0</v>
      </c>
      <c r="U13" s="540">
        <f>IFERROR(SUMIFS('Rozpočet - HW a licencie'!$J$3:$J$102,'Rozpočet - HW a licencie'!$A$3:$A$102,'TCO TO BE - HW'!U$2,'Rozpočet - HW a licencie'!$D$3:$D$102,"HW",'Rozpočet - HW a licencie'!$H$3:$H$102,'TCO TO BE - HW'!$D13,'Rozpočet - HW a licencie'!$E$3:$E$102,'TCO TO BE - HW'!$B$5)+SUMIFS('Rozpočet - HW a licencie'!$J$3:$J$102,'Rozpočet - HW a licencie'!$A$3:$A$102,'TCO TO BE - HW'!U$2,'Rozpočet - HW a licencie'!$D$3:$D$102,"SW pre HW",'Rozpočet - HW a licencie'!$H$3:$H$102,'TCO TO BE - HW'!$D13,'Rozpočet - HW a licencie'!$E$3:$E$102,'TCO TO BE - HW'!$B$5),)</f>
        <v>0</v>
      </c>
      <c r="V13" s="540">
        <f>IFERROR(SUMIFS('Rozpočet - HW a licencie'!$J$3:$J$102,'Rozpočet - HW a licencie'!$A$3:$A$102,'TCO TO BE - HW'!V$2,'Rozpočet - HW a licencie'!$D$3:$D$102,"HW",'Rozpočet - HW a licencie'!$H$3:$H$102,'TCO TO BE - HW'!$D13,'Rozpočet - HW a licencie'!$E$3:$E$102,'TCO TO BE - HW'!$B$5)+SUMIFS('Rozpočet - HW a licencie'!$J$3:$J$102,'Rozpočet - HW a licencie'!$A$3:$A$102,'TCO TO BE - HW'!V$2,'Rozpočet - HW a licencie'!$D$3:$D$102,"SW pre HW",'Rozpočet - HW a licencie'!$H$3:$H$102,'TCO TO BE - HW'!$D13,'Rozpočet - HW a licencie'!$E$3:$E$102,'TCO TO BE - HW'!$B$5),)</f>
        <v>0</v>
      </c>
      <c r="W13" s="540">
        <f>IFERROR(SUMIFS('Rozpočet - HW a licencie'!$J$3:$J$102,'Rozpočet - HW a licencie'!$A$3:$A$102,'TCO TO BE - HW'!W$2,'Rozpočet - HW a licencie'!$D$3:$D$102,"HW",'Rozpočet - HW a licencie'!$H$3:$H$102,'TCO TO BE - HW'!$D13,'Rozpočet - HW a licencie'!$E$3:$E$102,'TCO TO BE - HW'!$B$5)+SUMIFS('Rozpočet - HW a licencie'!$J$3:$J$102,'Rozpočet - HW a licencie'!$A$3:$A$102,'TCO TO BE - HW'!W$2,'Rozpočet - HW a licencie'!$D$3:$D$102,"SW pre HW",'Rozpočet - HW a licencie'!$H$3:$H$102,'TCO TO BE - HW'!$D13,'Rozpočet - HW a licencie'!$E$3:$E$102,'TCO TO BE - HW'!$B$5),)</f>
        <v>0</v>
      </c>
      <c r="X13" s="540">
        <f>IFERROR(SUMIFS('Rozpočet - HW a licencie'!$J$3:$J$102,'Rozpočet - HW a licencie'!$A$3:$A$102,'TCO TO BE - HW'!X$2,'Rozpočet - HW a licencie'!$D$3:$D$102,"HW",'Rozpočet - HW a licencie'!$H$3:$H$102,'TCO TO BE - HW'!$D13,'Rozpočet - HW a licencie'!$E$3:$E$102,'TCO TO BE - HW'!$B$5)+SUMIFS('Rozpočet - HW a licencie'!$J$3:$J$102,'Rozpočet - HW a licencie'!$A$3:$A$102,'TCO TO BE - HW'!X$2,'Rozpočet - HW a licencie'!$D$3:$D$102,"SW pre HW",'Rozpočet - HW a licencie'!$H$3:$H$102,'TCO TO BE - HW'!$D13,'Rozpočet - HW a licencie'!$E$3:$E$102,'TCO TO BE - HW'!$B$5),)</f>
        <v>0</v>
      </c>
      <c r="Y13" s="540">
        <f>IFERROR(SUMIFS('Rozpočet - HW a licencie'!$J$3:$J$102,'Rozpočet - HW a licencie'!$A$3:$A$102,'TCO TO BE - HW'!Y$2,'Rozpočet - HW a licencie'!$D$3:$D$102,"HW",'Rozpočet - HW a licencie'!$H$3:$H$102,'TCO TO BE - HW'!$D13,'Rozpočet - HW a licencie'!$E$3:$E$102,'TCO TO BE - HW'!$B$5)+SUMIFS('Rozpočet - HW a licencie'!$J$3:$J$102,'Rozpočet - HW a licencie'!$A$3:$A$102,'TCO TO BE - HW'!Y$2,'Rozpočet - HW a licencie'!$D$3:$D$102,"SW pre HW",'Rozpočet - HW a licencie'!$H$3:$H$102,'TCO TO BE - HW'!$D13,'Rozpočet - HW a licencie'!$E$3:$E$102,'TCO TO BE - HW'!$B$5),)</f>
        <v>0</v>
      </c>
      <c r="Z13" s="540">
        <f>IFERROR(SUMIFS('Rozpočet - HW a licencie'!$J$3:$J$102,'Rozpočet - HW a licencie'!$A$3:$A$102,'TCO TO BE - HW'!Z$2,'Rozpočet - HW a licencie'!$D$3:$D$102,"HW",'Rozpočet - HW a licencie'!$H$3:$H$102,'TCO TO BE - HW'!$D13,'Rozpočet - HW a licencie'!$E$3:$E$102,'TCO TO BE - HW'!$B$5)+SUMIFS('Rozpočet - HW a licencie'!$J$3:$J$102,'Rozpočet - HW a licencie'!$A$3:$A$102,'TCO TO BE - HW'!Z$2,'Rozpočet - HW a licencie'!$D$3:$D$102,"SW pre HW",'Rozpočet - HW a licencie'!$H$3:$H$102,'TCO TO BE - HW'!$D13,'Rozpočet - HW a licencie'!$E$3:$E$102,'TCO TO BE - HW'!$B$5),)</f>
        <v>0</v>
      </c>
    </row>
    <row r="14" spans="1:26" ht="16" outlineLevel="1" thickBot="1" x14ac:dyDescent="0.25">
      <c r="A14" s="884"/>
      <c r="B14" s="885"/>
      <c r="C14" s="885"/>
      <c r="D14" s="465">
        <v>10</v>
      </c>
      <c r="E14" s="69">
        <f t="shared" si="2"/>
        <v>0</v>
      </c>
      <c r="F14" s="540">
        <f>IFERROR(SUMIFS('Rozpočet - HW a licencie'!$J$3:$J$102,'Rozpočet - HW a licencie'!$A$3:$A$102,'TCO TO BE - HW'!F$2,'Rozpočet - HW a licencie'!$D$3:$D$102,"HW",'Rozpočet - HW a licencie'!$H$3:$H$102,'TCO TO BE - HW'!$D14,'Rozpočet - HW a licencie'!$E$3:$E$102,'TCO TO BE - HW'!$B$5)+SUMIFS('Rozpočet - HW a licencie'!$J$3:$J$102,'Rozpočet - HW a licencie'!$A$3:$A$102,'TCO TO BE - HW'!F$2,'Rozpočet - HW a licencie'!$D$3:$D$102,"SW pre HW",'Rozpočet - HW a licencie'!$H$3:$H$102,'TCO TO BE - HW'!$D14,'Rozpočet - HW a licencie'!$E$3:$E$102,'TCO TO BE - HW'!$B$5),)</f>
        <v>0</v>
      </c>
      <c r="G14" s="540">
        <f>IFERROR(SUMIFS('Rozpočet - HW a licencie'!$J$3:$J$102,'Rozpočet - HW a licencie'!$A$3:$A$102,'TCO TO BE - HW'!G$2,'Rozpočet - HW a licencie'!$D$3:$D$102,"HW",'Rozpočet - HW a licencie'!$H$3:$H$102,'TCO TO BE - HW'!$D14,'Rozpočet - HW a licencie'!$E$3:$E$102,'TCO TO BE - HW'!$B$5)+SUMIFS('Rozpočet - HW a licencie'!$J$3:$J$102,'Rozpočet - HW a licencie'!$A$3:$A$102,'TCO TO BE - HW'!G$2,'Rozpočet - HW a licencie'!$D$3:$D$102,"SW pre HW",'Rozpočet - HW a licencie'!$H$3:$H$102,'TCO TO BE - HW'!$D14,'Rozpočet - HW a licencie'!$E$3:$E$102,'TCO TO BE - HW'!$B$5),)</f>
        <v>0</v>
      </c>
      <c r="H14" s="540">
        <f>IFERROR(SUMIFS('Rozpočet - HW a licencie'!$J$3:$J$102,'Rozpočet - HW a licencie'!$A$3:$A$102,'TCO TO BE - HW'!H$2,'Rozpočet - HW a licencie'!$D$3:$D$102,"HW",'Rozpočet - HW a licencie'!$H$3:$H$102,'TCO TO BE - HW'!$D14,'Rozpočet - HW a licencie'!$E$3:$E$102,'TCO TO BE - HW'!$B$5)+SUMIFS('Rozpočet - HW a licencie'!$J$3:$J$102,'Rozpočet - HW a licencie'!$A$3:$A$102,'TCO TO BE - HW'!H$2,'Rozpočet - HW a licencie'!$D$3:$D$102,"SW pre HW",'Rozpočet - HW a licencie'!$H$3:$H$102,'TCO TO BE - HW'!$D14,'Rozpočet - HW a licencie'!$E$3:$E$102,'TCO TO BE - HW'!$B$5),)</f>
        <v>0</v>
      </c>
      <c r="I14" s="540">
        <f>IFERROR(SUMIFS('Rozpočet - HW a licencie'!$J$3:$J$102,'Rozpočet - HW a licencie'!$A$3:$A$102,'TCO TO BE - HW'!I$2,'Rozpočet - HW a licencie'!$D$3:$D$102,"HW",'Rozpočet - HW a licencie'!$H$3:$H$102,'TCO TO BE - HW'!$D14,'Rozpočet - HW a licencie'!$E$3:$E$102,'TCO TO BE - HW'!$B$5)+SUMIFS('Rozpočet - HW a licencie'!$J$3:$J$102,'Rozpočet - HW a licencie'!$A$3:$A$102,'TCO TO BE - HW'!I$2,'Rozpočet - HW a licencie'!$D$3:$D$102,"SW pre HW",'Rozpočet - HW a licencie'!$H$3:$H$102,'TCO TO BE - HW'!$D14,'Rozpočet - HW a licencie'!$E$3:$E$102,'TCO TO BE - HW'!$B$5),)</f>
        <v>0</v>
      </c>
      <c r="J14" s="540">
        <f>IFERROR(SUMIFS('Rozpočet - HW a licencie'!$J$3:$J$102,'Rozpočet - HW a licencie'!$A$3:$A$102,'TCO TO BE - HW'!J$2,'Rozpočet - HW a licencie'!$D$3:$D$102,"HW",'Rozpočet - HW a licencie'!$H$3:$H$102,'TCO TO BE - HW'!$D14,'Rozpočet - HW a licencie'!$E$3:$E$102,'TCO TO BE - HW'!$B$5)+SUMIFS('Rozpočet - HW a licencie'!$J$3:$J$102,'Rozpočet - HW a licencie'!$A$3:$A$102,'TCO TO BE - HW'!J$2,'Rozpočet - HW a licencie'!$D$3:$D$102,"SW pre HW",'Rozpočet - HW a licencie'!$H$3:$H$102,'TCO TO BE - HW'!$D14,'Rozpočet - HW a licencie'!$E$3:$E$102,'TCO TO BE - HW'!$B$5),)</f>
        <v>0</v>
      </c>
      <c r="K14" s="540">
        <f>IFERROR(SUMIFS('Rozpočet - HW a licencie'!$J$3:$J$102,'Rozpočet - HW a licencie'!$A$3:$A$102,'TCO TO BE - HW'!K$2,'Rozpočet - HW a licencie'!$D$3:$D$102,"HW",'Rozpočet - HW a licencie'!$H$3:$H$102,'TCO TO BE - HW'!$D14,'Rozpočet - HW a licencie'!$E$3:$E$102,'TCO TO BE - HW'!$B$5)+SUMIFS('Rozpočet - HW a licencie'!$J$3:$J$102,'Rozpočet - HW a licencie'!$A$3:$A$102,'TCO TO BE - HW'!K$2,'Rozpočet - HW a licencie'!$D$3:$D$102,"SW pre HW",'Rozpočet - HW a licencie'!$H$3:$H$102,'TCO TO BE - HW'!$D14,'Rozpočet - HW a licencie'!$E$3:$E$102,'TCO TO BE - HW'!$B$5),)</f>
        <v>0</v>
      </c>
      <c r="L14" s="540">
        <f>IFERROR(SUMIFS('Rozpočet - HW a licencie'!$J$3:$J$102,'Rozpočet - HW a licencie'!$A$3:$A$102,'TCO TO BE - HW'!L$2,'Rozpočet - HW a licencie'!$D$3:$D$102,"HW",'Rozpočet - HW a licencie'!$H$3:$H$102,'TCO TO BE - HW'!$D14,'Rozpočet - HW a licencie'!$E$3:$E$102,'TCO TO BE - HW'!$B$5)+SUMIFS('Rozpočet - HW a licencie'!$J$3:$J$102,'Rozpočet - HW a licencie'!$A$3:$A$102,'TCO TO BE - HW'!L$2,'Rozpočet - HW a licencie'!$D$3:$D$102,"SW pre HW",'Rozpočet - HW a licencie'!$H$3:$H$102,'TCO TO BE - HW'!$D14,'Rozpočet - HW a licencie'!$E$3:$E$102,'TCO TO BE - HW'!$B$5),)</f>
        <v>0</v>
      </c>
      <c r="M14" s="540">
        <f>IFERROR(SUMIFS('Rozpočet - HW a licencie'!$J$3:$J$102,'Rozpočet - HW a licencie'!$A$3:$A$102,'TCO TO BE - HW'!M$2,'Rozpočet - HW a licencie'!$D$3:$D$102,"HW",'Rozpočet - HW a licencie'!$H$3:$H$102,'TCO TO BE - HW'!$D14,'Rozpočet - HW a licencie'!$E$3:$E$102,'TCO TO BE - HW'!$B$5)+SUMIFS('Rozpočet - HW a licencie'!$J$3:$J$102,'Rozpočet - HW a licencie'!$A$3:$A$102,'TCO TO BE - HW'!M$2,'Rozpočet - HW a licencie'!$D$3:$D$102,"SW pre HW",'Rozpočet - HW a licencie'!$H$3:$H$102,'TCO TO BE - HW'!$D14,'Rozpočet - HW a licencie'!$E$3:$E$102,'TCO TO BE - HW'!$B$5),)</f>
        <v>0</v>
      </c>
      <c r="N14" s="540">
        <f>IFERROR(SUMIFS('Rozpočet - HW a licencie'!$J$3:$J$102,'Rozpočet - HW a licencie'!$A$3:$A$102,'TCO TO BE - HW'!N$2,'Rozpočet - HW a licencie'!$D$3:$D$102,"HW",'Rozpočet - HW a licencie'!$H$3:$H$102,'TCO TO BE - HW'!$D14,'Rozpočet - HW a licencie'!$E$3:$E$102,'TCO TO BE - HW'!$B$5)+SUMIFS('Rozpočet - HW a licencie'!$J$3:$J$102,'Rozpočet - HW a licencie'!$A$3:$A$102,'TCO TO BE - HW'!N$2,'Rozpočet - HW a licencie'!$D$3:$D$102,"SW pre HW",'Rozpočet - HW a licencie'!$H$3:$H$102,'TCO TO BE - HW'!$D14,'Rozpočet - HW a licencie'!$E$3:$E$102,'TCO TO BE - HW'!$B$5),)</f>
        <v>0</v>
      </c>
      <c r="O14" s="540">
        <f>IFERROR(SUMIFS('Rozpočet - HW a licencie'!$J$3:$J$102,'Rozpočet - HW a licencie'!$A$3:$A$102,'TCO TO BE - HW'!O$2,'Rozpočet - HW a licencie'!$D$3:$D$102,"HW",'Rozpočet - HW a licencie'!$H$3:$H$102,'TCO TO BE - HW'!$D14,'Rozpočet - HW a licencie'!$E$3:$E$102,'TCO TO BE - HW'!$B$5)+SUMIFS('Rozpočet - HW a licencie'!$J$3:$J$102,'Rozpočet - HW a licencie'!$A$3:$A$102,'TCO TO BE - HW'!O$2,'Rozpočet - HW a licencie'!$D$3:$D$102,"SW pre HW",'Rozpočet - HW a licencie'!$H$3:$H$102,'TCO TO BE - HW'!$D14,'Rozpočet - HW a licencie'!$E$3:$E$102,'TCO TO BE - HW'!$B$5),)</f>
        <v>0</v>
      </c>
      <c r="P14" s="540">
        <f>IFERROR(SUMIFS('Rozpočet - HW a licencie'!$J$3:$J$102,'Rozpočet - HW a licencie'!$A$3:$A$102,'TCO TO BE - HW'!P$2,'Rozpočet - HW a licencie'!$D$3:$D$102,"HW",'Rozpočet - HW a licencie'!$H$3:$H$102,'TCO TO BE - HW'!$D14,'Rozpočet - HW a licencie'!$E$3:$E$102,'TCO TO BE - HW'!$B$5)+SUMIFS('Rozpočet - HW a licencie'!$J$3:$J$102,'Rozpočet - HW a licencie'!$A$3:$A$102,'TCO TO BE - HW'!P$2,'Rozpočet - HW a licencie'!$D$3:$D$102,"SW pre HW",'Rozpočet - HW a licencie'!$H$3:$H$102,'TCO TO BE - HW'!$D14,'Rozpočet - HW a licencie'!$E$3:$E$102,'TCO TO BE - HW'!$B$5),)</f>
        <v>0</v>
      </c>
      <c r="Q14" s="540">
        <f>IFERROR(SUMIFS('Rozpočet - HW a licencie'!$J$3:$J$102,'Rozpočet - HW a licencie'!$A$3:$A$102,'TCO TO BE - HW'!Q$2,'Rozpočet - HW a licencie'!$D$3:$D$102,"HW",'Rozpočet - HW a licencie'!$H$3:$H$102,'TCO TO BE - HW'!$D14,'Rozpočet - HW a licencie'!$E$3:$E$102,'TCO TO BE - HW'!$B$5)+SUMIFS('Rozpočet - HW a licencie'!$J$3:$J$102,'Rozpočet - HW a licencie'!$A$3:$A$102,'TCO TO BE - HW'!Q$2,'Rozpočet - HW a licencie'!$D$3:$D$102,"SW pre HW",'Rozpočet - HW a licencie'!$H$3:$H$102,'TCO TO BE - HW'!$D14,'Rozpočet - HW a licencie'!$E$3:$E$102,'TCO TO BE - HW'!$B$5),)</f>
        <v>0</v>
      </c>
      <c r="R14" s="540">
        <f>IFERROR(SUMIFS('Rozpočet - HW a licencie'!$J$3:$J$102,'Rozpočet - HW a licencie'!$A$3:$A$102,'TCO TO BE - HW'!R$2,'Rozpočet - HW a licencie'!$D$3:$D$102,"HW",'Rozpočet - HW a licencie'!$H$3:$H$102,'TCO TO BE - HW'!$D14,'Rozpočet - HW a licencie'!$E$3:$E$102,'TCO TO BE - HW'!$B$5)+SUMIFS('Rozpočet - HW a licencie'!$J$3:$J$102,'Rozpočet - HW a licencie'!$A$3:$A$102,'TCO TO BE - HW'!R$2,'Rozpočet - HW a licencie'!$D$3:$D$102,"SW pre HW",'Rozpočet - HW a licencie'!$H$3:$H$102,'TCO TO BE - HW'!$D14,'Rozpočet - HW a licencie'!$E$3:$E$102,'TCO TO BE - HW'!$B$5),)</f>
        <v>0</v>
      </c>
      <c r="S14" s="540">
        <f>IFERROR(SUMIFS('Rozpočet - HW a licencie'!$J$3:$J$102,'Rozpočet - HW a licencie'!$A$3:$A$102,'TCO TO BE - HW'!S$2,'Rozpočet - HW a licencie'!$D$3:$D$102,"HW",'Rozpočet - HW a licencie'!$H$3:$H$102,'TCO TO BE - HW'!$D14,'Rozpočet - HW a licencie'!$E$3:$E$102,'TCO TO BE - HW'!$B$5)+SUMIFS('Rozpočet - HW a licencie'!$J$3:$J$102,'Rozpočet - HW a licencie'!$A$3:$A$102,'TCO TO BE - HW'!S$2,'Rozpočet - HW a licencie'!$D$3:$D$102,"SW pre HW",'Rozpočet - HW a licencie'!$H$3:$H$102,'TCO TO BE - HW'!$D14,'Rozpočet - HW a licencie'!$E$3:$E$102,'TCO TO BE - HW'!$B$5),)</f>
        <v>0</v>
      </c>
      <c r="T14" s="540">
        <f>IFERROR(SUMIFS('Rozpočet - HW a licencie'!$J$3:$J$102,'Rozpočet - HW a licencie'!$A$3:$A$102,'TCO TO BE - HW'!T$2,'Rozpočet - HW a licencie'!$D$3:$D$102,"HW",'Rozpočet - HW a licencie'!$H$3:$H$102,'TCO TO BE - HW'!$D14,'Rozpočet - HW a licencie'!$E$3:$E$102,'TCO TO BE - HW'!$B$5)+SUMIFS('Rozpočet - HW a licencie'!$J$3:$J$102,'Rozpočet - HW a licencie'!$A$3:$A$102,'TCO TO BE - HW'!T$2,'Rozpočet - HW a licencie'!$D$3:$D$102,"SW pre HW",'Rozpočet - HW a licencie'!$H$3:$H$102,'TCO TO BE - HW'!$D14,'Rozpočet - HW a licencie'!$E$3:$E$102,'TCO TO BE - HW'!$B$5),)</f>
        <v>0</v>
      </c>
      <c r="U14" s="540">
        <f>IFERROR(SUMIFS('Rozpočet - HW a licencie'!$J$3:$J$102,'Rozpočet - HW a licencie'!$A$3:$A$102,'TCO TO BE - HW'!U$2,'Rozpočet - HW a licencie'!$D$3:$D$102,"HW",'Rozpočet - HW a licencie'!$H$3:$H$102,'TCO TO BE - HW'!$D14,'Rozpočet - HW a licencie'!$E$3:$E$102,'TCO TO BE - HW'!$B$5)+SUMIFS('Rozpočet - HW a licencie'!$J$3:$J$102,'Rozpočet - HW a licencie'!$A$3:$A$102,'TCO TO BE - HW'!U$2,'Rozpočet - HW a licencie'!$D$3:$D$102,"SW pre HW",'Rozpočet - HW a licencie'!$H$3:$H$102,'TCO TO BE - HW'!$D14,'Rozpočet - HW a licencie'!$E$3:$E$102,'TCO TO BE - HW'!$B$5),)</f>
        <v>0</v>
      </c>
      <c r="V14" s="540">
        <f>IFERROR(SUMIFS('Rozpočet - HW a licencie'!$J$3:$J$102,'Rozpočet - HW a licencie'!$A$3:$A$102,'TCO TO BE - HW'!V$2,'Rozpočet - HW a licencie'!$D$3:$D$102,"HW",'Rozpočet - HW a licencie'!$H$3:$H$102,'TCO TO BE - HW'!$D14,'Rozpočet - HW a licencie'!$E$3:$E$102,'TCO TO BE - HW'!$B$5)+SUMIFS('Rozpočet - HW a licencie'!$J$3:$J$102,'Rozpočet - HW a licencie'!$A$3:$A$102,'TCO TO BE - HW'!V$2,'Rozpočet - HW a licencie'!$D$3:$D$102,"SW pre HW",'Rozpočet - HW a licencie'!$H$3:$H$102,'TCO TO BE - HW'!$D14,'Rozpočet - HW a licencie'!$E$3:$E$102,'TCO TO BE - HW'!$B$5),)</f>
        <v>0</v>
      </c>
      <c r="W14" s="540">
        <f>IFERROR(SUMIFS('Rozpočet - HW a licencie'!$J$3:$J$102,'Rozpočet - HW a licencie'!$A$3:$A$102,'TCO TO BE - HW'!W$2,'Rozpočet - HW a licencie'!$D$3:$D$102,"HW",'Rozpočet - HW a licencie'!$H$3:$H$102,'TCO TO BE - HW'!$D14,'Rozpočet - HW a licencie'!$E$3:$E$102,'TCO TO BE - HW'!$B$5)+SUMIFS('Rozpočet - HW a licencie'!$J$3:$J$102,'Rozpočet - HW a licencie'!$A$3:$A$102,'TCO TO BE - HW'!W$2,'Rozpočet - HW a licencie'!$D$3:$D$102,"SW pre HW",'Rozpočet - HW a licencie'!$H$3:$H$102,'TCO TO BE - HW'!$D14,'Rozpočet - HW a licencie'!$E$3:$E$102,'TCO TO BE - HW'!$B$5),)</f>
        <v>0</v>
      </c>
      <c r="X14" s="540">
        <f>IFERROR(SUMIFS('Rozpočet - HW a licencie'!$J$3:$J$102,'Rozpočet - HW a licencie'!$A$3:$A$102,'TCO TO BE - HW'!X$2,'Rozpočet - HW a licencie'!$D$3:$D$102,"HW",'Rozpočet - HW a licencie'!$H$3:$H$102,'TCO TO BE - HW'!$D14,'Rozpočet - HW a licencie'!$E$3:$E$102,'TCO TO BE - HW'!$B$5)+SUMIFS('Rozpočet - HW a licencie'!$J$3:$J$102,'Rozpočet - HW a licencie'!$A$3:$A$102,'TCO TO BE - HW'!X$2,'Rozpočet - HW a licencie'!$D$3:$D$102,"SW pre HW",'Rozpočet - HW a licencie'!$H$3:$H$102,'TCO TO BE - HW'!$D14,'Rozpočet - HW a licencie'!$E$3:$E$102,'TCO TO BE - HW'!$B$5),)</f>
        <v>0</v>
      </c>
      <c r="Y14" s="540">
        <f>IFERROR(SUMIFS('Rozpočet - HW a licencie'!$J$3:$J$102,'Rozpočet - HW a licencie'!$A$3:$A$102,'TCO TO BE - HW'!Y$2,'Rozpočet - HW a licencie'!$D$3:$D$102,"HW",'Rozpočet - HW a licencie'!$H$3:$H$102,'TCO TO BE - HW'!$D14,'Rozpočet - HW a licencie'!$E$3:$E$102,'TCO TO BE - HW'!$B$5)+SUMIFS('Rozpočet - HW a licencie'!$J$3:$J$102,'Rozpočet - HW a licencie'!$A$3:$A$102,'TCO TO BE - HW'!Y$2,'Rozpočet - HW a licencie'!$D$3:$D$102,"SW pre HW",'Rozpočet - HW a licencie'!$H$3:$H$102,'TCO TO BE - HW'!$D14,'Rozpočet - HW a licencie'!$E$3:$E$102,'TCO TO BE - HW'!$B$5),)</f>
        <v>0</v>
      </c>
      <c r="Z14" s="540">
        <f>IFERROR(SUMIFS('Rozpočet - HW a licencie'!$J$3:$J$102,'Rozpočet - HW a licencie'!$A$3:$A$102,'TCO TO BE - HW'!Z$2,'Rozpočet - HW a licencie'!$D$3:$D$102,"HW",'Rozpočet - HW a licencie'!$H$3:$H$102,'TCO TO BE - HW'!$D14,'Rozpočet - HW a licencie'!$E$3:$E$102,'TCO TO BE - HW'!$B$5)+SUMIFS('Rozpočet - HW a licencie'!$J$3:$J$102,'Rozpočet - HW a licencie'!$A$3:$A$102,'TCO TO BE - HW'!Z$2,'Rozpočet - HW a licencie'!$D$3:$D$102,"SW pre HW",'Rozpočet - HW a licencie'!$H$3:$H$102,'TCO TO BE - HW'!$D14,'Rozpočet - HW a licencie'!$E$3:$E$102,'TCO TO BE - HW'!$B$5),)</f>
        <v>0</v>
      </c>
    </row>
    <row r="15" spans="1:26" ht="15" customHeight="1" outlineLevel="1" x14ac:dyDescent="0.2">
      <c r="A15" s="884" t="s">
        <v>1189</v>
      </c>
      <c r="B15" s="884" t="s">
        <v>1190</v>
      </c>
      <c r="C15" s="885">
        <v>633002</v>
      </c>
      <c r="D15" s="463">
        <v>1</v>
      </c>
      <c r="E15" s="68">
        <f t="shared" si="2"/>
        <v>0</v>
      </c>
      <c r="F15" s="539">
        <f>IFERROR(SUMIFS('Rozpočet - HW a licencie'!$J$3:$J$102,'Rozpočet - HW a licencie'!$A$3:$A$102,'TCO TO BE - HW'!F$2,'Rozpočet - HW a licencie'!$D$3:$D$102,"HW",'Rozpočet - HW a licencie'!$H$3:$H$102,'TCO TO BE - HW'!$D5,'Rozpočet - HW a licencie'!$E$3:$E$102,'TCO TO BE - HW'!$B$15)+SUMIFS('Rozpočet - HW a licencie'!$J$3:$J$102,'Rozpočet - HW a licencie'!$A$3:$A$102,'TCO TO BE - HW'!F$2,'Rozpočet - HW a licencie'!$D$3:$D$102,"SW pre HW",'Rozpočet - HW a licencie'!$H$3:$H$102,'TCO TO BE - HW'!$D5,'Rozpočet - HW a licencie'!$E$3:$E$102,'TCO TO BE - HW'!$B$15),)</f>
        <v>0</v>
      </c>
      <c r="G15" s="539">
        <f>IFERROR(SUMIFS('Rozpočet - HW a licencie'!$J$3:$J$102,'Rozpočet - HW a licencie'!$A$3:$A$102,'TCO TO BE - HW'!G$2,'Rozpočet - HW a licencie'!$D$3:$D$102,"HW",'Rozpočet - HW a licencie'!$H$3:$H$102,'TCO TO BE - HW'!$D5,'Rozpočet - HW a licencie'!$E$3:$E$102,'TCO TO BE - HW'!$B$15)+SUMIFS('Rozpočet - HW a licencie'!$J$3:$J$102,'Rozpočet - HW a licencie'!$A$3:$A$102,'TCO TO BE - HW'!G$2,'Rozpočet - HW a licencie'!$D$3:$D$102,"SW pre HW",'Rozpočet - HW a licencie'!$H$3:$H$102,'TCO TO BE - HW'!$D5,'Rozpočet - HW a licencie'!$E$3:$E$102,'TCO TO BE - HW'!$B$15),)</f>
        <v>0</v>
      </c>
      <c r="H15" s="539">
        <f>IFERROR(SUMIFS('Rozpočet - HW a licencie'!$J$3:$J$102,'Rozpočet - HW a licencie'!$A$3:$A$102,'TCO TO BE - HW'!H$2,'Rozpočet - HW a licencie'!$D$3:$D$102,"HW",'Rozpočet - HW a licencie'!$H$3:$H$102,'TCO TO BE - HW'!$D5,'Rozpočet - HW a licencie'!$E$3:$E$102,'TCO TO BE - HW'!$B$15)+SUMIFS('Rozpočet - HW a licencie'!$J$3:$J$102,'Rozpočet - HW a licencie'!$A$3:$A$102,'TCO TO BE - HW'!H$2,'Rozpočet - HW a licencie'!$D$3:$D$102,"SW pre HW",'Rozpočet - HW a licencie'!$H$3:$H$102,'TCO TO BE - HW'!$D5,'Rozpočet - HW a licencie'!$E$3:$E$102,'TCO TO BE - HW'!$B$15),)</f>
        <v>0</v>
      </c>
      <c r="I15" s="539">
        <f>IFERROR(SUMIFS('Rozpočet - HW a licencie'!$J$3:$J$102,'Rozpočet - HW a licencie'!$A$3:$A$102,'TCO TO BE - HW'!I$2,'Rozpočet - HW a licencie'!$D$3:$D$102,"HW",'Rozpočet - HW a licencie'!$H$3:$H$102,'TCO TO BE - HW'!$D5,'Rozpočet - HW a licencie'!$E$3:$E$102,'TCO TO BE - HW'!$B$15)+SUMIFS('Rozpočet - HW a licencie'!$J$3:$J$102,'Rozpočet - HW a licencie'!$A$3:$A$102,'TCO TO BE - HW'!I$2,'Rozpočet - HW a licencie'!$D$3:$D$102,"SW pre HW",'Rozpočet - HW a licencie'!$H$3:$H$102,'TCO TO BE - HW'!$D5,'Rozpočet - HW a licencie'!$E$3:$E$102,'TCO TO BE - HW'!$B$15),)</f>
        <v>0</v>
      </c>
      <c r="J15" s="539">
        <f>IFERROR(SUMIFS('Rozpočet - HW a licencie'!$J$3:$J$102,'Rozpočet - HW a licencie'!$A$3:$A$102,'TCO TO BE - HW'!J$2,'Rozpočet - HW a licencie'!$D$3:$D$102,"HW",'Rozpočet - HW a licencie'!$H$3:$H$102,'TCO TO BE - HW'!$D5,'Rozpočet - HW a licencie'!$E$3:$E$102,'TCO TO BE - HW'!$B$15)+SUMIFS('Rozpočet - HW a licencie'!$J$3:$J$102,'Rozpočet - HW a licencie'!$A$3:$A$102,'TCO TO BE - HW'!J$2,'Rozpočet - HW a licencie'!$D$3:$D$102,"SW pre HW",'Rozpočet - HW a licencie'!$H$3:$H$102,'TCO TO BE - HW'!$D5,'Rozpočet - HW a licencie'!$E$3:$E$102,'TCO TO BE - HW'!$B$15),)</f>
        <v>0</v>
      </c>
      <c r="K15" s="539">
        <f>IFERROR(SUMIFS('Rozpočet - HW a licencie'!$J$3:$J$102,'Rozpočet - HW a licencie'!$A$3:$A$102,'TCO TO BE - HW'!K$2,'Rozpočet - HW a licencie'!$D$3:$D$102,"HW",'Rozpočet - HW a licencie'!$H$3:$H$102,'TCO TO BE - HW'!$D5,'Rozpočet - HW a licencie'!$E$3:$E$102,'TCO TO BE - HW'!$B$15)+SUMIFS('Rozpočet - HW a licencie'!$J$3:$J$102,'Rozpočet - HW a licencie'!$A$3:$A$102,'TCO TO BE - HW'!K$2,'Rozpočet - HW a licencie'!$D$3:$D$102,"SW pre HW",'Rozpočet - HW a licencie'!$H$3:$H$102,'TCO TO BE - HW'!$D5,'Rozpočet - HW a licencie'!$E$3:$E$102,'TCO TO BE - HW'!$B$15),)</f>
        <v>0</v>
      </c>
      <c r="L15" s="539">
        <f>IFERROR(SUMIFS('Rozpočet - HW a licencie'!$J$3:$J$102,'Rozpočet - HW a licencie'!$A$3:$A$102,'TCO TO BE - HW'!L$2,'Rozpočet - HW a licencie'!$D$3:$D$102,"HW",'Rozpočet - HW a licencie'!$H$3:$H$102,'TCO TO BE - HW'!$D5,'Rozpočet - HW a licencie'!$E$3:$E$102,'TCO TO BE - HW'!$B$15)+SUMIFS('Rozpočet - HW a licencie'!$J$3:$J$102,'Rozpočet - HW a licencie'!$A$3:$A$102,'TCO TO BE - HW'!L$2,'Rozpočet - HW a licencie'!$D$3:$D$102,"SW pre HW",'Rozpočet - HW a licencie'!$H$3:$H$102,'TCO TO BE - HW'!$D5,'Rozpočet - HW a licencie'!$E$3:$E$102,'TCO TO BE - HW'!$B$15),)</f>
        <v>0</v>
      </c>
      <c r="M15" s="539">
        <f>IFERROR(SUMIFS('Rozpočet - HW a licencie'!$J$3:$J$102,'Rozpočet - HW a licencie'!$A$3:$A$102,'TCO TO BE - HW'!M$2,'Rozpočet - HW a licencie'!$D$3:$D$102,"HW",'Rozpočet - HW a licencie'!$H$3:$H$102,'TCO TO BE - HW'!$D5,'Rozpočet - HW a licencie'!$E$3:$E$102,'TCO TO BE - HW'!$B$15)+SUMIFS('Rozpočet - HW a licencie'!$J$3:$J$102,'Rozpočet - HW a licencie'!$A$3:$A$102,'TCO TO BE - HW'!M$2,'Rozpočet - HW a licencie'!$D$3:$D$102,"SW pre HW",'Rozpočet - HW a licencie'!$H$3:$H$102,'TCO TO BE - HW'!$D5,'Rozpočet - HW a licencie'!$E$3:$E$102,'TCO TO BE - HW'!$B$15),)</f>
        <v>0</v>
      </c>
      <c r="N15" s="539">
        <f>IFERROR(SUMIFS('Rozpočet - HW a licencie'!$J$3:$J$102,'Rozpočet - HW a licencie'!$A$3:$A$102,'TCO TO BE - HW'!N$2,'Rozpočet - HW a licencie'!$D$3:$D$102,"HW",'Rozpočet - HW a licencie'!$H$3:$H$102,'TCO TO BE - HW'!$D5,'Rozpočet - HW a licencie'!$E$3:$E$102,'TCO TO BE - HW'!$B$15)+SUMIFS('Rozpočet - HW a licencie'!$J$3:$J$102,'Rozpočet - HW a licencie'!$A$3:$A$102,'TCO TO BE - HW'!N$2,'Rozpočet - HW a licencie'!$D$3:$D$102,"SW pre HW",'Rozpočet - HW a licencie'!$H$3:$H$102,'TCO TO BE - HW'!$D5,'Rozpočet - HW a licencie'!$E$3:$E$102,'TCO TO BE - HW'!$B$15),)</f>
        <v>0</v>
      </c>
      <c r="O15" s="539">
        <f>IFERROR(SUMIFS('Rozpočet - HW a licencie'!$J$3:$J$102,'Rozpočet - HW a licencie'!$A$3:$A$102,'TCO TO BE - HW'!O$2,'Rozpočet - HW a licencie'!$D$3:$D$102,"HW",'Rozpočet - HW a licencie'!$H$3:$H$102,'TCO TO BE - HW'!$D5,'Rozpočet - HW a licencie'!$E$3:$E$102,'TCO TO BE - HW'!$B$15)+SUMIFS('Rozpočet - HW a licencie'!$J$3:$J$102,'Rozpočet - HW a licencie'!$A$3:$A$102,'TCO TO BE - HW'!O$2,'Rozpočet - HW a licencie'!$D$3:$D$102,"SW pre HW",'Rozpočet - HW a licencie'!$H$3:$H$102,'TCO TO BE - HW'!$D5,'Rozpočet - HW a licencie'!$E$3:$E$102,'TCO TO BE - HW'!$B$15),)</f>
        <v>0</v>
      </c>
      <c r="P15" s="539">
        <f>IFERROR(SUMIFS('Rozpočet - HW a licencie'!$J$3:$J$102,'Rozpočet - HW a licencie'!$A$3:$A$102,'TCO TO BE - HW'!P$2,'Rozpočet - HW a licencie'!$D$3:$D$102,"HW",'Rozpočet - HW a licencie'!$H$3:$H$102,'TCO TO BE - HW'!$D5,'Rozpočet - HW a licencie'!$E$3:$E$102,'TCO TO BE - HW'!$B$15)+SUMIFS('Rozpočet - HW a licencie'!$J$3:$J$102,'Rozpočet - HW a licencie'!$A$3:$A$102,'TCO TO BE - HW'!P$2,'Rozpočet - HW a licencie'!$D$3:$D$102,"SW pre HW",'Rozpočet - HW a licencie'!$H$3:$H$102,'TCO TO BE - HW'!$D5,'Rozpočet - HW a licencie'!$E$3:$E$102,'TCO TO BE - HW'!$B$15),)</f>
        <v>0</v>
      </c>
      <c r="Q15" s="539">
        <f>IFERROR(SUMIFS('Rozpočet - HW a licencie'!$J$3:$J$102,'Rozpočet - HW a licencie'!$A$3:$A$102,'TCO TO BE - HW'!Q$2,'Rozpočet - HW a licencie'!$D$3:$D$102,"HW",'Rozpočet - HW a licencie'!$H$3:$H$102,'TCO TO BE - HW'!$D5,'Rozpočet - HW a licencie'!$E$3:$E$102,'TCO TO BE - HW'!$B$15)+SUMIFS('Rozpočet - HW a licencie'!$J$3:$J$102,'Rozpočet - HW a licencie'!$A$3:$A$102,'TCO TO BE - HW'!Q$2,'Rozpočet - HW a licencie'!$D$3:$D$102,"SW pre HW",'Rozpočet - HW a licencie'!$H$3:$H$102,'TCO TO BE - HW'!$D5,'Rozpočet - HW a licencie'!$E$3:$E$102,'TCO TO BE - HW'!$B$15),)</f>
        <v>0</v>
      </c>
      <c r="R15" s="539">
        <f>IFERROR(SUMIFS('Rozpočet - HW a licencie'!$J$3:$J$102,'Rozpočet - HW a licencie'!$A$3:$A$102,'TCO TO BE - HW'!R$2,'Rozpočet - HW a licencie'!$D$3:$D$102,"HW",'Rozpočet - HW a licencie'!$H$3:$H$102,'TCO TO BE - HW'!$D5,'Rozpočet - HW a licencie'!$E$3:$E$102,'TCO TO BE - HW'!$B$15)+SUMIFS('Rozpočet - HW a licencie'!$J$3:$J$102,'Rozpočet - HW a licencie'!$A$3:$A$102,'TCO TO BE - HW'!R$2,'Rozpočet - HW a licencie'!$D$3:$D$102,"SW pre HW",'Rozpočet - HW a licencie'!$H$3:$H$102,'TCO TO BE - HW'!$D5,'Rozpočet - HW a licencie'!$E$3:$E$102,'TCO TO BE - HW'!$B$15),)</f>
        <v>0</v>
      </c>
      <c r="S15" s="539">
        <f>IFERROR(SUMIFS('Rozpočet - HW a licencie'!$J$3:$J$102,'Rozpočet - HW a licencie'!$A$3:$A$102,'TCO TO BE - HW'!S$2,'Rozpočet - HW a licencie'!$D$3:$D$102,"HW",'Rozpočet - HW a licencie'!$H$3:$H$102,'TCO TO BE - HW'!$D5,'Rozpočet - HW a licencie'!$E$3:$E$102,'TCO TO BE - HW'!$B$15)+SUMIFS('Rozpočet - HW a licencie'!$J$3:$J$102,'Rozpočet - HW a licencie'!$A$3:$A$102,'TCO TO BE - HW'!S$2,'Rozpočet - HW a licencie'!$D$3:$D$102,"SW pre HW",'Rozpočet - HW a licencie'!$H$3:$H$102,'TCO TO BE - HW'!$D5,'Rozpočet - HW a licencie'!$E$3:$E$102,'TCO TO BE - HW'!$B$15),)</f>
        <v>0</v>
      </c>
      <c r="T15" s="539">
        <f>IFERROR(SUMIFS('Rozpočet - HW a licencie'!$J$3:$J$102,'Rozpočet - HW a licencie'!$A$3:$A$102,'TCO TO BE - HW'!T$2,'Rozpočet - HW a licencie'!$D$3:$D$102,"HW",'Rozpočet - HW a licencie'!$H$3:$H$102,'TCO TO BE - HW'!$D5,'Rozpočet - HW a licencie'!$E$3:$E$102,'TCO TO BE - HW'!$B$15)+SUMIFS('Rozpočet - HW a licencie'!$J$3:$J$102,'Rozpočet - HW a licencie'!$A$3:$A$102,'TCO TO BE - HW'!T$2,'Rozpočet - HW a licencie'!$D$3:$D$102,"SW pre HW",'Rozpočet - HW a licencie'!$H$3:$H$102,'TCO TO BE - HW'!$D5,'Rozpočet - HW a licencie'!$E$3:$E$102,'TCO TO BE - HW'!$B$15),)</f>
        <v>0</v>
      </c>
      <c r="U15" s="539">
        <f>IFERROR(SUMIFS('Rozpočet - HW a licencie'!$J$3:$J$102,'Rozpočet - HW a licencie'!$A$3:$A$102,'TCO TO BE - HW'!U$2,'Rozpočet - HW a licencie'!$D$3:$D$102,"HW",'Rozpočet - HW a licencie'!$H$3:$H$102,'TCO TO BE - HW'!$D5,'Rozpočet - HW a licencie'!$E$3:$E$102,'TCO TO BE - HW'!$B$15)+SUMIFS('Rozpočet - HW a licencie'!$J$3:$J$102,'Rozpočet - HW a licencie'!$A$3:$A$102,'TCO TO BE - HW'!U$2,'Rozpočet - HW a licencie'!$D$3:$D$102,"SW pre HW",'Rozpočet - HW a licencie'!$H$3:$H$102,'TCO TO BE - HW'!$D5,'Rozpočet - HW a licencie'!$E$3:$E$102,'TCO TO BE - HW'!$B$15),)</f>
        <v>0</v>
      </c>
      <c r="V15" s="539">
        <f>IFERROR(SUMIFS('Rozpočet - HW a licencie'!$J$3:$J$102,'Rozpočet - HW a licencie'!$A$3:$A$102,'TCO TO BE - HW'!V$2,'Rozpočet - HW a licencie'!$D$3:$D$102,"HW",'Rozpočet - HW a licencie'!$H$3:$H$102,'TCO TO BE - HW'!$D5,'Rozpočet - HW a licencie'!$E$3:$E$102,'TCO TO BE - HW'!$B$15)+SUMIFS('Rozpočet - HW a licencie'!$J$3:$J$102,'Rozpočet - HW a licencie'!$A$3:$A$102,'TCO TO BE - HW'!V$2,'Rozpočet - HW a licencie'!$D$3:$D$102,"SW pre HW",'Rozpočet - HW a licencie'!$H$3:$H$102,'TCO TO BE - HW'!$D5,'Rozpočet - HW a licencie'!$E$3:$E$102,'TCO TO BE - HW'!$B$15),)</f>
        <v>0</v>
      </c>
      <c r="W15" s="539">
        <f>IFERROR(SUMIFS('Rozpočet - HW a licencie'!$J$3:$J$102,'Rozpočet - HW a licencie'!$A$3:$A$102,'TCO TO BE - HW'!W$2,'Rozpočet - HW a licencie'!$D$3:$D$102,"HW",'Rozpočet - HW a licencie'!$H$3:$H$102,'TCO TO BE - HW'!$D5,'Rozpočet - HW a licencie'!$E$3:$E$102,'TCO TO BE - HW'!$B$15)+SUMIFS('Rozpočet - HW a licencie'!$J$3:$J$102,'Rozpočet - HW a licencie'!$A$3:$A$102,'TCO TO BE - HW'!W$2,'Rozpočet - HW a licencie'!$D$3:$D$102,"SW pre HW",'Rozpočet - HW a licencie'!$H$3:$H$102,'TCO TO BE - HW'!$D5,'Rozpočet - HW a licencie'!$E$3:$E$102,'TCO TO BE - HW'!$B$15),)</f>
        <v>0</v>
      </c>
      <c r="X15" s="539">
        <f>IFERROR(SUMIFS('Rozpočet - HW a licencie'!$J$3:$J$102,'Rozpočet - HW a licencie'!$A$3:$A$102,'TCO TO BE - HW'!X$2,'Rozpočet - HW a licencie'!$D$3:$D$102,"HW",'Rozpočet - HW a licencie'!$H$3:$H$102,'TCO TO BE - HW'!$D5,'Rozpočet - HW a licencie'!$E$3:$E$102,'TCO TO BE - HW'!$B$15)+SUMIFS('Rozpočet - HW a licencie'!$J$3:$J$102,'Rozpočet - HW a licencie'!$A$3:$A$102,'TCO TO BE - HW'!X$2,'Rozpočet - HW a licencie'!$D$3:$D$102,"SW pre HW",'Rozpočet - HW a licencie'!$H$3:$H$102,'TCO TO BE - HW'!$D5,'Rozpočet - HW a licencie'!$E$3:$E$102,'TCO TO BE - HW'!$B$15),)</f>
        <v>0</v>
      </c>
      <c r="Y15" s="539">
        <f>IFERROR(SUMIFS('Rozpočet - HW a licencie'!$J$3:$J$102,'Rozpočet - HW a licencie'!$A$3:$A$102,'TCO TO BE - HW'!Y$2,'Rozpočet - HW a licencie'!$D$3:$D$102,"HW",'Rozpočet - HW a licencie'!$H$3:$H$102,'TCO TO BE - HW'!$D5,'Rozpočet - HW a licencie'!$E$3:$E$102,'TCO TO BE - HW'!$B$15)+SUMIFS('Rozpočet - HW a licencie'!$J$3:$J$102,'Rozpočet - HW a licencie'!$A$3:$A$102,'TCO TO BE - HW'!Y$2,'Rozpočet - HW a licencie'!$D$3:$D$102,"SW pre HW",'Rozpočet - HW a licencie'!$H$3:$H$102,'TCO TO BE - HW'!$D5,'Rozpočet - HW a licencie'!$E$3:$E$102,'TCO TO BE - HW'!$B$15),)</f>
        <v>0</v>
      </c>
      <c r="Z15" s="539">
        <f>IFERROR(SUMIFS('Rozpočet - HW a licencie'!$J$3:$J$102,'Rozpočet - HW a licencie'!$A$3:$A$102,'TCO TO BE - HW'!Z$2,'Rozpočet - HW a licencie'!$D$3:$D$102,"HW",'Rozpočet - HW a licencie'!$H$3:$H$102,'TCO TO BE - HW'!$D5,'Rozpočet - HW a licencie'!$E$3:$E$102,'TCO TO BE - HW'!$B$15)+SUMIFS('Rozpočet - HW a licencie'!$J$3:$J$102,'Rozpočet - HW a licencie'!$A$3:$A$102,'TCO TO BE - HW'!Z$2,'Rozpočet - HW a licencie'!$D$3:$D$102,"SW pre HW",'Rozpočet - HW a licencie'!$H$3:$H$102,'TCO TO BE - HW'!$D5,'Rozpočet - HW a licencie'!$E$3:$E$102,'TCO TO BE - HW'!$B$15),)</f>
        <v>0</v>
      </c>
    </row>
    <row r="16" spans="1:26" outlineLevel="1" x14ac:dyDescent="0.2">
      <c r="A16" s="884"/>
      <c r="B16" s="885"/>
      <c r="C16" s="885"/>
      <c r="D16" s="464">
        <v>2</v>
      </c>
      <c r="E16" s="68">
        <f t="shared" si="2"/>
        <v>0</v>
      </c>
      <c r="F16" s="540">
        <f>IFERROR(SUMIFS('Rozpočet - HW a licencie'!$J$3:$J$102,'Rozpočet - HW a licencie'!$A$3:$A$102,'TCO TO BE - HW'!F$2,'Rozpočet - HW a licencie'!$D$3:$D$102,"HW",'Rozpočet - HW a licencie'!$H$3:$H$102,'TCO TO BE - HW'!$D6,'Rozpočet - HW a licencie'!$E$3:$E$102,'TCO TO BE - HW'!$B$15)+SUMIFS('Rozpočet - HW a licencie'!$J$3:$J$102,'Rozpočet - HW a licencie'!$A$3:$A$102,'TCO TO BE - HW'!F$2,'Rozpočet - HW a licencie'!$D$3:$D$102,"SW pre HW",'Rozpočet - HW a licencie'!$H$3:$H$102,'TCO TO BE - HW'!$D6,'Rozpočet - HW a licencie'!$E$3:$E$102,'TCO TO BE - HW'!$B$15),)</f>
        <v>0</v>
      </c>
      <c r="G16" s="540">
        <f>IFERROR(SUMIFS('Rozpočet - HW a licencie'!$J$3:$J$102,'Rozpočet - HW a licencie'!$A$3:$A$102,'TCO TO BE - HW'!G$2,'Rozpočet - HW a licencie'!$D$3:$D$102,"HW",'Rozpočet - HW a licencie'!$H$3:$H$102,'TCO TO BE - HW'!$D6,'Rozpočet - HW a licencie'!$E$3:$E$102,'TCO TO BE - HW'!$B$15)+SUMIFS('Rozpočet - HW a licencie'!$J$3:$J$102,'Rozpočet - HW a licencie'!$A$3:$A$102,'TCO TO BE - HW'!G$2,'Rozpočet - HW a licencie'!$D$3:$D$102,"SW pre HW",'Rozpočet - HW a licencie'!$H$3:$H$102,'TCO TO BE - HW'!$D6,'Rozpočet - HW a licencie'!$E$3:$E$102,'TCO TO BE - HW'!$B$15),)</f>
        <v>0</v>
      </c>
      <c r="H16" s="540">
        <f>IFERROR(SUMIFS('Rozpočet - HW a licencie'!$J$3:$J$102,'Rozpočet - HW a licencie'!$A$3:$A$102,'TCO TO BE - HW'!H$2,'Rozpočet - HW a licencie'!$D$3:$D$102,"HW",'Rozpočet - HW a licencie'!$H$3:$H$102,'TCO TO BE - HW'!$D6,'Rozpočet - HW a licencie'!$E$3:$E$102,'TCO TO BE - HW'!$B$15)+SUMIFS('Rozpočet - HW a licencie'!$J$3:$J$102,'Rozpočet - HW a licencie'!$A$3:$A$102,'TCO TO BE - HW'!H$2,'Rozpočet - HW a licencie'!$D$3:$D$102,"SW pre HW",'Rozpočet - HW a licencie'!$H$3:$H$102,'TCO TO BE - HW'!$D6,'Rozpočet - HW a licencie'!$E$3:$E$102,'TCO TO BE - HW'!$B$15),)</f>
        <v>0</v>
      </c>
      <c r="I16" s="540">
        <f>IFERROR(SUMIFS('Rozpočet - HW a licencie'!$J$3:$J$102,'Rozpočet - HW a licencie'!$A$3:$A$102,'TCO TO BE - HW'!I$2,'Rozpočet - HW a licencie'!$D$3:$D$102,"HW",'Rozpočet - HW a licencie'!$H$3:$H$102,'TCO TO BE - HW'!$D6,'Rozpočet - HW a licencie'!$E$3:$E$102,'TCO TO BE - HW'!$B$15)+SUMIFS('Rozpočet - HW a licencie'!$J$3:$J$102,'Rozpočet - HW a licencie'!$A$3:$A$102,'TCO TO BE - HW'!I$2,'Rozpočet - HW a licencie'!$D$3:$D$102,"SW pre HW",'Rozpočet - HW a licencie'!$H$3:$H$102,'TCO TO BE - HW'!$D6,'Rozpočet - HW a licencie'!$E$3:$E$102,'TCO TO BE - HW'!$B$15),)</f>
        <v>0</v>
      </c>
      <c r="J16" s="540">
        <f>IFERROR(SUMIFS('Rozpočet - HW a licencie'!$J$3:$J$102,'Rozpočet - HW a licencie'!$A$3:$A$102,'TCO TO BE - HW'!J$2,'Rozpočet - HW a licencie'!$D$3:$D$102,"HW",'Rozpočet - HW a licencie'!$H$3:$H$102,'TCO TO BE - HW'!$D6,'Rozpočet - HW a licencie'!$E$3:$E$102,'TCO TO BE - HW'!$B$15)+SUMIFS('Rozpočet - HW a licencie'!$J$3:$J$102,'Rozpočet - HW a licencie'!$A$3:$A$102,'TCO TO BE - HW'!J$2,'Rozpočet - HW a licencie'!$D$3:$D$102,"SW pre HW",'Rozpočet - HW a licencie'!$H$3:$H$102,'TCO TO BE - HW'!$D6,'Rozpočet - HW a licencie'!$E$3:$E$102,'TCO TO BE - HW'!$B$15),)</f>
        <v>0</v>
      </c>
      <c r="K16" s="540">
        <f>IFERROR(SUMIFS('Rozpočet - HW a licencie'!$J$3:$J$102,'Rozpočet - HW a licencie'!$A$3:$A$102,'TCO TO BE - HW'!K$2,'Rozpočet - HW a licencie'!$D$3:$D$102,"HW",'Rozpočet - HW a licencie'!$H$3:$H$102,'TCO TO BE - HW'!$D6,'Rozpočet - HW a licencie'!$E$3:$E$102,'TCO TO BE - HW'!$B$15)+SUMIFS('Rozpočet - HW a licencie'!$J$3:$J$102,'Rozpočet - HW a licencie'!$A$3:$A$102,'TCO TO BE - HW'!K$2,'Rozpočet - HW a licencie'!$D$3:$D$102,"SW pre HW",'Rozpočet - HW a licencie'!$H$3:$H$102,'TCO TO BE - HW'!$D6,'Rozpočet - HW a licencie'!$E$3:$E$102,'TCO TO BE - HW'!$B$15),)</f>
        <v>0</v>
      </c>
      <c r="L16" s="540">
        <f>IFERROR(SUMIFS('Rozpočet - HW a licencie'!$J$3:$J$102,'Rozpočet - HW a licencie'!$A$3:$A$102,'TCO TO BE - HW'!L$2,'Rozpočet - HW a licencie'!$D$3:$D$102,"HW",'Rozpočet - HW a licencie'!$H$3:$H$102,'TCO TO BE - HW'!$D6,'Rozpočet - HW a licencie'!$E$3:$E$102,'TCO TO BE - HW'!$B$15)+SUMIFS('Rozpočet - HW a licencie'!$J$3:$J$102,'Rozpočet - HW a licencie'!$A$3:$A$102,'TCO TO BE - HW'!L$2,'Rozpočet - HW a licencie'!$D$3:$D$102,"SW pre HW",'Rozpočet - HW a licencie'!$H$3:$H$102,'TCO TO BE - HW'!$D6,'Rozpočet - HW a licencie'!$E$3:$E$102,'TCO TO BE - HW'!$B$15),)</f>
        <v>0</v>
      </c>
      <c r="M16" s="540">
        <f>IFERROR(SUMIFS('Rozpočet - HW a licencie'!$J$3:$J$102,'Rozpočet - HW a licencie'!$A$3:$A$102,'TCO TO BE - HW'!M$2,'Rozpočet - HW a licencie'!$D$3:$D$102,"HW",'Rozpočet - HW a licencie'!$H$3:$H$102,'TCO TO BE - HW'!$D6,'Rozpočet - HW a licencie'!$E$3:$E$102,'TCO TO BE - HW'!$B$15)+SUMIFS('Rozpočet - HW a licencie'!$J$3:$J$102,'Rozpočet - HW a licencie'!$A$3:$A$102,'TCO TO BE - HW'!M$2,'Rozpočet - HW a licencie'!$D$3:$D$102,"SW pre HW",'Rozpočet - HW a licencie'!$H$3:$H$102,'TCO TO BE - HW'!$D6,'Rozpočet - HW a licencie'!$E$3:$E$102,'TCO TO BE - HW'!$B$15),)</f>
        <v>0</v>
      </c>
      <c r="N16" s="540">
        <f>IFERROR(SUMIFS('Rozpočet - HW a licencie'!$J$3:$J$102,'Rozpočet - HW a licencie'!$A$3:$A$102,'TCO TO BE - HW'!N$2,'Rozpočet - HW a licencie'!$D$3:$D$102,"HW",'Rozpočet - HW a licencie'!$H$3:$H$102,'TCO TO BE - HW'!$D6,'Rozpočet - HW a licencie'!$E$3:$E$102,'TCO TO BE - HW'!$B$15)+SUMIFS('Rozpočet - HW a licencie'!$J$3:$J$102,'Rozpočet - HW a licencie'!$A$3:$A$102,'TCO TO BE - HW'!N$2,'Rozpočet - HW a licencie'!$D$3:$D$102,"SW pre HW",'Rozpočet - HW a licencie'!$H$3:$H$102,'TCO TO BE - HW'!$D6,'Rozpočet - HW a licencie'!$E$3:$E$102,'TCO TO BE - HW'!$B$15),)</f>
        <v>0</v>
      </c>
      <c r="O16" s="540">
        <f>IFERROR(SUMIFS('Rozpočet - HW a licencie'!$J$3:$J$102,'Rozpočet - HW a licencie'!$A$3:$A$102,'TCO TO BE - HW'!O$2,'Rozpočet - HW a licencie'!$D$3:$D$102,"HW",'Rozpočet - HW a licencie'!$H$3:$H$102,'TCO TO BE - HW'!$D6,'Rozpočet - HW a licencie'!$E$3:$E$102,'TCO TO BE - HW'!$B$15)+SUMIFS('Rozpočet - HW a licencie'!$J$3:$J$102,'Rozpočet - HW a licencie'!$A$3:$A$102,'TCO TO BE - HW'!O$2,'Rozpočet - HW a licencie'!$D$3:$D$102,"SW pre HW",'Rozpočet - HW a licencie'!$H$3:$H$102,'TCO TO BE - HW'!$D6,'Rozpočet - HW a licencie'!$E$3:$E$102,'TCO TO BE - HW'!$B$15),)</f>
        <v>0</v>
      </c>
      <c r="P16" s="540">
        <f>IFERROR(SUMIFS('Rozpočet - HW a licencie'!$J$3:$J$102,'Rozpočet - HW a licencie'!$A$3:$A$102,'TCO TO BE - HW'!P$2,'Rozpočet - HW a licencie'!$D$3:$D$102,"HW",'Rozpočet - HW a licencie'!$H$3:$H$102,'TCO TO BE - HW'!$D6,'Rozpočet - HW a licencie'!$E$3:$E$102,'TCO TO BE - HW'!$B$15)+SUMIFS('Rozpočet - HW a licencie'!$J$3:$J$102,'Rozpočet - HW a licencie'!$A$3:$A$102,'TCO TO BE - HW'!P$2,'Rozpočet - HW a licencie'!$D$3:$D$102,"SW pre HW",'Rozpočet - HW a licencie'!$H$3:$H$102,'TCO TO BE - HW'!$D6,'Rozpočet - HW a licencie'!$E$3:$E$102,'TCO TO BE - HW'!$B$15),)</f>
        <v>0</v>
      </c>
      <c r="Q16" s="540">
        <f>IFERROR(SUMIFS('Rozpočet - HW a licencie'!$J$3:$J$102,'Rozpočet - HW a licencie'!$A$3:$A$102,'TCO TO BE - HW'!Q$2,'Rozpočet - HW a licencie'!$D$3:$D$102,"HW",'Rozpočet - HW a licencie'!$H$3:$H$102,'TCO TO BE - HW'!$D6,'Rozpočet - HW a licencie'!$E$3:$E$102,'TCO TO BE - HW'!$B$15)+SUMIFS('Rozpočet - HW a licencie'!$J$3:$J$102,'Rozpočet - HW a licencie'!$A$3:$A$102,'TCO TO BE - HW'!Q$2,'Rozpočet - HW a licencie'!$D$3:$D$102,"SW pre HW",'Rozpočet - HW a licencie'!$H$3:$H$102,'TCO TO BE - HW'!$D6,'Rozpočet - HW a licencie'!$E$3:$E$102,'TCO TO BE - HW'!$B$15),)</f>
        <v>0</v>
      </c>
      <c r="R16" s="540">
        <f>IFERROR(SUMIFS('Rozpočet - HW a licencie'!$J$3:$J$102,'Rozpočet - HW a licencie'!$A$3:$A$102,'TCO TO BE - HW'!R$2,'Rozpočet - HW a licencie'!$D$3:$D$102,"HW",'Rozpočet - HW a licencie'!$H$3:$H$102,'TCO TO BE - HW'!$D6,'Rozpočet - HW a licencie'!$E$3:$E$102,'TCO TO BE - HW'!$B$15)+SUMIFS('Rozpočet - HW a licencie'!$J$3:$J$102,'Rozpočet - HW a licencie'!$A$3:$A$102,'TCO TO BE - HW'!R$2,'Rozpočet - HW a licencie'!$D$3:$D$102,"SW pre HW",'Rozpočet - HW a licencie'!$H$3:$H$102,'TCO TO BE - HW'!$D6,'Rozpočet - HW a licencie'!$E$3:$E$102,'TCO TO BE - HW'!$B$15),)</f>
        <v>0</v>
      </c>
      <c r="S16" s="540">
        <f>IFERROR(SUMIFS('Rozpočet - HW a licencie'!$J$3:$J$102,'Rozpočet - HW a licencie'!$A$3:$A$102,'TCO TO BE - HW'!S$2,'Rozpočet - HW a licencie'!$D$3:$D$102,"HW",'Rozpočet - HW a licencie'!$H$3:$H$102,'TCO TO BE - HW'!$D6,'Rozpočet - HW a licencie'!$E$3:$E$102,'TCO TO BE - HW'!$B$15)+SUMIFS('Rozpočet - HW a licencie'!$J$3:$J$102,'Rozpočet - HW a licencie'!$A$3:$A$102,'TCO TO BE - HW'!S$2,'Rozpočet - HW a licencie'!$D$3:$D$102,"SW pre HW",'Rozpočet - HW a licencie'!$H$3:$H$102,'TCO TO BE - HW'!$D6,'Rozpočet - HW a licencie'!$E$3:$E$102,'TCO TO BE - HW'!$B$15),)</f>
        <v>0</v>
      </c>
      <c r="T16" s="540">
        <f>IFERROR(SUMIFS('Rozpočet - HW a licencie'!$J$3:$J$102,'Rozpočet - HW a licencie'!$A$3:$A$102,'TCO TO BE - HW'!T$2,'Rozpočet - HW a licencie'!$D$3:$D$102,"HW",'Rozpočet - HW a licencie'!$H$3:$H$102,'TCO TO BE - HW'!$D6,'Rozpočet - HW a licencie'!$E$3:$E$102,'TCO TO BE - HW'!$B$15)+SUMIFS('Rozpočet - HW a licencie'!$J$3:$J$102,'Rozpočet - HW a licencie'!$A$3:$A$102,'TCO TO BE - HW'!T$2,'Rozpočet - HW a licencie'!$D$3:$D$102,"SW pre HW",'Rozpočet - HW a licencie'!$H$3:$H$102,'TCO TO BE - HW'!$D6,'Rozpočet - HW a licencie'!$E$3:$E$102,'TCO TO BE - HW'!$B$15),)</f>
        <v>0</v>
      </c>
      <c r="U16" s="540">
        <f>IFERROR(SUMIFS('Rozpočet - HW a licencie'!$J$3:$J$102,'Rozpočet - HW a licencie'!$A$3:$A$102,'TCO TO BE - HW'!U$2,'Rozpočet - HW a licencie'!$D$3:$D$102,"HW",'Rozpočet - HW a licencie'!$H$3:$H$102,'TCO TO BE - HW'!$D6,'Rozpočet - HW a licencie'!$E$3:$E$102,'TCO TO BE - HW'!$B$15)+SUMIFS('Rozpočet - HW a licencie'!$J$3:$J$102,'Rozpočet - HW a licencie'!$A$3:$A$102,'TCO TO BE - HW'!U$2,'Rozpočet - HW a licencie'!$D$3:$D$102,"SW pre HW",'Rozpočet - HW a licencie'!$H$3:$H$102,'TCO TO BE - HW'!$D6,'Rozpočet - HW a licencie'!$E$3:$E$102,'TCO TO BE - HW'!$B$15),)</f>
        <v>0</v>
      </c>
      <c r="V16" s="540">
        <f>IFERROR(SUMIFS('Rozpočet - HW a licencie'!$J$3:$J$102,'Rozpočet - HW a licencie'!$A$3:$A$102,'TCO TO BE - HW'!V$2,'Rozpočet - HW a licencie'!$D$3:$D$102,"HW",'Rozpočet - HW a licencie'!$H$3:$H$102,'TCO TO BE - HW'!$D6,'Rozpočet - HW a licencie'!$E$3:$E$102,'TCO TO BE - HW'!$B$15)+SUMIFS('Rozpočet - HW a licencie'!$J$3:$J$102,'Rozpočet - HW a licencie'!$A$3:$A$102,'TCO TO BE - HW'!V$2,'Rozpočet - HW a licencie'!$D$3:$D$102,"SW pre HW",'Rozpočet - HW a licencie'!$H$3:$H$102,'TCO TO BE - HW'!$D6,'Rozpočet - HW a licencie'!$E$3:$E$102,'TCO TO BE - HW'!$B$15),)</f>
        <v>0</v>
      </c>
      <c r="W16" s="540">
        <f>IFERROR(SUMIFS('Rozpočet - HW a licencie'!$J$3:$J$102,'Rozpočet - HW a licencie'!$A$3:$A$102,'TCO TO BE - HW'!W$2,'Rozpočet - HW a licencie'!$D$3:$D$102,"HW",'Rozpočet - HW a licencie'!$H$3:$H$102,'TCO TO BE - HW'!$D6,'Rozpočet - HW a licencie'!$E$3:$E$102,'TCO TO BE - HW'!$B$15)+SUMIFS('Rozpočet - HW a licencie'!$J$3:$J$102,'Rozpočet - HW a licencie'!$A$3:$A$102,'TCO TO BE - HW'!W$2,'Rozpočet - HW a licencie'!$D$3:$D$102,"SW pre HW",'Rozpočet - HW a licencie'!$H$3:$H$102,'TCO TO BE - HW'!$D6,'Rozpočet - HW a licencie'!$E$3:$E$102,'TCO TO BE - HW'!$B$15),)</f>
        <v>0</v>
      </c>
      <c r="X16" s="540">
        <f>IFERROR(SUMIFS('Rozpočet - HW a licencie'!$J$3:$J$102,'Rozpočet - HW a licencie'!$A$3:$A$102,'TCO TO BE - HW'!X$2,'Rozpočet - HW a licencie'!$D$3:$D$102,"HW",'Rozpočet - HW a licencie'!$H$3:$H$102,'TCO TO BE - HW'!$D6,'Rozpočet - HW a licencie'!$E$3:$E$102,'TCO TO BE - HW'!$B$15)+SUMIFS('Rozpočet - HW a licencie'!$J$3:$J$102,'Rozpočet - HW a licencie'!$A$3:$A$102,'TCO TO BE - HW'!X$2,'Rozpočet - HW a licencie'!$D$3:$D$102,"SW pre HW",'Rozpočet - HW a licencie'!$H$3:$H$102,'TCO TO BE - HW'!$D6,'Rozpočet - HW a licencie'!$E$3:$E$102,'TCO TO BE - HW'!$B$15),)</f>
        <v>0</v>
      </c>
      <c r="Y16" s="540">
        <f>IFERROR(SUMIFS('Rozpočet - HW a licencie'!$J$3:$J$102,'Rozpočet - HW a licencie'!$A$3:$A$102,'TCO TO BE - HW'!Y$2,'Rozpočet - HW a licencie'!$D$3:$D$102,"HW",'Rozpočet - HW a licencie'!$H$3:$H$102,'TCO TO BE - HW'!$D6,'Rozpočet - HW a licencie'!$E$3:$E$102,'TCO TO BE - HW'!$B$15)+SUMIFS('Rozpočet - HW a licencie'!$J$3:$J$102,'Rozpočet - HW a licencie'!$A$3:$A$102,'TCO TO BE - HW'!Y$2,'Rozpočet - HW a licencie'!$D$3:$D$102,"SW pre HW",'Rozpočet - HW a licencie'!$H$3:$H$102,'TCO TO BE - HW'!$D6,'Rozpočet - HW a licencie'!$E$3:$E$102,'TCO TO BE - HW'!$B$15),)</f>
        <v>0</v>
      </c>
      <c r="Z16" s="540">
        <f>IFERROR(SUMIFS('Rozpočet - HW a licencie'!$J$3:$J$102,'Rozpočet - HW a licencie'!$A$3:$A$102,'TCO TO BE - HW'!Z$2,'Rozpočet - HW a licencie'!$D$3:$D$102,"HW",'Rozpočet - HW a licencie'!$H$3:$H$102,'TCO TO BE - HW'!$D6,'Rozpočet - HW a licencie'!$E$3:$E$102,'TCO TO BE - HW'!$B$15)+SUMIFS('Rozpočet - HW a licencie'!$J$3:$J$102,'Rozpočet - HW a licencie'!$A$3:$A$102,'TCO TO BE - HW'!Z$2,'Rozpočet - HW a licencie'!$D$3:$D$102,"SW pre HW",'Rozpočet - HW a licencie'!$H$3:$H$102,'TCO TO BE - HW'!$D6,'Rozpočet - HW a licencie'!$E$3:$E$102,'TCO TO BE - HW'!$B$15),)</f>
        <v>0</v>
      </c>
    </row>
    <row r="17" spans="1:26" outlineLevel="1" x14ac:dyDescent="0.2">
      <c r="A17" s="884"/>
      <c r="B17" s="885"/>
      <c r="C17" s="885"/>
      <c r="D17" s="464">
        <v>3</v>
      </c>
      <c r="E17" s="68">
        <f t="shared" si="2"/>
        <v>0</v>
      </c>
      <c r="F17" s="540">
        <f>IFERROR(SUMIFS('Rozpočet - HW a licencie'!$J$3:$J$102,'Rozpočet - HW a licencie'!$A$3:$A$102,'TCO TO BE - HW'!F$2,'Rozpočet - HW a licencie'!$D$3:$D$102,"HW",'Rozpočet - HW a licencie'!$H$3:$H$102,'TCO TO BE - HW'!$D7,'Rozpočet - HW a licencie'!$E$3:$E$102,'TCO TO BE - HW'!$B$15)+SUMIFS('Rozpočet - HW a licencie'!$J$3:$J$102,'Rozpočet - HW a licencie'!$A$3:$A$102,'TCO TO BE - HW'!F$2,'Rozpočet - HW a licencie'!$D$3:$D$102,"SW pre HW",'Rozpočet - HW a licencie'!$H$3:$H$102,'TCO TO BE - HW'!$D7,'Rozpočet - HW a licencie'!$E$3:$E$102,'TCO TO BE - HW'!$B$15),)</f>
        <v>0</v>
      </c>
      <c r="G17" s="540">
        <f>IFERROR(SUMIFS('Rozpočet - HW a licencie'!$J$3:$J$102,'Rozpočet - HW a licencie'!$A$3:$A$102,'TCO TO BE - HW'!G$2,'Rozpočet - HW a licencie'!$D$3:$D$102,"HW",'Rozpočet - HW a licencie'!$H$3:$H$102,'TCO TO BE - HW'!$D7,'Rozpočet - HW a licencie'!$E$3:$E$102,'TCO TO BE - HW'!$B$15)+SUMIFS('Rozpočet - HW a licencie'!$J$3:$J$102,'Rozpočet - HW a licencie'!$A$3:$A$102,'TCO TO BE - HW'!G$2,'Rozpočet - HW a licencie'!$D$3:$D$102,"SW pre HW",'Rozpočet - HW a licencie'!$H$3:$H$102,'TCO TO BE - HW'!$D7,'Rozpočet - HW a licencie'!$E$3:$E$102,'TCO TO BE - HW'!$B$15),)</f>
        <v>0</v>
      </c>
      <c r="H17" s="540">
        <f>IFERROR(SUMIFS('Rozpočet - HW a licencie'!$J$3:$J$102,'Rozpočet - HW a licencie'!$A$3:$A$102,'TCO TO BE - HW'!H$2,'Rozpočet - HW a licencie'!$D$3:$D$102,"HW",'Rozpočet - HW a licencie'!$H$3:$H$102,'TCO TO BE - HW'!$D7,'Rozpočet - HW a licencie'!$E$3:$E$102,'TCO TO BE - HW'!$B$15)+SUMIFS('Rozpočet - HW a licencie'!$J$3:$J$102,'Rozpočet - HW a licencie'!$A$3:$A$102,'TCO TO BE - HW'!H$2,'Rozpočet - HW a licencie'!$D$3:$D$102,"SW pre HW",'Rozpočet - HW a licencie'!$H$3:$H$102,'TCO TO BE - HW'!$D7,'Rozpočet - HW a licencie'!$E$3:$E$102,'TCO TO BE - HW'!$B$15),)</f>
        <v>0</v>
      </c>
      <c r="I17" s="540">
        <f>IFERROR(SUMIFS('Rozpočet - HW a licencie'!$J$3:$J$102,'Rozpočet - HW a licencie'!$A$3:$A$102,'TCO TO BE - HW'!I$2,'Rozpočet - HW a licencie'!$D$3:$D$102,"HW",'Rozpočet - HW a licencie'!$H$3:$H$102,'TCO TO BE - HW'!$D7,'Rozpočet - HW a licencie'!$E$3:$E$102,'TCO TO BE - HW'!$B$15)+SUMIFS('Rozpočet - HW a licencie'!$J$3:$J$102,'Rozpočet - HW a licencie'!$A$3:$A$102,'TCO TO BE - HW'!I$2,'Rozpočet - HW a licencie'!$D$3:$D$102,"SW pre HW",'Rozpočet - HW a licencie'!$H$3:$H$102,'TCO TO BE - HW'!$D7,'Rozpočet - HW a licencie'!$E$3:$E$102,'TCO TO BE - HW'!$B$15),)</f>
        <v>0</v>
      </c>
      <c r="J17" s="540">
        <f>IFERROR(SUMIFS('Rozpočet - HW a licencie'!$J$3:$J$102,'Rozpočet - HW a licencie'!$A$3:$A$102,'TCO TO BE - HW'!J$2,'Rozpočet - HW a licencie'!$D$3:$D$102,"HW",'Rozpočet - HW a licencie'!$H$3:$H$102,'TCO TO BE - HW'!$D7,'Rozpočet - HW a licencie'!$E$3:$E$102,'TCO TO BE - HW'!$B$15)+SUMIFS('Rozpočet - HW a licencie'!$J$3:$J$102,'Rozpočet - HW a licencie'!$A$3:$A$102,'TCO TO BE - HW'!J$2,'Rozpočet - HW a licencie'!$D$3:$D$102,"SW pre HW",'Rozpočet - HW a licencie'!$H$3:$H$102,'TCO TO BE - HW'!$D7,'Rozpočet - HW a licencie'!$E$3:$E$102,'TCO TO BE - HW'!$B$15),)</f>
        <v>0</v>
      </c>
      <c r="K17" s="540">
        <f>IFERROR(SUMIFS('Rozpočet - HW a licencie'!$J$3:$J$102,'Rozpočet - HW a licencie'!$A$3:$A$102,'TCO TO BE - HW'!K$2,'Rozpočet - HW a licencie'!$D$3:$D$102,"HW",'Rozpočet - HW a licencie'!$H$3:$H$102,'TCO TO BE - HW'!$D7,'Rozpočet - HW a licencie'!$E$3:$E$102,'TCO TO BE - HW'!$B$15)+SUMIFS('Rozpočet - HW a licencie'!$J$3:$J$102,'Rozpočet - HW a licencie'!$A$3:$A$102,'TCO TO BE - HW'!K$2,'Rozpočet - HW a licencie'!$D$3:$D$102,"SW pre HW",'Rozpočet - HW a licencie'!$H$3:$H$102,'TCO TO BE - HW'!$D7,'Rozpočet - HW a licencie'!$E$3:$E$102,'TCO TO BE - HW'!$B$15),)</f>
        <v>0</v>
      </c>
      <c r="L17" s="540">
        <f>IFERROR(SUMIFS('Rozpočet - HW a licencie'!$J$3:$J$102,'Rozpočet - HW a licencie'!$A$3:$A$102,'TCO TO BE - HW'!L$2,'Rozpočet - HW a licencie'!$D$3:$D$102,"HW",'Rozpočet - HW a licencie'!$H$3:$H$102,'TCO TO BE - HW'!$D7,'Rozpočet - HW a licencie'!$E$3:$E$102,'TCO TO BE - HW'!$B$15)+SUMIFS('Rozpočet - HW a licencie'!$J$3:$J$102,'Rozpočet - HW a licencie'!$A$3:$A$102,'TCO TO BE - HW'!L$2,'Rozpočet - HW a licencie'!$D$3:$D$102,"SW pre HW",'Rozpočet - HW a licencie'!$H$3:$H$102,'TCO TO BE - HW'!$D7,'Rozpočet - HW a licencie'!$E$3:$E$102,'TCO TO BE - HW'!$B$15),)</f>
        <v>0</v>
      </c>
      <c r="M17" s="540">
        <f>IFERROR(SUMIFS('Rozpočet - HW a licencie'!$J$3:$J$102,'Rozpočet - HW a licencie'!$A$3:$A$102,'TCO TO BE - HW'!M$2,'Rozpočet - HW a licencie'!$D$3:$D$102,"HW",'Rozpočet - HW a licencie'!$H$3:$H$102,'TCO TO BE - HW'!$D7,'Rozpočet - HW a licencie'!$E$3:$E$102,'TCO TO BE - HW'!$B$15)+SUMIFS('Rozpočet - HW a licencie'!$J$3:$J$102,'Rozpočet - HW a licencie'!$A$3:$A$102,'TCO TO BE - HW'!M$2,'Rozpočet - HW a licencie'!$D$3:$D$102,"SW pre HW",'Rozpočet - HW a licencie'!$H$3:$H$102,'TCO TO BE - HW'!$D7,'Rozpočet - HW a licencie'!$E$3:$E$102,'TCO TO BE - HW'!$B$15),)</f>
        <v>0</v>
      </c>
      <c r="N17" s="540">
        <f>IFERROR(SUMIFS('Rozpočet - HW a licencie'!$J$3:$J$102,'Rozpočet - HW a licencie'!$A$3:$A$102,'TCO TO BE - HW'!N$2,'Rozpočet - HW a licencie'!$D$3:$D$102,"HW",'Rozpočet - HW a licencie'!$H$3:$H$102,'TCO TO BE - HW'!$D7,'Rozpočet - HW a licencie'!$E$3:$E$102,'TCO TO BE - HW'!$B$15)+SUMIFS('Rozpočet - HW a licencie'!$J$3:$J$102,'Rozpočet - HW a licencie'!$A$3:$A$102,'TCO TO BE - HW'!N$2,'Rozpočet - HW a licencie'!$D$3:$D$102,"SW pre HW",'Rozpočet - HW a licencie'!$H$3:$H$102,'TCO TO BE - HW'!$D7,'Rozpočet - HW a licencie'!$E$3:$E$102,'TCO TO BE - HW'!$B$15),)</f>
        <v>0</v>
      </c>
      <c r="O17" s="540">
        <f>IFERROR(SUMIFS('Rozpočet - HW a licencie'!$J$3:$J$102,'Rozpočet - HW a licencie'!$A$3:$A$102,'TCO TO BE - HW'!O$2,'Rozpočet - HW a licencie'!$D$3:$D$102,"HW",'Rozpočet - HW a licencie'!$H$3:$H$102,'TCO TO BE - HW'!$D7,'Rozpočet - HW a licencie'!$E$3:$E$102,'TCO TO BE - HW'!$B$15)+SUMIFS('Rozpočet - HW a licencie'!$J$3:$J$102,'Rozpočet - HW a licencie'!$A$3:$A$102,'TCO TO BE - HW'!O$2,'Rozpočet - HW a licencie'!$D$3:$D$102,"SW pre HW",'Rozpočet - HW a licencie'!$H$3:$H$102,'TCO TO BE - HW'!$D7,'Rozpočet - HW a licencie'!$E$3:$E$102,'TCO TO BE - HW'!$B$15),)</f>
        <v>0</v>
      </c>
      <c r="P17" s="540">
        <f>IFERROR(SUMIFS('Rozpočet - HW a licencie'!$J$3:$J$102,'Rozpočet - HW a licencie'!$A$3:$A$102,'TCO TO BE - HW'!P$2,'Rozpočet - HW a licencie'!$D$3:$D$102,"HW",'Rozpočet - HW a licencie'!$H$3:$H$102,'TCO TO BE - HW'!$D7,'Rozpočet - HW a licencie'!$E$3:$E$102,'TCO TO BE - HW'!$B$15)+SUMIFS('Rozpočet - HW a licencie'!$J$3:$J$102,'Rozpočet - HW a licencie'!$A$3:$A$102,'TCO TO BE - HW'!P$2,'Rozpočet - HW a licencie'!$D$3:$D$102,"SW pre HW",'Rozpočet - HW a licencie'!$H$3:$H$102,'TCO TO BE - HW'!$D7,'Rozpočet - HW a licencie'!$E$3:$E$102,'TCO TO BE - HW'!$B$15),)</f>
        <v>0</v>
      </c>
      <c r="Q17" s="540">
        <f>IFERROR(SUMIFS('Rozpočet - HW a licencie'!$J$3:$J$102,'Rozpočet - HW a licencie'!$A$3:$A$102,'TCO TO BE - HW'!Q$2,'Rozpočet - HW a licencie'!$D$3:$D$102,"HW",'Rozpočet - HW a licencie'!$H$3:$H$102,'TCO TO BE - HW'!$D7,'Rozpočet - HW a licencie'!$E$3:$E$102,'TCO TO BE - HW'!$B$15)+SUMIFS('Rozpočet - HW a licencie'!$J$3:$J$102,'Rozpočet - HW a licencie'!$A$3:$A$102,'TCO TO BE - HW'!Q$2,'Rozpočet - HW a licencie'!$D$3:$D$102,"SW pre HW",'Rozpočet - HW a licencie'!$H$3:$H$102,'TCO TO BE - HW'!$D7,'Rozpočet - HW a licencie'!$E$3:$E$102,'TCO TO BE - HW'!$B$15),)</f>
        <v>0</v>
      </c>
      <c r="R17" s="540">
        <f>IFERROR(SUMIFS('Rozpočet - HW a licencie'!$J$3:$J$102,'Rozpočet - HW a licencie'!$A$3:$A$102,'TCO TO BE - HW'!R$2,'Rozpočet - HW a licencie'!$D$3:$D$102,"HW",'Rozpočet - HW a licencie'!$H$3:$H$102,'TCO TO BE - HW'!$D7,'Rozpočet - HW a licencie'!$E$3:$E$102,'TCO TO BE - HW'!$B$15)+SUMIFS('Rozpočet - HW a licencie'!$J$3:$J$102,'Rozpočet - HW a licencie'!$A$3:$A$102,'TCO TO BE - HW'!R$2,'Rozpočet - HW a licencie'!$D$3:$D$102,"SW pre HW",'Rozpočet - HW a licencie'!$H$3:$H$102,'TCO TO BE - HW'!$D7,'Rozpočet - HW a licencie'!$E$3:$E$102,'TCO TO BE - HW'!$B$15),)</f>
        <v>0</v>
      </c>
      <c r="S17" s="540">
        <f>IFERROR(SUMIFS('Rozpočet - HW a licencie'!$J$3:$J$102,'Rozpočet - HW a licencie'!$A$3:$A$102,'TCO TO BE - HW'!S$2,'Rozpočet - HW a licencie'!$D$3:$D$102,"HW",'Rozpočet - HW a licencie'!$H$3:$H$102,'TCO TO BE - HW'!$D7,'Rozpočet - HW a licencie'!$E$3:$E$102,'TCO TO BE - HW'!$B$15)+SUMIFS('Rozpočet - HW a licencie'!$J$3:$J$102,'Rozpočet - HW a licencie'!$A$3:$A$102,'TCO TO BE - HW'!S$2,'Rozpočet - HW a licencie'!$D$3:$D$102,"SW pre HW",'Rozpočet - HW a licencie'!$H$3:$H$102,'TCO TO BE - HW'!$D7,'Rozpočet - HW a licencie'!$E$3:$E$102,'TCO TO BE - HW'!$B$15),)</f>
        <v>0</v>
      </c>
      <c r="T17" s="540">
        <f>IFERROR(SUMIFS('Rozpočet - HW a licencie'!$J$3:$J$102,'Rozpočet - HW a licencie'!$A$3:$A$102,'TCO TO BE - HW'!T$2,'Rozpočet - HW a licencie'!$D$3:$D$102,"HW",'Rozpočet - HW a licencie'!$H$3:$H$102,'TCO TO BE - HW'!$D7,'Rozpočet - HW a licencie'!$E$3:$E$102,'TCO TO BE - HW'!$B$15)+SUMIFS('Rozpočet - HW a licencie'!$J$3:$J$102,'Rozpočet - HW a licencie'!$A$3:$A$102,'TCO TO BE - HW'!T$2,'Rozpočet - HW a licencie'!$D$3:$D$102,"SW pre HW",'Rozpočet - HW a licencie'!$H$3:$H$102,'TCO TO BE - HW'!$D7,'Rozpočet - HW a licencie'!$E$3:$E$102,'TCO TO BE - HW'!$B$15),)</f>
        <v>0</v>
      </c>
      <c r="U17" s="540">
        <f>IFERROR(SUMIFS('Rozpočet - HW a licencie'!$J$3:$J$102,'Rozpočet - HW a licencie'!$A$3:$A$102,'TCO TO BE - HW'!U$2,'Rozpočet - HW a licencie'!$D$3:$D$102,"HW",'Rozpočet - HW a licencie'!$H$3:$H$102,'TCO TO BE - HW'!$D7,'Rozpočet - HW a licencie'!$E$3:$E$102,'TCO TO BE - HW'!$B$15)+SUMIFS('Rozpočet - HW a licencie'!$J$3:$J$102,'Rozpočet - HW a licencie'!$A$3:$A$102,'TCO TO BE - HW'!U$2,'Rozpočet - HW a licencie'!$D$3:$D$102,"SW pre HW",'Rozpočet - HW a licencie'!$H$3:$H$102,'TCO TO BE - HW'!$D7,'Rozpočet - HW a licencie'!$E$3:$E$102,'TCO TO BE - HW'!$B$15),)</f>
        <v>0</v>
      </c>
      <c r="V17" s="540">
        <f>IFERROR(SUMIFS('Rozpočet - HW a licencie'!$J$3:$J$102,'Rozpočet - HW a licencie'!$A$3:$A$102,'TCO TO BE - HW'!V$2,'Rozpočet - HW a licencie'!$D$3:$D$102,"HW",'Rozpočet - HW a licencie'!$H$3:$H$102,'TCO TO BE - HW'!$D7,'Rozpočet - HW a licencie'!$E$3:$E$102,'TCO TO BE - HW'!$B$15)+SUMIFS('Rozpočet - HW a licencie'!$J$3:$J$102,'Rozpočet - HW a licencie'!$A$3:$A$102,'TCO TO BE - HW'!V$2,'Rozpočet - HW a licencie'!$D$3:$D$102,"SW pre HW",'Rozpočet - HW a licencie'!$H$3:$H$102,'TCO TO BE - HW'!$D7,'Rozpočet - HW a licencie'!$E$3:$E$102,'TCO TO BE - HW'!$B$15),)</f>
        <v>0</v>
      </c>
      <c r="W17" s="540">
        <f>IFERROR(SUMIFS('Rozpočet - HW a licencie'!$J$3:$J$102,'Rozpočet - HW a licencie'!$A$3:$A$102,'TCO TO BE - HW'!W$2,'Rozpočet - HW a licencie'!$D$3:$D$102,"HW",'Rozpočet - HW a licencie'!$H$3:$H$102,'TCO TO BE - HW'!$D7,'Rozpočet - HW a licencie'!$E$3:$E$102,'TCO TO BE - HW'!$B$15)+SUMIFS('Rozpočet - HW a licencie'!$J$3:$J$102,'Rozpočet - HW a licencie'!$A$3:$A$102,'TCO TO BE - HW'!W$2,'Rozpočet - HW a licencie'!$D$3:$D$102,"SW pre HW",'Rozpočet - HW a licencie'!$H$3:$H$102,'TCO TO BE - HW'!$D7,'Rozpočet - HW a licencie'!$E$3:$E$102,'TCO TO BE - HW'!$B$15),)</f>
        <v>0</v>
      </c>
      <c r="X17" s="540">
        <f>IFERROR(SUMIFS('Rozpočet - HW a licencie'!$J$3:$J$102,'Rozpočet - HW a licencie'!$A$3:$A$102,'TCO TO BE - HW'!X$2,'Rozpočet - HW a licencie'!$D$3:$D$102,"HW",'Rozpočet - HW a licencie'!$H$3:$H$102,'TCO TO BE - HW'!$D7,'Rozpočet - HW a licencie'!$E$3:$E$102,'TCO TO BE - HW'!$B$15)+SUMIFS('Rozpočet - HW a licencie'!$J$3:$J$102,'Rozpočet - HW a licencie'!$A$3:$A$102,'TCO TO BE - HW'!X$2,'Rozpočet - HW a licencie'!$D$3:$D$102,"SW pre HW",'Rozpočet - HW a licencie'!$H$3:$H$102,'TCO TO BE - HW'!$D7,'Rozpočet - HW a licencie'!$E$3:$E$102,'TCO TO BE - HW'!$B$15),)</f>
        <v>0</v>
      </c>
      <c r="Y17" s="540">
        <f>IFERROR(SUMIFS('Rozpočet - HW a licencie'!$J$3:$J$102,'Rozpočet - HW a licencie'!$A$3:$A$102,'TCO TO BE - HW'!Y$2,'Rozpočet - HW a licencie'!$D$3:$D$102,"HW",'Rozpočet - HW a licencie'!$H$3:$H$102,'TCO TO BE - HW'!$D7,'Rozpočet - HW a licencie'!$E$3:$E$102,'TCO TO BE - HW'!$B$15)+SUMIFS('Rozpočet - HW a licencie'!$J$3:$J$102,'Rozpočet - HW a licencie'!$A$3:$A$102,'TCO TO BE - HW'!Y$2,'Rozpočet - HW a licencie'!$D$3:$D$102,"SW pre HW",'Rozpočet - HW a licencie'!$H$3:$H$102,'TCO TO BE - HW'!$D7,'Rozpočet - HW a licencie'!$E$3:$E$102,'TCO TO BE - HW'!$B$15),)</f>
        <v>0</v>
      </c>
      <c r="Z17" s="540">
        <f>IFERROR(SUMIFS('Rozpočet - HW a licencie'!$J$3:$J$102,'Rozpočet - HW a licencie'!$A$3:$A$102,'TCO TO BE - HW'!Z$2,'Rozpočet - HW a licencie'!$D$3:$D$102,"HW",'Rozpočet - HW a licencie'!$H$3:$H$102,'TCO TO BE - HW'!$D7,'Rozpočet - HW a licencie'!$E$3:$E$102,'TCO TO BE - HW'!$B$15)+SUMIFS('Rozpočet - HW a licencie'!$J$3:$J$102,'Rozpočet - HW a licencie'!$A$3:$A$102,'TCO TO BE - HW'!Z$2,'Rozpočet - HW a licencie'!$D$3:$D$102,"SW pre HW",'Rozpočet - HW a licencie'!$H$3:$H$102,'TCO TO BE - HW'!$D7,'Rozpočet - HW a licencie'!$E$3:$E$102,'TCO TO BE - HW'!$B$15),)</f>
        <v>0</v>
      </c>
    </row>
    <row r="18" spans="1:26" outlineLevel="1" x14ac:dyDescent="0.2">
      <c r="A18" s="884"/>
      <c r="B18" s="885"/>
      <c r="C18" s="885"/>
      <c r="D18" s="464">
        <v>4</v>
      </c>
      <c r="E18" s="68">
        <f t="shared" si="2"/>
        <v>0</v>
      </c>
      <c r="F18" s="540">
        <f>IFERROR(SUMIFS('Rozpočet - HW a licencie'!$J$3:$J$102,'Rozpočet - HW a licencie'!$A$3:$A$102,'TCO TO BE - HW'!F$2,'Rozpočet - HW a licencie'!$D$3:$D$102,"HW",'Rozpočet - HW a licencie'!$H$3:$H$102,'TCO TO BE - HW'!$D8,'Rozpočet - HW a licencie'!$E$3:$E$102,'TCO TO BE - HW'!$B$15)+SUMIFS('Rozpočet - HW a licencie'!$J$3:$J$102,'Rozpočet - HW a licencie'!$A$3:$A$102,'TCO TO BE - HW'!F$2,'Rozpočet - HW a licencie'!$D$3:$D$102,"SW pre HW",'Rozpočet - HW a licencie'!$H$3:$H$102,'TCO TO BE - HW'!$D8,'Rozpočet - HW a licencie'!$E$3:$E$102,'TCO TO BE - HW'!$B$15),)</f>
        <v>0</v>
      </c>
      <c r="G18" s="540">
        <f>IFERROR(SUMIFS('Rozpočet - HW a licencie'!$J$3:$J$102,'Rozpočet - HW a licencie'!$A$3:$A$102,'TCO TO BE - HW'!G$2,'Rozpočet - HW a licencie'!$D$3:$D$102,"HW",'Rozpočet - HW a licencie'!$H$3:$H$102,'TCO TO BE - HW'!$D8,'Rozpočet - HW a licencie'!$E$3:$E$102,'TCO TO BE - HW'!$B$15)+SUMIFS('Rozpočet - HW a licencie'!$J$3:$J$102,'Rozpočet - HW a licencie'!$A$3:$A$102,'TCO TO BE - HW'!G$2,'Rozpočet - HW a licencie'!$D$3:$D$102,"SW pre HW",'Rozpočet - HW a licencie'!$H$3:$H$102,'TCO TO BE - HW'!$D8,'Rozpočet - HW a licencie'!$E$3:$E$102,'TCO TO BE - HW'!$B$15),)</f>
        <v>0</v>
      </c>
      <c r="H18" s="540">
        <f>IFERROR(SUMIFS('Rozpočet - HW a licencie'!$J$3:$J$102,'Rozpočet - HW a licencie'!$A$3:$A$102,'TCO TO BE - HW'!H$2,'Rozpočet - HW a licencie'!$D$3:$D$102,"HW",'Rozpočet - HW a licencie'!$H$3:$H$102,'TCO TO BE - HW'!$D8,'Rozpočet - HW a licencie'!$E$3:$E$102,'TCO TO BE - HW'!$B$15)+SUMIFS('Rozpočet - HW a licencie'!$J$3:$J$102,'Rozpočet - HW a licencie'!$A$3:$A$102,'TCO TO BE - HW'!H$2,'Rozpočet - HW a licencie'!$D$3:$D$102,"SW pre HW",'Rozpočet - HW a licencie'!$H$3:$H$102,'TCO TO BE - HW'!$D8,'Rozpočet - HW a licencie'!$E$3:$E$102,'TCO TO BE - HW'!$B$15),)</f>
        <v>0</v>
      </c>
      <c r="I18" s="540">
        <f>IFERROR(SUMIFS('Rozpočet - HW a licencie'!$J$3:$J$102,'Rozpočet - HW a licencie'!$A$3:$A$102,'TCO TO BE - HW'!I$2,'Rozpočet - HW a licencie'!$D$3:$D$102,"HW",'Rozpočet - HW a licencie'!$H$3:$H$102,'TCO TO BE - HW'!$D8,'Rozpočet - HW a licencie'!$E$3:$E$102,'TCO TO BE - HW'!$B$15)+SUMIFS('Rozpočet - HW a licencie'!$J$3:$J$102,'Rozpočet - HW a licencie'!$A$3:$A$102,'TCO TO BE - HW'!I$2,'Rozpočet - HW a licencie'!$D$3:$D$102,"SW pre HW",'Rozpočet - HW a licencie'!$H$3:$H$102,'TCO TO BE - HW'!$D8,'Rozpočet - HW a licencie'!$E$3:$E$102,'TCO TO BE - HW'!$B$15),)</f>
        <v>0</v>
      </c>
      <c r="J18" s="540">
        <f>IFERROR(SUMIFS('Rozpočet - HW a licencie'!$J$3:$J$102,'Rozpočet - HW a licencie'!$A$3:$A$102,'TCO TO BE - HW'!J$2,'Rozpočet - HW a licencie'!$D$3:$D$102,"HW",'Rozpočet - HW a licencie'!$H$3:$H$102,'TCO TO BE - HW'!$D8,'Rozpočet - HW a licencie'!$E$3:$E$102,'TCO TO BE - HW'!$B$15)+SUMIFS('Rozpočet - HW a licencie'!$J$3:$J$102,'Rozpočet - HW a licencie'!$A$3:$A$102,'TCO TO BE - HW'!J$2,'Rozpočet - HW a licencie'!$D$3:$D$102,"SW pre HW",'Rozpočet - HW a licencie'!$H$3:$H$102,'TCO TO BE - HW'!$D8,'Rozpočet - HW a licencie'!$E$3:$E$102,'TCO TO BE - HW'!$B$15),)</f>
        <v>0</v>
      </c>
      <c r="K18" s="540">
        <f>IFERROR(SUMIFS('Rozpočet - HW a licencie'!$J$3:$J$102,'Rozpočet - HW a licencie'!$A$3:$A$102,'TCO TO BE - HW'!K$2,'Rozpočet - HW a licencie'!$D$3:$D$102,"HW",'Rozpočet - HW a licencie'!$H$3:$H$102,'TCO TO BE - HW'!$D8,'Rozpočet - HW a licencie'!$E$3:$E$102,'TCO TO BE - HW'!$B$15)+SUMIFS('Rozpočet - HW a licencie'!$J$3:$J$102,'Rozpočet - HW a licencie'!$A$3:$A$102,'TCO TO BE - HW'!K$2,'Rozpočet - HW a licencie'!$D$3:$D$102,"SW pre HW",'Rozpočet - HW a licencie'!$H$3:$H$102,'TCO TO BE - HW'!$D8,'Rozpočet - HW a licencie'!$E$3:$E$102,'TCO TO BE - HW'!$B$15),)</f>
        <v>0</v>
      </c>
      <c r="L18" s="540">
        <f>IFERROR(SUMIFS('Rozpočet - HW a licencie'!$J$3:$J$102,'Rozpočet - HW a licencie'!$A$3:$A$102,'TCO TO BE - HW'!L$2,'Rozpočet - HW a licencie'!$D$3:$D$102,"HW",'Rozpočet - HW a licencie'!$H$3:$H$102,'TCO TO BE - HW'!$D8,'Rozpočet - HW a licencie'!$E$3:$E$102,'TCO TO BE - HW'!$B$15)+SUMIFS('Rozpočet - HW a licencie'!$J$3:$J$102,'Rozpočet - HW a licencie'!$A$3:$A$102,'TCO TO BE - HW'!L$2,'Rozpočet - HW a licencie'!$D$3:$D$102,"SW pre HW",'Rozpočet - HW a licencie'!$H$3:$H$102,'TCO TO BE - HW'!$D8,'Rozpočet - HW a licencie'!$E$3:$E$102,'TCO TO BE - HW'!$B$15),)</f>
        <v>0</v>
      </c>
      <c r="M18" s="540">
        <f>IFERROR(SUMIFS('Rozpočet - HW a licencie'!$J$3:$J$102,'Rozpočet - HW a licencie'!$A$3:$A$102,'TCO TO BE - HW'!M$2,'Rozpočet - HW a licencie'!$D$3:$D$102,"HW",'Rozpočet - HW a licencie'!$H$3:$H$102,'TCO TO BE - HW'!$D8,'Rozpočet - HW a licencie'!$E$3:$E$102,'TCO TO BE - HW'!$B$15)+SUMIFS('Rozpočet - HW a licencie'!$J$3:$J$102,'Rozpočet - HW a licencie'!$A$3:$A$102,'TCO TO BE - HW'!M$2,'Rozpočet - HW a licencie'!$D$3:$D$102,"SW pre HW",'Rozpočet - HW a licencie'!$H$3:$H$102,'TCO TO BE - HW'!$D8,'Rozpočet - HW a licencie'!$E$3:$E$102,'TCO TO BE - HW'!$B$15),)</f>
        <v>0</v>
      </c>
      <c r="N18" s="540">
        <f>IFERROR(SUMIFS('Rozpočet - HW a licencie'!$J$3:$J$102,'Rozpočet - HW a licencie'!$A$3:$A$102,'TCO TO BE - HW'!N$2,'Rozpočet - HW a licencie'!$D$3:$D$102,"HW",'Rozpočet - HW a licencie'!$H$3:$H$102,'TCO TO BE - HW'!$D8,'Rozpočet - HW a licencie'!$E$3:$E$102,'TCO TO BE - HW'!$B$15)+SUMIFS('Rozpočet - HW a licencie'!$J$3:$J$102,'Rozpočet - HW a licencie'!$A$3:$A$102,'TCO TO BE - HW'!N$2,'Rozpočet - HW a licencie'!$D$3:$D$102,"SW pre HW",'Rozpočet - HW a licencie'!$H$3:$H$102,'TCO TO BE - HW'!$D8,'Rozpočet - HW a licencie'!$E$3:$E$102,'TCO TO BE - HW'!$B$15),)</f>
        <v>0</v>
      </c>
      <c r="O18" s="540">
        <f>IFERROR(SUMIFS('Rozpočet - HW a licencie'!$J$3:$J$102,'Rozpočet - HW a licencie'!$A$3:$A$102,'TCO TO BE - HW'!O$2,'Rozpočet - HW a licencie'!$D$3:$D$102,"HW",'Rozpočet - HW a licencie'!$H$3:$H$102,'TCO TO BE - HW'!$D8,'Rozpočet - HW a licencie'!$E$3:$E$102,'TCO TO BE - HW'!$B$15)+SUMIFS('Rozpočet - HW a licencie'!$J$3:$J$102,'Rozpočet - HW a licencie'!$A$3:$A$102,'TCO TO BE - HW'!O$2,'Rozpočet - HW a licencie'!$D$3:$D$102,"SW pre HW",'Rozpočet - HW a licencie'!$H$3:$H$102,'TCO TO BE - HW'!$D8,'Rozpočet - HW a licencie'!$E$3:$E$102,'TCO TO BE - HW'!$B$15),)</f>
        <v>0</v>
      </c>
      <c r="P18" s="540">
        <f>IFERROR(SUMIFS('Rozpočet - HW a licencie'!$J$3:$J$102,'Rozpočet - HW a licencie'!$A$3:$A$102,'TCO TO BE - HW'!P$2,'Rozpočet - HW a licencie'!$D$3:$D$102,"HW",'Rozpočet - HW a licencie'!$H$3:$H$102,'TCO TO BE - HW'!$D8,'Rozpočet - HW a licencie'!$E$3:$E$102,'TCO TO BE - HW'!$B$15)+SUMIFS('Rozpočet - HW a licencie'!$J$3:$J$102,'Rozpočet - HW a licencie'!$A$3:$A$102,'TCO TO BE - HW'!P$2,'Rozpočet - HW a licencie'!$D$3:$D$102,"SW pre HW",'Rozpočet - HW a licencie'!$H$3:$H$102,'TCO TO BE - HW'!$D8,'Rozpočet - HW a licencie'!$E$3:$E$102,'TCO TO BE - HW'!$B$15),)</f>
        <v>0</v>
      </c>
      <c r="Q18" s="540">
        <f>IFERROR(SUMIFS('Rozpočet - HW a licencie'!$J$3:$J$102,'Rozpočet - HW a licencie'!$A$3:$A$102,'TCO TO BE - HW'!Q$2,'Rozpočet - HW a licencie'!$D$3:$D$102,"HW",'Rozpočet - HW a licencie'!$H$3:$H$102,'TCO TO BE - HW'!$D8,'Rozpočet - HW a licencie'!$E$3:$E$102,'TCO TO BE - HW'!$B$15)+SUMIFS('Rozpočet - HW a licencie'!$J$3:$J$102,'Rozpočet - HW a licencie'!$A$3:$A$102,'TCO TO BE - HW'!Q$2,'Rozpočet - HW a licencie'!$D$3:$D$102,"SW pre HW",'Rozpočet - HW a licencie'!$H$3:$H$102,'TCO TO BE - HW'!$D8,'Rozpočet - HW a licencie'!$E$3:$E$102,'TCO TO BE - HW'!$B$15),)</f>
        <v>0</v>
      </c>
      <c r="R18" s="540">
        <f>IFERROR(SUMIFS('Rozpočet - HW a licencie'!$J$3:$J$102,'Rozpočet - HW a licencie'!$A$3:$A$102,'TCO TO BE - HW'!R$2,'Rozpočet - HW a licencie'!$D$3:$D$102,"HW",'Rozpočet - HW a licencie'!$H$3:$H$102,'TCO TO BE - HW'!$D8,'Rozpočet - HW a licencie'!$E$3:$E$102,'TCO TO BE - HW'!$B$15)+SUMIFS('Rozpočet - HW a licencie'!$J$3:$J$102,'Rozpočet - HW a licencie'!$A$3:$A$102,'TCO TO BE - HW'!R$2,'Rozpočet - HW a licencie'!$D$3:$D$102,"SW pre HW",'Rozpočet - HW a licencie'!$H$3:$H$102,'TCO TO BE - HW'!$D8,'Rozpočet - HW a licencie'!$E$3:$E$102,'TCO TO BE - HW'!$B$15),)</f>
        <v>0</v>
      </c>
      <c r="S18" s="540">
        <f>IFERROR(SUMIFS('Rozpočet - HW a licencie'!$J$3:$J$102,'Rozpočet - HW a licencie'!$A$3:$A$102,'TCO TO BE - HW'!S$2,'Rozpočet - HW a licencie'!$D$3:$D$102,"HW",'Rozpočet - HW a licencie'!$H$3:$H$102,'TCO TO BE - HW'!$D8,'Rozpočet - HW a licencie'!$E$3:$E$102,'TCO TO BE - HW'!$B$15)+SUMIFS('Rozpočet - HW a licencie'!$J$3:$J$102,'Rozpočet - HW a licencie'!$A$3:$A$102,'TCO TO BE - HW'!S$2,'Rozpočet - HW a licencie'!$D$3:$D$102,"SW pre HW",'Rozpočet - HW a licencie'!$H$3:$H$102,'TCO TO BE - HW'!$D8,'Rozpočet - HW a licencie'!$E$3:$E$102,'TCO TO BE - HW'!$B$15),)</f>
        <v>0</v>
      </c>
      <c r="T18" s="540">
        <f>IFERROR(SUMIFS('Rozpočet - HW a licencie'!$J$3:$J$102,'Rozpočet - HW a licencie'!$A$3:$A$102,'TCO TO BE - HW'!T$2,'Rozpočet - HW a licencie'!$D$3:$D$102,"HW",'Rozpočet - HW a licencie'!$H$3:$H$102,'TCO TO BE - HW'!$D8,'Rozpočet - HW a licencie'!$E$3:$E$102,'TCO TO BE - HW'!$B$15)+SUMIFS('Rozpočet - HW a licencie'!$J$3:$J$102,'Rozpočet - HW a licencie'!$A$3:$A$102,'TCO TO BE - HW'!T$2,'Rozpočet - HW a licencie'!$D$3:$D$102,"SW pre HW",'Rozpočet - HW a licencie'!$H$3:$H$102,'TCO TO BE - HW'!$D8,'Rozpočet - HW a licencie'!$E$3:$E$102,'TCO TO BE - HW'!$B$15),)</f>
        <v>0</v>
      </c>
      <c r="U18" s="540">
        <f>IFERROR(SUMIFS('Rozpočet - HW a licencie'!$J$3:$J$102,'Rozpočet - HW a licencie'!$A$3:$A$102,'TCO TO BE - HW'!U$2,'Rozpočet - HW a licencie'!$D$3:$D$102,"HW",'Rozpočet - HW a licencie'!$H$3:$H$102,'TCO TO BE - HW'!$D8,'Rozpočet - HW a licencie'!$E$3:$E$102,'TCO TO BE - HW'!$B$15)+SUMIFS('Rozpočet - HW a licencie'!$J$3:$J$102,'Rozpočet - HW a licencie'!$A$3:$A$102,'TCO TO BE - HW'!U$2,'Rozpočet - HW a licencie'!$D$3:$D$102,"SW pre HW",'Rozpočet - HW a licencie'!$H$3:$H$102,'TCO TO BE - HW'!$D8,'Rozpočet - HW a licencie'!$E$3:$E$102,'TCO TO BE - HW'!$B$15),)</f>
        <v>0</v>
      </c>
      <c r="V18" s="540">
        <f>IFERROR(SUMIFS('Rozpočet - HW a licencie'!$J$3:$J$102,'Rozpočet - HW a licencie'!$A$3:$A$102,'TCO TO BE - HW'!V$2,'Rozpočet - HW a licencie'!$D$3:$D$102,"HW",'Rozpočet - HW a licencie'!$H$3:$H$102,'TCO TO BE - HW'!$D8,'Rozpočet - HW a licencie'!$E$3:$E$102,'TCO TO BE - HW'!$B$15)+SUMIFS('Rozpočet - HW a licencie'!$J$3:$J$102,'Rozpočet - HW a licencie'!$A$3:$A$102,'TCO TO BE - HW'!V$2,'Rozpočet - HW a licencie'!$D$3:$D$102,"SW pre HW",'Rozpočet - HW a licencie'!$H$3:$H$102,'TCO TO BE - HW'!$D8,'Rozpočet - HW a licencie'!$E$3:$E$102,'TCO TO BE - HW'!$B$15),)</f>
        <v>0</v>
      </c>
      <c r="W18" s="540">
        <f>IFERROR(SUMIFS('Rozpočet - HW a licencie'!$J$3:$J$102,'Rozpočet - HW a licencie'!$A$3:$A$102,'TCO TO BE - HW'!W$2,'Rozpočet - HW a licencie'!$D$3:$D$102,"HW",'Rozpočet - HW a licencie'!$H$3:$H$102,'TCO TO BE - HW'!$D8,'Rozpočet - HW a licencie'!$E$3:$E$102,'TCO TO BE - HW'!$B$15)+SUMIFS('Rozpočet - HW a licencie'!$J$3:$J$102,'Rozpočet - HW a licencie'!$A$3:$A$102,'TCO TO BE - HW'!W$2,'Rozpočet - HW a licencie'!$D$3:$D$102,"SW pre HW",'Rozpočet - HW a licencie'!$H$3:$H$102,'TCO TO BE - HW'!$D8,'Rozpočet - HW a licencie'!$E$3:$E$102,'TCO TO BE - HW'!$B$15),)</f>
        <v>0</v>
      </c>
      <c r="X18" s="540">
        <f>IFERROR(SUMIFS('Rozpočet - HW a licencie'!$J$3:$J$102,'Rozpočet - HW a licencie'!$A$3:$A$102,'TCO TO BE - HW'!X$2,'Rozpočet - HW a licencie'!$D$3:$D$102,"HW",'Rozpočet - HW a licencie'!$H$3:$H$102,'TCO TO BE - HW'!$D8,'Rozpočet - HW a licencie'!$E$3:$E$102,'TCO TO BE - HW'!$B$15)+SUMIFS('Rozpočet - HW a licencie'!$J$3:$J$102,'Rozpočet - HW a licencie'!$A$3:$A$102,'TCO TO BE - HW'!X$2,'Rozpočet - HW a licencie'!$D$3:$D$102,"SW pre HW",'Rozpočet - HW a licencie'!$H$3:$H$102,'TCO TO BE - HW'!$D8,'Rozpočet - HW a licencie'!$E$3:$E$102,'TCO TO BE - HW'!$B$15),)</f>
        <v>0</v>
      </c>
      <c r="Y18" s="540">
        <f>IFERROR(SUMIFS('Rozpočet - HW a licencie'!$J$3:$J$102,'Rozpočet - HW a licencie'!$A$3:$A$102,'TCO TO BE - HW'!Y$2,'Rozpočet - HW a licencie'!$D$3:$D$102,"HW",'Rozpočet - HW a licencie'!$H$3:$H$102,'TCO TO BE - HW'!$D8,'Rozpočet - HW a licencie'!$E$3:$E$102,'TCO TO BE - HW'!$B$15)+SUMIFS('Rozpočet - HW a licencie'!$J$3:$J$102,'Rozpočet - HW a licencie'!$A$3:$A$102,'TCO TO BE - HW'!Y$2,'Rozpočet - HW a licencie'!$D$3:$D$102,"SW pre HW",'Rozpočet - HW a licencie'!$H$3:$H$102,'TCO TO BE - HW'!$D8,'Rozpočet - HW a licencie'!$E$3:$E$102,'TCO TO BE - HW'!$B$15),)</f>
        <v>0</v>
      </c>
      <c r="Z18" s="540">
        <f>IFERROR(SUMIFS('Rozpočet - HW a licencie'!$J$3:$J$102,'Rozpočet - HW a licencie'!$A$3:$A$102,'TCO TO BE - HW'!Z$2,'Rozpočet - HW a licencie'!$D$3:$D$102,"HW",'Rozpočet - HW a licencie'!$H$3:$H$102,'TCO TO BE - HW'!$D8,'Rozpočet - HW a licencie'!$E$3:$E$102,'TCO TO BE - HW'!$B$15)+SUMIFS('Rozpočet - HW a licencie'!$J$3:$J$102,'Rozpočet - HW a licencie'!$A$3:$A$102,'TCO TO BE - HW'!Z$2,'Rozpočet - HW a licencie'!$D$3:$D$102,"SW pre HW",'Rozpočet - HW a licencie'!$H$3:$H$102,'TCO TO BE - HW'!$D8,'Rozpočet - HW a licencie'!$E$3:$E$102,'TCO TO BE - HW'!$B$15),)</f>
        <v>0</v>
      </c>
    </row>
    <row r="19" spans="1:26" outlineLevel="1" x14ac:dyDescent="0.2">
      <c r="A19" s="884"/>
      <c r="B19" s="885"/>
      <c r="C19" s="885"/>
      <c r="D19" s="464">
        <v>5</v>
      </c>
      <c r="E19" s="68">
        <f t="shared" si="2"/>
        <v>0</v>
      </c>
      <c r="F19" s="540">
        <f>IFERROR(SUMIFS('Rozpočet - HW a licencie'!$J$3:$J$102,'Rozpočet - HW a licencie'!$A$3:$A$102,'TCO TO BE - HW'!F$2,'Rozpočet - HW a licencie'!$D$3:$D$102,"HW",'Rozpočet - HW a licencie'!$H$3:$H$102,'TCO TO BE - HW'!$D9,'Rozpočet - HW a licencie'!$E$3:$E$102,'TCO TO BE - HW'!$B$15)+SUMIFS('Rozpočet - HW a licencie'!$J$3:$J$102,'Rozpočet - HW a licencie'!$A$3:$A$102,'TCO TO BE - HW'!F$2,'Rozpočet - HW a licencie'!$D$3:$D$102,"SW pre HW",'Rozpočet - HW a licencie'!$H$3:$H$102,'TCO TO BE - HW'!$D9,'Rozpočet - HW a licencie'!$E$3:$E$102,'TCO TO BE - HW'!$B$15),)</f>
        <v>0</v>
      </c>
      <c r="G19" s="540">
        <f>IFERROR(SUMIFS('Rozpočet - HW a licencie'!$J$3:$J$102,'Rozpočet - HW a licencie'!$A$3:$A$102,'TCO TO BE - HW'!G$2,'Rozpočet - HW a licencie'!$D$3:$D$102,"HW",'Rozpočet - HW a licencie'!$H$3:$H$102,'TCO TO BE - HW'!$D9,'Rozpočet - HW a licencie'!$E$3:$E$102,'TCO TO BE - HW'!$B$15)+SUMIFS('Rozpočet - HW a licencie'!$J$3:$J$102,'Rozpočet - HW a licencie'!$A$3:$A$102,'TCO TO BE - HW'!G$2,'Rozpočet - HW a licencie'!$D$3:$D$102,"SW pre HW",'Rozpočet - HW a licencie'!$H$3:$H$102,'TCO TO BE - HW'!$D9,'Rozpočet - HW a licencie'!$E$3:$E$102,'TCO TO BE - HW'!$B$15),)</f>
        <v>0</v>
      </c>
      <c r="H19" s="540">
        <f>IFERROR(SUMIFS('Rozpočet - HW a licencie'!$J$3:$J$102,'Rozpočet - HW a licencie'!$A$3:$A$102,'TCO TO BE - HW'!H$2,'Rozpočet - HW a licencie'!$D$3:$D$102,"HW",'Rozpočet - HW a licencie'!$H$3:$H$102,'TCO TO BE - HW'!$D9,'Rozpočet - HW a licencie'!$E$3:$E$102,'TCO TO BE - HW'!$B$15)+SUMIFS('Rozpočet - HW a licencie'!$J$3:$J$102,'Rozpočet - HW a licencie'!$A$3:$A$102,'TCO TO BE - HW'!H$2,'Rozpočet - HW a licencie'!$D$3:$D$102,"SW pre HW",'Rozpočet - HW a licencie'!$H$3:$H$102,'TCO TO BE - HW'!$D9,'Rozpočet - HW a licencie'!$E$3:$E$102,'TCO TO BE - HW'!$B$15),)</f>
        <v>0</v>
      </c>
      <c r="I19" s="540">
        <f>IFERROR(SUMIFS('Rozpočet - HW a licencie'!$J$3:$J$102,'Rozpočet - HW a licencie'!$A$3:$A$102,'TCO TO BE - HW'!I$2,'Rozpočet - HW a licencie'!$D$3:$D$102,"HW",'Rozpočet - HW a licencie'!$H$3:$H$102,'TCO TO BE - HW'!$D9,'Rozpočet - HW a licencie'!$E$3:$E$102,'TCO TO BE - HW'!$B$15)+SUMIFS('Rozpočet - HW a licencie'!$J$3:$J$102,'Rozpočet - HW a licencie'!$A$3:$A$102,'TCO TO BE - HW'!I$2,'Rozpočet - HW a licencie'!$D$3:$D$102,"SW pre HW",'Rozpočet - HW a licencie'!$H$3:$H$102,'TCO TO BE - HW'!$D9,'Rozpočet - HW a licencie'!$E$3:$E$102,'TCO TO BE - HW'!$B$15),)</f>
        <v>0</v>
      </c>
      <c r="J19" s="540">
        <f>IFERROR(SUMIFS('Rozpočet - HW a licencie'!$J$3:$J$102,'Rozpočet - HW a licencie'!$A$3:$A$102,'TCO TO BE - HW'!J$2,'Rozpočet - HW a licencie'!$D$3:$D$102,"HW",'Rozpočet - HW a licencie'!$H$3:$H$102,'TCO TO BE - HW'!$D9,'Rozpočet - HW a licencie'!$E$3:$E$102,'TCO TO BE - HW'!$B$15)+SUMIFS('Rozpočet - HW a licencie'!$J$3:$J$102,'Rozpočet - HW a licencie'!$A$3:$A$102,'TCO TO BE - HW'!J$2,'Rozpočet - HW a licencie'!$D$3:$D$102,"SW pre HW",'Rozpočet - HW a licencie'!$H$3:$H$102,'TCO TO BE - HW'!$D9,'Rozpočet - HW a licencie'!$E$3:$E$102,'TCO TO BE - HW'!$B$15),)</f>
        <v>0</v>
      </c>
      <c r="K19" s="540">
        <f>IFERROR(SUMIFS('Rozpočet - HW a licencie'!$J$3:$J$102,'Rozpočet - HW a licencie'!$A$3:$A$102,'TCO TO BE - HW'!K$2,'Rozpočet - HW a licencie'!$D$3:$D$102,"HW",'Rozpočet - HW a licencie'!$H$3:$H$102,'TCO TO BE - HW'!$D9,'Rozpočet - HW a licencie'!$E$3:$E$102,'TCO TO BE - HW'!$B$15)+SUMIFS('Rozpočet - HW a licencie'!$J$3:$J$102,'Rozpočet - HW a licencie'!$A$3:$A$102,'TCO TO BE - HW'!K$2,'Rozpočet - HW a licencie'!$D$3:$D$102,"SW pre HW",'Rozpočet - HW a licencie'!$H$3:$H$102,'TCO TO BE - HW'!$D9,'Rozpočet - HW a licencie'!$E$3:$E$102,'TCO TO BE - HW'!$B$15),)</f>
        <v>0</v>
      </c>
      <c r="L19" s="540">
        <f>IFERROR(SUMIFS('Rozpočet - HW a licencie'!$J$3:$J$102,'Rozpočet - HW a licencie'!$A$3:$A$102,'TCO TO BE - HW'!L$2,'Rozpočet - HW a licencie'!$D$3:$D$102,"HW",'Rozpočet - HW a licencie'!$H$3:$H$102,'TCO TO BE - HW'!$D9,'Rozpočet - HW a licencie'!$E$3:$E$102,'TCO TO BE - HW'!$B$15)+SUMIFS('Rozpočet - HW a licencie'!$J$3:$J$102,'Rozpočet - HW a licencie'!$A$3:$A$102,'TCO TO BE - HW'!L$2,'Rozpočet - HW a licencie'!$D$3:$D$102,"SW pre HW",'Rozpočet - HW a licencie'!$H$3:$H$102,'TCO TO BE - HW'!$D9,'Rozpočet - HW a licencie'!$E$3:$E$102,'TCO TO BE - HW'!$B$15),)</f>
        <v>0</v>
      </c>
      <c r="M19" s="540">
        <f>IFERROR(SUMIFS('Rozpočet - HW a licencie'!$J$3:$J$102,'Rozpočet - HW a licencie'!$A$3:$A$102,'TCO TO BE - HW'!M$2,'Rozpočet - HW a licencie'!$D$3:$D$102,"HW",'Rozpočet - HW a licencie'!$H$3:$H$102,'TCO TO BE - HW'!$D9,'Rozpočet - HW a licencie'!$E$3:$E$102,'TCO TO BE - HW'!$B$15)+SUMIFS('Rozpočet - HW a licencie'!$J$3:$J$102,'Rozpočet - HW a licencie'!$A$3:$A$102,'TCO TO BE - HW'!M$2,'Rozpočet - HW a licencie'!$D$3:$D$102,"SW pre HW",'Rozpočet - HW a licencie'!$H$3:$H$102,'TCO TO BE - HW'!$D9,'Rozpočet - HW a licencie'!$E$3:$E$102,'TCO TO BE - HW'!$B$15),)</f>
        <v>0</v>
      </c>
      <c r="N19" s="540">
        <f>IFERROR(SUMIFS('Rozpočet - HW a licencie'!$J$3:$J$102,'Rozpočet - HW a licencie'!$A$3:$A$102,'TCO TO BE - HW'!N$2,'Rozpočet - HW a licencie'!$D$3:$D$102,"HW",'Rozpočet - HW a licencie'!$H$3:$H$102,'TCO TO BE - HW'!$D9,'Rozpočet - HW a licencie'!$E$3:$E$102,'TCO TO BE - HW'!$B$15)+SUMIFS('Rozpočet - HW a licencie'!$J$3:$J$102,'Rozpočet - HW a licencie'!$A$3:$A$102,'TCO TO BE - HW'!N$2,'Rozpočet - HW a licencie'!$D$3:$D$102,"SW pre HW",'Rozpočet - HW a licencie'!$H$3:$H$102,'TCO TO BE - HW'!$D9,'Rozpočet - HW a licencie'!$E$3:$E$102,'TCO TO BE - HW'!$B$15),)</f>
        <v>0</v>
      </c>
      <c r="O19" s="540">
        <f>IFERROR(SUMIFS('Rozpočet - HW a licencie'!$J$3:$J$102,'Rozpočet - HW a licencie'!$A$3:$A$102,'TCO TO BE - HW'!O$2,'Rozpočet - HW a licencie'!$D$3:$D$102,"HW",'Rozpočet - HW a licencie'!$H$3:$H$102,'TCO TO BE - HW'!$D9,'Rozpočet - HW a licencie'!$E$3:$E$102,'TCO TO BE - HW'!$B$15)+SUMIFS('Rozpočet - HW a licencie'!$J$3:$J$102,'Rozpočet - HW a licencie'!$A$3:$A$102,'TCO TO BE - HW'!O$2,'Rozpočet - HW a licencie'!$D$3:$D$102,"SW pre HW",'Rozpočet - HW a licencie'!$H$3:$H$102,'TCO TO BE - HW'!$D9,'Rozpočet - HW a licencie'!$E$3:$E$102,'TCO TO BE - HW'!$B$15),)</f>
        <v>0</v>
      </c>
      <c r="P19" s="540">
        <f>IFERROR(SUMIFS('Rozpočet - HW a licencie'!$J$3:$J$102,'Rozpočet - HW a licencie'!$A$3:$A$102,'TCO TO BE - HW'!P$2,'Rozpočet - HW a licencie'!$D$3:$D$102,"HW",'Rozpočet - HW a licencie'!$H$3:$H$102,'TCO TO BE - HW'!$D9,'Rozpočet - HW a licencie'!$E$3:$E$102,'TCO TO BE - HW'!$B$15)+SUMIFS('Rozpočet - HW a licencie'!$J$3:$J$102,'Rozpočet - HW a licencie'!$A$3:$A$102,'TCO TO BE - HW'!P$2,'Rozpočet - HW a licencie'!$D$3:$D$102,"SW pre HW",'Rozpočet - HW a licencie'!$H$3:$H$102,'TCO TO BE - HW'!$D9,'Rozpočet - HW a licencie'!$E$3:$E$102,'TCO TO BE - HW'!$B$15),)</f>
        <v>0</v>
      </c>
      <c r="Q19" s="540">
        <f>IFERROR(SUMIFS('Rozpočet - HW a licencie'!$J$3:$J$102,'Rozpočet - HW a licencie'!$A$3:$A$102,'TCO TO BE - HW'!Q$2,'Rozpočet - HW a licencie'!$D$3:$D$102,"HW",'Rozpočet - HW a licencie'!$H$3:$H$102,'TCO TO BE - HW'!$D9,'Rozpočet - HW a licencie'!$E$3:$E$102,'TCO TO BE - HW'!$B$15)+SUMIFS('Rozpočet - HW a licencie'!$J$3:$J$102,'Rozpočet - HW a licencie'!$A$3:$A$102,'TCO TO BE - HW'!Q$2,'Rozpočet - HW a licencie'!$D$3:$D$102,"SW pre HW",'Rozpočet - HW a licencie'!$H$3:$H$102,'TCO TO BE - HW'!$D9,'Rozpočet - HW a licencie'!$E$3:$E$102,'TCO TO BE - HW'!$B$15),)</f>
        <v>0</v>
      </c>
      <c r="R19" s="540">
        <f>IFERROR(SUMIFS('Rozpočet - HW a licencie'!$J$3:$J$102,'Rozpočet - HW a licencie'!$A$3:$A$102,'TCO TO BE - HW'!R$2,'Rozpočet - HW a licencie'!$D$3:$D$102,"HW",'Rozpočet - HW a licencie'!$H$3:$H$102,'TCO TO BE - HW'!$D9,'Rozpočet - HW a licencie'!$E$3:$E$102,'TCO TO BE - HW'!$B$15)+SUMIFS('Rozpočet - HW a licencie'!$J$3:$J$102,'Rozpočet - HW a licencie'!$A$3:$A$102,'TCO TO BE - HW'!R$2,'Rozpočet - HW a licencie'!$D$3:$D$102,"SW pre HW",'Rozpočet - HW a licencie'!$H$3:$H$102,'TCO TO BE - HW'!$D9,'Rozpočet - HW a licencie'!$E$3:$E$102,'TCO TO BE - HW'!$B$15),)</f>
        <v>0</v>
      </c>
      <c r="S19" s="540">
        <f>IFERROR(SUMIFS('Rozpočet - HW a licencie'!$J$3:$J$102,'Rozpočet - HW a licencie'!$A$3:$A$102,'TCO TO BE - HW'!S$2,'Rozpočet - HW a licencie'!$D$3:$D$102,"HW",'Rozpočet - HW a licencie'!$H$3:$H$102,'TCO TO BE - HW'!$D9,'Rozpočet - HW a licencie'!$E$3:$E$102,'TCO TO BE - HW'!$B$15)+SUMIFS('Rozpočet - HW a licencie'!$J$3:$J$102,'Rozpočet - HW a licencie'!$A$3:$A$102,'TCO TO BE - HW'!S$2,'Rozpočet - HW a licencie'!$D$3:$D$102,"SW pre HW",'Rozpočet - HW a licencie'!$H$3:$H$102,'TCO TO BE - HW'!$D9,'Rozpočet - HW a licencie'!$E$3:$E$102,'TCO TO BE - HW'!$B$15),)</f>
        <v>0</v>
      </c>
      <c r="T19" s="540">
        <f>IFERROR(SUMIFS('Rozpočet - HW a licencie'!$J$3:$J$102,'Rozpočet - HW a licencie'!$A$3:$A$102,'TCO TO BE - HW'!T$2,'Rozpočet - HW a licencie'!$D$3:$D$102,"HW",'Rozpočet - HW a licencie'!$H$3:$H$102,'TCO TO BE - HW'!$D9,'Rozpočet - HW a licencie'!$E$3:$E$102,'TCO TO BE - HW'!$B$15)+SUMIFS('Rozpočet - HW a licencie'!$J$3:$J$102,'Rozpočet - HW a licencie'!$A$3:$A$102,'TCO TO BE - HW'!T$2,'Rozpočet - HW a licencie'!$D$3:$D$102,"SW pre HW",'Rozpočet - HW a licencie'!$H$3:$H$102,'TCO TO BE - HW'!$D9,'Rozpočet - HW a licencie'!$E$3:$E$102,'TCO TO BE - HW'!$B$15),)</f>
        <v>0</v>
      </c>
      <c r="U19" s="540">
        <f>IFERROR(SUMIFS('Rozpočet - HW a licencie'!$J$3:$J$102,'Rozpočet - HW a licencie'!$A$3:$A$102,'TCO TO BE - HW'!U$2,'Rozpočet - HW a licencie'!$D$3:$D$102,"HW",'Rozpočet - HW a licencie'!$H$3:$H$102,'TCO TO BE - HW'!$D9,'Rozpočet - HW a licencie'!$E$3:$E$102,'TCO TO BE - HW'!$B$15)+SUMIFS('Rozpočet - HW a licencie'!$J$3:$J$102,'Rozpočet - HW a licencie'!$A$3:$A$102,'TCO TO BE - HW'!U$2,'Rozpočet - HW a licencie'!$D$3:$D$102,"SW pre HW",'Rozpočet - HW a licencie'!$H$3:$H$102,'TCO TO BE - HW'!$D9,'Rozpočet - HW a licencie'!$E$3:$E$102,'TCO TO BE - HW'!$B$15),)</f>
        <v>0</v>
      </c>
      <c r="V19" s="540">
        <f>IFERROR(SUMIFS('Rozpočet - HW a licencie'!$J$3:$J$102,'Rozpočet - HW a licencie'!$A$3:$A$102,'TCO TO BE - HW'!V$2,'Rozpočet - HW a licencie'!$D$3:$D$102,"HW",'Rozpočet - HW a licencie'!$H$3:$H$102,'TCO TO BE - HW'!$D9,'Rozpočet - HW a licencie'!$E$3:$E$102,'TCO TO BE - HW'!$B$15)+SUMIFS('Rozpočet - HW a licencie'!$J$3:$J$102,'Rozpočet - HW a licencie'!$A$3:$A$102,'TCO TO BE - HW'!V$2,'Rozpočet - HW a licencie'!$D$3:$D$102,"SW pre HW",'Rozpočet - HW a licencie'!$H$3:$H$102,'TCO TO BE - HW'!$D9,'Rozpočet - HW a licencie'!$E$3:$E$102,'TCO TO BE - HW'!$B$15),)</f>
        <v>0</v>
      </c>
      <c r="W19" s="540">
        <f>IFERROR(SUMIFS('Rozpočet - HW a licencie'!$J$3:$J$102,'Rozpočet - HW a licencie'!$A$3:$A$102,'TCO TO BE - HW'!W$2,'Rozpočet - HW a licencie'!$D$3:$D$102,"HW",'Rozpočet - HW a licencie'!$H$3:$H$102,'TCO TO BE - HW'!$D9,'Rozpočet - HW a licencie'!$E$3:$E$102,'TCO TO BE - HW'!$B$15)+SUMIFS('Rozpočet - HW a licencie'!$J$3:$J$102,'Rozpočet - HW a licencie'!$A$3:$A$102,'TCO TO BE - HW'!W$2,'Rozpočet - HW a licencie'!$D$3:$D$102,"SW pre HW",'Rozpočet - HW a licencie'!$H$3:$H$102,'TCO TO BE - HW'!$D9,'Rozpočet - HW a licencie'!$E$3:$E$102,'TCO TO BE - HW'!$B$15),)</f>
        <v>0</v>
      </c>
      <c r="X19" s="540">
        <f>IFERROR(SUMIFS('Rozpočet - HW a licencie'!$J$3:$J$102,'Rozpočet - HW a licencie'!$A$3:$A$102,'TCO TO BE - HW'!X$2,'Rozpočet - HW a licencie'!$D$3:$D$102,"HW",'Rozpočet - HW a licencie'!$H$3:$H$102,'TCO TO BE - HW'!$D9,'Rozpočet - HW a licencie'!$E$3:$E$102,'TCO TO BE - HW'!$B$15)+SUMIFS('Rozpočet - HW a licencie'!$J$3:$J$102,'Rozpočet - HW a licencie'!$A$3:$A$102,'TCO TO BE - HW'!X$2,'Rozpočet - HW a licencie'!$D$3:$D$102,"SW pre HW",'Rozpočet - HW a licencie'!$H$3:$H$102,'TCO TO BE - HW'!$D9,'Rozpočet - HW a licencie'!$E$3:$E$102,'TCO TO BE - HW'!$B$15),)</f>
        <v>0</v>
      </c>
      <c r="Y19" s="540">
        <f>IFERROR(SUMIFS('Rozpočet - HW a licencie'!$J$3:$J$102,'Rozpočet - HW a licencie'!$A$3:$A$102,'TCO TO BE - HW'!Y$2,'Rozpočet - HW a licencie'!$D$3:$D$102,"HW",'Rozpočet - HW a licencie'!$H$3:$H$102,'TCO TO BE - HW'!$D9,'Rozpočet - HW a licencie'!$E$3:$E$102,'TCO TO BE - HW'!$B$15)+SUMIFS('Rozpočet - HW a licencie'!$J$3:$J$102,'Rozpočet - HW a licencie'!$A$3:$A$102,'TCO TO BE - HW'!Y$2,'Rozpočet - HW a licencie'!$D$3:$D$102,"SW pre HW",'Rozpočet - HW a licencie'!$H$3:$H$102,'TCO TO BE - HW'!$D9,'Rozpočet - HW a licencie'!$E$3:$E$102,'TCO TO BE - HW'!$B$15),)</f>
        <v>0</v>
      </c>
      <c r="Z19" s="540">
        <f>IFERROR(SUMIFS('Rozpočet - HW a licencie'!$J$3:$J$102,'Rozpočet - HW a licencie'!$A$3:$A$102,'TCO TO BE - HW'!Z$2,'Rozpočet - HW a licencie'!$D$3:$D$102,"HW",'Rozpočet - HW a licencie'!$H$3:$H$102,'TCO TO BE - HW'!$D9,'Rozpočet - HW a licencie'!$E$3:$E$102,'TCO TO BE - HW'!$B$15)+SUMIFS('Rozpočet - HW a licencie'!$J$3:$J$102,'Rozpočet - HW a licencie'!$A$3:$A$102,'TCO TO BE - HW'!Z$2,'Rozpočet - HW a licencie'!$D$3:$D$102,"SW pre HW",'Rozpočet - HW a licencie'!$H$3:$H$102,'TCO TO BE - HW'!$D9,'Rozpočet - HW a licencie'!$E$3:$E$102,'TCO TO BE - HW'!$B$15),)</f>
        <v>0</v>
      </c>
    </row>
    <row r="20" spans="1:26" outlineLevel="1" x14ac:dyDescent="0.2">
      <c r="A20" s="884"/>
      <c r="B20" s="885"/>
      <c r="C20" s="885"/>
      <c r="D20" s="464">
        <v>6</v>
      </c>
      <c r="E20" s="68">
        <f t="shared" si="2"/>
        <v>0</v>
      </c>
      <c r="F20" s="540">
        <f>IFERROR(SUMIFS('Rozpočet - HW a licencie'!$J$3:$J$102,'Rozpočet - HW a licencie'!$A$3:$A$102,'TCO TO BE - HW'!F$2,'Rozpočet - HW a licencie'!$D$3:$D$102,"HW",'Rozpočet - HW a licencie'!$H$3:$H$102,'TCO TO BE - HW'!$D10,'Rozpočet - HW a licencie'!$E$3:$E$102,'TCO TO BE - HW'!$B$15)+SUMIFS('Rozpočet - HW a licencie'!$J$3:$J$102,'Rozpočet - HW a licencie'!$A$3:$A$102,'TCO TO BE - HW'!F$2,'Rozpočet - HW a licencie'!$D$3:$D$102,"SW pre HW",'Rozpočet - HW a licencie'!$H$3:$H$102,'TCO TO BE - HW'!$D10,'Rozpočet - HW a licencie'!$E$3:$E$102,'TCO TO BE - HW'!$B$15),)</f>
        <v>0</v>
      </c>
      <c r="G20" s="540">
        <f>IFERROR(SUMIFS('Rozpočet - HW a licencie'!$J$3:$J$102,'Rozpočet - HW a licencie'!$A$3:$A$102,'TCO TO BE - HW'!G$2,'Rozpočet - HW a licencie'!$D$3:$D$102,"HW",'Rozpočet - HW a licencie'!$H$3:$H$102,'TCO TO BE - HW'!$D10,'Rozpočet - HW a licencie'!$E$3:$E$102,'TCO TO BE - HW'!$B$15)+SUMIFS('Rozpočet - HW a licencie'!$J$3:$J$102,'Rozpočet - HW a licencie'!$A$3:$A$102,'TCO TO BE - HW'!G$2,'Rozpočet - HW a licencie'!$D$3:$D$102,"SW pre HW",'Rozpočet - HW a licencie'!$H$3:$H$102,'TCO TO BE - HW'!$D10,'Rozpočet - HW a licencie'!$E$3:$E$102,'TCO TO BE - HW'!$B$15),)</f>
        <v>0</v>
      </c>
      <c r="H20" s="540">
        <f>IFERROR(SUMIFS('Rozpočet - HW a licencie'!$J$3:$J$102,'Rozpočet - HW a licencie'!$A$3:$A$102,'TCO TO BE - HW'!H$2,'Rozpočet - HW a licencie'!$D$3:$D$102,"HW",'Rozpočet - HW a licencie'!$H$3:$H$102,'TCO TO BE - HW'!$D10,'Rozpočet - HW a licencie'!$E$3:$E$102,'TCO TO BE - HW'!$B$15)+SUMIFS('Rozpočet - HW a licencie'!$J$3:$J$102,'Rozpočet - HW a licencie'!$A$3:$A$102,'TCO TO BE - HW'!H$2,'Rozpočet - HW a licencie'!$D$3:$D$102,"SW pre HW",'Rozpočet - HW a licencie'!$H$3:$H$102,'TCO TO BE - HW'!$D10,'Rozpočet - HW a licencie'!$E$3:$E$102,'TCO TO BE - HW'!$B$15),)</f>
        <v>0</v>
      </c>
      <c r="I20" s="540">
        <f>IFERROR(SUMIFS('Rozpočet - HW a licencie'!$J$3:$J$102,'Rozpočet - HW a licencie'!$A$3:$A$102,'TCO TO BE - HW'!I$2,'Rozpočet - HW a licencie'!$D$3:$D$102,"HW",'Rozpočet - HW a licencie'!$H$3:$H$102,'TCO TO BE - HW'!$D10,'Rozpočet - HW a licencie'!$E$3:$E$102,'TCO TO BE - HW'!$B$15)+SUMIFS('Rozpočet - HW a licencie'!$J$3:$J$102,'Rozpočet - HW a licencie'!$A$3:$A$102,'TCO TO BE - HW'!I$2,'Rozpočet - HW a licencie'!$D$3:$D$102,"SW pre HW",'Rozpočet - HW a licencie'!$H$3:$H$102,'TCO TO BE - HW'!$D10,'Rozpočet - HW a licencie'!$E$3:$E$102,'TCO TO BE - HW'!$B$15),)</f>
        <v>0</v>
      </c>
      <c r="J20" s="540">
        <f>IFERROR(SUMIFS('Rozpočet - HW a licencie'!$J$3:$J$102,'Rozpočet - HW a licencie'!$A$3:$A$102,'TCO TO BE - HW'!J$2,'Rozpočet - HW a licencie'!$D$3:$D$102,"HW",'Rozpočet - HW a licencie'!$H$3:$H$102,'TCO TO BE - HW'!$D10,'Rozpočet - HW a licencie'!$E$3:$E$102,'TCO TO BE - HW'!$B$15)+SUMIFS('Rozpočet - HW a licencie'!$J$3:$J$102,'Rozpočet - HW a licencie'!$A$3:$A$102,'TCO TO BE - HW'!J$2,'Rozpočet - HW a licencie'!$D$3:$D$102,"SW pre HW",'Rozpočet - HW a licencie'!$H$3:$H$102,'TCO TO BE - HW'!$D10,'Rozpočet - HW a licencie'!$E$3:$E$102,'TCO TO BE - HW'!$B$15),)</f>
        <v>0</v>
      </c>
      <c r="K20" s="540">
        <f>IFERROR(SUMIFS('Rozpočet - HW a licencie'!$J$3:$J$102,'Rozpočet - HW a licencie'!$A$3:$A$102,'TCO TO BE - HW'!K$2,'Rozpočet - HW a licencie'!$D$3:$D$102,"HW",'Rozpočet - HW a licencie'!$H$3:$H$102,'TCO TO BE - HW'!$D10,'Rozpočet - HW a licencie'!$E$3:$E$102,'TCO TO BE - HW'!$B$15)+SUMIFS('Rozpočet - HW a licencie'!$J$3:$J$102,'Rozpočet - HW a licencie'!$A$3:$A$102,'TCO TO BE - HW'!K$2,'Rozpočet - HW a licencie'!$D$3:$D$102,"SW pre HW",'Rozpočet - HW a licencie'!$H$3:$H$102,'TCO TO BE - HW'!$D10,'Rozpočet - HW a licencie'!$E$3:$E$102,'TCO TO BE - HW'!$B$15),)</f>
        <v>0</v>
      </c>
      <c r="L20" s="540">
        <f>IFERROR(SUMIFS('Rozpočet - HW a licencie'!$J$3:$J$102,'Rozpočet - HW a licencie'!$A$3:$A$102,'TCO TO BE - HW'!L$2,'Rozpočet - HW a licencie'!$D$3:$D$102,"HW",'Rozpočet - HW a licencie'!$H$3:$H$102,'TCO TO BE - HW'!$D10,'Rozpočet - HW a licencie'!$E$3:$E$102,'TCO TO BE - HW'!$B$15)+SUMIFS('Rozpočet - HW a licencie'!$J$3:$J$102,'Rozpočet - HW a licencie'!$A$3:$A$102,'TCO TO BE - HW'!L$2,'Rozpočet - HW a licencie'!$D$3:$D$102,"SW pre HW",'Rozpočet - HW a licencie'!$H$3:$H$102,'TCO TO BE - HW'!$D10,'Rozpočet - HW a licencie'!$E$3:$E$102,'TCO TO BE - HW'!$B$15),)</f>
        <v>0</v>
      </c>
      <c r="M20" s="540">
        <f>IFERROR(SUMIFS('Rozpočet - HW a licencie'!$J$3:$J$102,'Rozpočet - HW a licencie'!$A$3:$A$102,'TCO TO BE - HW'!M$2,'Rozpočet - HW a licencie'!$D$3:$D$102,"HW",'Rozpočet - HW a licencie'!$H$3:$H$102,'TCO TO BE - HW'!$D10,'Rozpočet - HW a licencie'!$E$3:$E$102,'TCO TO BE - HW'!$B$15)+SUMIFS('Rozpočet - HW a licencie'!$J$3:$J$102,'Rozpočet - HW a licencie'!$A$3:$A$102,'TCO TO BE - HW'!M$2,'Rozpočet - HW a licencie'!$D$3:$D$102,"SW pre HW",'Rozpočet - HW a licencie'!$H$3:$H$102,'TCO TO BE - HW'!$D10,'Rozpočet - HW a licencie'!$E$3:$E$102,'TCO TO BE - HW'!$B$15),)</f>
        <v>0</v>
      </c>
      <c r="N20" s="540">
        <f>IFERROR(SUMIFS('Rozpočet - HW a licencie'!$J$3:$J$102,'Rozpočet - HW a licencie'!$A$3:$A$102,'TCO TO BE - HW'!N$2,'Rozpočet - HW a licencie'!$D$3:$D$102,"HW",'Rozpočet - HW a licencie'!$H$3:$H$102,'TCO TO BE - HW'!$D10,'Rozpočet - HW a licencie'!$E$3:$E$102,'TCO TO BE - HW'!$B$15)+SUMIFS('Rozpočet - HW a licencie'!$J$3:$J$102,'Rozpočet - HW a licencie'!$A$3:$A$102,'TCO TO BE - HW'!N$2,'Rozpočet - HW a licencie'!$D$3:$D$102,"SW pre HW",'Rozpočet - HW a licencie'!$H$3:$H$102,'TCO TO BE - HW'!$D10,'Rozpočet - HW a licencie'!$E$3:$E$102,'TCO TO BE - HW'!$B$15),)</f>
        <v>0</v>
      </c>
      <c r="O20" s="540">
        <f>IFERROR(SUMIFS('Rozpočet - HW a licencie'!$J$3:$J$102,'Rozpočet - HW a licencie'!$A$3:$A$102,'TCO TO BE - HW'!O$2,'Rozpočet - HW a licencie'!$D$3:$D$102,"HW",'Rozpočet - HW a licencie'!$H$3:$H$102,'TCO TO BE - HW'!$D10,'Rozpočet - HW a licencie'!$E$3:$E$102,'TCO TO BE - HW'!$B$15)+SUMIFS('Rozpočet - HW a licencie'!$J$3:$J$102,'Rozpočet - HW a licencie'!$A$3:$A$102,'TCO TO BE - HW'!O$2,'Rozpočet - HW a licencie'!$D$3:$D$102,"SW pre HW",'Rozpočet - HW a licencie'!$H$3:$H$102,'TCO TO BE - HW'!$D10,'Rozpočet - HW a licencie'!$E$3:$E$102,'TCO TO BE - HW'!$B$15),)</f>
        <v>0</v>
      </c>
      <c r="P20" s="540">
        <f>IFERROR(SUMIFS('Rozpočet - HW a licencie'!$J$3:$J$102,'Rozpočet - HW a licencie'!$A$3:$A$102,'TCO TO BE - HW'!P$2,'Rozpočet - HW a licencie'!$D$3:$D$102,"HW",'Rozpočet - HW a licencie'!$H$3:$H$102,'TCO TO BE - HW'!$D10,'Rozpočet - HW a licencie'!$E$3:$E$102,'TCO TO BE - HW'!$B$15)+SUMIFS('Rozpočet - HW a licencie'!$J$3:$J$102,'Rozpočet - HW a licencie'!$A$3:$A$102,'TCO TO BE - HW'!P$2,'Rozpočet - HW a licencie'!$D$3:$D$102,"SW pre HW",'Rozpočet - HW a licencie'!$H$3:$H$102,'TCO TO BE - HW'!$D10,'Rozpočet - HW a licencie'!$E$3:$E$102,'TCO TO BE - HW'!$B$15),)</f>
        <v>0</v>
      </c>
      <c r="Q20" s="540">
        <f>IFERROR(SUMIFS('Rozpočet - HW a licencie'!$J$3:$J$102,'Rozpočet - HW a licencie'!$A$3:$A$102,'TCO TO BE - HW'!Q$2,'Rozpočet - HW a licencie'!$D$3:$D$102,"HW",'Rozpočet - HW a licencie'!$H$3:$H$102,'TCO TO BE - HW'!$D10,'Rozpočet - HW a licencie'!$E$3:$E$102,'TCO TO BE - HW'!$B$15)+SUMIFS('Rozpočet - HW a licencie'!$J$3:$J$102,'Rozpočet - HW a licencie'!$A$3:$A$102,'TCO TO BE - HW'!Q$2,'Rozpočet - HW a licencie'!$D$3:$D$102,"SW pre HW",'Rozpočet - HW a licencie'!$H$3:$H$102,'TCO TO BE - HW'!$D10,'Rozpočet - HW a licencie'!$E$3:$E$102,'TCO TO BE - HW'!$B$15),)</f>
        <v>0</v>
      </c>
      <c r="R20" s="540">
        <f>IFERROR(SUMIFS('Rozpočet - HW a licencie'!$J$3:$J$102,'Rozpočet - HW a licencie'!$A$3:$A$102,'TCO TO BE - HW'!R$2,'Rozpočet - HW a licencie'!$D$3:$D$102,"HW",'Rozpočet - HW a licencie'!$H$3:$H$102,'TCO TO BE - HW'!$D10,'Rozpočet - HW a licencie'!$E$3:$E$102,'TCO TO BE - HW'!$B$15)+SUMIFS('Rozpočet - HW a licencie'!$J$3:$J$102,'Rozpočet - HW a licencie'!$A$3:$A$102,'TCO TO BE - HW'!R$2,'Rozpočet - HW a licencie'!$D$3:$D$102,"SW pre HW",'Rozpočet - HW a licencie'!$H$3:$H$102,'TCO TO BE - HW'!$D10,'Rozpočet - HW a licencie'!$E$3:$E$102,'TCO TO BE - HW'!$B$15),)</f>
        <v>0</v>
      </c>
      <c r="S20" s="540">
        <f>IFERROR(SUMIFS('Rozpočet - HW a licencie'!$J$3:$J$102,'Rozpočet - HW a licencie'!$A$3:$A$102,'TCO TO BE - HW'!S$2,'Rozpočet - HW a licencie'!$D$3:$D$102,"HW",'Rozpočet - HW a licencie'!$H$3:$H$102,'TCO TO BE - HW'!$D10,'Rozpočet - HW a licencie'!$E$3:$E$102,'TCO TO BE - HW'!$B$15)+SUMIFS('Rozpočet - HW a licencie'!$J$3:$J$102,'Rozpočet - HW a licencie'!$A$3:$A$102,'TCO TO BE - HW'!S$2,'Rozpočet - HW a licencie'!$D$3:$D$102,"SW pre HW",'Rozpočet - HW a licencie'!$H$3:$H$102,'TCO TO BE - HW'!$D10,'Rozpočet - HW a licencie'!$E$3:$E$102,'TCO TO BE - HW'!$B$15),)</f>
        <v>0</v>
      </c>
      <c r="T20" s="540">
        <f>IFERROR(SUMIFS('Rozpočet - HW a licencie'!$J$3:$J$102,'Rozpočet - HW a licencie'!$A$3:$A$102,'TCO TO BE - HW'!T$2,'Rozpočet - HW a licencie'!$D$3:$D$102,"HW",'Rozpočet - HW a licencie'!$H$3:$H$102,'TCO TO BE - HW'!$D10,'Rozpočet - HW a licencie'!$E$3:$E$102,'TCO TO BE - HW'!$B$15)+SUMIFS('Rozpočet - HW a licencie'!$J$3:$J$102,'Rozpočet - HW a licencie'!$A$3:$A$102,'TCO TO BE - HW'!T$2,'Rozpočet - HW a licencie'!$D$3:$D$102,"SW pre HW",'Rozpočet - HW a licencie'!$H$3:$H$102,'TCO TO BE - HW'!$D10,'Rozpočet - HW a licencie'!$E$3:$E$102,'TCO TO BE - HW'!$B$15),)</f>
        <v>0</v>
      </c>
      <c r="U20" s="540">
        <f>IFERROR(SUMIFS('Rozpočet - HW a licencie'!$J$3:$J$102,'Rozpočet - HW a licencie'!$A$3:$A$102,'TCO TO BE - HW'!U$2,'Rozpočet - HW a licencie'!$D$3:$D$102,"HW",'Rozpočet - HW a licencie'!$H$3:$H$102,'TCO TO BE - HW'!$D10,'Rozpočet - HW a licencie'!$E$3:$E$102,'TCO TO BE - HW'!$B$15)+SUMIFS('Rozpočet - HW a licencie'!$J$3:$J$102,'Rozpočet - HW a licencie'!$A$3:$A$102,'TCO TO BE - HW'!U$2,'Rozpočet - HW a licencie'!$D$3:$D$102,"SW pre HW",'Rozpočet - HW a licencie'!$H$3:$H$102,'TCO TO BE - HW'!$D10,'Rozpočet - HW a licencie'!$E$3:$E$102,'TCO TO BE - HW'!$B$15),)</f>
        <v>0</v>
      </c>
      <c r="V20" s="540">
        <f>IFERROR(SUMIFS('Rozpočet - HW a licencie'!$J$3:$J$102,'Rozpočet - HW a licencie'!$A$3:$A$102,'TCO TO BE - HW'!V$2,'Rozpočet - HW a licencie'!$D$3:$D$102,"HW",'Rozpočet - HW a licencie'!$H$3:$H$102,'TCO TO BE - HW'!$D10,'Rozpočet - HW a licencie'!$E$3:$E$102,'TCO TO BE - HW'!$B$15)+SUMIFS('Rozpočet - HW a licencie'!$J$3:$J$102,'Rozpočet - HW a licencie'!$A$3:$A$102,'TCO TO BE - HW'!V$2,'Rozpočet - HW a licencie'!$D$3:$D$102,"SW pre HW",'Rozpočet - HW a licencie'!$H$3:$H$102,'TCO TO BE - HW'!$D10,'Rozpočet - HW a licencie'!$E$3:$E$102,'TCO TO BE - HW'!$B$15),)</f>
        <v>0</v>
      </c>
      <c r="W20" s="540">
        <f>IFERROR(SUMIFS('Rozpočet - HW a licencie'!$J$3:$J$102,'Rozpočet - HW a licencie'!$A$3:$A$102,'TCO TO BE - HW'!W$2,'Rozpočet - HW a licencie'!$D$3:$D$102,"HW",'Rozpočet - HW a licencie'!$H$3:$H$102,'TCO TO BE - HW'!$D10,'Rozpočet - HW a licencie'!$E$3:$E$102,'TCO TO BE - HW'!$B$15)+SUMIFS('Rozpočet - HW a licencie'!$J$3:$J$102,'Rozpočet - HW a licencie'!$A$3:$A$102,'TCO TO BE - HW'!W$2,'Rozpočet - HW a licencie'!$D$3:$D$102,"SW pre HW",'Rozpočet - HW a licencie'!$H$3:$H$102,'TCO TO BE - HW'!$D10,'Rozpočet - HW a licencie'!$E$3:$E$102,'TCO TO BE - HW'!$B$15),)</f>
        <v>0</v>
      </c>
      <c r="X20" s="540">
        <f>IFERROR(SUMIFS('Rozpočet - HW a licencie'!$J$3:$J$102,'Rozpočet - HW a licencie'!$A$3:$A$102,'TCO TO BE - HW'!X$2,'Rozpočet - HW a licencie'!$D$3:$D$102,"HW",'Rozpočet - HW a licencie'!$H$3:$H$102,'TCO TO BE - HW'!$D10,'Rozpočet - HW a licencie'!$E$3:$E$102,'TCO TO BE - HW'!$B$15)+SUMIFS('Rozpočet - HW a licencie'!$J$3:$J$102,'Rozpočet - HW a licencie'!$A$3:$A$102,'TCO TO BE - HW'!X$2,'Rozpočet - HW a licencie'!$D$3:$D$102,"SW pre HW",'Rozpočet - HW a licencie'!$H$3:$H$102,'TCO TO BE - HW'!$D10,'Rozpočet - HW a licencie'!$E$3:$E$102,'TCO TO BE - HW'!$B$15),)</f>
        <v>0</v>
      </c>
      <c r="Y20" s="540">
        <f>IFERROR(SUMIFS('Rozpočet - HW a licencie'!$J$3:$J$102,'Rozpočet - HW a licencie'!$A$3:$A$102,'TCO TO BE - HW'!Y$2,'Rozpočet - HW a licencie'!$D$3:$D$102,"HW",'Rozpočet - HW a licencie'!$H$3:$H$102,'TCO TO BE - HW'!$D10,'Rozpočet - HW a licencie'!$E$3:$E$102,'TCO TO BE - HW'!$B$15)+SUMIFS('Rozpočet - HW a licencie'!$J$3:$J$102,'Rozpočet - HW a licencie'!$A$3:$A$102,'TCO TO BE - HW'!Y$2,'Rozpočet - HW a licencie'!$D$3:$D$102,"SW pre HW",'Rozpočet - HW a licencie'!$H$3:$H$102,'TCO TO BE - HW'!$D10,'Rozpočet - HW a licencie'!$E$3:$E$102,'TCO TO BE - HW'!$B$15),)</f>
        <v>0</v>
      </c>
      <c r="Z20" s="540">
        <f>IFERROR(SUMIFS('Rozpočet - HW a licencie'!$J$3:$J$102,'Rozpočet - HW a licencie'!$A$3:$A$102,'TCO TO BE - HW'!Z$2,'Rozpočet - HW a licencie'!$D$3:$D$102,"HW",'Rozpočet - HW a licencie'!$H$3:$H$102,'TCO TO BE - HW'!$D10,'Rozpočet - HW a licencie'!$E$3:$E$102,'TCO TO BE - HW'!$B$15)+SUMIFS('Rozpočet - HW a licencie'!$J$3:$J$102,'Rozpočet - HW a licencie'!$A$3:$A$102,'TCO TO BE - HW'!Z$2,'Rozpočet - HW a licencie'!$D$3:$D$102,"SW pre HW",'Rozpočet - HW a licencie'!$H$3:$H$102,'TCO TO BE - HW'!$D10,'Rozpočet - HW a licencie'!$E$3:$E$102,'TCO TO BE - HW'!$B$15),)</f>
        <v>0</v>
      </c>
    </row>
    <row r="21" spans="1:26" outlineLevel="1" x14ac:dyDescent="0.2">
      <c r="A21" s="884"/>
      <c r="B21" s="885"/>
      <c r="C21" s="885"/>
      <c r="D21" s="464">
        <v>7</v>
      </c>
      <c r="E21" s="68">
        <f t="shared" si="2"/>
        <v>0</v>
      </c>
      <c r="F21" s="540">
        <f>IFERROR(SUMIFS('Rozpočet - HW a licencie'!$J$3:$J$102,'Rozpočet - HW a licencie'!$A$3:$A$102,'TCO TO BE - HW'!F$2,'Rozpočet - HW a licencie'!$D$3:$D$102,"HW",'Rozpočet - HW a licencie'!$H$3:$H$102,'TCO TO BE - HW'!$D11,'Rozpočet - HW a licencie'!$E$3:$E$102,'TCO TO BE - HW'!$B$15)+SUMIFS('Rozpočet - HW a licencie'!$J$3:$J$102,'Rozpočet - HW a licencie'!$A$3:$A$102,'TCO TO BE - HW'!F$2,'Rozpočet - HW a licencie'!$D$3:$D$102,"SW pre HW",'Rozpočet - HW a licencie'!$H$3:$H$102,'TCO TO BE - HW'!$D11,'Rozpočet - HW a licencie'!$E$3:$E$102,'TCO TO BE - HW'!$B$15),)</f>
        <v>0</v>
      </c>
      <c r="G21" s="540">
        <f>IFERROR(SUMIFS('Rozpočet - HW a licencie'!$J$3:$J$102,'Rozpočet - HW a licencie'!$A$3:$A$102,'TCO TO BE - HW'!G$2,'Rozpočet - HW a licencie'!$D$3:$D$102,"HW",'Rozpočet - HW a licencie'!$H$3:$H$102,'TCO TO BE - HW'!$D11,'Rozpočet - HW a licencie'!$E$3:$E$102,'TCO TO BE - HW'!$B$15)+SUMIFS('Rozpočet - HW a licencie'!$J$3:$J$102,'Rozpočet - HW a licencie'!$A$3:$A$102,'TCO TO BE - HW'!G$2,'Rozpočet - HW a licencie'!$D$3:$D$102,"SW pre HW",'Rozpočet - HW a licencie'!$H$3:$H$102,'TCO TO BE - HW'!$D11,'Rozpočet - HW a licencie'!$E$3:$E$102,'TCO TO BE - HW'!$B$15),)</f>
        <v>0</v>
      </c>
      <c r="H21" s="540">
        <f>IFERROR(SUMIFS('Rozpočet - HW a licencie'!$J$3:$J$102,'Rozpočet - HW a licencie'!$A$3:$A$102,'TCO TO BE - HW'!H$2,'Rozpočet - HW a licencie'!$D$3:$D$102,"HW",'Rozpočet - HW a licencie'!$H$3:$H$102,'TCO TO BE - HW'!$D11,'Rozpočet - HW a licencie'!$E$3:$E$102,'TCO TO BE - HW'!$B$15)+SUMIFS('Rozpočet - HW a licencie'!$J$3:$J$102,'Rozpočet - HW a licencie'!$A$3:$A$102,'TCO TO BE - HW'!H$2,'Rozpočet - HW a licencie'!$D$3:$D$102,"SW pre HW",'Rozpočet - HW a licencie'!$H$3:$H$102,'TCO TO BE - HW'!$D11,'Rozpočet - HW a licencie'!$E$3:$E$102,'TCO TO BE - HW'!$B$15),)</f>
        <v>0</v>
      </c>
      <c r="I21" s="540">
        <f>IFERROR(SUMIFS('Rozpočet - HW a licencie'!$J$3:$J$102,'Rozpočet - HW a licencie'!$A$3:$A$102,'TCO TO BE - HW'!I$2,'Rozpočet - HW a licencie'!$D$3:$D$102,"HW",'Rozpočet - HW a licencie'!$H$3:$H$102,'TCO TO BE - HW'!$D11,'Rozpočet - HW a licencie'!$E$3:$E$102,'TCO TO BE - HW'!$B$15)+SUMIFS('Rozpočet - HW a licencie'!$J$3:$J$102,'Rozpočet - HW a licencie'!$A$3:$A$102,'TCO TO BE - HW'!I$2,'Rozpočet - HW a licencie'!$D$3:$D$102,"SW pre HW",'Rozpočet - HW a licencie'!$H$3:$H$102,'TCO TO BE - HW'!$D11,'Rozpočet - HW a licencie'!$E$3:$E$102,'TCO TO BE - HW'!$B$15),)</f>
        <v>0</v>
      </c>
      <c r="J21" s="540">
        <f>IFERROR(SUMIFS('Rozpočet - HW a licencie'!$J$3:$J$102,'Rozpočet - HW a licencie'!$A$3:$A$102,'TCO TO BE - HW'!J$2,'Rozpočet - HW a licencie'!$D$3:$D$102,"HW",'Rozpočet - HW a licencie'!$H$3:$H$102,'TCO TO BE - HW'!$D11,'Rozpočet - HW a licencie'!$E$3:$E$102,'TCO TO BE - HW'!$B$15)+SUMIFS('Rozpočet - HW a licencie'!$J$3:$J$102,'Rozpočet - HW a licencie'!$A$3:$A$102,'TCO TO BE - HW'!J$2,'Rozpočet - HW a licencie'!$D$3:$D$102,"SW pre HW",'Rozpočet - HW a licencie'!$H$3:$H$102,'TCO TO BE - HW'!$D11,'Rozpočet - HW a licencie'!$E$3:$E$102,'TCO TO BE - HW'!$B$15),)</f>
        <v>0</v>
      </c>
      <c r="K21" s="540">
        <f>IFERROR(SUMIFS('Rozpočet - HW a licencie'!$J$3:$J$102,'Rozpočet - HW a licencie'!$A$3:$A$102,'TCO TO BE - HW'!K$2,'Rozpočet - HW a licencie'!$D$3:$D$102,"HW",'Rozpočet - HW a licencie'!$H$3:$H$102,'TCO TO BE - HW'!$D11,'Rozpočet - HW a licencie'!$E$3:$E$102,'TCO TO BE - HW'!$B$15)+SUMIFS('Rozpočet - HW a licencie'!$J$3:$J$102,'Rozpočet - HW a licencie'!$A$3:$A$102,'TCO TO BE - HW'!K$2,'Rozpočet - HW a licencie'!$D$3:$D$102,"SW pre HW",'Rozpočet - HW a licencie'!$H$3:$H$102,'TCO TO BE - HW'!$D11,'Rozpočet - HW a licencie'!$E$3:$E$102,'TCO TO BE - HW'!$B$15),)</f>
        <v>0</v>
      </c>
      <c r="L21" s="540">
        <f>IFERROR(SUMIFS('Rozpočet - HW a licencie'!$J$3:$J$102,'Rozpočet - HW a licencie'!$A$3:$A$102,'TCO TO BE - HW'!L$2,'Rozpočet - HW a licencie'!$D$3:$D$102,"HW",'Rozpočet - HW a licencie'!$H$3:$H$102,'TCO TO BE - HW'!$D11,'Rozpočet - HW a licencie'!$E$3:$E$102,'TCO TO BE - HW'!$B$15)+SUMIFS('Rozpočet - HW a licencie'!$J$3:$J$102,'Rozpočet - HW a licencie'!$A$3:$A$102,'TCO TO BE - HW'!L$2,'Rozpočet - HW a licencie'!$D$3:$D$102,"SW pre HW",'Rozpočet - HW a licencie'!$H$3:$H$102,'TCO TO BE - HW'!$D11,'Rozpočet - HW a licencie'!$E$3:$E$102,'TCO TO BE - HW'!$B$15),)</f>
        <v>0</v>
      </c>
      <c r="M21" s="540">
        <f>IFERROR(SUMIFS('Rozpočet - HW a licencie'!$J$3:$J$102,'Rozpočet - HW a licencie'!$A$3:$A$102,'TCO TO BE - HW'!M$2,'Rozpočet - HW a licencie'!$D$3:$D$102,"HW",'Rozpočet - HW a licencie'!$H$3:$H$102,'TCO TO BE - HW'!$D11,'Rozpočet - HW a licencie'!$E$3:$E$102,'TCO TO BE - HW'!$B$15)+SUMIFS('Rozpočet - HW a licencie'!$J$3:$J$102,'Rozpočet - HW a licencie'!$A$3:$A$102,'TCO TO BE - HW'!M$2,'Rozpočet - HW a licencie'!$D$3:$D$102,"SW pre HW",'Rozpočet - HW a licencie'!$H$3:$H$102,'TCO TO BE - HW'!$D11,'Rozpočet - HW a licencie'!$E$3:$E$102,'TCO TO BE - HW'!$B$15),)</f>
        <v>0</v>
      </c>
      <c r="N21" s="540">
        <f>IFERROR(SUMIFS('Rozpočet - HW a licencie'!$J$3:$J$102,'Rozpočet - HW a licencie'!$A$3:$A$102,'TCO TO BE - HW'!N$2,'Rozpočet - HW a licencie'!$D$3:$D$102,"HW",'Rozpočet - HW a licencie'!$H$3:$H$102,'TCO TO BE - HW'!$D11,'Rozpočet - HW a licencie'!$E$3:$E$102,'TCO TO BE - HW'!$B$15)+SUMIFS('Rozpočet - HW a licencie'!$J$3:$J$102,'Rozpočet - HW a licencie'!$A$3:$A$102,'TCO TO BE - HW'!N$2,'Rozpočet - HW a licencie'!$D$3:$D$102,"SW pre HW",'Rozpočet - HW a licencie'!$H$3:$H$102,'TCO TO BE - HW'!$D11,'Rozpočet - HW a licencie'!$E$3:$E$102,'TCO TO BE - HW'!$B$15),)</f>
        <v>0</v>
      </c>
      <c r="O21" s="540">
        <f>IFERROR(SUMIFS('Rozpočet - HW a licencie'!$J$3:$J$102,'Rozpočet - HW a licencie'!$A$3:$A$102,'TCO TO BE - HW'!O$2,'Rozpočet - HW a licencie'!$D$3:$D$102,"HW",'Rozpočet - HW a licencie'!$H$3:$H$102,'TCO TO BE - HW'!$D11,'Rozpočet - HW a licencie'!$E$3:$E$102,'TCO TO BE - HW'!$B$15)+SUMIFS('Rozpočet - HW a licencie'!$J$3:$J$102,'Rozpočet - HW a licencie'!$A$3:$A$102,'TCO TO BE - HW'!O$2,'Rozpočet - HW a licencie'!$D$3:$D$102,"SW pre HW",'Rozpočet - HW a licencie'!$H$3:$H$102,'TCO TO BE - HW'!$D11,'Rozpočet - HW a licencie'!$E$3:$E$102,'TCO TO BE - HW'!$B$15),)</f>
        <v>0</v>
      </c>
      <c r="P21" s="540">
        <f>IFERROR(SUMIFS('Rozpočet - HW a licencie'!$J$3:$J$102,'Rozpočet - HW a licencie'!$A$3:$A$102,'TCO TO BE - HW'!P$2,'Rozpočet - HW a licencie'!$D$3:$D$102,"HW",'Rozpočet - HW a licencie'!$H$3:$H$102,'TCO TO BE - HW'!$D11,'Rozpočet - HW a licencie'!$E$3:$E$102,'TCO TO BE - HW'!$B$15)+SUMIFS('Rozpočet - HW a licencie'!$J$3:$J$102,'Rozpočet - HW a licencie'!$A$3:$A$102,'TCO TO BE - HW'!P$2,'Rozpočet - HW a licencie'!$D$3:$D$102,"SW pre HW",'Rozpočet - HW a licencie'!$H$3:$H$102,'TCO TO BE - HW'!$D11,'Rozpočet - HW a licencie'!$E$3:$E$102,'TCO TO BE - HW'!$B$15),)</f>
        <v>0</v>
      </c>
      <c r="Q21" s="540">
        <f>IFERROR(SUMIFS('Rozpočet - HW a licencie'!$J$3:$J$102,'Rozpočet - HW a licencie'!$A$3:$A$102,'TCO TO BE - HW'!Q$2,'Rozpočet - HW a licencie'!$D$3:$D$102,"HW",'Rozpočet - HW a licencie'!$H$3:$H$102,'TCO TO BE - HW'!$D11,'Rozpočet - HW a licencie'!$E$3:$E$102,'TCO TO BE - HW'!$B$15)+SUMIFS('Rozpočet - HW a licencie'!$J$3:$J$102,'Rozpočet - HW a licencie'!$A$3:$A$102,'TCO TO BE - HW'!Q$2,'Rozpočet - HW a licencie'!$D$3:$D$102,"SW pre HW",'Rozpočet - HW a licencie'!$H$3:$H$102,'TCO TO BE - HW'!$D11,'Rozpočet - HW a licencie'!$E$3:$E$102,'TCO TO BE - HW'!$B$15),)</f>
        <v>0</v>
      </c>
      <c r="R21" s="540">
        <f>IFERROR(SUMIFS('Rozpočet - HW a licencie'!$J$3:$J$102,'Rozpočet - HW a licencie'!$A$3:$A$102,'TCO TO BE - HW'!R$2,'Rozpočet - HW a licencie'!$D$3:$D$102,"HW",'Rozpočet - HW a licencie'!$H$3:$H$102,'TCO TO BE - HW'!$D11,'Rozpočet - HW a licencie'!$E$3:$E$102,'TCO TO BE - HW'!$B$15)+SUMIFS('Rozpočet - HW a licencie'!$J$3:$J$102,'Rozpočet - HW a licencie'!$A$3:$A$102,'TCO TO BE - HW'!R$2,'Rozpočet - HW a licencie'!$D$3:$D$102,"SW pre HW",'Rozpočet - HW a licencie'!$H$3:$H$102,'TCO TO BE - HW'!$D11,'Rozpočet - HW a licencie'!$E$3:$E$102,'TCO TO BE - HW'!$B$15),)</f>
        <v>0</v>
      </c>
      <c r="S21" s="540">
        <f>IFERROR(SUMIFS('Rozpočet - HW a licencie'!$J$3:$J$102,'Rozpočet - HW a licencie'!$A$3:$A$102,'TCO TO BE - HW'!S$2,'Rozpočet - HW a licencie'!$D$3:$D$102,"HW",'Rozpočet - HW a licencie'!$H$3:$H$102,'TCO TO BE - HW'!$D11,'Rozpočet - HW a licencie'!$E$3:$E$102,'TCO TO BE - HW'!$B$15)+SUMIFS('Rozpočet - HW a licencie'!$J$3:$J$102,'Rozpočet - HW a licencie'!$A$3:$A$102,'TCO TO BE - HW'!S$2,'Rozpočet - HW a licencie'!$D$3:$D$102,"SW pre HW",'Rozpočet - HW a licencie'!$H$3:$H$102,'TCO TO BE - HW'!$D11,'Rozpočet - HW a licencie'!$E$3:$E$102,'TCO TO BE - HW'!$B$15),)</f>
        <v>0</v>
      </c>
      <c r="T21" s="540">
        <f>IFERROR(SUMIFS('Rozpočet - HW a licencie'!$J$3:$J$102,'Rozpočet - HW a licencie'!$A$3:$A$102,'TCO TO BE - HW'!T$2,'Rozpočet - HW a licencie'!$D$3:$D$102,"HW",'Rozpočet - HW a licencie'!$H$3:$H$102,'TCO TO BE - HW'!$D11,'Rozpočet - HW a licencie'!$E$3:$E$102,'TCO TO BE - HW'!$B$15)+SUMIFS('Rozpočet - HW a licencie'!$J$3:$J$102,'Rozpočet - HW a licencie'!$A$3:$A$102,'TCO TO BE - HW'!T$2,'Rozpočet - HW a licencie'!$D$3:$D$102,"SW pre HW",'Rozpočet - HW a licencie'!$H$3:$H$102,'TCO TO BE - HW'!$D11,'Rozpočet - HW a licencie'!$E$3:$E$102,'TCO TO BE - HW'!$B$15),)</f>
        <v>0</v>
      </c>
      <c r="U21" s="540">
        <f>IFERROR(SUMIFS('Rozpočet - HW a licencie'!$J$3:$J$102,'Rozpočet - HW a licencie'!$A$3:$A$102,'TCO TO BE - HW'!U$2,'Rozpočet - HW a licencie'!$D$3:$D$102,"HW",'Rozpočet - HW a licencie'!$H$3:$H$102,'TCO TO BE - HW'!$D11,'Rozpočet - HW a licencie'!$E$3:$E$102,'TCO TO BE - HW'!$B$15)+SUMIFS('Rozpočet - HW a licencie'!$J$3:$J$102,'Rozpočet - HW a licencie'!$A$3:$A$102,'TCO TO BE - HW'!U$2,'Rozpočet - HW a licencie'!$D$3:$D$102,"SW pre HW",'Rozpočet - HW a licencie'!$H$3:$H$102,'TCO TO BE - HW'!$D11,'Rozpočet - HW a licencie'!$E$3:$E$102,'TCO TO BE - HW'!$B$15),)</f>
        <v>0</v>
      </c>
      <c r="V21" s="540">
        <f>IFERROR(SUMIFS('Rozpočet - HW a licencie'!$J$3:$J$102,'Rozpočet - HW a licencie'!$A$3:$A$102,'TCO TO BE - HW'!V$2,'Rozpočet - HW a licencie'!$D$3:$D$102,"HW",'Rozpočet - HW a licencie'!$H$3:$H$102,'TCO TO BE - HW'!$D11,'Rozpočet - HW a licencie'!$E$3:$E$102,'TCO TO BE - HW'!$B$15)+SUMIFS('Rozpočet - HW a licencie'!$J$3:$J$102,'Rozpočet - HW a licencie'!$A$3:$A$102,'TCO TO BE - HW'!V$2,'Rozpočet - HW a licencie'!$D$3:$D$102,"SW pre HW",'Rozpočet - HW a licencie'!$H$3:$H$102,'TCO TO BE - HW'!$D11,'Rozpočet - HW a licencie'!$E$3:$E$102,'TCO TO BE - HW'!$B$15),)</f>
        <v>0</v>
      </c>
      <c r="W21" s="540">
        <f>IFERROR(SUMIFS('Rozpočet - HW a licencie'!$J$3:$J$102,'Rozpočet - HW a licencie'!$A$3:$A$102,'TCO TO BE - HW'!W$2,'Rozpočet - HW a licencie'!$D$3:$D$102,"HW",'Rozpočet - HW a licencie'!$H$3:$H$102,'TCO TO BE - HW'!$D11,'Rozpočet - HW a licencie'!$E$3:$E$102,'TCO TO BE - HW'!$B$15)+SUMIFS('Rozpočet - HW a licencie'!$J$3:$J$102,'Rozpočet - HW a licencie'!$A$3:$A$102,'TCO TO BE - HW'!W$2,'Rozpočet - HW a licencie'!$D$3:$D$102,"SW pre HW",'Rozpočet - HW a licencie'!$H$3:$H$102,'TCO TO BE - HW'!$D11,'Rozpočet - HW a licencie'!$E$3:$E$102,'TCO TO BE - HW'!$B$15),)</f>
        <v>0</v>
      </c>
      <c r="X21" s="540">
        <f>IFERROR(SUMIFS('Rozpočet - HW a licencie'!$J$3:$J$102,'Rozpočet - HW a licencie'!$A$3:$A$102,'TCO TO BE - HW'!X$2,'Rozpočet - HW a licencie'!$D$3:$D$102,"HW",'Rozpočet - HW a licencie'!$H$3:$H$102,'TCO TO BE - HW'!$D11,'Rozpočet - HW a licencie'!$E$3:$E$102,'TCO TO BE - HW'!$B$15)+SUMIFS('Rozpočet - HW a licencie'!$J$3:$J$102,'Rozpočet - HW a licencie'!$A$3:$A$102,'TCO TO BE - HW'!X$2,'Rozpočet - HW a licencie'!$D$3:$D$102,"SW pre HW",'Rozpočet - HW a licencie'!$H$3:$H$102,'TCO TO BE - HW'!$D11,'Rozpočet - HW a licencie'!$E$3:$E$102,'TCO TO BE - HW'!$B$15),)</f>
        <v>0</v>
      </c>
      <c r="Y21" s="540">
        <f>IFERROR(SUMIFS('Rozpočet - HW a licencie'!$J$3:$J$102,'Rozpočet - HW a licencie'!$A$3:$A$102,'TCO TO BE - HW'!Y$2,'Rozpočet - HW a licencie'!$D$3:$D$102,"HW",'Rozpočet - HW a licencie'!$H$3:$H$102,'TCO TO BE - HW'!$D11,'Rozpočet - HW a licencie'!$E$3:$E$102,'TCO TO BE - HW'!$B$15)+SUMIFS('Rozpočet - HW a licencie'!$J$3:$J$102,'Rozpočet - HW a licencie'!$A$3:$A$102,'TCO TO BE - HW'!Y$2,'Rozpočet - HW a licencie'!$D$3:$D$102,"SW pre HW",'Rozpočet - HW a licencie'!$H$3:$H$102,'TCO TO BE - HW'!$D11,'Rozpočet - HW a licencie'!$E$3:$E$102,'TCO TO BE - HW'!$B$15),)</f>
        <v>0</v>
      </c>
      <c r="Z21" s="540">
        <f>IFERROR(SUMIFS('Rozpočet - HW a licencie'!$J$3:$J$102,'Rozpočet - HW a licencie'!$A$3:$A$102,'TCO TO BE - HW'!Z$2,'Rozpočet - HW a licencie'!$D$3:$D$102,"HW",'Rozpočet - HW a licencie'!$H$3:$H$102,'TCO TO BE - HW'!$D11,'Rozpočet - HW a licencie'!$E$3:$E$102,'TCO TO BE - HW'!$B$15)+SUMIFS('Rozpočet - HW a licencie'!$J$3:$J$102,'Rozpočet - HW a licencie'!$A$3:$A$102,'TCO TO BE - HW'!Z$2,'Rozpočet - HW a licencie'!$D$3:$D$102,"SW pre HW",'Rozpočet - HW a licencie'!$H$3:$H$102,'TCO TO BE - HW'!$D11,'Rozpočet - HW a licencie'!$E$3:$E$102,'TCO TO BE - HW'!$B$15),)</f>
        <v>0</v>
      </c>
    </row>
    <row r="22" spans="1:26" outlineLevel="1" x14ac:dyDescent="0.2">
      <c r="A22" s="884"/>
      <c r="B22" s="885"/>
      <c r="C22" s="885"/>
      <c r="D22" s="464">
        <v>8</v>
      </c>
      <c r="E22" s="68">
        <f t="shared" si="2"/>
        <v>0</v>
      </c>
      <c r="F22" s="540">
        <f>IFERROR(SUMIFS('Rozpočet - HW a licencie'!$J$3:$J$102,'Rozpočet - HW a licencie'!$A$3:$A$102,'TCO TO BE - HW'!F$2,'Rozpočet - HW a licencie'!$D$3:$D$102,"HW",'Rozpočet - HW a licencie'!$H$3:$H$102,'TCO TO BE - HW'!$D12,'Rozpočet - HW a licencie'!$E$3:$E$102,'TCO TO BE - HW'!$B$15)+SUMIFS('Rozpočet - HW a licencie'!$J$3:$J$102,'Rozpočet - HW a licencie'!$A$3:$A$102,'TCO TO BE - HW'!F$2,'Rozpočet - HW a licencie'!$D$3:$D$102,"SW pre HW",'Rozpočet - HW a licencie'!$H$3:$H$102,'TCO TO BE - HW'!$D12,'Rozpočet - HW a licencie'!$E$3:$E$102,'TCO TO BE - HW'!$B$15),)</f>
        <v>0</v>
      </c>
      <c r="G22" s="540">
        <f>IFERROR(SUMIFS('Rozpočet - HW a licencie'!$J$3:$J$102,'Rozpočet - HW a licencie'!$A$3:$A$102,'TCO TO BE - HW'!G$2,'Rozpočet - HW a licencie'!$D$3:$D$102,"HW",'Rozpočet - HW a licencie'!$H$3:$H$102,'TCO TO BE - HW'!$D12,'Rozpočet - HW a licencie'!$E$3:$E$102,'TCO TO BE - HW'!$B$15)+SUMIFS('Rozpočet - HW a licencie'!$J$3:$J$102,'Rozpočet - HW a licencie'!$A$3:$A$102,'TCO TO BE - HW'!G$2,'Rozpočet - HW a licencie'!$D$3:$D$102,"SW pre HW",'Rozpočet - HW a licencie'!$H$3:$H$102,'TCO TO BE - HW'!$D12,'Rozpočet - HW a licencie'!$E$3:$E$102,'TCO TO BE - HW'!$B$15),)</f>
        <v>0</v>
      </c>
      <c r="H22" s="540">
        <f>IFERROR(SUMIFS('Rozpočet - HW a licencie'!$J$3:$J$102,'Rozpočet - HW a licencie'!$A$3:$A$102,'TCO TO BE - HW'!H$2,'Rozpočet - HW a licencie'!$D$3:$D$102,"HW",'Rozpočet - HW a licencie'!$H$3:$H$102,'TCO TO BE - HW'!$D12,'Rozpočet - HW a licencie'!$E$3:$E$102,'TCO TO BE - HW'!$B$15)+SUMIFS('Rozpočet - HW a licencie'!$J$3:$J$102,'Rozpočet - HW a licencie'!$A$3:$A$102,'TCO TO BE - HW'!H$2,'Rozpočet - HW a licencie'!$D$3:$D$102,"SW pre HW",'Rozpočet - HW a licencie'!$H$3:$H$102,'TCO TO BE - HW'!$D12,'Rozpočet - HW a licencie'!$E$3:$E$102,'TCO TO BE - HW'!$B$15),)</f>
        <v>0</v>
      </c>
      <c r="I22" s="540">
        <f>IFERROR(SUMIFS('Rozpočet - HW a licencie'!$J$3:$J$102,'Rozpočet - HW a licencie'!$A$3:$A$102,'TCO TO BE - HW'!I$2,'Rozpočet - HW a licencie'!$D$3:$D$102,"HW",'Rozpočet - HW a licencie'!$H$3:$H$102,'TCO TO BE - HW'!$D12,'Rozpočet - HW a licencie'!$E$3:$E$102,'TCO TO BE - HW'!$B$15)+SUMIFS('Rozpočet - HW a licencie'!$J$3:$J$102,'Rozpočet - HW a licencie'!$A$3:$A$102,'TCO TO BE - HW'!I$2,'Rozpočet - HW a licencie'!$D$3:$D$102,"SW pre HW",'Rozpočet - HW a licencie'!$H$3:$H$102,'TCO TO BE - HW'!$D12,'Rozpočet - HW a licencie'!$E$3:$E$102,'TCO TO BE - HW'!$B$15),)</f>
        <v>0</v>
      </c>
      <c r="J22" s="540">
        <f>IFERROR(SUMIFS('Rozpočet - HW a licencie'!$J$3:$J$102,'Rozpočet - HW a licencie'!$A$3:$A$102,'TCO TO BE - HW'!J$2,'Rozpočet - HW a licencie'!$D$3:$D$102,"HW",'Rozpočet - HW a licencie'!$H$3:$H$102,'TCO TO BE - HW'!$D12,'Rozpočet - HW a licencie'!$E$3:$E$102,'TCO TO BE - HW'!$B$15)+SUMIFS('Rozpočet - HW a licencie'!$J$3:$J$102,'Rozpočet - HW a licencie'!$A$3:$A$102,'TCO TO BE - HW'!J$2,'Rozpočet - HW a licencie'!$D$3:$D$102,"SW pre HW",'Rozpočet - HW a licencie'!$H$3:$H$102,'TCO TO BE - HW'!$D12,'Rozpočet - HW a licencie'!$E$3:$E$102,'TCO TO BE - HW'!$B$15),)</f>
        <v>0</v>
      </c>
      <c r="K22" s="540">
        <f>IFERROR(SUMIFS('Rozpočet - HW a licencie'!$J$3:$J$102,'Rozpočet - HW a licencie'!$A$3:$A$102,'TCO TO BE - HW'!K$2,'Rozpočet - HW a licencie'!$D$3:$D$102,"HW",'Rozpočet - HW a licencie'!$H$3:$H$102,'TCO TO BE - HW'!$D12,'Rozpočet - HW a licencie'!$E$3:$E$102,'TCO TO BE - HW'!$B$15)+SUMIFS('Rozpočet - HW a licencie'!$J$3:$J$102,'Rozpočet - HW a licencie'!$A$3:$A$102,'TCO TO BE - HW'!K$2,'Rozpočet - HW a licencie'!$D$3:$D$102,"SW pre HW",'Rozpočet - HW a licencie'!$H$3:$H$102,'TCO TO BE - HW'!$D12,'Rozpočet - HW a licencie'!$E$3:$E$102,'TCO TO BE - HW'!$B$15),)</f>
        <v>0</v>
      </c>
      <c r="L22" s="540">
        <f>IFERROR(SUMIFS('Rozpočet - HW a licencie'!$J$3:$J$102,'Rozpočet - HW a licencie'!$A$3:$A$102,'TCO TO BE - HW'!L$2,'Rozpočet - HW a licencie'!$D$3:$D$102,"HW",'Rozpočet - HW a licencie'!$H$3:$H$102,'TCO TO BE - HW'!$D12,'Rozpočet - HW a licencie'!$E$3:$E$102,'TCO TO BE - HW'!$B$15)+SUMIFS('Rozpočet - HW a licencie'!$J$3:$J$102,'Rozpočet - HW a licencie'!$A$3:$A$102,'TCO TO BE - HW'!L$2,'Rozpočet - HW a licencie'!$D$3:$D$102,"SW pre HW",'Rozpočet - HW a licencie'!$H$3:$H$102,'TCO TO BE - HW'!$D12,'Rozpočet - HW a licencie'!$E$3:$E$102,'TCO TO BE - HW'!$B$15),)</f>
        <v>0</v>
      </c>
      <c r="M22" s="540">
        <f>IFERROR(SUMIFS('Rozpočet - HW a licencie'!$J$3:$J$102,'Rozpočet - HW a licencie'!$A$3:$A$102,'TCO TO BE - HW'!M$2,'Rozpočet - HW a licencie'!$D$3:$D$102,"HW",'Rozpočet - HW a licencie'!$H$3:$H$102,'TCO TO BE - HW'!$D12,'Rozpočet - HW a licencie'!$E$3:$E$102,'TCO TO BE - HW'!$B$15)+SUMIFS('Rozpočet - HW a licencie'!$J$3:$J$102,'Rozpočet - HW a licencie'!$A$3:$A$102,'TCO TO BE - HW'!M$2,'Rozpočet - HW a licencie'!$D$3:$D$102,"SW pre HW",'Rozpočet - HW a licencie'!$H$3:$H$102,'TCO TO BE - HW'!$D12,'Rozpočet - HW a licencie'!$E$3:$E$102,'TCO TO BE - HW'!$B$15),)</f>
        <v>0</v>
      </c>
      <c r="N22" s="540">
        <f>IFERROR(SUMIFS('Rozpočet - HW a licencie'!$J$3:$J$102,'Rozpočet - HW a licencie'!$A$3:$A$102,'TCO TO BE - HW'!N$2,'Rozpočet - HW a licencie'!$D$3:$D$102,"HW",'Rozpočet - HW a licencie'!$H$3:$H$102,'TCO TO BE - HW'!$D12,'Rozpočet - HW a licencie'!$E$3:$E$102,'TCO TO BE - HW'!$B$15)+SUMIFS('Rozpočet - HW a licencie'!$J$3:$J$102,'Rozpočet - HW a licencie'!$A$3:$A$102,'TCO TO BE - HW'!N$2,'Rozpočet - HW a licencie'!$D$3:$D$102,"SW pre HW",'Rozpočet - HW a licencie'!$H$3:$H$102,'TCO TO BE - HW'!$D12,'Rozpočet - HW a licencie'!$E$3:$E$102,'TCO TO BE - HW'!$B$15),)</f>
        <v>0</v>
      </c>
      <c r="O22" s="540">
        <f>IFERROR(SUMIFS('Rozpočet - HW a licencie'!$J$3:$J$102,'Rozpočet - HW a licencie'!$A$3:$A$102,'TCO TO BE - HW'!O$2,'Rozpočet - HW a licencie'!$D$3:$D$102,"HW",'Rozpočet - HW a licencie'!$H$3:$H$102,'TCO TO BE - HW'!$D12,'Rozpočet - HW a licencie'!$E$3:$E$102,'TCO TO BE - HW'!$B$15)+SUMIFS('Rozpočet - HW a licencie'!$J$3:$J$102,'Rozpočet - HW a licencie'!$A$3:$A$102,'TCO TO BE - HW'!O$2,'Rozpočet - HW a licencie'!$D$3:$D$102,"SW pre HW",'Rozpočet - HW a licencie'!$H$3:$H$102,'TCO TO BE - HW'!$D12,'Rozpočet - HW a licencie'!$E$3:$E$102,'TCO TO BE - HW'!$B$15),)</f>
        <v>0</v>
      </c>
      <c r="P22" s="540">
        <f>IFERROR(SUMIFS('Rozpočet - HW a licencie'!$J$3:$J$102,'Rozpočet - HW a licencie'!$A$3:$A$102,'TCO TO BE - HW'!P$2,'Rozpočet - HW a licencie'!$D$3:$D$102,"HW",'Rozpočet - HW a licencie'!$H$3:$H$102,'TCO TO BE - HW'!$D12,'Rozpočet - HW a licencie'!$E$3:$E$102,'TCO TO BE - HW'!$B$15)+SUMIFS('Rozpočet - HW a licencie'!$J$3:$J$102,'Rozpočet - HW a licencie'!$A$3:$A$102,'TCO TO BE - HW'!P$2,'Rozpočet - HW a licencie'!$D$3:$D$102,"SW pre HW",'Rozpočet - HW a licencie'!$H$3:$H$102,'TCO TO BE - HW'!$D12,'Rozpočet - HW a licencie'!$E$3:$E$102,'TCO TO BE - HW'!$B$15),)</f>
        <v>0</v>
      </c>
      <c r="Q22" s="540">
        <f>IFERROR(SUMIFS('Rozpočet - HW a licencie'!$J$3:$J$102,'Rozpočet - HW a licencie'!$A$3:$A$102,'TCO TO BE - HW'!Q$2,'Rozpočet - HW a licencie'!$D$3:$D$102,"HW",'Rozpočet - HW a licencie'!$H$3:$H$102,'TCO TO BE - HW'!$D12,'Rozpočet - HW a licencie'!$E$3:$E$102,'TCO TO BE - HW'!$B$15)+SUMIFS('Rozpočet - HW a licencie'!$J$3:$J$102,'Rozpočet - HW a licencie'!$A$3:$A$102,'TCO TO BE - HW'!Q$2,'Rozpočet - HW a licencie'!$D$3:$D$102,"SW pre HW",'Rozpočet - HW a licencie'!$H$3:$H$102,'TCO TO BE - HW'!$D12,'Rozpočet - HW a licencie'!$E$3:$E$102,'TCO TO BE - HW'!$B$15),)</f>
        <v>0</v>
      </c>
      <c r="R22" s="540">
        <f>IFERROR(SUMIFS('Rozpočet - HW a licencie'!$J$3:$J$102,'Rozpočet - HW a licencie'!$A$3:$A$102,'TCO TO BE - HW'!R$2,'Rozpočet - HW a licencie'!$D$3:$D$102,"HW",'Rozpočet - HW a licencie'!$H$3:$H$102,'TCO TO BE - HW'!$D12,'Rozpočet - HW a licencie'!$E$3:$E$102,'TCO TO BE - HW'!$B$15)+SUMIFS('Rozpočet - HW a licencie'!$J$3:$J$102,'Rozpočet - HW a licencie'!$A$3:$A$102,'TCO TO BE - HW'!R$2,'Rozpočet - HW a licencie'!$D$3:$D$102,"SW pre HW",'Rozpočet - HW a licencie'!$H$3:$H$102,'TCO TO BE - HW'!$D12,'Rozpočet - HW a licencie'!$E$3:$E$102,'TCO TO BE - HW'!$B$15),)</f>
        <v>0</v>
      </c>
      <c r="S22" s="540">
        <f>IFERROR(SUMIFS('Rozpočet - HW a licencie'!$J$3:$J$102,'Rozpočet - HW a licencie'!$A$3:$A$102,'TCO TO BE - HW'!S$2,'Rozpočet - HW a licencie'!$D$3:$D$102,"HW",'Rozpočet - HW a licencie'!$H$3:$H$102,'TCO TO BE - HW'!$D12,'Rozpočet - HW a licencie'!$E$3:$E$102,'TCO TO BE - HW'!$B$15)+SUMIFS('Rozpočet - HW a licencie'!$J$3:$J$102,'Rozpočet - HW a licencie'!$A$3:$A$102,'TCO TO BE - HW'!S$2,'Rozpočet - HW a licencie'!$D$3:$D$102,"SW pre HW",'Rozpočet - HW a licencie'!$H$3:$H$102,'TCO TO BE - HW'!$D12,'Rozpočet - HW a licencie'!$E$3:$E$102,'TCO TO BE - HW'!$B$15),)</f>
        <v>0</v>
      </c>
      <c r="T22" s="540">
        <f>IFERROR(SUMIFS('Rozpočet - HW a licencie'!$J$3:$J$102,'Rozpočet - HW a licencie'!$A$3:$A$102,'TCO TO BE - HW'!T$2,'Rozpočet - HW a licencie'!$D$3:$D$102,"HW",'Rozpočet - HW a licencie'!$H$3:$H$102,'TCO TO BE - HW'!$D12,'Rozpočet - HW a licencie'!$E$3:$E$102,'TCO TO BE - HW'!$B$15)+SUMIFS('Rozpočet - HW a licencie'!$J$3:$J$102,'Rozpočet - HW a licencie'!$A$3:$A$102,'TCO TO BE - HW'!T$2,'Rozpočet - HW a licencie'!$D$3:$D$102,"SW pre HW",'Rozpočet - HW a licencie'!$H$3:$H$102,'TCO TO BE - HW'!$D12,'Rozpočet - HW a licencie'!$E$3:$E$102,'TCO TO BE - HW'!$B$15),)</f>
        <v>0</v>
      </c>
      <c r="U22" s="540">
        <f>IFERROR(SUMIFS('Rozpočet - HW a licencie'!$J$3:$J$102,'Rozpočet - HW a licencie'!$A$3:$A$102,'TCO TO BE - HW'!U$2,'Rozpočet - HW a licencie'!$D$3:$D$102,"HW",'Rozpočet - HW a licencie'!$H$3:$H$102,'TCO TO BE - HW'!$D12,'Rozpočet - HW a licencie'!$E$3:$E$102,'TCO TO BE - HW'!$B$15)+SUMIFS('Rozpočet - HW a licencie'!$J$3:$J$102,'Rozpočet - HW a licencie'!$A$3:$A$102,'TCO TO BE - HW'!U$2,'Rozpočet - HW a licencie'!$D$3:$D$102,"SW pre HW",'Rozpočet - HW a licencie'!$H$3:$H$102,'TCO TO BE - HW'!$D12,'Rozpočet - HW a licencie'!$E$3:$E$102,'TCO TO BE - HW'!$B$15),)</f>
        <v>0</v>
      </c>
      <c r="V22" s="540">
        <f>IFERROR(SUMIFS('Rozpočet - HW a licencie'!$J$3:$J$102,'Rozpočet - HW a licencie'!$A$3:$A$102,'TCO TO BE - HW'!V$2,'Rozpočet - HW a licencie'!$D$3:$D$102,"HW",'Rozpočet - HW a licencie'!$H$3:$H$102,'TCO TO BE - HW'!$D12,'Rozpočet - HW a licencie'!$E$3:$E$102,'TCO TO BE - HW'!$B$15)+SUMIFS('Rozpočet - HW a licencie'!$J$3:$J$102,'Rozpočet - HW a licencie'!$A$3:$A$102,'TCO TO BE - HW'!V$2,'Rozpočet - HW a licencie'!$D$3:$D$102,"SW pre HW",'Rozpočet - HW a licencie'!$H$3:$H$102,'TCO TO BE - HW'!$D12,'Rozpočet - HW a licencie'!$E$3:$E$102,'TCO TO BE - HW'!$B$15),)</f>
        <v>0</v>
      </c>
      <c r="W22" s="540">
        <f>IFERROR(SUMIFS('Rozpočet - HW a licencie'!$J$3:$J$102,'Rozpočet - HW a licencie'!$A$3:$A$102,'TCO TO BE - HW'!W$2,'Rozpočet - HW a licencie'!$D$3:$D$102,"HW",'Rozpočet - HW a licencie'!$H$3:$H$102,'TCO TO BE - HW'!$D12,'Rozpočet - HW a licencie'!$E$3:$E$102,'TCO TO BE - HW'!$B$15)+SUMIFS('Rozpočet - HW a licencie'!$J$3:$J$102,'Rozpočet - HW a licencie'!$A$3:$A$102,'TCO TO BE - HW'!W$2,'Rozpočet - HW a licencie'!$D$3:$D$102,"SW pre HW",'Rozpočet - HW a licencie'!$H$3:$H$102,'TCO TO BE - HW'!$D12,'Rozpočet - HW a licencie'!$E$3:$E$102,'TCO TO BE - HW'!$B$15),)</f>
        <v>0</v>
      </c>
      <c r="X22" s="540">
        <f>IFERROR(SUMIFS('Rozpočet - HW a licencie'!$J$3:$J$102,'Rozpočet - HW a licencie'!$A$3:$A$102,'TCO TO BE - HW'!X$2,'Rozpočet - HW a licencie'!$D$3:$D$102,"HW",'Rozpočet - HW a licencie'!$H$3:$H$102,'TCO TO BE - HW'!$D12,'Rozpočet - HW a licencie'!$E$3:$E$102,'TCO TO BE - HW'!$B$15)+SUMIFS('Rozpočet - HW a licencie'!$J$3:$J$102,'Rozpočet - HW a licencie'!$A$3:$A$102,'TCO TO BE - HW'!X$2,'Rozpočet - HW a licencie'!$D$3:$D$102,"SW pre HW",'Rozpočet - HW a licencie'!$H$3:$H$102,'TCO TO BE - HW'!$D12,'Rozpočet - HW a licencie'!$E$3:$E$102,'TCO TO BE - HW'!$B$15),)</f>
        <v>0</v>
      </c>
      <c r="Y22" s="540">
        <f>IFERROR(SUMIFS('Rozpočet - HW a licencie'!$J$3:$J$102,'Rozpočet - HW a licencie'!$A$3:$A$102,'TCO TO BE - HW'!Y$2,'Rozpočet - HW a licencie'!$D$3:$D$102,"HW",'Rozpočet - HW a licencie'!$H$3:$H$102,'TCO TO BE - HW'!$D12,'Rozpočet - HW a licencie'!$E$3:$E$102,'TCO TO BE - HW'!$B$15)+SUMIFS('Rozpočet - HW a licencie'!$J$3:$J$102,'Rozpočet - HW a licencie'!$A$3:$A$102,'TCO TO BE - HW'!Y$2,'Rozpočet - HW a licencie'!$D$3:$D$102,"SW pre HW",'Rozpočet - HW a licencie'!$H$3:$H$102,'TCO TO BE - HW'!$D12,'Rozpočet - HW a licencie'!$E$3:$E$102,'TCO TO BE - HW'!$B$15),)</f>
        <v>0</v>
      </c>
      <c r="Z22" s="540">
        <f>IFERROR(SUMIFS('Rozpočet - HW a licencie'!$J$3:$J$102,'Rozpočet - HW a licencie'!$A$3:$A$102,'TCO TO BE - HW'!Z$2,'Rozpočet - HW a licencie'!$D$3:$D$102,"HW",'Rozpočet - HW a licencie'!$H$3:$H$102,'TCO TO BE - HW'!$D12,'Rozpočet - HW a licencie'!$E$3:$E$102,'TCO TO BE - HW'!$B$15)+SUMIFS('Rozpočet - HW a licencie'!$J$3:$J$102,'Rozpočet - HW a licencie'!$A$3:$A$102,'TCO TO BE - HW'!Z$2,'Rozpočet - HW a licencie'!$D$3:$D$102,"SW pre HW",'Rozpočet - HW a licencie'!$H$3:$H$102,'TCO TO BE - HW'!$D12,'Rozpočet - HW a licencie'!$E$3:$E$102,'TCO TO BE - HW'!$B$15),)</f>
        <v>0</v>
      </c>
    </row>
    <row r="23" spans="1:26" outlineLevel="1" x14ac:dyDescent="0.2">
      <c r="A23" s="884"/>
      <c r="B23" s="885"/>
      <c r="C23" s="885"/>
      <c r="D23" s="464">
        <v>9</v>
      </c>
      <c r="E23" s="68">
        <f t="shared" si="2"/>
        <v>0</v>
      </c>
      <c r="F23" s="540">
        <f>IFERROR(SUMIFS('Rozpočet - HW a licencie'!$J$3:$J$102,'Rozpočet - HW a licencie'!$A$3:$A$102,'TCO TO BE - HW'!F$2,'Rozpočet - HW a licencie'!$D$3:$D$102,"HW",'Rozpočet - HW a licencie'!$H$3:$H$102,'TCO TO BE - HW'!$D13,'Rozpočet - HW a licencie'!$E$3:$E$102,'TCO TO BE - HW'!$B$15)+SUMIFS('Rozpočet - HW a licencie'!$J$3:$J$102,'Rozpočet - HW a licencie'!$A$3:$A$102,'TCO TO BE - HW'!F$2,'Rozpočet - HW a licencie'!$D$3:$D$102,"SW pre HW",'Rozpočet - HW a licencie'!$H$3:$H$102,'TCO TO BE - HW'!$D13,'Rozpočet - HW a licencie'!$E$3:$E$102,'TCO TO BE - HW'!$B$15),)</f>
        <v>0</v>
      </c>
      <c r="G23" s="540">
        <f>IFERROR(SUMIFS('Rozpočet - HW a licencie'!$J$3:$J$102,'Rozpočet - HW a licencie'!$A$3:$A$102,'TCO TO BE - HW'!G$2,'Rozpočet - HW a licencie'!$D$3:$D$102,"HW",'Rozpočet - HW a licencie'!$H$3:$H$102,'TCO TO BE - HW'!$D13,'Rozpočet - HW a licencie'!$E$3:$E$102,'TCO TO BE - HW'!$B$15)+SUMIFS('Rozpočet - HW a licencie'!$J$3:$J$102,'Rozpočet - HW a licencie'!$A$3:$A$102,'TCO TO BE - HW'!G$2,'Rozpočet - HW a licencie'!$D$3:$D$102,"SW pre HW",'Rozpočet - HW a licencie'!$H$3:$H$102,'TCO TO BE - HW'!$D13,'Rozpočet - HW a licencie'!$E$3:$E$102,'TCO TO BE - HW'!$B$15),)</f>
        <v>0</v>
      </c>
      <c r="H23" s="540">
        <f>IFERROR(SUMIFS('Rozpočet - HW a licencie'!$J$3:$J$102,'Rozpočet - HW a licencie'!$A$3:$A$102,'TCO TO BE - HW'!H$2,'Rozpočet - HW a licencie'!$D$3:$D$102,"HW",'Rozpočet - HW a licencie'!$H$3:$H$102,'TCO TO BE - HW'!$D13,'Rozpočet - HW a licencie'!$E$3:$E$102,'TCO TO BE - HW'!$B$15)+SUMIFS('Rozpočet - HW a licencie'!$J$3:$J$102,'Rozpočet - HW a licencie'!$A$3:$A$102,'TCO TO BE - HW'!H$2,'Rozpočet - HW a licencie'!$D$3:$D$102,"SW pre HW",'Rozpočet - HW a licencie'!$H$3:$H$102,'TCO TO BE - HW'!$D13,'Rozpočet - HW a licencie'!$E$3:$E$102,'TCO TO BE - HW'!$B$15),)</f>
        <v>0</v>
      </c>
      <c r="I23" s="540">
        <f>IFERROR(SUMIFS('Rozpočet - HW a licencie'!$J$3:$J$102,'Rozpočet - HW a licencie'!$A$3:$A$102,'TCO TO BE - HW'!I$2,'Rozpočet - HW a licencie'!$D$3:$D$102,"HW",'Rozpočet - HW a licencie'!$H$3:$H$102,'TCO TO BE - HW'!$D13,'Rozpočet - HW a licencie'!$E$3:$E$102,'TCO TO BE - HW'!$B$15)+SUMIFS('Rozpočet - HW a licencie'!$J$3:$J$102,'Rozpočet - HW a licencie'!$A$3:$A$102,'TCO TO BE - HW'!I$2,'Rozpočet - HW a licencie'!$D$3:$D$102,"SW pre HW",'Rozpočet - HW a licencie'!$H$3:$H$102,'TCO TO BE - HW'!$D13,'Rozpočet - HW a licencie'!$E$3:$E$102,'TCO TO BE - HW'!$B$15),)</f>
        <v>0</v>
      </c>
      <c r="J23" s="540">
        <f>IFERROR(SUMIFS('Rozpočet - HW a licencie'!$J$3:$J$102,'Rozpočet - HW a licencie'!$A$3:$A$102,'TCO TO BE - HW'!J$2,'Rozpočet - HW a licencie'!$D$3:$D$102,"HW",'Rozpočet - HW a licencie'!$H$3:$H$102,'TCO TO BE - HW'!$D13,'Rozpočet - HW a licencie'!$E$3:$E$102,'TCO TO BE - HW'!$B$15)+SUMIFS('Rozpočet - HW a licencie'!$J$3:$J$102,'Rozpočet - HW a licencie'!$A$3:$A$102,'TCO TO BE - HW'!J$2,'Rozpočet - HW a licencie'!$D$3:$D$102,"SW pre HW",'Rozpočet - HW a licencie'!$H$3:$H$102,'TCO TO BE - HW'!$D13,'Rozpočet - HW a licencie'!$E$3:$E$102,'TCO TO BE - HW'!$B$15),)</f>
        <v>0</v>
      </c>
      <c r="K23" s="540">
        <f>IFERROR(SUMIFS('Rozpočet - HW a licencie'!$J$3:$J$102,'Rozpočet - HW a licencie'!$A$3:$A$102,'TCO TO BE - HW'!K$2,'Rozpočet - HW a licencie'!$D$3:$D$102,"HW",'Rozpočet - HW a licencie'!$H$3:$H$102,'TCO TO BE - HW'!$D13,'Rozpočet - HW a licencie'!$E$3:$E$102,'TCO TO BE - HW'!$B$15)+SUMIFS('Rozpočet - HW a licencie'!$J$3:$J$102,'Rozpočet - HW a licencie'!$A$3:$A$102,'TCO TO BE - HW'!K$2,'Rozpočet - HW a licencie'!$D$3:$D$102,"SW pre HW",'Rozpočet - HW a licencie'!$H$3:$H$102,'TCO TO BE - HW'!$D13,'Rozpočet - HW a licencie'!$E$3:$E$102,'TCO TO BE - HW'!$B$15),)</f>
        <v>0</v>
      </c>
      <c r="L23" s="540">
        <f>IFERROR(SUMIFS('Rozpočet - HW a licencie'!$J$3:$J$102,'Rozpočet - HW a licencie'!$A$3:$A$102,'TCO TO BE - HW'!L$2,'Rozpočet - HW a licencie'!$D$3:$D$102,"HW",'Rozpočet - HW a licencie'!$H$3:$H$102,'TCO TO BE - HW'!$D13,'Rozpočet - HW a licencie'!$E$3:$E$102,'TCO TO BE - HW'!$B$15)+SUMIFS('Rozpočet - HW a licencie'!$J$3:$J$102,'Rozpočet - HW a licencie'!$A$3:$A$102,'TCO TO BE - HW'!L$2,'Rozpočet - HW a licencie'!$D$3:$D$102,"SW pre HW",'Rozpočet - HW a licencie'!$H$3:$H$102,'TCO TO BE - HW'!$D13,'Rozpočet - HW a licencie'!$E$3:$E$102,'TCO TO BE - HW'!$B$15),)</f>
        <v>0</v>
      </c>
      <c r="M23" s="540">
        <f>IFERROR(SUMIFS('Rozpočet - HW a licencie'!$J$3:$J$102,'Rozpočet - HW a licencie'!$A$3:$A$102,'TCO TO BE - HW'!M$2,'Rozpočet - HW a licencie'!$D$3:$D$102,"HW",'Rozpočet - HW a licencie'!$H$3:$H$102,'TCO TO BE - HW'!$D13,'Rozpočet - HW a licencie'!$E$3:$E$102,'TCO TO BE - HW'!$B$15)+SUMIFS('Rozpočet - HW a licencie'!$J$3:$J$102,'Rozpočet - HW a licencie'!$A$3:$A$102,'TCO TO BE - HW'!M$2,'Rozpočet - HW a licencie'!$D$3:$D$102,"SW pre HW",'Rozpočet - HW a licencie'!$H$3:$H$102,'TCO TO BE - HW'!$D13,'Rozpočet - HW a licencie'!$E$3:$E$102,'TCO TO BE - HW'!$B$15),)</f>
        <v>0</v>
      </c>
      <c r="N23" s="540">
        <f>IFERROR(SUMIFS('Rozpočet - HW a licencie'!$J$3:$J$102,'Rozpočet - HW a licencie'!$A$3:$A$102,'TCO TO BE - HW'!N$2,'Rozpočet - HW a licencie'!$D$3:$D$102,"HW",'Rozpočet - HW a licencie'!$H$3:$H$102,'TCO TO BE - HW'!$D13,'Rozpočet - HW a licencie'!$E$3:$E$102,'TCO TO BE - HW'!$B$15)+SUMIFS('Rozpočet - HW a licencie'!$J$3:$J$102,'Rozpočet - HW a licencie'!$A$3:$A$102,'TCO TO BE - HW'!N$2,'Rozpočet - HW a licencie'!$D$3:$D$102,"SW pre HW",'Rozpočet - HW a licencie'!$H$3:$H$102,'TCO TO BE - HW'!$D13,'Rozpočet - HW a licencie'!$E$3:$E$102,'TCO TO BE - HW'!$B$15),)</f>
        <v>0</v>
      </c>
      <c r="O23" s="540">
        <f>IFERROR(SUMIFS('Rozpočet - HW a licencie'!$J$3:$J$102,'Rozpočet - HW a licencie'!$A$3:$A$102,'TCO TO BE - HW'!O$2,'Rozpočet - HW a licencie'!$D$3:$D$102,"HW",'Rozpočet - HW a licencie'!$H$3:$H$102,'TCO TO BE - HW'!$D13,'Rozpočet - HW a licencie'!$E$3:$E$102,'TCO TO BE - HW'!$B$15)+SUMIFS('Rozpočet - HW a licencie'!$J$3:$J$102,'Rozpočet - HW a licencie'!$A$3:$A$102,'TCO TO BE - HW'!O$2,'Rozpočet - HW a licencie'!$D$3:$D$102,"SW pre HW",'Rozpočet - HW a licencie'!$H$3:$H$102,'TCO TO BE - HW'!$D13,'Rozpočet - HW a licencie'!$E$3:$E$102,'TCO TO BE - HW'!$B$15),)</f>
        <v>0</v>
      </c>
      <c r="P23" s="540">
        <f>IFERROR(SUMIFS('Rozpočet - HW a licencie'!$J$3:$J$102,'Rozpočet - HW a licencie'!$A$3:$A$102,'TCO TO BE - HW'!P$2,'Rozpočet - HW a licencie'!$D$3:$D$102,"HW",'Rozpočet - HW a licencie'!$H$3:$H$102,'TCO TO BE - HW'!$D13,'Rozpočet - HW a licencie'!$E$3:$E$102,'TCO TO BE - HW'!$B$15)+SUMIFS('Rozpočet - HW a licencie'!$J$3:$J$102,'Rozpočet - HW a licencie'!$A$3:$A$102,'TCO TO BE - HW'!P$2,'Rozpočet - HW a licencie'!$D$3:$D$102,"SW pre HW",'Rozpočet - HW a licencie'!$H$3:$H$102,'TCO TO BE - HW'!$D13,'Rozpočet - HW a licencie'!$E$3:$E$102,'TCO TO BE - HW'!$B$15),)</f>
        <v>0</v>
      </c>
      <c r="Q23" s="540">
        <f>IFERROR(SUMIFS('Rozpočet - HW a licencie'!$J$3:$J$102,'Rozpočet - HW a licencie'!$A$3:$A$102,'TCO TO BE - HW'!Q$2,'Rozpočet - HW a licencie'!$D$3:$D$102,"HW",'Rozpočet - HW a licencie'!$H$3:$H$102,'TCO TO BE - HW'!$D13,'Rozpočet - HW a licencie'!$E$3:$E$102,'TCO TO BE - HW'!$B$15)+SUMIFS('Rozpočet - HW a licencie'!$J$3:$J$102,'Rozpočet - HW a licencie'!$A$3:$A$102,'TCO TO BE - HW'!Q$2,'Rozpočet - HW a licencie'!$D$3:$D$102,"SW pre HW",'Rozpočet - HW a licencie'!$H$3:$H$102,'TCO TO BE - HW'!$D13,'Rozpočet - HW a licencie'!$E$3:$E$102,'TCO TO BE - HW'!$B$15),)</f>
        <v>0</v>
      </c>
      <c r="R23" s="540">
        <f>IFERROR(SUMIFS('Rozpočet - HW a licencie'!$J$3:$J$102,'Rozpočet - HW a licencie'!$A$3:$A$102,'TCO TO BE - HW'!R$2,'Rozpočet - HW a licencie'!$D$3:$D$102,"HW",'Rozpočet - HW a licencie'!$H$3:$H$102,'TCO TO BE - HW'!$D13,'Rozpočet - HW a licencie'!$E$3:$E$102,'TCO TO BE - HW'!$B$15)+SUMIFS('Rozpočet - HW a licencie'!$J$3:$J$102,'Rozpočet - HW a licencie'!$A$3:$A$102,'TCO TO BE - HW'!R$2,'Rozpočet - HW a licencie'!$D$3:$D$102,"SW pre HW",'Rozpočet - HW a licencie'!$H$3:$H$102,'TCO TO BE - HW'!$D13,'Rozpočet - HW a licencie'!$E$3:$E$102,'TCO TO BE - HW'!$B$15),)</f>
        <v>0</v>
      </c>
      <c r="S23" s="540">
        <f>IFERROR(SUMIFS('Rozpočet - HW a licencie'!$J$3:$J$102,'Rozpočet - HW a licencie'!$A$3:$A$102,'TCO TO BE - HW'!S$2,'Rozpočet - HW a licencie'!$D$3:$D$102,"HW",'Rozpočet - HW a licencie'!$H$3:$H$102,'TCO TO BE - HW'!$D13,'Rozpočet - HW a licencie'!$E$3:$E$102,'TCO TO BE - HW'!$B$15)+SUMIFS('Rozpočet - HW a licencie'!$J$3:$J$102,'Rozpočet - HW a licencie'!$A$3:$A$102,'TCO TO BE - HW'!S$2,'Rozpočet - HW a licencie'!$D$3:$D$102,"SW pre HW",'Rozpočet - HW a licencie'!$H$3:$H$102,'TCO TO BE - HW'!$D13,'Rozpočet - HW a licencie'!$E$3:$E$102,'TCO TO BE - HW'!$B$15),)</f>
        <v>0</v>
      </c>
      <c r="T23" s="540">
        <f>IFERROR(SUMIFS('Rozpočet - HW a licencie'!$J$3:$J$102,'Rozpočet - HW a licencie'!$A$3:$A$102,'TCO TO BE - HW'!T$2,'Rozpočet - HW a licencie'!$D$3:$D$102,"HW",'Rozpočet - HW a licencie'!$H$3:$H$102,'TCO TO BE - HW'!$D13,'Rozpočet - HW a licencie'!$E$3:$E$102,'TCO TO BE - HW'!$B$15)+SUMIFS('Rozpočet - HW a licencie'!$J$3:$J$102,'Rozpočet - HW a licencie'!$A$3:$A$102,'TCO TO BE - HW'!T$2,'Rozpočet - HW a licencie'!$D$3:$D$102,"SW pre HW",'Rozpočet - HW a licencie'!$H$3:$H$102,'TCO TO BE - HW'!$D13,'Rozpočet - HW a licencie'!$E$3:$E$102,'TCO TO BE - HW'!$B$15),)</f>
        <v>0</v>
      </c>
      <c r="U23" s="540">
        <f>IFERROR(SUMIFS('Rozpočet - HW a licencie'!$J$3:$J$102,'Rozpočet - HW a licencie'!$A$3:$A$102,'TCO TO BE - HW'!U$2,'Rozpočet - HW a licencie'!$D$3:$D$102,"HW",'Rozpočet - HW a licencie'!$H$3:$H$102,'TCO TO BE - HW'!$D13,'Rozpočet - HW a licencie'!$E$3:$E$102,'TCO TO BE - HW'!$B$15)+SUMIFS('Rozpočet - HW a licencie'!$J$3:$J$102,'Rozpočet - HW a licencie'!$A$3:$A$102,'TCO TO BE - HW'!U$2,'Rozpočet - HW a licencie'!$D$3:$D$102,"SW pre HW",'Rozpočet - HW a licencie'!$H$3:$H$102,'TCO TO BE - HW'!$D13,'Rozpočet - HW a licencie'!$E$3:$E$102,'TCO TO BE - HW'!$B$15),)</f>
        <v>0</v>
      </c>
      <c r="V23" s="540">
        <f>IFERROR(SUMIFS('Rozpočet - HW a licencie'!$J$3:$J$102,'Rozpočet - HW a licencie'!$A$3:$A$102,'TCO TO BE - HW'!V$2,'Rozpočet - HW a licencie'!$D$3:$D$102,"HW",'Rozpočet - HW a licencie'!$H$3:$H$102,'TCO TO BE - HW'!$D13,'Rozpočet - HW a licencie'!$E$3:$E$102,'TCO TO BE - HW'!$B$15)+SUMIFS('Rozpočet - HW a licencie'!$J$3:$J$102,'Rozpočet - HW a licencie'!$A$3:$A$102,'TCO TO BE - HW'!V$2,'Rozpočet - HW a licencie'!$D$3:$D$102,"SW pre HW",'Rozpočet - HW a licencie'!$H$3:$H$102,'TCO TO BE - HW'!$D13,'Rozpočet - HW a licencie'!$E$3:$E$102,'TCO TO BE - HW'!$B$15),)</f>
        <v>0</v>
      </c>
      <c r="W23" s="540">
        <f>IFERROR(SUMIFS('Rozpočet - HW a licencie'!$J$3:$J$102,'Rozpočet - HW a licencie'!$A$3:$A$102,'TCO TO BE - HW'!W$2,'Rozpočet - HW a licencie'!$D$3:$D$102,"HW",'Rozpočet - HW a licencie'!$H$3:$H$102,'TCO TO BE - HW'!$D13,'Rozpočet - HW a licencie'!$E$3:$E$102,'TCO TO BE - HW'!$B$15)+SUMIFS('Rozpočet - HW a licencie'!$J$3:$J$102,'Rozpočet - HW a licencie'!$A$3:$A$102,'TCO TO BE - HW'!W$2,'Rozpočet - HW a licencie'!$D$3:$D$102,"SW pre HW",'Rozpočet - HW a licencie'!$H$3:$H$102,'TCO TO BE - HW'!$D13,'Rozpočet - HW a licencie'!$E$3:$E$102,'TCO TO BE - HW'!$B$15),)</f>
        <v>0</v>
      </c>
      <c r="X23" s="540">
        <f>IFERROR(SUMIFS('Rozpočet - HW a licencie'!$J$3:$J$102,'Rozpočet - HW a licencie'!$A$3:$A$102,'TCO TO BE - HW'!X$2,'Rozpočet - HW a licencie'!$D$3:$D$102,"HW",'Rozpočet - HW a licencie'!$H$3:$H$102,'TCO TO BE - HW'!$D13,'Rozpočet - HW a licencie'!$E$3:$E$102,'TCO TO BE - HW'!$B$15)+SUMIFS('Rozpočet - HW a licencie'!$J$3:$J$102,'Rozpočet - HW a licencie'!$A$3:$A$102,'TCO TO BE - HW'!X$2,'Rozpočet - HW a licencie'!$D$3:$D$102,"SW pre HW",'Rozpočet - HW a licencie'!$H$3:$H$102,'TCO TO BE - HW'!$D13,'Rozpočet - HW a licencie'!$E$3:$E$102,'TCO TO BE - HW'!$B$15),)</f>
        <v>0</v>
      </c>
      <c r="Y23" s="540">
        <f>IFERROR(SUMIFS('Rozpočet - HW a licencie'!$J$3:$J$102,'Rozpočet - HW a licencie'!$A$3:$A$102,'TCO TO BE - HW'!Y$2,'Rozpočet - HW a licencie'!$D$3:$D$102,"HW",'Rozpočet - HW a licencie'!$H$3:$H$102,'TCO TO BE - HW'!$D13,'Rozpočet - HW a licencie'!$E$3:$E$102,'TCO TO BE - HW'!$B$15)+SUMIFS('Rozpočet - HW a licencie'!$J$3:$J$102,'Rozpočet - HW a licencie'!$A$3:$A$102,'TCO TO BE - HW'!Y$2,'Rozpočet - HW a licencie'!$D$3:$D$102,"SW pre HW",'Rozpočet - HW a licencie'!$H$3:$H$102,'TCO TO BE - HW'!$D13,'Rozpočet - HW a licencie'!$E$3:$E$102,'TCO TO BE - HW'!$B$15),)</f>
        <v>0</v>
      </c>
      <c r="Z23" s="540">
        <f>IFERROR(SUMIFS('Rozpočet - HW a licencie'!$J$3:$J$102,'Rozpočet - HW a licencie'!$A$3:$A$102,'TCO TO BE - HW'!Z$2,'Rozpočet - HW a licencie'!$D$3:$D$102,"HW",'Rozpočet - HW a licencie'!$H$3:$H$102,'TCO TO BE - HW'!$D13,'Rozpočet - HW a licencie'!$E$3:$E$102,'TCO TO BE - HW'!$B$15)+SUMIFS('Rozpočet - HW a licencie'!$J$3:$J$102,'Rozpočet - HW a licencie'!$A$3:$A$102,'TCO TO BE - HW'!Z$2,'Rozpočet - HW a licencie'!$D$3:$D$102,"SW pre HW",'Rozpočet - HW a licencie'!$H$3:$H$102,'TCO TO BE - HW'!$D13,'Rozpočet - HW a licencie'!$E$3:$E$102,'TCO TO BE - HW'!$B$15),)</f>
        <v>0</v>
      </c>
    </row>
    <row r="24" spans="1:26" ht="16" outlineLevel="1" thickBot="1" x14ac:dyDescent="0.25">
      <c r="A24" s="884"/>
      <c r="B24" s="885"/>
      <c r="C24" s="885"/>
      <c r="D24" s="465">
        <v>10</v>
      </c>
      <c r="E24" s="69">
        <f t="shared" si="2"/>
        <v>0</v>
      </c>
      <c r="F24" s="541">
        <f>IFERROR(SUMIFS('Rozpočet - HW a licencie'!$J$3:$J$102,'Rozpočet - HW a licencie'!$A$3:$A$102,'TCO TO BE - HW'!F$2,'Rozpočet - HW a licencie'!$D$3:$D$102,"HW",'Rozpočet - HW a licencie'!$H$3:$H$102,'TCO TO BE - HW'!$D14,'Rozpočet - HW a licencie'!$E$3:$E$102,'TCO TO BE - HW'!$B$15)+SUMIFS('Rozpočet - HW a licencie'!$J$3:$J$102,'Rozpočet - HW a licencie'!$A$3:$A$102,'TCO TO BE - HW'!F$2,'Rozpočet - HW a licencie'!$D$3:$D$102,"SW pre HW",'Rozpočet - HW a licencie'!$H$3:$H$102,'TCO TO BE - HW'!$D14,'Rozpočet - HW a licencie'!$E$3:$E$102,'TCO TO BE - HW'!$B$15),)</f>
        <v>0</v>
      </c>
      <c r="G24" s="541">
        <f>IFERROR(SUMIFS('Rozpočet - HW a licencie'!$J$3:$J$102,'Rozpočet - HW a licencie'!$A$3:$A$102,'TCO TO BE - HW'!G$2,'Rozpočet - HW a licencie'!$D$3:$D$102,"HW",'Rozpočet - HW a licencie'!$H$3:$H$102,'TCO TO BE - HW'!$D14,'Rozpočet - HW a licencie'!$E$3:$E$102,'TCO TO BE - HW'!$B$15)+SUMIFS('Rozpočet - HW a licencie'!$J$3:$J$102,'Rozpočet - HW a licencie'!$A$3:$A$102,'TCO TO BE - HW'!G$2,'Rozpočet - HW a licencie'!$D$3:$D$102,"SW pre HW",'Rozpočet - HW a licencie'!$H$3:$H$102,'TCO TO BE - HW'!$D14,'Rozpočet - HW a licencie'!$E$3:$E$102,'TCO TO BE - HW'!$B$15),)</f>
        <v>0</v>
      </c>
      <c r="H24" s="541">
        <f>IFERROR(SUMIFS('Rozpočet - HW a licencie'!$J$3:$J$102,'Rozpočet - HW a licencie'!$A$3:$A$102,'TCO TO BE - HW'!H$2,'Rozpočet - HW a licencie'!$D$3:$D$102,"HW",'Rozpočet - HW a licencie'!$H$3:$H$102,'TCO TO BE - HW'!$D14,'Rozpočet - HW a licencie'!$E$3:$E$102,'TCO TO BE - HW'!$B$15)+SUMIFS('Rozpočet - HW a licencie'!$J$3:$J$102,'Rozpočet - HW a licencie'!$A$3:$A$102,'TCO TO BE - HW'!H$2,'Rozpočet - HW a licencie'!$D$3:$D$102,"SW pre HW",'Rozpočet - HW a licencie'!$H$3:$H$102,'TCO TO BE - HW'!$D14,'Rozpočet - HW a licencie'!$E$3:$E$102,'TCO TO BE - HW'!$B$15),)</f>
        <v>0</v>
      </c>
      <c r="I24" s="541">
        <f>IFERROR(SUMIFS('Rozpočet - HW a licencie'!$J$3:$J$102,'Rozpočet - HW a licencie'!$A$3:$A$102,'TCO TO BE - HW'!I$2,'Rozpočet - HW a licencie'!$D$3:$D$102,"HW",'Rozpočet - HW a licencie'!$H$3:$H$102,'TCO TO BE - HW'!$D14,'Rozpočet - HW a licencie'!$E$3:$E$102,'TCO TO BE - HW'!$B$15)+SUMIFS('Rozpočet - HW a licencie'!$J$3:$J$102,'Rozpočet - HW a licencie'!$A$3:$A$102,'TCO TO BE - HW'!I$2,'Rozpočet - HW a licencie'!$D$3:$D$102,"SW pre HW",'Rozpočet - HW a licencie'!$H$3:$H$102,'TCO TO BE - HW'!$D14,'Rozpočet - HW a licencie'!$E$3:$E$102,'TCO TO BE - HW'!$B$15),)</f>
        <v>0</v>
      </c>
      <c r="J24" s="541">
        <f>IFERROR(SUMIFS('Rozpočet - HW a licencie'!$J$3:$J$102,'Rozpočet - HW a licencie'!$A$3:$A$102,'TCO TO BE - HW'!J$2,'Rozpočet - HW a licencie'!$D$3:$D$102,"HW",'Rozpočet - HW a licencie'!$H$3:$H$102,'TCO TO BE - HW'!$D14,'Rozpočet - HW a licencie'!$E$3:$E$102,'TCO TO BE - HW'!$B$15)+SUMIFS('Rozpočet - HW a licencie'!$J$3:$J$102,'Rozpočet - HW a licencie'!$A$3:$A$102,'TCO TO BE - HW'!J$2,'Rozpočet - HW a licencie'!$D$3:$D$102,"SW pre HW",'Rozpočet - HW a licencie'!$H$3:$H$102,'TCO TO BE - HW'!$D14,'Rozpočet - HW a licencie'!$E$3:$E$102,'TCO TO BE - HW'!$B$15),)</f>
        <v>0</v>
      </c>
      <c r="K24" s="541">
        <f>IFERROR(SUMIFS('Rozpočet - HW a licencie'!$J$3:$J$102,'Rozpočet - HW a licencie'!$A$3:$A$102,'TCO TO BE - HW'!K$2,'Rozpočet - HW a licencie'!$D$3:$D$102,"HW",'Rozpočet - HW a licencie'!$H$3:$H$102,'TCO TO BE - HW'!$D14,'Rozpočet - HW a licencie'!$E$3:$E$102,'TCO TO BE - HW'!$B$15)+SUMIFS('Rozpočet - HW a licencie'!$J$3:$J$102,'Rozpočet - HW a licencie'!$A$3:$A$102,'TCO TO BE - HW'!K$2,'Rozpočet - HW a licencie'!$D$3:$D$102,"SW pre HW",'Rozpočet - HW a licencie'!$H$3:$H$102,'TCO TO BE - HW'!$D14,'Rozpočet - HW a licencie'!$E$3:$E$102,'TCO TO BE - HW'!$B$15),)</f>
        <v>0</v>
      </c>
      <c r="L24" s="541">
        <f>IFERROR(SUMIFS('Rozpočet - HW a licencie'!$J$3:$J$102,'Rozpočet - HW a licencie'!$A$3:$A$102,'TCO TO BE - HW'!L$2,'Rozpočet - HW a licencie'!$D$3:$D$102,"HW",'Rozpočet - HW a licencie'!$H$3:$H$102,'TCO TO BE - HW'!$D14,'Rozpočet - HW a licencie'!$E$3:$E$102,'TCO TO BE - HW'!$B$15)+SUMIFS('Rozpočet - HW a licencie'!$J$3:$J$102,'Rozpočet - HW a licencie'!$A$3:$A$102,'TCO TO BE - HW'!L$2,'Rozpočet - HW a licencie'!$D$3:$D$102,"SW pre HW",'Rozpočet - HW a licencie'!$H$3:$H$102,'TCO TO BE - HW'!$D14,'Rozpočet - HW a licencie'!$E$3:$E$102,'TCO TO BE - HW'!$B$15),)</f>
        <v>0</v>
      </c>
      <c r="M24" s="541">
        <f>IFERROR(SUMIFS('Rozpočet - HW a licencie'!$J$3:$J$102,'Rozpočet - HW a licencie'!$A$3:$A$102,'TCO TO BE - HW'!M$2,'Rozpočet - HW a licencie'!$D$3:$D$102,"HW",'Rozpočet - HW a licencie'!$H$3:$H$102,'TCO TO BE - HW'!$D14,'Rozpočet - HW a licencie'!$E$3:$E$102,'TCO TO BE - HW'!$B$15)+SUMIFS('Rozpočet - HW a licencie'!$J$3:$J$102,'Rozpočet - HW a licencie'!$A$3:$A$102,'TCO TO BE - HW'!M$2,'Rozpočet - HW a licencie'!$D$3:$D$102,"SW pre HW",'Rozpočet - HW a licencie'!$H$3:$H$102,'TCO TO BE - HW'!$D14,'Rozpočet - HW a licencie'!$E$3:$E$102,'TCO TO BE - HW'!$B$15),)</f>
        <v>0</v>
      </c>
      <c r="N24" s="541">
        <f>IFERROR(SUMIFS('Rozpočet - HW a licencie'!$J$3:$J$102,'Rozpočet - HW a licencie'!$A$3:$A$102,'TCO TO BE - HW'!N$2,'Rozpočet - HW a licencie'!$D$3:$D$102,"HW",'Rozpočet - HW a licencie'!$H$3:$H$102,'TCO TO BE - HW'!$D14,'Rozpočet - HW a licencie'!$E$3:$E$102,'TCO TO BE - HW'!$B$15)+SUMIFS('Rozpočet - HW a licencie'!$J$3:$J$102,'Rozpočet - HW a licencie'!$A$3:$A$102,'TCO TO BE - HW'!N$2,'Rozpočet - HW a licencie'!$D$3:$D$102,"SW pre HW",'Rozpočet - HW a licencie'!$H$3:$H$102,'TCO TO BE - HW'!$D14,'Rozpočet - HW a licencie'!$E$3:$E$102,'TCO TO BE - HW'!$B$15),)</f>
        <v>0</v>
      </c>
      <c r="O24" s="541">
        <f>IFERROR(SUMIFS('Rozpočet - HW a licencie'!$J$3:$J$102,'Rozpočet - HW a licencie'!$A$3:$A$102,'TCO TO BE - HW'!O$2,'Rozpočet - HW a licencie'!$D$3:$D$102,"HW",'Rozpočet - HW a licencie'!$H$3:$H$102,'TCO TO BE - HW'!$D14,'Rozpočet - HW a licencie'!$E$3:$E$102,'TCO TO BE - HW'!$B$15)+SUMIFS('Rozpočet - HW a licencie'!$J$3:$J$102,'Rozpočet - HW a licencie'!$A$3:$A$102,'TCO TO BE - HW'!O$2,'Rozpočet - HW a licencie'!$D$3:$D$102,"SW pre HW",'Rozpočet - HW a licencie'!$H$3:$H$102,'TCO TO BE - HW'!$D14,'Rozpočet - HW a licencie'!$E$3:$E$102,'TCO TO BE - HW'!$B$15),)</f>
        <v>0</v>
      </c>
      <c r="P24" s="541">
        <f>IFERROR(SUMIFS('Rozpočet - HW a licencie'!$J$3:$J$102,'Rozpočet - HW a licencie'!$A$3:$A$102,'TCO TO BE - HW'!P$2,'Rozpočet - HW a licencie'!$D$3:$D$102,"HW",'Rozpočet - HW a licencie'!$H$3:$H$102,'TCO TO BE - HW'!$D14,'Rozpočet - HW a licencie'!$E$3:$E$102,'TCO TO BE - HW'!$B$15)+SUMIFS('Rozpočet - HW a licencie'!$J$3:$J$102,'Rozpočet - HW a licencie'!$A$3:$A$102,'TCO TO BE - HW'!P$2,'Rozpočet - HW a licencie'!$D$3:$D$102,"SW pre HW",'Rozpočet - HW a licencie'!$H$3:$H$102,'TCO TO BE - HW'!$D14,'Rozpočet - HW a licencie'!$E$3:$E$102,'TCO TO BE - HW'!$B$15),)</f>
        <v>0</v>
      </c>
      <c r="Q24" s="541">
        <f>IFERROR(SUMIFS('Rozpočet - HW a licencie'!$J$3:$J$102,'Rozpočet - HW a licencie'!$A$3:$A$102,'TCO TO BE - HW'!Q$2,'Rozpočet - HW a licencie'!$D$3:$D$102,"HW",'Rozpočet - HW a licencie'!$H$3:$H$102,'TCO TO BE - HW'!$D14,'Rozpočet - HW a licencie'!$E$3:$E$102,'TCO TO BE - HW'!$B$15)+SUMIFS('Rozpočet - HW a licencie'!$J$3:$J$102,'Rozpočet - HW a licencie'!$A$3:$A$102,'TCO TO BE - HW'!Q$2,'Rozpočet - HW a licencie'!$D$3:$D$102,"SW pre HW",'Rozpočet - HW a licencie'!$H$3:$H$102,'TCO TO BE - HW'!$D14,'Rozpočet - HW a licencie'!$E$3:$E$102,'TCO TO BE - HW'!$B$15),)</f>
        <v>0</v>
      </c>
      <c r="R24" s="541">
        <f>IFERROR(SUMIFS('Rozpočet - HW a licencie'!$J$3:$J$102,'Rozpočet - HW a licencie'!$A$3:$A$102,'TCO TO BE - HW'!R$2,'Rozpočet - HW a licencie'!$D$3:$D$102,"HW",'Rozpočet - HW a licencie'!$H$3:$H$102,'TCO TO BE - HW'!$D14,'Rozpočet - HW a licencie'!$E$3:$E$102,'TCO TO BE - HW'!$B$15)+SUMIFS('Rozpočet - HW a licencie'!$J$3:$J$102,'Rozpočet - HW a licencie'!$A$3:$A$102,'TCO TO BE - HW'!R$2,'Rozpočet - HW a licencie'!$D$3:$D$102,"SW pre HW",'Rozpočet - HW a licencie'!$H$3:$H$102,'TCO TO BE - HW'!$D14,'Rozpočet - HW a licencie'!$E$3:$E$102,'TCO TO BE - HW'!$B$15),)</f>
        <v>0</v>
      </c>
      <c r="S24" s="541">
        <f>IFERROR(SUMIFS('Rozpočet - HW a licencie'!$J$3:$J$102,'Rozpočet - HW a licencie'!$A$3:$A$102,'TCO TO BE - HW'!S$2,'Rozpočet - HW a licencie'!$D$3:$D$102,"HW",'Rozpočet - HW a licencie'!$H$3:$H$102,'TCO TO BE - HW'!$D14,'Rozpočet - HW a licencie'!$E$3:$E$102,'TCO TO BE - HW'!$B$15)+SUMIFS('Rozpočet - HW a licencie'!$J$3:$J$102,'Rozpočet - HW a licencie'!$A$3:$A$102,'TCO TO BE - HW'!S$2,'Rozpočet - HW a licencie'!$D$3:$D$102,"SW pre HW",'Rozpočet - HW a licencie'!$H$3:$H$102,'TCO TO BE - HW'!$D14,'Rozpočet - HW a licencie'!$E$3:$E$102,'TCO TO BE - HW'!$B$15),)</f>
        <v>0</v>
      </c>
      <c r="T24" s="541">
        <f>IFERROR(SUMIFS('Rozpočet - HW a licencie'!$J$3:$J$102,'Rozpočet - HW a licencie'!$A$3:$A$102,'TCO TO BE - HW'!T$2,'Rozpočet - HW a licencie'!$D$3:$D$102,"HW",'Rozpočet - HW a licencie'!$H$3:$H$102,'TCO TO BE - HW'!$D14,'Rozpočet - HW a licencie'!$E$3:$E$102,'TCO TO BE - HW'!$B$15)+SUMIFS('Rozpočet - HW a licencie'!$J$3:$J$102,'Rozpočet - HW a licencie'!$A$3:$A$102,'TCO TO BE - HW'!T$2,'Rozpočet - HW a licencie'!$D$3:$D$102,"SW pre HW",'Rozpočet - HW a licencie'!$H$3:$H$102,'TCO TO BE - HW'!$D14,'Rozpočet - HW a licencie'!$E$3:$E$102,'TCO TO BE - HW'!$B$15),)</f>
        <v>0</v>
      </c>
      <c r="U24" s="541">
        <f>IFERROR(SUMIFS('Rozpočet - HW a licencie'!$J$3:$J$102,'Rozpočet - HW a licencie'!$A$3:$A$102,'TCO TO BE - HW'!U$2,'Rozpočet - HW a licencie'!$D$3:$D$102,"HW",'Rozpočet - HW a licencie'!$H$3:$H$102,'TCO TO BE - HW'!$D14,'Rozpočet - HW a licencie'!$E$3:$E$102,'TCO TO BE - HW'!$B$15)+SUMIFS('Rozpočet - HW a licencie'!$J$3:$J$102,'Rozpočet - HW a licencie'!$A$3:$A$102,'TCO TO BE - HW'!U$2,'Rozpočet - HW a licencie'!$D$3:$D$102,"SW pre HW",'Rozpočet - HW a licencie'!$H$3:$H$102,'TCO TO BE - HW'!$D14,'Rozpočet - HW a licencie'!$E$3:$E$102,'TCO TO BE - HW'!$B$15),)</f>
        <v>0</v>
      </c>
      <c r="V24" s="541">
        <f>IFERROR(SUMIFS('Rozpočet - HW a licencie'!$J$3:$J$102,'Rozpočet - HW a licencie'!$A$3:$A$102,'TCO TO BE - HW'!V$2,'Rozpočet - HW a licencie'!$D$3:$D$102,"HW",'Rozpočet - HW a licencie'!$H$3:$H$102,'TCO TO BE - HW'!$D14,'Rozpočet - HW a licencie'!$E$3:$E$102,'TCO TO BE - HW'!$B$15)+SUMIFS('Rozpočet - HW a licencie'!$J$3:$J$102,'Rozpočet - HW a licencie'!$A$3:$A$102,'TCO TO BE - HW'!V$2,'Rozpočet - HW a licencie'!$D$3:$D$102,"SW pre HW",'Rozpočet - HW a licencie'!$H$3:$H$102,'TCO TO BE - HW'!$D14,'Rozpočet - HW a licencie'!$E$3:$E$102,'TCO TO BE - HW'!$B$15),)</f>
        <v>0</v>
      </c>
      <c r="W24" s="541">
        <f>IFERROR(SUMIFS('Rozpočet - HW a licencie'!$J$3:$J$102,'Rozpočet - HW a licencie'!$A$3:$A$102,'TCO TO BE - HW'!W$2,'Rozpočet - HW a licencie'!$D$3:$D$102,"HW",'Rozpočet - HW a licencie'!$H$3:$H$102,'TCO TO BE - HW'!$D14,'Rozpočet - HW a licencie'!$E$3:$E$102,'TCO TO BE - HW'!$B$15)+SUMIFS('Rozpočet - HW a licencie'!$J$3:$J$102,'Rozpočet - HW a licencie'!$A$3:$A$102,'TCO TO BE - HW'!W$2,'Rozpočet - HW a licencie'!$D$3:$D$102,"SW pre HW",'Rozpočet - HW a licencie'!$H$3:$H$102,'TCO TO BE - HW'!$D14,'Rozpočet - HW a licencie'!$E$3:$E$102,'TCO TO BE - HW'!$B$15),)</f>
        <v>0</v>
      </c>
      <c r="X24" s="541">
        <f>IFERROR(SUMIFS('Rozpočet - HW a licencie'!$J$3:$J$102,'Rozpočet - HW a licencie'!$A$3:$A$102,'TCO TO BE - HW'!X$2,'Rozpočet - HW a licencie'!$D$3:$D$102,"HW",'Rozpočet - HW a licencie'!$H$3:$H$102,'TCO TO BE - HW'!$D14,'Rozpočet - HW a licencie'!$E$3:$E$102,'TCO TO BE - HW'!$B$15)+SUMIFS('Rozpočet - HW a licencie'!$J$3:$J$102,'Rozpočet - HW a licencie'!$A$3:$A$102,'TCO TO BE - HW'!X$2,'Rozpočet - HW a licencie'!$D$3:$D$102,"SW pre HW",'Rozpočet - HW a licencie'!$H$3:$H$102,'TCO TO BE - HW'!$D14,'Rozpočet - HW a licencie'!$E$3:$E$102,'TCO TO BE - HW'!$B$15),)</f>
        <v>0</v>
      </c>
      <c r="Y24" s="541">
        <f>IFERROR(SUMIFS('Rozpočet - HW a licencie'!$J$3:$J$102,'Rozpočet - HW a licencie'!$A$3:$A$102,'TCO TO BE - HW'!Y$2,'Rozpočet - HW a licencie'!$D$3:$D$102,"HW",'Rozpočet - HW a licencie'!$H$3:$H$102,'TCO TO BE - HW'!$D14,'Rozpočet - HW a licencie'!$E$3:$E$102,'TCO TO BE - HW'!$B$15)+SUMIFS('Rozpočet - HW a licencie'!$J$3:$J$102,'Rozpočet - HW a licencie'!$A$3:$A$102,'TCO TO BE - HW'!Y$2,'Rozpočet - HW a licencie'!$D$3:$D$102,"SW pre HW",'Rozpočet - HW a licencie'!$H$3:$H$102,'TCO TO BE - HW'!$D14,'Rozpočet - HW a licencie'!$E$3:$E$102,'TCO TO BE - HW'!$B$15),)</f>
        <v>0</v>
      </c>
      <c r="Z24" s="541">
        <f>IFERROR(SUMIFS('Rozpočet - HW a licencie'!$J$3:$J$102,'Rozpočet - HW a licencie'!$A$3:$A$102,'TCO TO BE - HW'!Z$2,'Rozpočet - HW a licencie'!$D$3:$D$102,"HW",'Rozpočet - HW a licencie'!$H$3:$H$102,'TCO TO BE - HW'!$D14,'Rozpočet - HW a licencie'!$E$3:$E$102,'TCO TO BE - HW'!$B$15)+SUMIFS('Rozpočet - HW a licencie'!$J$3:$J$102,'Rozpočet - HW a licencie'!$A$3:$A$102,'TCO TO BE - HW'!Z$2,'Rozpočet - HW a licencie'!$D$3:$D$102,"SW pre HW",'Rozpočet - HW a licencie'!$H$3:$H$102,'TCO TO BE - HW'!$D14,'Rozpočet - HW a licencie'!$E$3:$E$102,'TCO TO BE - HW'!$B$15),)</f>
        <v>0</v>
      </c>
    </row>
    <row r="25" spans="1:26" outlineLevel="1" x14ac:dyDescent="0.2">
      <c r="A25" s="884" t="s">
        <v>1191</v>
      </c>
      <c r="B25" s="885" t="s">
        <v>1167</v>
      </c>
      <c r="C25" s="885">
        <v>637040</v>
      </c>
      <c r="D25" s="463">
        <v>1</v>
      </c>
      <c r="E25" s="68">
        <f t="shared" ref="E25:E34" si="3">SUM(F25:Z25)</f>
        <v>0</v>
      </c>
      <c r="F25" s="542">
        <v>0</v>
      </c>
      <c r="G25" s="542">
        <v>0</v>
      </c>
      <c r="H25" s="542">
        <v>0</v>
      </c>
      <c r="I25" s="542">
        <v>0</v>
      </c>
      <c r="J25" s="542">
        <v>0</v>
      </c>
      <c r="K25" s="542">
        <v>0</v>
      </c>
      <c r="L25" s="542">
        <v>0</v>
      </c>
      <c r="M25" s="542">
        <v>0</v>
      </c>
      <c r="N25" s="542">
        <v>0</v>
      </c>
      <c r="O25" s="542">
        <v>0</v>
      </c>
      <c r="P25" s="542">
        <v>0</v>
      </c>
      <c r="Q25" s="542">
        <v>0</v>
      </c>
      <c r="R25" s="542">
        <v>0</v>
      </c>
      <c r="S25" s="542">
        <v>0</v>
      </c>
      <c r="T25" s="542">
        <v>0</v>
      </c>
      <c r="U25" s="542">
        <v>0</v>
      </c>
      <c r="V25" s="542">
        <v>0</v>
      </c>
      <c r="W25" s="542">
        <v>0</v>
      </c>
      <c r="X25" s="542">
        <v>0</v>
      </c>
      <c r="Y25" s="542">
        <v>0</v>
      </c>
      <c r="Z25" s="542">
        <v>0</v>
      </c>
    </row>
    <row r="26" spans="1:26" outlineLevel="1" x14ac:dyDescent="0.2">
      <c r="A26" s="884"/>
      <c r="B26" s="885"/>
      <c r="C26" s="885"/>
      <c r="D26" s="464">
        <v>2</v>
      </c>
      <c r="E26" s="68">
        <f t="shared" si="3"/>
        <v>0</v>
      </c>
      <c r="F26" s="543">
        <v>0</v>
      </c>
      <c r="G26" s="543">
        <v>0</v>
      </c>
      <c r="H26" s="543">
        <v>0</v>
      </c>
      <c r="I26" s="543">
        <v>0</v>
      </c>
      <c r="J26" s="543">
        <v>0</v>
      </c>
      <c r="K26" s="543">
        <v>0</v>
      </c>
      <c r="L26" s="543">
        <v>0</v>
      </c>
      <c r="M26" s="543">
        <v>0</v>
      </c>
      <c r="N26" s="543">
        <v>0</v>
      </c>
      <c r="O26" s="543">
        <v>0</v>
      </c>
      <c r="P26" s="543">
        <v>0</v>
      </c>
      <c r="Q26" s="543">
        <v>0</v>
      </c>
      <c r="R26" s="543">
        <v>0</v>
      </c>
      <c r="S26" s="543">
        <v>0</v>
      </c>
      <c r="T26" s="543">
        <v>0</v>
      </c>
      <c r="U26" s="543">
        <v>0</v>
      </c>
      <c r="V26" s="543">
        <v>0</v>
      </c>
      <c r="W26" s="543">
        <v>0</v>
      </c>
      <c r="X26" s="543">
        <v>0</v>
      </c>
      <c r="Y26" s="543">
        <v>0</v>
      </c>
      <c r="Z26" s="543">
        <v>0</v>
      </c>
    </row>
    <row r="27" spans="1:26" outlineLevel="1" x14ac:dyDescent="0.2">
      <c r="A27" s="884"/>
      <c r="B27" s="885"/>
      <c r="C27" s="885"/>
      <c r="D27" s="464">
        <v>3</v>
      </c>
      <c r="E27" s="68">
        <f t="shared" si="3"/>
        <v>0</v>
      </c>
      <c r="F27" s="543">
        <v>0</v>
      </c>
      <c r="G27" s="543">
        <v>0</v>
      </c>
      <c r="H27" s="543">
        <v>0</v>
      </c>
      <c r="I27" s="543">
        <v>0</v>
      </c>
      <c r="J27" s="543">
        <v>0</v>
      </c>
      <c r="K27" s="543">
        <v>0</v>
      </c>
      <c r="L27" s="543">
        <v>0</v>
      </c>
      <c r="M27" s="543">
        <v>0</v>
      </c>
      <c r="N27" s="543">
        <v>0</v>
      </c>
      <c r="O27" s="543">
        <v>0</v>
      </c>
      <c r="P27" s="543">
        <v>0</v>
      </c>
      <c r="Q27" s="543">
        <v>0</v>
      </c>
      <c r="R27" s="543">
        <v>0</v>
      </c>
      <c r="S27" s="543">
        <v>0</v>
      </c>
      <c r="T27" s="543">
        <v>0</v>
      </c>
      <c r="U27" s="543">
        <v>0</v>
      </c>
      <c r="V27" s="543">
        <v>0</v>
      </c>
      <c r="W27" s="543">
        <v>0</v>
      </c>
      <c r="X27" s="543">
        <v>0</v>
      </c>
      <c r="Y27" s="543">
        <v>0</v>
      </c>
      <c r="Z27" s="543">
        <v>0</v>
      </c>
    </row>
    <row r="28" spans="1:26" outlineLevel="1" x14ac:dyDescent="0.2">
      <c r="A28" s="884"/>
      <c r="B28" s="885"/>
      <c r="C28" s="885"/>
      <c r="D28" s="464">
        <v>4</v>
      </c>
      <c r="E28" s="68">
        <f t="shared" si="3"/>
        <v>0</v>
      </c>
      <c r="F28" s="543">
        <v>0</v>
      </c>
      <c r="G28" s="543">
        <v>0</v>
      </c>
      <c r="H28" s="543">
        <v>0</v>
      </c>
      <c r="I28" s="543">
        <v>0</v>
      </c>
      <c r="J28" s="543">
        <v>0</v>
      </c>
      <c r="K28" s="543">
        <v>0</v>
      </c>
      <c r="L28" s="543">
        <v>0</v>
      </c>
      <c r="M28" s="543">
        <v>0</v>
      </c>
      <c r="N28" s="543">
        <v>0</v>
      </c>
      <c r="O28" s="543">
        <v>0</v>
      </c>
      <c r="P28" s="543">
        <v>0</v>
      </c>
      <c r="Q28" s="543">
        <v>0</v>
      </c>
      <c r="R28" s="543">
        <v>0</v>
      </c>
      <c r="S28" s="543">
        <v>0</v>
      </c>
      <c r="T28" s="543">
        <v>0</v>
      </c>
      <c r="U28" s="543">
        <v>0</v>
      </c>
      <c r="V28" s="543">
        <v>0</v>
      </c>
      <c r="W28" s="543">
        <v>0</v>
      </c>
      <c r="X28" s="543">
        <v>0</v>
      </c>
      <c r="Y28" s="543">
        <v>0</v>
      </c>
      <c r="Z28" s="543">
        <v>0</v>
      </c>
    </row>
    <row r="29" spans="1:26" outlineLevel="1" x14ac:dyDescent="0.2">
      <c r="A29" s="884"/>
      <c r="B29" s="885"/>
      <c r="C29" s="885"/>
      <c r="D29" s="464">
        <v>5</v>
      </c>
      <c r="E29" s="68">
        <f t="shared" si="3"/>
        <v>0</v>
      </c>
      <c r="F29" s="543">
        <v>0</v>
      </c>
      <c r="G29" s="543">
        <v>0</v>
      </c>
      <c r="H29" s="543">
        <v>0</v>
      </c>
      <c r="I29" s="543">
        <v>0</v>
      </c>
      <c r="J29" s="543">
        <v>0</v>
      </c>
      <c r="K29" s="543">
        <v>0</v>
      </c>
      <c r="L29" s="543">
        <v>0</v>
      </c>
      <c r="M29" s="543">
        <v>0</v>
      </c>
      <c r="N29" s="543">
        <v>0</v>
      </c>
      <c r="O29" s="543">
        <v>0</v>
      </c>
      <c r="P29" s="543">
        <v>0</v>
      </c>
      <c r="Q29" s="543">
        <v>0</v>
      </c>
      <c r="R29" s="543">
        <v>0</v>
      </c>
      <c r="S29" s="543">
        <v>0</v>
      </c>
      <c r="T29" s="543">
        <v>0</v>
      </c>
      <c r="U29" s="543">
        <v>0</v>
      </c>
      <c r="V29" s="543">
        <v>0</v>
      </c>
      <c r="W29" s="543">
        <v>0</v>
      </c>
      <c r="X29" s="543">
        <v>0</v>
      </c>
      <c r="Y29" s="543">
        <v>0</v>
      </c>
      <c r="Z29" s="543">
        <v>0</v>
      </c>
    </row>
    <row r="30" spans="1:26" outlineLevel="1" x14ac:dyDescent="0.2">
      <c r="A30" s="884"/>
      <c r="B30" s="885"/>
      <c r="C30" s="885"/>
      <c r="D30" s="464">
        <v>6</v>
      </c>
      <c r="E30" s="68">
        <f t="shared" si="3"/>
        <v>0</v>
      </c>
      <c r="F30" s="543">
        <v>0</v>
      </c>
      <c r="G30" s="543">
        <v>0</v>
      </c>
      <c r="H30" s="543">
        <v>0</v>
      </c>
      <c r="I30" s="543">
        <v>0</v>
      </c>
      <c r="J30" s="543">
        <v>0</v>
      </c>
      <c r="K30" s="543">
        <v>0</v>
      </c>
      <c r="L30" s="543">
        <v>0</v>
      </c>
      <c r="M30" s="543">
        <v>0</v>
      </c>
      <c r="N30" s="543">
        <v>0</v>
      </c>
      <c r="O30" s="543">
        <v>0</v>
      </c>
      <c r="P30" s="543">
        <v>0</v>
      </c>
      <c r="Q30" s="543">
        <v>0</v>
      </c>
      <c r="R30" s="543">
        <v>0</v>
      </c>
      <c r="S30" s="543">
        <v>0</v>
      </c>
      <c r="T30" s="543">
        <v>0</v>
      </c>
      <c r="U30" s="543">
        <v>0</v>
      </c>
      <c r="V30" s="543">
        <v>0</v>
      </c>
      <c r="W30" s="543">
        <v>0</v>
      </c>
      <c r="X30" s="543">
        <v>0</v>
      </c>
      <c r="Y30" s="543">
        <v>0</v>
      </c>
      <c r="Z30" s="543">
        <v>0</v>
      </c>
    </row>
    <row r="31" spans="1:26" outlineLevel="1" x14ac:dyDescent="0.2">
      <c r="A31" s="884"/>
      <c r="B31" s="885"/>
      <c r="C31" s="885"/>
      <c r="D31" s="464">
        <v>7</v>
      </c>
      <c r="E31" s="68">
        <f t="shared" si="3"/>
        <v>0</v>
      </c>
      <c r="F31" s="543">
        <v>0</v>
      </c>
      <c r="G31" s="543">
        <v>0</v>
      </c>
      <c r="H31" s="543">
        <v>0</v>
      </c>
      <c r="I31" s="543">
        <v>0</v>
      </c>
      <c r="J31" s="543">
        <v>0</v>
      </c>
      <c r="K31" s="543">
        <v>0</v>
      </c>
      <c r="L31" s="543">
        <v>0</v>
      </c>
      <c r="M31" s="543">
        <v>0</v>
      </c>
      <c r="N31" s="543">
        <v>0</v>
      </c>
      <c r="O31" s="543">
        <v>0</v>
      </c>
      <c r="P31" s="543">
        <v>0</v>
      </c>
      <c r="Q31" s="543">
        <v>0</v>
      </c>
      <c r="R31" s="543">
        <v>0</v>
      </c>
      <c r="S31" s="543">
        <v>0</v>
      </c>
      <c r="T31" s="543">
        <v>0</v>
      </c>
      <c r="U31" s="543">
        <v>0</v>
      </c>
      <c r="V31" s="543">
        <v>0</v>
      </c>
      <c r="W31" s="543">
        <v>0</v>
      </c>
      <c r="X31" s="543">
        <v>0</v>
      </c>
      <c r="Y31" s="543">
        <v>0</v>
      </c>
      <c r="Z31" s="543">
        <v>0</v>
      </c>
    </row>
    <row r="32" spans="1:26" outlineLevel="1" x14ac:dyDescent="0.2">
      <c r="A32" s="884"/>
      <c r="B32" s="885"/>
      <c r="C32" s="885"/>
      <c r="D32" s="464">
        <v>8</v>
      </c>
      <c r="E32" s="68">
        <f t="shared" si="3"/>
        <v>0</v>
      </c>
      <c r="F32" s="543">
        <v>0</v>
      </c>
      <c r="G32" s="543">
        <v>0</v>
      </c>
      <c r="H32" s="543">
        <v>0</v>
      </c>
      <c r="I32" s="543">
        <v>0</v>
      </c>
      <c r="J32" s="543">
        <v>0</v>
      </c>
      <c r="K32" s="543">
        <v>0</v>
      </c>
      <c r="L32" s="543">
        <v>0</v>
      </c>
      <c r="M32" s="543">
        <v>0</v>
      </c>
      <c r="N32" s="543">
        <v>0</v>
      </c>
      <c r="O32" s="543">
        <v>0</v>
      </c>
      <c r="P32" s="543">
        <v>0</v>
      </c>
      <c r="Q32" s="543">
        <v>0</v>
      </c>
      <c r="R32" s="543">
        <v>0</v>
      </c>
      <c r="S32" s="543">
        <v>0</v>
      </c>
      <c r="T32" s="543">
        <v>0</v>
      </c>
      <c r="U32" s="543">
        <v>0</v>
      </c>
      <c r="V32" s="543">
        <v>0</v>
      </c>
      <c r="W32" s="543">
        <v>0</v>
      </c>
      <c r="X32" s="543">
        <v>0</v>
      </c>
      <c r="Y32" s="543">
        <v>0</v>
      </c>
      <c r="Z32" s="543">
        <v>0</v>
      </c>
    </row>
    <row r="33" spans="1:26" outlineLevel="1" x14ac:dyDescent="0.2">
      <c r="A33" s="884"/>
      <c r="B33" s="885"/>
      <c r="C33" s="885"/>
      <c r="D33" s="464">
        <v>9</v>
      </c>
      <c r="E33" s="68">
        <f t="shared" si="3"/>
        <v>0</v>
      </c>
      <c r="F33" s="543">
        <v>0</v>
      </c>
      <c r="G33" s="543">
        <v>0</v>
      </c>
      <c r="H33" s="543">
        <v>0</v>
      </c>
      <c r="I33" s="543">
        <v>0</v>
      </c>
      <c r="J33" s="543">
        <v>0</v>
      </c>
      <c r="K33" s="543">
        <v>0</v>
      </c>
      <c r="L33" s="543">
        <v>0</v>
      </c>
      <c r="M33" s="543">
        <v>0</v>
      </c>
      <c r="N33" s="543">
        <v>0</v>
      </c>
      <c r="O33" s="543">
        <v>0</v>
      </c>
      <c r="P33" s="543">
        <v>0</v>
      </c>
      <c r="Q33" s="543">
        <v>0</v>
      </c>
      <c r="R33" s="543">
        <v>0</v>
      </c>
      <c r="S33" s="543">
        <v>0</v>
      </c>
      <c r="T33" s="543">
        <v>0</v>
      </c>
      <c r="U33" s="543">
        <v>0</v>
      </c>
      <c r="V33" s="543">
        <v>0</v>
      </c>
      <c r="W33" s="543">
        <v>0</v>
      </c>
      <c r="X33" s="543">
        <v>0</v>
      </c>
      <c r="Y33" s="543">
        <v>0</v>
      </c>
      <c r="Z33" s="543">
        <v>0</v>
      </c>
    </row>
    <row r="34" spans="1:26" ht="16" outlineLevel="1" thickBot="1" x14ac:dyDescent="0.25">
      <c r="A34" s="884"/>
      <c r="B34" s="885"/>
      <c r="C34" s="885"/>
      <c r="D34" s="465">
        <v>10</v>
      </c>
      <c r="E34" s="69">
        <f t="shared" si="3"/>
        <v>0</v>
      </c>
      <c r="F34" s="547">
        <v>0</v>
      </c>
      <c r="G34" s="547">
        <v>0</v>
      </c>
      <c r="H34" s="547">
        <v>0</v>
      </c>
      <c r="I34" s="547">
        <v>0</v>
      </c>
      <c r="J34" s="547">
        <v>0</v>
      </c>
      <c r="K34" s="547">
        <v>0</v>
      </c>
      <c r="L34" s="547">
        <v>0</v>
      </c>
      <c r="M34" s="547">
        <v>0</v>
      </c>
      <c r="N34" s="547">
        <v>0</v>
      </c>
      <c r="O34" s="547">
        <v>0</v>
      </c>
      <c r="P34" s="547">
        <v>0</v>
      </c>
      <c r="Q34" s="547">
        <v>0</v>
      </c>
      <c r="R34" s="547">
        <v>0</v>
      </c>
      <c r="S34" s="547">
        <v>0</v>
      </c>
      <c r="T34" s="547">
        <v>0</v>
      </c>
      <c r="U34" s="547">
        <v>0</v>
      </c>
      <c r="V34" s="547">
        <v>0</v>
      </c>
      <c r="W34" s="547">
        <v>0</v>
      </c>
      <c r="X34" s="547">
        <v>0</v>
      </c>
      <c r="Y34" s="547">
        <v>0</v>
      </c>
      <c r="Z34" s="547">
        <v>0</v>
      </c>
    </row>
    <row r="35" spans="1:26" outlineLevel="1" x14ac:dyDescent="0.2">
      <c r="A35" s="884" t="s">
        <v>1191</v>
      </c>
      <c r="B35" s="885" t="s">
        <v>1165</v>
      </c>
      <c r="C35" s="885">
        <v>637040</v>
      </c>
      <c r="D35" s="463">
        <v>1</v>
      </c>
      <c r="E35" s="68">
        <f t="shared" ref="E35:E44" si="4">SUM(F35:Z35)</f>
        <v>0</v>
      </c>
      <c r="F35" s="542">
        <v>0</v>
      </c>
      <c r="G35" s="542">
        <v>0</v>
      </c>
      <c r="H35" s="542">
        <v>0</v>
      </c>
      <c r="I35" s="542">
        <v>0</v>
      </c>
      <c r="J35" s="542">
        <v>0</v>
      </c>
      <c r="K35" s="542">
        <v>0</v>
      </c>
      <c r="L35" s="542">
        <v>0</v>
      </c>
      <c r="M35" s="542">
        <v>0</v>
      </c>
      <c r="N35" s="542">
        <v>0</v>
      </c>
      <c r="O35" s="542">
        <v>0</v>
      </c>
      <c r="P35" s="542">
        <v>0</v>
      </c>
      <c r="Q35" s="542">
        <v>0</v>
      </c>
      <c r="R35" s="542">
        <v>0</v>
      </c>
      <c r="S35" s="542">
        <v>0</v>
      </c>
      <c r="T35" s="542">
        <v>0</v>
      </c>
      <c r="U35" s="542">
        <v>0</v>
      </c>
      <c r="V35" s="542">
        <v>0</v>
      </c>
      <c r="W35" s="542">
        <v>0</v>
      </c>
      <c r="X35" s="542">
        <v>0</v>
      </c>
      <c r="Y35" s="542">
        <v>0</v>
      </c>
      <c r="Z35" s="542">
        <v>0</v>
      </c>
    </row>
    <row r="36" spans="1:26" outlineLevel="1" x14ac:dyDescent="0.2">
      <c r="A36" s="884"/>
      <c r="B36" s="885"/>
      <c r="C36" s="885"/>
      <c r="D36" s="464">
        <v>2</v>
      </c>
      <c r="E36" s="68">
        <f t="shared" si="4"/>
        <v>0</v>
      </c>
      <c r="F36" s="543">
        <v>0</v>
      </c>
      <c r="G36" s="543">
        <v>0</v>
      </c>
      <c r="H36" s="543">
        <v>0</v>
      </c>
      <c r="I36" s="543">
        <v>0</v>
      </c>
      <c r="J36" s="543">
        <v>0</v>
      </c>
      <c r="K36" s="543">
        <v>0</v>
      </c>
      <c r="L36" s="543">
        <v>0</v>
      </c>
      <c r="M36" s="543">
        <v>0</v>
      </c>
      <c r="N36" s="543">
        <v>0</v>
      </c>
      <c r="O36" s="543">
        <v>0</v>
      </c>
      <c r="P36" s="543">
        <v>0</v>
      </c>
      <c r="Q36" s="543">
        <v>0</v>
      </c>
      <c r="R36" s="543">
        <v>0</v>
      </c>
      <c r="S36" s="543">
        <v>0</v>
      </c>
      <c r="T36" s="543">
        <v>0</v>
      </c>
      <c r="U36" s="543">
        <v>0</v>
      </c>
      <c r="V36" s="543">
        <v>0</v>
      </c>
      <c r="W36" s="543">
        <v>0</v>
      </c>
      <c r="X36" s="543">
        <v>0</v>
      </c>
      <c r="Y36" s="543">
        <v>0</v>
      </c>
      <c r="Z36" s="543">
        <v>0</v>
      </c>
    </row>
    <row r="37" spans="1:26" outlineLevel="1" x14ac:dyDescent="0.2">
      <c r="A37" s="884"/>
      <c r="B37" s="885"/>
      <c r="C37" s="885"/>
      <c r="D37" s="464">
        <v>3</v>
      </c>
      <c r="E37" s="68">
        <f t="shared" si="4"/>
        <v>0</v>
      </c>
      <c r="F37" s="543">
        <v>0</v>
      </c>
      <c r="G37" s="543">
        <v>0</v>
      </c>
      <c r="H37" s="543">
        <v>0</v>
      </c>
      <c r="I37" s="543">
        <v>0</v>
      </c>
      <c r="J37" s="543">
        <v>0</v>
      </c>
      <c r="K37" s="543">
        <v>0</v>
      </c>
      <c r="L37" s="543">
        <v>0</v>
      </c>
      <c r="M37" s="543">
        <v>0</v>
      </c>
      <c r="N37" s="543">
        <v>0</v>
      </c>
      <c r="O37" s="543">
        <v>0</v>
      </c>
      <c r="P37" s="543">
        <v>0</v>
      </c>
      <c r="Q37" s="543">
        <v>0</v>
      </c>
      <c r="R37" s="543">
        <v>0</v>
      </c>
      <c r="S37" s="543">
        <v>0</v>
      </c>
      <c r="T37" s="543">
        <v>0</v>
      </c>
      <c r="U37" s="543">
        <v>0</v>
      </c>
      <c r="V37" s="543">
        <v>0</v>
      </c>
      <c r="W37" s="543">
        <v>0</v>
      </c>
      <c r="X37" s="543">
        <v>0</v>
      </c>
      <c r="Y37" s="543">
        <v>0</v>
      </c>
      <c r="Z37" s="543">
        <v>0</v>
      </c>
    </row>
    <row r="38" spans="1:26" outlineLevel="1" x14ac:dyDescent="0.2">
      <c r="A38" s="884"/>
      <c r="B38" s="885"/>
      <c r="C38" s="885"/>
      <c r="D38" s="464">
        <v>4</v>
      </c>
      <c r="E38" s="68">
        <f t="shared" si="4"/>
        <v>0</v>
      </c>
      <c r="F38" s="543">
        <v>0</v>
      </c>
      <c r="G38" s="543">
        <v>0</v>
      </c>
      <c r="H38" s="543">
        <v>0</v>
      </c>
      <c r="I38" s="543">
        <v>0</v>
      </c>
      <c r="J38" s="543">
        <v>0</v>
      </c>
      <c r="K38" s="543">
        <v>0</v>
      </c>
      <c r="L38" s="543">
        <v>0</v>
      </c>
      <c r="M38" s="543">
        <v>0</v>
      </c>
      <c r="N38" s="543">
        <v>0</v>
      </c>
      <c r="O38" s="543">
        <v>0</v>
      </c>
      <c r="P38" s="543">
        <v>0</v>
      </c>
      <c r="Q38" s="543">
        <v>0</v>
      </c>
      <c r="R38" s="543">
        <v>0</v>
      </c>
      <c r="S38" s="543">
        <v>0</v>
      </c>
      <c r="T38" s="543">
        <v>0</v>
      </c>
      <c r="U38" s="543">
        <v>0</v>
      </c>
      <c r="V38" s="543">
        <v>0</v>
      </c>
      <c r="W38" s="543">
        <v>0</v>
      </c>
      <c r="X38" s="543">
        <v>0</v>
      </c>
      <c r="Y38" s="543">
        <v>0</v>
      </c>
      <c r="Z38" s="543">
        <v>0</v>
      </c>
    </row>
    <row r="39" spans="1:26" outlineLevel="1" x14ac:dyDescent="0.2">
      <c r="A39" s="884"/>
      <c r="B39" s="885"/>
      <c r="C39" s="885"/>
      <c r="D39" s="464">
        <v>5</v>
      </c>
      <c r="E39" s="68">
        <f t="shared" si="4"/>
        <v>0</v>
      </c>
      <c r="F39" s="543">
        <v>0</v>
      </c>
      <c r="G39" s="543">
        <v>0</v>
      </c>
      <c r="H39" s="543">
        <v>0</v>
      </c>
      <c r="I39" s="543">
        <v>0</v>
      </c>
      <c r="J39" s="543">
        <v>0</v>
      </c>
      <c r="K39" s="543">
        <v>0</v>
      </c>
      <c r="L39" s="543">
        <v>0</v>
      </c>
      <c r="M39" s="543">
        <v>0</v>
      </c>
      <c r="N39" s="543">
        <v>0</v>
      </c>
      <c r="O39" s="543">
        <v>0</v>
      </c>
      <c r="P39" s="543">
        <v>0</v>
      </c>
      <c r="Q39" s="543">
        <v>0</v>
      </c>
      <c r="R39" s="543">
        <v>0</v>
      </c>
      <c r="S39" s="543">
        <v>0</v>
      </c>
      <c r="T39" s="543">
        <v>0</v>
      </c>
      <c r="U39" s="543">
        <v>0</v>
      </c>
      <c r="V39" s="543">
        <v>0</v>
      </c>
      <c r="W39" s="543">
        <v>0</v>
      </c>
      <c r="X39" s="543">
        <v>0</v>
      </c>
      <c r="Y39" s="543">
        <v>0</v>
      </c>
      <c r="Z39" s="543">
        <v>0</v>
      </c>
    </row>
    <row r="40" spans="1:26" outlineLevel="1" x14ac:dyDescent="0.2">
      <c r="A40" s="884"/>
      <c r="B40" s="885"/>
      <c r="C40" s="885"/>
      <c r="D40" s="464">
        <v>6</v>
      </c>
      <c r="E40" s="68">
        <f t="shared" si="4"/>
        <v>0</v>
      </c>
      <c r="F40" s="543">
        <v>0</v>
      </c>
      <c r="G40" s="543">
        <v>0</v>
      </c>
      <c r="H40" s="543">
        <v>0</v>
      </c>
      <c r="I40" s="543">
        <v>0</v>
      </c>
      <c r="J40" s="543">
        <v>0</v>
      </c>
      <c r="K40" s="543">
        <v>0</v>
      </c>
      <c r="L40" s="543">
        <v>0</v>
      </c>
      <c r="M40" s="543">
        <v>0</v>
      </c>
      <c r="N40" s="543">
        <v>0</v>
      </c>
      <c r="O40" s="543">
        <v>0</v>
      </c>
      <c r="P40" s="543">
        <v>0</v>
      </c>
      <c r="Q40" s="543">
        <v>0</v>
      </c>
      <c r="R40" s="543">
        <v>0</v>
      </c>
      <c r="S40" s="543">
        <v>0</v>
      </c>
      <c r="T40" s="543">
        <v>0</v>
      </c>
      <c r="U40" s="543">
        <v>0</v>
      </c>
      <c r="V40" s="543">
        <v>0</v>
      </c>
      <c r="W40" s="543">
        <v>0</v>
      </c>
      <c r="X40" s="543">
        <v>0</v>
      </c>
      <c r="Y40" s="543">
        <v>0</v>
      </c>
      <c r="Z40" s="543">
        <v>0</v>
      </c>
    </row>
    <row r="41" spans="1:26" outlineLevel="1" x14ac:dyDescent="0.2">
      <c r="A41" s="884"/>
      <c r="B41" s="885"/>
      <c r="C41" s="885"/>
      <c r="D41" s="464">
        <v>7</v>
      </c>
      <c r="E41" s="68">
        <f t="shared" si="4"/>
        <v>0</v>
      </c>
      <c r="F41" s="543">
        <v>0</v>
      </c>
      <c r="G41" s="543">
        <v>0</v>
      </c>
      <c r="H41" s="543">
        <v>0</v>
      </c>
      <c r="I41" s="543">
        <v>0</v>
      </c>
      <c r="J41" s="543">
        <v>0</v>
      </c>
      <c r="K41" s="543">
        <v>0</v>
      </c>
      <c r="L41" s="543">
        <v>0</v>
      </c>
      <c r="M41" s="543">
        <v>0</v>
      </c>
      <c r="N41" s="543">
        <v>0</v>
      </c>
      <c r="O41" s="543">
        <v>0</v>
      </c>
      <c r="P41" s="543">
        <v>0</v>
      </c>
      <c r="Q41" s="543">
        <v>0</v>
      </c>
      <c r="R41" s="543">
        <v>0</v>
      </c>
      <c r="S41" s="543">
        <v>0</v>
      </c>
      <c r="T41" s="543">
        <v>0</v>
      </c>
      <c r="U41" s="543">
        <v>0</v>
      </c>
      <c r="V41" s="543">
        <v>0</v>
      </c>
      <c r="W41" s="543">
        <v>0</v>
      </c>
      <c r="X41" s="543">
        <v>0</v>
      </c>
      <c r="Y41" s="543">
        <v>0</v>
      </c>
      <c r="Z41" s="543">
        <v>0</v>
      </c>
    </row>
    <row r="42" spans="1:26" outlineLevel="1" x14ac:dyDescent="0.2">
      <c r="A42" s="884"/>
      <c r="B42" s="885"/>
      <c r="C42" s="885"/>
      <c r="D42" s="464">
        <v>8</v>
      </c>
      <c r="E42" s="68">
        <f t="shared" si="4"/>
        <v>0</v>
      </c>
      <c r="F42" s="543">
        <v>0</v>
      </c>
      <c r="G42" s="543">
        <v>0</v>
      </c>
      <c r="H42" s="543">
        <v>0</v>
      </c>
      <c r="I42" s="543">
        <v>0</v>
      </c>
      <c r="J42" s="543">
        <v>0</v>
      </c>
      <c r="K42" s="543">
        <v>0</v>
      </c>
      <c r="L42" s="543">
        <v>0</v>
      </c>
      <c r="M42" s="543">
        <v>0</v>
      </c>
      <c r="N42" s="543">
        <v>0</v>
      </c>
      <c r="O42" s="543">
        <v>0</v>
      </c>
      <c r="P42" s="543">
        <v>0</v>
      </c>
      <c r="Q42" s="543">
        <v>0</v>
      </c>
      <c r="R42" s="543">
        <v>0</v>
      </c>
      <c r="S42" s="543">
        <v>0</v>
      </c>
      <c r="T42" s="543">
        <v>0</v>
      </c>
      <c r="U42" s="543">
        <v>0</v>
      </c>
      <c r="V42" s="543">
        <v>0</v>
      </c>
      <c r="W42" s="543">
        <v>0</v>
      </c>
      <c r="X42" s="543">
        <v>0</v>
      </c>
      <c r="Y42" s="543">
        <v>0</v>
      </c>
      <c r="Z42" s="543">
        <v>0</v>
      </c>
    </row>
    <row r="43" spans="1:26" outlineLevel="1" x14ac:dyDescent="0.2">
      <c r="A43" s="884"/>
      <c r="B43" s="885"/>
      <c r="C43" s="885"/>
      <c r="D43" s="464">
        <v>9</v>
      </c>
      <c r="E43" s="68">
        <f t="shared" si="4"/>
        <v>0</v>
      </c>
      <c r="F43" s="543">
        <v>0</v>
      </c>
      <c r="G43" s="543">
        <v>0</v>
      </c>
      <c r="H43" s="543">
        <v>0</v>
      </c>
      <c r="I43" s="543">
        <v>0</v>
      </c>
      <c r="J43" s="543">
        <v>0</v>
      </c>
      <c r="K43" s="543">
        <v>0</v>
      </c>
      <c r="L43" s="543">
        <v>0</v>
      </c>
      <c r="M43" s="543">
        <v>0</v>
      </c>
      <c r="N43" s="543">
        <v>0</v>
      </c>
      <c r="O43" s="543">
        <v>0</v>
      </c>
      <c r="P43" s="543">
        <v>0</v>
      </c>
      <c r="Q43" s="543">
        <v>0</v>
      </c>
      <c r="R43" s="543">
        <v>0</v>
      </c>
      <c r="S43" s="543">
        <v>0</v>
      </c>
      <c r="T43" s="543">
        <v>0</v>
      </c>
      <c r="U43" s="543">
        <v>0</v>
      </c>
      <c r="V43" s="543">
        <v>0</v>
      </c>
      <c r="W43" s="543">
        <v>0</v>
      </c>
      <c r="X43" s="543">
        <v>0</v>
      </c>
      <c r="Y43" s="543">
        <v>0</v>
      </c>
      <c r="Z43" s="543">
        <v>0</v>
      </c>
    </row>
    <row r="44" spans="1:26" ht="16" outlineLevel="1" thickBot="1" x14ac:dyDescent="0.25">
      <c r="A44" s="884"/>
      <c r="B44" s="885"/>
      <c r="C44" s="885"/>
      <c r="D44" s="465">
        <v>10</v>
      </c>
      <c r="E44" s="69">
        <f t="shared" si="4"/>
        <v>0</v>
      </c>
      <c r="F44" s="547">
        <v>0</v>
      </c>
      <c r="G44" s="547">
        <v>0</v>
      </c>
      <c r="H44" s="547">
        <v>0</v>
      </c>
      <c r="I44" s="547">
        <v>0</v>
      </c>
      <c r="J44" s="547">
        <v>0</v>
      </c>
      <c r="K44" s="547">
        <v>0</v>
      </c>
      <c r="L44" s="547">
        <v>0</v>
      </c>
      <c r="M44" s="547">
        <v>0</v>
      </c>
      <c r="N44" s="547">
        <v>0</v>
      </c>
      <c r="O44" s="547">
        <v>0</v>
      </c>
      <c r="P44" s="547">
        <v>0</v>
      </c>
      <c r="Q44" s="547">
        <v>0</v>
      </c>
      <c r="R44" s="547">
        <v>0</v>
      </c>
      <c r="S44" s="547">
        <v>0</v>
      </c>
      <c r="T44" s="547">
        <v>0</v>
      </c>
      <c r="U44" s="547">
        <v>0</v>
      </c>
      <c r="V44" s="547">
        <v>0</v>
      </c>
      <c r="W44" s="547">
        <v>0</v>
      </c>
      <c r="X44" s="547">
        <v>0</v>
      </c>
      <c r="Y44" s="547">
        <v>0</v>
      </c>
      <c r="Z44" s="547">
        <v>0</v>
      </c>
    </row>
    <row r="45" spans="1:26" outlineLevel="1" x14ac:dyDescent="0.2">
      <c r="A45" s="884" t="s">
        <v>1175</v>
      </c>
      <c r="B45" s="885" t="s">
        <v>1167</v>
      </c>
      <c r="C45" s="885">
        <v>637040</v>
      </c>
      <c r="D45" s="463">
        <v>1</v>
      </c>
      <c r="E45" s="68">
        <f t="shared" si="2"/>
        <v>0</v>
      </c>
      <c r="F45" s="542">
        <v>0</v>
      </c>
      <c r="G45" s="542">
        <v>0</v>
      </c>
      <c r="H45" s="542">
        <v>0</v>
      </c>
      <c r="I45" s="542">
        <v>0</v>
      </c>
      <c r="J45" s="542">
        <v>0</v>
      </c>
      <c r="K45" s="542">
        <v>0</v>
      </c>
      <c r="L45" s="542">
        <v>0</v>
      </c>
      <c r="M45" s="542">
        <v>0</v>
      </c>
      <c r="N45" s="542">
        <v>0</v>
      </c>
      <c r="O45" s="542">
        <v>0</v>
      </c>
      <c r="P45" s="542">
        <v>0</v>
      </c>
      <c r="Q45" s="542">
        <v>0</v>
      </c>
      <c r="R45" s="542">
        <v>0</v>
      </c>
      <c r="S45" s="542">
        <v>0</v>
      </c>
      <c r="T45" s="542">
        <v>0</v>
      </c>
      <c r="U45" s="542">
        <v>0</v>
      </c>
      <c r="V45" s="542">
        <v>0</v>
      </c>
      <c r="W45" s="542">
        <v>0</v>
      </c>
      <c r="X45" s="542">
        <v>0</v>
      </c>
      <c r="Y45" s="542">
        <v>0</v>
      </c>
      <c r="Z45" s="542">
        <v>0</v>
      </c>
    </row>
    <row r="46" spans="1:26" outlineLevel="1" x14ac:dyDescent="0.2">
      <c r="A46" s="884"/>
      <c r="B46" s="885"/>
      <c r="C46" s="885"/>
      <c r="D46" s="464">
        <v>2</v>
      </c>
      <c r="E46" s="68">
        <f t="shared" si="2"/>
        <v>0</v>
      </c>
      <c r="F46" s="543">
        <v>0</v>
      </c>
      <c r="G46" s="543">
        <v>0</v>
      </c>
      <c r="H46" s="543">
        <v>0</v>
      </c>
      <c r="I46" s="543">
        <v>0</v>
      </c>
      <c r="J46" s="543">
        <v>0</v>
      </c>
      <c r="K46" s="543">
        <v>0</v>
      </c>
      <c r="L46" s="543">
        <v>0</v>
      </c>
      <c r="M46" s="543">
        <v>0</v>
      </c>
      <c r="N46" s="543">
        <v>0</v>
      </c>
      <c r="O46" s="543">
        <v>0</v>
      </c>
      <c r="P46" s="543">
        <v>0</v>
      </c>
      <c r="Q46" s="543">
        <v>0</v>
      </c>
      <c r="R46" s="543">
        <v>0</v>
      </c>
      <c r="S46" s="543">
        <v>0</v>
      </c>
      <c r="T46" s="543">
        <v>0</v>
      </c>
      <c r="U46" s="543">
        <v>0</v>
      </c>
      <c r="V46" s="543">
        <v>0</v>
      </c>
      <c r="W46" s="543">
        <v>0</v>
      </c>
      <c r="X46" s="543">
        <v>0</v>
      </c>
      <c r="Y46" s="543">
        <v>0</v>
      </c>
      <c r="Z46" s="543">
        <v>0</v>
      </c>
    </row>
    <row r="47" spans="1:26" outlineLevel="1" x14ac:dyDescent="0.2">
      <c r="A47" s="884"/>
      <c r="B47" s="885"/>
      <c r="C47" s="885"/>
      <c r="D47" s="464">
        <v>3</v>
      </c>
      <c r="E47" s="68">
        <f t="shared" si="2"/>
        <v>0</v>
      </c>
      <c r="F47" s="543">
        <v>0</v>
      </c>
      <c r="G47" s="543">
        <v>0</v>
      </c>
      <c r="H47" s="543">
        <v>0</v>
      </c>
      <c r="I47" s="543">
        <v>0</v>
      </c>
      <c r="J47" s="543">
        <v>0</v>
      </c>
      <c r="K47" s="543">
        <v>0</v>
      </c>
      <c r="L47" s="543">
        <v>0</v>
      </c>
      <c r="M47" s="543">
        <v>0</v>
      </c>
      <c r="N47" s="543">
        <v>0</v>
      </c>
      <c r="O47" s="543">
        <v>0</v>
      </c>
      <c r="P47" s="543">
        <v>0</v>
      </c>
      <c r="Q47" s="543">
        <v>0</v>
      </c>
      <c r="R47" s="543">
        <v>0</v>
      </c>
      <c r="S47" s="543">
        <v>0</v>
      </c>
      <c r="T47" s="543">
        <v>0</v>
      </c>
      <c r="U47" s="543">
        <v>0</v>
      </c>
      <c r="V47" s="543">
        <v>0</v>
      </c>
      <c r="W47" s="543">
        <v>0</v>
      </c>
      <c r="X47" s="543">
        <v>0</v>
      </c>
      <c r="Y47" s="543">
        <v>0</v>
      </c>
      <c r="Z47" s="543">
        <v>0</v>
      </c>
    </row>
    <row r="48" spans="1:26" outlineLevel="1" x14ac:dyDescent="0.2">
      <c r="A48" s="884"/>
      <c r="B48" s="885"/>
      <c r="C48" s="885"/>
      <c r="D48" s="464">
        <v>4</v>
      </c>
      <c r="E48" s="68">
        <f t="shared" si="2"/>
        <v>0</v>
      </c>
      <c r="F48" s="543">
        <v>0</v>
      </c>
      <c r="G48" s="543">
        <v>0</v>
      </c>
      <c r="H48" s="543">
        <v>0</v>
      </c>
      <c r="I48" s="543">
        <v>0</v>
      </c>
      <c r="J48" s="543">
        <v>0</v>
      </c>
      <c r="K48" s="543">
        <v>0</v>
      </c>
      <c r="L48" s="543">
        <v>0</v>
      </c>
      <c r="M48" s="543">
        <v>0</v>
      </c>
      <c r="N48" s="543">
        <v>0</v>
      </c>
      <c r="O48" s="543">
        <v>0</v>
      </c>
      <c r="P48" s="543">
        <v>0</v>
      </c>
      <c r="Q48" s="543">
        <v>0</v>
      </c>
      <c r="R48" s="543">
        <v>0</v>
      </c>
      <c r="S48" s="543">
        <v>0</v>
      </c>
      <c r="T48" s="543">
        <v>0</v>
      </c>
      <c r="U48" s="543">
        <v>0</v>
      </c>
      <c r="V48" s="543">
        <v>0</v>
      </c>
      <c r="W48" s="543">
        <v>0</v>
      </c>
      <c r="X48" s="543">
        <v>0</v>
      </c>
      <c r="Y48" s="543">
        <v>0</v>
      </c>
      <c r="Z48" s="543">
        <v>0</v>
      </c>
    </row>
    <row r="49" spans="1:26" outlineLevel="1" x14ac:dyDescent="0.2">
      <c r="A49" s="884"/>
      <c r="B49" s="885"/>
      <c r="C49" s="885"/>
      <c r="D49" s="464">
        <v>5</v>
      </c>
      <c r="E49" s="68">
        <f t="shared" si="2"/>
        <v>0</v>
      </c>
      <c r="F49" s="543">
        <v>0</v>
      </c>
      <c r="G49" s="543">
        <v>0</v>
      </c>
      <c r="H49" s="543">
        <v>0</v>
      </c>
      <c r="I49" s="543">
        <v>0</v>
      </c>
      <c r="J49" s="543">
        <v>0</v>
      </c>
      <c r="K49" s="543">
        <v>0</v>
      </c>
      <c r="L49" s="543">
        <v>0</v>
      </c>
      <c r="M49" s="543">
        <v>0</v>
      </c>
      <c r="N49" s="543">
        <v>0</v>
      </c>
      <c r="O49" s="543">
        <v>0</v>
      </c>
      <c r="P49" s="543">
        <v>0</v>
      </c>
      <c r="Q49" s="543">
        <v>0</v>
      </c>
      <c r="R49" s="543">
        <v>0</v>
      </c>
      <c r="S49" s="543">
        <v>0</v>
      </c>
      <c r="T49" s="543">
        <v>0</v>
      </c>
      <c r="U49" s="543">
        <v>0</v>
      </c>
      <c r="V49" s="543">
        <v>0</v>
      </c>
      <c r="W49" s="543">
        <v>0</v>
      </c>
      <c r="X49" s="543">
        <v>0</v>
      </c>
      <c r="Y49" s="543">
        <v>0</v>
      </c>
      <c r="Z49" s="543">
        <v>0</v>
      </c>
    </row>
    <row r="50" spans="1:26" outlineLevel="1" x14ac:dyDescent="0.2">
      <c r="A50" s="884"/>
      <c r="B50" s="885"/>
      <c r="C50" s="885"/>
      <c r="D50" s="464">
        <v>6</v>
      </c>
      <c r="E50" s="68">
        <f t="shared" si="2"/>
        <v>0</v>
      </c>
      <c r="F50" s="543">
        <v>0</v>
      </c>
      <c r="G50" s="543">
        <v>0</v>
      </c>
      <c r="H50" s="543">
        <v>0</v>
      </c>
      <c r="I50" s="543">
        <v>0</v>
      </c>
      <c r="J50" s="543">
        <v>0</v>
      </c>
      <c r="K50" s="543">
        <v>0</v>
      </c>
      <c r="L50" s="543">
        <v>0</v>
      </c>
      <c r="M50" s="543">
        <v>0</v>
      </c>
      <c r="N50" s="543">
        <v>0</v>
      </c>
      <c r="O50" s="543">
        <v>0</v>
      </c>
      <c r="P50" s="543">
        <v>0</v>
      </c>
      <c r="Q50" s="543">
        <v>0</v>
      </c>
      <c r="R50" s="543">
        <v>0</v>
      </c>
      <c r="S50" s="543">
        <v>0</v>
      </c>
      <c r="T50" s="543">
        <v>0</v>
      </c>
      <c r="U50" s="543">
        <v>0</v>
      </c>
      <c r="V50" s="543">
        <v>0</v>
      </c>
      <c r="W50" s="543">
        <v>0</v>
      </c>
      <c r="X50" s="543">
        <v>0</v>
      </c>
      <c r="Y50" s="543">
        <v>0</v>
      </c>
      <c r="Z50" s="543">
        <v>0</v>
      </c>
    </row>
    <row r="51" spans="1:26" outlineLevel="1" x14ac:dyDescent="0.2">
      <c r="A51" s="884"/>
      <c r="B51" s="885"/>
      <c r="C51" s="885"/>
      <c r="D51" s="464">
        <v>7</v>
      </c>
      <c r="E51" s="68">
        <f t="shared" si="2"/>
        <v>0</v>
      </c>
      <c r="F51" s="543">
        <v>0</v>
      </c>
      <c r="G51" s="543">
        <v>0</v>
      </c>
      <c r="H51" s="543">
        <v>0</v>
      </c>
      <c r="I51" s="543">
        <v>0</v>
      </c>
      <c r="J51" s="543">
        <v>0</v>
      </c>
      <c r="K51" s="543">
        <v>0</v>
      </c>
      <c r="L51" s="543">
        <v>0</v>
      </c>
      <c r="M51" s="543">
        <v>0</v>
      </c>
      <c r="N51" s="543">
        <v>0</v>
      </c>
      <c r="O51" s="543">
        <v>0</v>
      </c>
      <c r="P51" s="543">
        <v>0</v>
      </c>
      <c r="Q51" s="543">
        <v>0</v>
      </c>
      <c r="R51" s="543">
        <v>0</v>
      </c>
      <c r="S51" s="543">
        <v>0</v>
      </c>
      <c r="T51" s="543">
        <v>0</v>
      </c>
      <c r="U51" s="543">
        <v>0</v>
      </c>
      <c r="V51" s="543">
        <v>0</v>
      </c>
      <c r="W51" s="543">
        <v>0</v>
      </c>
      <c r="X51" s="543">
        <v>0</v>
      </c>
      <c r="Y51" s="543">
        <v>0</v>
      </c>
      <c r="Z51" s="543">
        <v>0</v>
      </c>
    </row>
    <row r="52" spans="1:26" outlineLevel="1" x14ac:dyDescent="0.2">
      <c r="A52" s="884"/>
      <c r="B52" s="885"/>
      <c r="C52" s="885"/>
      <c r="D52" s="464">
        <v>8</v>
      </c>
      <c r="E52" s="68">
        <f t="shared" si="2"/>
        <v>0</v>
      </c>
      <c r="F52" s="543">
        <v>0</v>
      </c>
      <c r="G52" s="543">
        <v>0</v>
      </c>
      <c r="H52" s="543">
        <v>0</v>
      </c>
      <c r="I52" s="543">
        <v>0</v>
      </c>
      <c r="J52" s="543">
        <v>0</v>
      </c>
      <c r="K52" s="543">
        <v>0</v>
      </c>
      <c r="L52" s="543">
        <v>0</v>
      </c>
      <c r="M52" s="543">
        <v>0</v>
      </c>
      <c r="N52" s="543">
        <v>0</v>
      </c>
      <c r="O52" s="543">
        <v>0</v>
      </c>
      <c r="P52" s="543">
        <v>0</v>
      </c>
      <c r="Q52" s="543">
        <v>0</v>
      </c>
      <c r="R52" s="543">
        <v>0</v>
      </c>
      <c r="S52" s="543">
        <v>0</v>
      </c>
      <c r="T52" s="543">
        <v>0</v>
      </c>
      <c r="U52" s="543">
        <v>0</v>
      </c>
      <c r="V52" s="543">
        <v>0</v>
      </c>
      <c r="W52" s="543">
        <v>0</v>
      </c>
      <c r="X52" s="543">
        <v>0</v>
      </c>
      <c r="Y52" s="543">
        <v>0</v>
      </c>
      <c r="Z52" s="543">
        <v>0</v>
      </c>
    </row>
    <row r="53" spans="1:26" outlineLevel="1" x14ac:dyDescent="0.2">
      <c r="A53" s="884"/>
      <c r="B53" s="885"/>
      <c r="C53" s="885"/>
      <c r="D53" s="464">
        <v>9</v>
      </c>
      <c r="E53" s="68">
        <f t="shared" si="2"/>
        <v>0</v>
      </c>
      <c r="F53" s="543">
        <v>0</v>
      </c>
      <c r="G53" s="543">
        <v>0</v>
      </c>
      <c r="H53" s="543">
        <v>0</v>
      </c>
      <c r="I53" s="543">
        <v>0</v>
      </c>
      <c r="J53" s="543">
        <v>0</v>
      </c>
      <c r="K53" s="543">
        <v>0</v>
      </c>
      <c r="L53" s="543">
        <v>0</v>
      </c>
      <c r="M53" s="543">
        <v>0</v>
      </c>
      <c r="N53" s="543">
        <v>0</v>
      </c>
      <c r="O53" s="543">
        <v>0</v>
      </c>
      <c r="P53" s="543">
        <v>0</v>
      </c>
      <c r="Q53" s="543">
        <v>0</v>
      </c>
      <c r="R53" s="543">
        <v>0</v>
      </c>
      <c r="S53" s="543">
        <v>0</v>
      </c>
      <c r="T53" s="543">
        <v>0</v>
      </c>
      <c r="U53" s="543">
        <v>0</v>
      </c>
      <c r="V53" s="543">
        <v>0</v>
      </c>
      <c r="W53" s="543">
        <v>0</v>
      </c>
      <c r="X53" s="543">
        <v>0</v>
      </c>
      <c r="Y53" s="543">
        <v>0</v>
      </c>
      <c r="Z53" s="543">
        <v>0</v>
      </c>
    </row>
    <row r="54" spans="1:26" ht="16" outlineLevel="1" thickBot="1" x14ac:dyDescent="0.25">
      <c r="A54" s="884"/>
      <c r="B54" s="885"/>
      <c r="C54" s="885"/>
      <c r="D54" s="465">
        <v>10</v>
      </c>
      <c r="E54" s="68">
        <f t="shared" si="2"/>
        <v>0</v>
      </c>
      <c r="F54" s="547">
        <v>0</v>
      </c>
      <c r="G54" s="547">
        <v>0</v>
      </c>
      <c r="H54" s="547">
        <v>0</v>
      </c>
      <c r="I54" s="547">
        <v>0</v>
      </c>
      <c r="J54" s="547">
        <v>0</v>
      </c>
      <c r="K54" s="547">
        <v>0</v>
      </c>
      <c r="L54" s="547">
        <v>0</v>
      </c>
      <c r="M54" s="547">
        <v>0</v>
      </c>
      <c r="N54" s="547">
        <v>0</v>
      </c>
      <c r="O54" s="547">
        <v>0</v>
      </c>
      <c r="P54" s="547">
        <v>0</v>
      </c>
      <c r="Q54" s="547">
        <v>0</v>
      </c>
      <c r="R54" s="547">
        <v>0</v>
      </c>
      <c r="S54" s="547">
        <v>0</v>
      </c>
      <c r="T54" s="547">
        <v>0</v>
      </c>
      <c r="U54" s="547">
        <v>0</v>
      </c>
      <c r="V54" s="547">
        <v>0</v>
      </c>
      <c r="W54" s="547">
        <v>0</v>
      </c>
      <c r="X54" s="547">
        <v>0</v>
      </c>
      <c r="Y54" s="547">
        <v>0</v>
      </c>
      <c r="Z54" s="547">
        <v>0</v>
      </c>
    </row>
    <row r="55" spans="1:26" ht="16" thickBot="1" x14ac:dyDescent="0.25">
      <c r="A55" s="896" t="s">
        <v>1169</v>
      </c>
      <c r="B55" s="896"/>
      <c r="C55" s="896"/>
      <c r="D55" s="554"/>
      <c r="E55" s="72">
        <f t="shared" ref="E55:F55" si="5">SUM(E56:E105)</f>
        <v>0</v>
      </c>
      <c r="F55" s="73">
        <f t="shared" si="5"/>
        <v>0</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x14ac:dyDescent="0.2">
      <c r="A56" s="884" t="s">
        <v>1170</v>
      </c>
      <c r="B56" s="885" t="s">
        <v>1158</v>
      </c>
      <c r="C56" s="885">
        <v>635002</v>
      </c>
      <c r="D56" s="463">
        <v>1</v>
      </c>
      <c r="E56" s="67">
        <f t="shared" ref="E56:E105" si="7">SUM(F56:Z56)</f>
        <v>0</v>
      </c>
      <c r="F56" s="539">
        <f>IFERROR(IF(VLOOKUP(F$2,MODULY_CBA!$B$3:$N$23,13,0)&lt;=$D56,SUM(F$5:F$14)*VLOOKUP(F$2,MODULY_CBA!$B$3:$M$23,12,0),0),0)</f>
        <v>0</v>
      </c>
      <c r="G56" s="539">
        <f>IFERROR(IF(VLOOKUP(G$2,MODULY_CBA!$B$3:$N$23,13,0)&lt;=$D56,SUM(G$5:G$14)*VLOOKUP(G$2,MODULY_CBA!$B$3:$M$23,12,0),0),0)</f>
        <v>0</v>
      </c>
      <c r="H56" s="539">
        <f>IFERROR(IF(VLOOKUP(H$2,MODULY_CBA!$B$3:$N$23,13,0)&lt;=$D56,SUM(H$5:H$14)*VLOOKUP(H$2,MODULY_CBA!$B$3:$M$23,12,0),0),0)</f>
        <v>0</v>
      </c>
      <c r="I56" s="539">
        <f>IFERROR(IF(VLOOKUP(I$2,MODULY_CBA!$B$3:$N$23,13,0)&lt;=$D56,SUM(I$5:I$14)*VLOOKUP(I$2,MODULY_CBA!$B$3:$M$23,12,0),0),0)</f>
        <v>0</v>
      </c>
      <c r="J56" s="539">
        <f>IFERROR(IF(VLOOKUP(J$2,MODULY_CBA!$B$3:$N$23,13,0)&lt;=$D56,SUM(J$5:J$14)*VLOOKUP(J$2,MODULY_CBA!$B$3:$M$23,12,0),0),0)</f>
        <v>0</v>
      </c>
      <c r="K56" s="539">
        <f>IFERROR(IF(VLOOKUP(K$2,MODULY_CBA!$B$3:$N$23,13,0)&lt;=$D56,SUM(K$5:K$14)*VLOOKUP(K$2,MODULY_CBA!$B$3:$M$23,12,0),0),0)</f>
        <v>0</v>
      </c>
      <c r="L56" s="539">
        <f>IFERROR(IF(VLOOKUP(L$2,MODULY_CBA!$B$3:$N$23,13,0)&lt;=$D56,SUM(L$5:L$14)*VLOOKUP(L$2,MODULY_CBA!$B$3:$M$23,12,0),0),0)</f>
        <v>0</v>
      </c>
      <c r="M56" s="539">
        <f>IFERROR(IF(VLOOKUP(M$2,MODULY_CBA!$B$3:$N$23,13,0)&lt;=$D56,SUM(M$5:M$14)*VLOOKUP(M$2,MODULY_CBA!$B$3:$M$23,12,0),0),0)</f>
        <v>0</v>
      </c>
      <c r="N56" s="539">
        <f>IFERROR(IF(VLOOKUP(N$2,MODULY_CBA!$B$3:$N$23,13,0)&lt;=$D56,SUM(N$5:N$14)*VLOOKUP(N$2,MODULY_CBA!$B$3:$M$23,12,0),0),0)</f>
        <v>0</v>
      </c>
      <c r="O56" s="539">
        <f>IFERROR(IF(VLOOKUP(O$2,MODULY_CBA!$B$3:$N$23,13,0)&lt;=$D56,SUM(O$5:O$14)*VLOOKUP(O$2,MODULY_CBA!$B$3:$M$23,12,0),0),0)</f>
        <v>0</v>
      </c>
      <c r="P56" s="539">
        <f>IFERROR(IF(VLOOKUP(P$2,MODULY_CBA!$B$3:$N$23,13,0)&lt;=$D56,SUM(P$5:P$14)*VLOOKUP(P$2,MODULY_CBA!$B$3:$M$23,12,0),0),0)</f>
        <v>0</v>
      </c>
      <c r="Q56" s="539">
        <f>IFERROR(IF(VLOOKUP(Q$2,MODULY_CBA!$B$3:$N$23,13,0)&lt;=$D56,SUM(Q$5:Q$14)*VLOOKUP(Q$2,MODULY_CBA!$B$3:$M$23,12,0),0),0)</f>
        <v>0</v>
      </c>
      <c r="R56" s="539">
        <f>IFERROR(IF(VLOOKUP(R$2,MODULY_CBA!$B$3:$N$23,13,0)&lt;=$D56,SUM(R$5:R$14)*VLOOKUP(R$2,MODULY_CBA!$B$3:$M$23,12,0),0),0)</f>
        <v>0</v>
      </c>
      <c r="S56" s="539">
        <f>IFERROR(IF(VLOOKUP(S$2,MODULY_CBA!$B$3:$N$23,13,0)&lt;=$D56,SUM(S$5:S$14)*VLOOKUP(S$2,MODULY_CBA!$B$3:$M$23,12,0),0),0)</f>
        <v>0</v>
      </c>
      <c r="T56" s="539">
        <f>IFERROR(IF(VLOOKUP(T$2,MODULY_CBA!$B$3:$N$23,13,0)&lt;=$D56,SUM(T$5:T$14)*VLOOKUP(T$2,MODULY_CBA!$B$3:$M$23,12,0),0),0)</f>
        <v>0</v>
      </c>
      <c r="U56" s="539">
        <f>IFERROR(IF(VLOOKUP(U$2,MODULY_CBA!$B$3:$N$23,13,0)&lt;=$D56,SUM(U$5:U$14)*VLOOKUP(U$2,MODULY_CBA!$B$3:$M$23,12,0),0),0)</f>
        <v>0</v>
      </c>
      <c r="V56" s="539">
        <f>IFERROR(IF(VLOOKUP(V$2,MODULY_CBA!$B$3:$N$23,13,0)&lt;=$D56,SUM(V$5:V$14)*VLOOKUP(V$2,MODULY_CBA!$B$3:$M$23,12,0),0),0)</f>
        <v>0</v>
      </c>
      <c r="W56" s="539">
        <f>IFERROR(IF(VLOOKUP(W$2,MODULY_CBA!$B$3:$N$23,13,0)&lt;=$D56,SUM(W$5:W$14)*VLOOKUP(W$2,MODULY_CBA!$B$3:$M$23,12,0),0),0)</f>
        <v>0</v>
      </c>
      <c r="X56" s="539">
        <f>IFERROR(IF(VLOOKUP(X$2,MODULY_CBA!$B$3:$N$23,13,0)&lt;=$D56,SUM(X$5:X$14)*VLOOKUP(X$2,MODULY_CBA!$B$3:$M$23,12,0),0),0)</f>
        <v>0</v>
      </c>
      <c r="Y56" s="539">
        <f>IFERROR(IF(VLOOKUP(Y$2,MODULY_CBA!$B$3:$N$23,13,0)&lt;=$D56,SUM(Y$5:Y$14)*VLOOKUP(Y$2,MODULY_CBA!$B$3:$M$23,12,0),0),0)</f>
        <v>0</v>
      </c>
      <c r="Z56" s="539">
        <f>IFERROR(IF(VLOOKUP(Z$2,MODULY_CBA!$B$3:$N$23,13,0)&lt;=$D56,SUM(Z$5:Z$14)*VLOOKUP(Z$2,MODULY_CBA!$B$3:$M$23,12,0),0),0)</f>
        <v>0</v>
      </c>
    </row>
    <row r="57" spans="1:26" outlineLevel="1" x14ac:dyDescent="0.2">
      <c r="A57" s="884"/>
      <c r="B57" s="885"/>
      <c r="C57" s="885"/>
      <c r="D57" s="464">
        <v>2</v>
      </c>
      <c r="E57" s="68">
        <f t="shared" si="7"/>
        <v>0</v>
      </c>
      <c r="F57" s="540">
        <f>IFERROR(IF(VLOOKUP(F$2,MODULY_CBA!$B$3:$N$23,13,0)&lt;=$D57,SUM(F$5:F$14)*VLOOKUP(F$2,MODULY_CBA!$B$3:$M$23,12,0),0),0)</f>
        <v>0</v>
      </c>
      <c r="G57" s="540">
        <f>IFERROR(IF(VLOOKUP(G$2,MODULY_CBA!$B$3:$N$23,13,0)&lt;=$D57,SUM(G$5:G$14)*VLOOKUP(G$2,MODULY_CBA!$B$3:$M$23,12,0),0),0)</f>
        <v>0</v>
      </c>
      <c r="H57" s="540">
        <f>IFERROR(IF(VLOOKUP(H$2,MODULY_CBA!$B$3:$N$23,13,0)&lt;=$D57,SUM(H$5:H$14)*VLOOKUP(H$2,MODULY_CBA!$B$3:$M$23,12,0),0),0)</f>
        <v>0</v>
      </c>
      <c r="I57" s="540">
        <f>IFERROR(IF(VLOOKUP(I$2,MODULY_CBA!$B$3:$N$23,13,0)&lt;=$D57,SUM(I$5:I$14)*VLOOKUP(I$2,MODULY_CBA!$B$3:$M$23,12,0),0),0)</f>
        <v>0</v>
      </c>
      <c r="J57" s="540">
        <f>IFERROR(IF(VLOOKUP(J$2,MODULY_CBA!$B$3:$N$23,13,0)&lt;=$D57,SUM(J$5:J$14)*VLOOKUP(J$2,MODULY_CBA!$B$3:$M$23,12,0),0),0)</f>
        <v>0</v>
      </c>
      <c r="K57" s="540">
        <f>IFERROR(IF(VLOOKUP(K$2,MODULY_CBA!$B$3:$N$23,13,0)&lt;=$D57,SUM(K$5:K$14)*VLOOKUP(K$2,MODULY_CBA!$B$3:$M$23,12,0),0),0)</f>
        <v>0</v>
      </c>
      <c r="L57" s="540">
        <f>IFERROR(IF(VLOOKUP(L$2,MODULY_CBA!$B$3:$N$23,13,0)&lt;=$D57,SUM(L$5:L$14)*VLOOKUP(L$2,MODULY_CBA!$B$3:$M$23,12,0),0),0)</f>
        <v>0</v>
      </c>
      <c r="M57" s="540">
        <f>IFERROR(IF(VLOOKUP(M$2,MODULY_CBA!$B$3:$N$23,13,0)&lt;=$D57,SUM(M$5:M$14)*VLOOKUP(M$2,MODULY_CBA!$B$3:$M$23,12,0),0),0)</f>
        <v>0</v>
      </c>
      <c r="N57" s="540">
        <f>IFERROR(IF(VLOOKUP(N$2,MODULY_CBA!$B$3:$N$23,13,0)&lt;=$D57,SUM(N$5:N$14)*VLOOKUP(N$2,MODULY_CBA!$B$3:$M$23,12,0),0),0)</f>
        <v>0</v>
      </c>
      <c r="O57" s="540">
        <f>IFERROR(IF(VLOOKUP(O$2,MODULY_CBA!$B$3:$N$23,13,0)&lt;=$D57,SUM(O$5:O$14)*VLOOKUP(O$2,MODULY_CBA!$B$3:$M$23,12,0),0),0)</f>
        <v>0</v>
      </c>
      <c r="P57" s="540">
        <f>IFERROR(IF(VLOOKUP(P$2,MODULY_CBA!$B$3:$N$23,13,0)&lt;=$D57,SUM(P$5:P$14)*VLOOKUP(P$2,MODULY_CBA!$B$3:$M$23,12,0),0),0)</f>
        <v>0</v>
      </c>
      <c r="Q57" s="540">
        <f>IFERROR(IF(VLOOKUP(Q$2,MODULY_CBA!$B$3:$N$23,13,0)&lt;=$D57,SUM(Q$5:Q$14)*VLOOKUP(Q$2,MODULY_CBA!$B$3:$M$23,12,0),0),0)</f>
        <v>0</v>
      </c>
      <c r="R57" s="540">
        <f>IFERROR(IF(VLOOKUP(R$2,MODULY_CBA!$B$3:$N$23,13,0)&lt;=$D57,SUM(R$5:R$14)*VLOOKUP(R$2,MODULY_CBA!$B$3:$M$23,12,0),0),0)</f>
        <v>0</v>
      </c>
      <c r="S57" s="540">
        <f>IFERROR(IF(VLOOKUP(S$2,MODULY_CBA!$B$3:$N$23,13,0)&lt;=$D57,SUM(S$5:S$14)*VLOOKUP(S$2,MODULY_CBA!$B$3:$M$23,12,0),0),0)</f>
        <v>0</v>
      </c>
      <c r="T57" s="540">
        <f>IFERROR(IF(VLOOKUP(T$2,MODULY_CBA!$B$3:$N$23,13,0)&lt;=$D57,SUM(T$5:T$14)*VLOOKUP(T$2,MODULY_CBA!$B$3:$M$23,12,0),0),0)</f>
        <v>0</v>
      </c>
      <c r="U57" s="540">
        <f>IFERROR(IF(VLOOKUP(U$2,MODULY_CBA!$B$3:$N$23,13,0)&lt;=$D57,SUM(U$5:U$14)*VLOOKUP(U$2,MODULY_CBA!$B$3:$M$23,12,0),0),0)</f>
        <v>0</v>
      </c>
      <c r="V57" s="540">
        <f>IFERROR(IF(VLOOKUP(V$2,MODULY_CBA!$B$3:$N$23,13,0)&lt;=$D57,SUM(V$5:V$14)*VLOOKUP(V$2,MODULY_CBA!$B$3:$M$23,12,0),0),0)</f>
        <v>0</v>
      </c>
      <c r="W57" s="540">
        <f>IFERROR(IF(VLOOKUP(W$2,MODULY_CBA!$B$3:$N$23,13,0)&lt;=$D57,SUM(W$5:W$14)*VLOOKUP(W$2,MODULY_CBA!$B$3:$M$23,12,0),0),0)</f>
        <v>0</v>
      </c>
      <c r="X57" s="540">
        <f>IFERROR(IF(VLOOKUP(X$2,MODULY_CBA!$B$3:$N$23,13,0)&lt;=$D57,SUM(X$5:X$14)*VLOOKUP(X$2,MODULY_CBA!$B$3:$M$23,12,0),0),0)</f>
        <v>0</v>
      </c>
      <c r="Y57" s="540">
        <f>IFERROR(IF(VLOOKUP(Y$2,MODULY_CBA!$B$3:$N$23,13,0)&lt;=$D57,SUM(Y$5:Y$14)*VLOOKUP(Y$2,MODULY_CBA!$B$3:$M$23,12,0),0),0)</f>
        <v>0</v>
      </c>
      <c r="Z57" s="540">
        <f>IFERROR(IF(VLOOKUP(Z$2,MODULY_CBA!$B$3:$N$23,13,0)&lt;=$D57,SUM(Z$5:Z$14)*VLOOKUP(Z$2,MODULY_CBA!$B$3:$M$23,12,0),0),0)</f>
        <v>0</v>
      </c>
    </row>
    <row r="58" spans="1:26" outlineLevel="1" x14ac:dyDescent="0.2">
      <c r="A58" s="884"/>
      <c r="B58" s="885"/>
      <c r="C58" s="885"/>
      <c r="D58" s="464">
        <v>3</v>
      </c>
      <c r="E58" s="68">
        <f t="shared" si="7"/>
        <v>0</v>
      </c>
      <c r="F58" s="540">
        <f>IFERROR(IF(VLOOKUP(F$2,MODULY_CBA!$B$3:$N$23,13,0)&lt;=$D58,SUM(F$5:F$14)*VLOOKUP(F$2,MODULY_CBA!$B$3:$M$23,12,0),0),0)</f>
        <v>0</v>
      </c>
      <c r="G58" s="540">
        <f>IFERROR(IF(VLOOKUP(G$2,MODULY_CBA!$B$3:$N$23,13,0)&lt;=$D58,SUM(G$5:G$14)*VLOOKUP(G$2,MODULY_CBA!$B$3:$M$23,12,0),0),0)</f>
        <v>0</v>
      </c>
      <c r="H58" s="540">
        <f>IFERROR(IF(VLOOKUP(H$2,MODULY_CBA!$B$3:$N$23,13,0)&lt;=$D58,SUM(H$5:H$14)*VLOOKUP(H$2,MODULY_CBA!$B$3:$M$23,12,0),0),0)</f>
        <v>0</v>
      </c>
      <c r="I58" s="540">
        <f>IFERROR(IF(VLOOKUP(I$2,MODULY_CBA!$B$3:$N$23,13,0)&lt;=$D58,SUM(I$5:I$14)*VLOOKUP(I$2,MODULY_CBA!$B$3:$M$23,12,0),0),0)</f>
        <v>0</v>
      </c>
      <c r="J58" s="540">
        <f>IFERROR(IF(VLOOKUP(J$2,MODULY_CBA!$B$3:$N$23,13,0)&lt;=$D58,SUM(J$5:J$14)*VLOOKUP(J$2,MODULY_CBA!$B$3:$M$23,12,0),0),0)</f>
        <v>0</v>
      </c>
      <c r="K58" s="540">
        <f>IFERROR(IF(VLOOKUP(K$2,MODULY_CBA!$B$3:$N$23,13,0)&lt;=$D58,SUM(K$5:K$14)*VLOOKUP(K$2,MODULY_CBA!$B$3:$M$23,12,0),0),0)</f>
        <v>0</v>
      </c>
      <c r="L58" s="540">
        <f>IFERROR(IF(VLOOKUP(L$2,MODULY_CBA!$B$3:$N$23,13,0)&lt;=$D58,SUM(L$5:L$14)*VLOOKUP(L$2,MODULY_CBA!$B$3:$M$23,12,0),0),0)</f>
        <v>0</v>
      </c>
      <c r="M58" s="540">
        <f>IFERROR(IF(VLOOKUP(M$2,MODULY_CBA!$B$3:$N$23,13,0)&lt;=$D58,SUM(M$5:M$14)*VLOOKUP(M$2,MODULY_CBA!$B$3:$M$23,12,0),0),0)</f>
        <v>0</v>
      </c>
      <c r="N58" s="540">
        <f>IFERROR(IF(VLOOKUP(N$2,MODULY_CBA!$B$3:$N$23,13,0)&lt;=$D58,SUM(N$5:N$14)*VLOOKUP(N$2,MODULY_CBA!$B$3:$M$23,12,0),0),0)</f>
        <v>0</v>
      </c>
      <c r="O58" s="540">
        <f>IFERROR(IF(VLOOKUP(O$2,MODULY_CBA!$B$3:$N$23,13,0)&lt;=$D58,SUM(O$5:O$14)*VLOOKUP(O$2,MODULY_CBA!$B$3:$M$23,12,0),0),0)</f>
        <v>0</v>
      </c>
      <c r="P58" s="540">
        <f>IFERROR(IF(VLOOKUP(P$2,MODULY_CBA!$B$3:$N$23,13,0)&lt;=$D58,SUM(P$5:P$14)*VLOOKUP(P$2,MODULY_CBA!$B$3:$M$23,12,0),0),0)</f>
        <v>0</v>
      </c>
      <c r="Q58" s="540">
        <f>IFERROR(IF(VLOOKUP(Q$2,MODULY_CBA!$B$3:$N$23,13,0)&lt;=$D58,SUM(Q$5:Q$14)*VLOOKUP(Q$2,MODULY_CBA!$B$3:$M$23,12,0),0),0)</f>
        <v>0</v>
      </c>
      <c r="R58" s="540">
        <f>IFERROR(IF(VLOOKUP(R$2,MODULY_CBA!$B$3:$N$23,13,0)&lt;=$D58,SUM(R$5:R$14)*VLOOKUP(R$2,MODULY_CBA!$B$3:$M$23,12,0),0),0)</f>
        <v>0</v>
      </c>
      <c r="S58" s="540">
        <f>IFERROR(IF(VLOOKUP(S$2,MODULY_CBA!$B$3:$N$23,13,0)&lt;=$D58,SUM(S$5:S$14)*VLOOKUP(S$2,MODULY_CBA!$B$3:$M$23,12,0),0),0)</f>
        <v>0</v>
      </c>
      <c r="T58" s="540">
        <f>IFERROR(IF(VLOOKUP(T$2,MODULY_CBA!$B$3:$N$23,13,0)&lt;=$D58,SUM(T$5:T$14)*VLOOKUP(T$2,MODULY_CBA!$B$3:$M$23,12,0),0),0)</f>
        <v>0</v>
      </c>
      <c r="U58" s="540">
        <f>IFERROR(IF(VLOOKUP(U$2,MODULY_CBA!$B$3:$N$23,13,0)&lt;=$D58,SUM(U$5:U$14)*VLOOKUP(U$2,MODULY_CBA!$B$3:$M$23,12,0),0),0)</f>
        <v>0</v>
      </c>
      <c r="V58" s="540">
        <f>IFERROR(IF(VLOOKUP(V$2,MODULY_CBA!$B$3:$N$23,13,0)&lt;=$D58,SUM(V$5:V$14)*VLOOKUP(V$2,MODULY_CBA!$B$3:$M$23,12,0),0),0)</f>
        <v>0</v>
      </c>
      <c r="W58" s="540">
        <f>IFERROR(IF(VLOOKUP(W$2,MODULY_CBA!$B$3:$N$23,13,0)&lt;=$D58,SUM(W$5:W$14)*VLOOKUP(W$2,MODULY_CBA!$B$3:$M$23,12,0),0),0)</f>
        <v>0</v>
      </c>
      <c r="X58" s="540">
        <f>IFERROR(IF(VLOOKUP(X$2,MODULY_CBA!$B$3:$N$23,13,0)&lt;=$D58,SUM(X$5:X$14)*VLOOKUP(X$2,MODULY_CBA!$B$3:$M$23,12,0),0),0)</f>
        <v>0</v>
      </c>
      <c r="Y58" s="540">
        <f>IFERROR(IF(VLOOKUP(Y$2,MODULY_CBA!$B$3:$N$23,13,0)&lt;=$D58,SUM(Y$5:Y$14)*VLOOKUP(Y$2,MODULY_CBA!$B$3:$M$23,12,0),0),0)</f>
        <v>0</v>
      </c>
      <c r="Z58" s="540">
        <f>IFERROR(IF(VLOOKUP(Z$2,MODULY_CBA!$B$3:$N$23,13,0)&lt;=$D58,SUM(Z$5:Z$14)*VLOOKUP(Z$2,MODULY_CBA!$B$3:$M$23,12,0),0),0)</f>
        <v>0</v>
      </c>
    </row>
    <row r="59" spans="1:26" outlineLevel="1" x14ac:dyDescent="0.2">
      <c r="A59" s="884"/>
      <c r="B59" s="885"/>
      <c r="C59" s="885"/>
      <c r="D59" s="464">
        <v>4</v>
      </c>
      <c r="E59" s="68">
        <f t="shared" si="7"/>
        <v>0</v>
      </c>
      <c r="F59" s="540">
        <f>IFERROR(IF(VLOOKUP(F$2,MODULY_CBA!$B$3:$N$23,13,0)&lt;=$D59,SUM(F$5:F$14)*VLOOKUP(F$2,MODULY_CBA!$B$3:$M$23,12,0),0),0)</f>
        <v>0</v>
      </c>
      <c r="G59" s="540">
        <f>IFERROR(IF(VLOOKUP(G$2,MODULY_CBA!$B$3:$N$23,13,0)&lt;=$D59,SUM(G$5:G$14)*VLOOKUP(G$2,MODULY_CBA!$B$3:$M$23,12,0),0),0)</f>
        <v>0</v>
      </c>
      <c r="H59" s="540">
        <f>IFERROR(IF(VLOOKUP(H$2,MODULY_CBA!$B$3:$N$23,13,0)&lt;=$D59,SUM(H$5:H$14)*VLOOKUP(H$2,MODULY_CBA!$B$3:$M$23,12,0),0),0)</f>
        <v>0</v>
      </c>
      <c r="I59" s="540">
        <f>IFERROR(IF(VLOOKUP(I$2,MODULY_CBA!$B$3:$N$23,13,0)&lt;=$D59,SUM(I$5:I$14)*VLOOKUP(I$2,MODULY_CBA!$B$3:$M$23,12,0),0),0)</f>
        <v>0</v>
      </c>
      <c r="J59" s="540">
        <f>IFERROR(IF(VLOOKUP(J$2,MODULY_CBA!$B$3:$N$23,13,0)&lt;=$D59,SUM(J$5:J$14)*VLOOKUP(J$2,MODULY_CBA!$B$3:$M$23,12,0),0),0)</f>
        <v>0</v>
      </c>
      <c r="K59" s="540">
        <f>IFERROR(IF(VLOOKUP(K$2,MODULY_CBA!$B$3:$N$23,13,0)&lt;=$D59,SUM(K$5:K$14)*VLOOKUP(K$2,MODULY_CBA!$B$3:$M$23,12,0),0),0)</f>
        <v>0</v>
      </c>
      <c r="L59" s="540">
        <f>IFERROR(IF(VLOOKUP(L$2,MODULY_CBA!$B$3:$N$23,13,0)&lt;=$D59,SUM(L$5:L$14)*VLOOKUP(L$2,MODULY_CBA!$B$3:$M$23,12,0),0),0)</f>
        <v>0</v>
      </c>
      <c r="M59" s="540">
        <f>IFERROR(IF(VLOOKUP(M$2,MODULY_CBA!$B$3:$N$23,13,0)&lt;=$D59,SUM(M$5:M$14)*VLOOKUP(M$2,MODULY_CBA!$B$3:$M$23,12,0),0),0)</f>
        <v>0</v>
      </c>
      <c r="N59" s="540">
        <f>IFERROR(IF(VLOOKUP(N$2,MODULY_CBA!$B$3:$N$23,13,0)&lt;=$D59,SUM(N$5:N$14)*VLOOKUP(N$2,MODULY_CBA!$B$3:$M$23,12,0),0),0)</f>
        <v>0</v>
      </c>
      <c r="O59" s="540">
        <f>IFERROR(IF(VLOOKUP(O$2,MODULY_CBA!$B$3:$N$23,13,0)&lt;=$D59,SUM(O$5:O$14)*VLOOKUP(O$2,MODULY_CBA!$B$3:$M$23,12,0),0),0)</f>
        <v>0</v>
      </c>
      <c r="P59" s="540">
        <f>IFERROR(IF(VLOOKUP(P$2,MODULY_CBA!$B$3:$N$23,13,0)&lt;=$D59,SUM(P$5:P$14)*VLOOKUP(P$2,MODULY_CBA!$B$3:$M$23,12,0),0),0)</f>
        <v>0</v>
      </c>
      <c r="Q59" s="540">
        <f>IFERROR(IF(VLOOKUP(Q$2,MODULY_CBA!$B$3:$N$23,13,0)&lt;=$D59,SUM(Q$5:Q$14)*VLOOKUP(Q$2,MODULY_CBA!$B$3:$M$23,12,0),0),0)</f>
        <v>0</v>
      </c>
      <c r="R59" s="540">
        <f>IFERROR(IF(VLOOKUP(R$2,MODULY_CBA!$B$3:$N$23,13,0)&lt;=$D59,SUM(R$5:R$14)*VLOOKUP(R$2,MODULY_CBA!$B$3:$M$23,12,0),0),0)</f>
        <v>0</v>
      </c>
      <c r="S59" s="540">
        <f>IFERROR(IF(VLOOKUP(S$2,MODULY_CBA!$B$3:$N$23,13,0)&lt;=$D59,SUM(S$5:S$14)*VLOOKUP(S$2,MODULY_CBA!$B$3:$M$23,12,0),0),0)</f>
        <v>0</v>
      </c>
      <c r="T59" s="540">
        <f>IFERROR(IF(VLOOKUP(T$2,MODULY_CBA!$B$3:$N$23,13,0)&lt;=$D59,SUM(T$5:T$14)*VLOOKUP(T$2,MODULY_CBA!$B$3:$M$23,12,0),0),0)</f>
        <v>0</v>
      </c>
      <c r="U59" s="540">
        <f>IFERROR(IF(VLOOKUP(U$2,MODULY_CBA!$B$3:$N$23,13,0)&lt;=$D59,SUM(U$5:U$14)*VLOOKUP(U$2,MODULY_CBA!$B$3:$M$23,12,0),0),0)</f>
        <v>0</v>
      </c>
      <c r="V59" s="540">
        <f>IFERROR(IF(VLOOKUP(V$2,MODULY_CBA!$B$3:$N$23,13,0)&lt;=$D59,SUM(V$5:V$14)*VLOOKUP(V$2,MODULY_CBA!$B$3:$M$23,12,0),0),0)</f>
        <v>0</v>
      </c>
      <c r="W59" s="540">
        <f>IFERROR(IF(VLOOKUP(W$2,MODULY_CBA!$B$3:$N$23,13,0)&lt;=$D59,SUM(W$5:W$14)*VLOOKUP(W$2,MODULY_CBA!$B$3:$M$23,12,0),0),0)</f>
        <v>0</v>
      </c>
      <c r="X59" s="540">
        <f>IFERROR(IF(VLOOKUP(X$2,MODULY_CBA!$B$3:$N$23,13,0)&lt;=$D59,SUM(X$5:X$14)*VLOOKUP(X$2,MODULY_CBA!$B$3:$M$23,12,0),0),0)</f>
        <v>0</v>
      </c>
      <c r="Y59" s="540">
        <f>IFERROR(IF(VLOOKUP(Y$2,MODULY_CBA!$B$3:$N$23,13,0)&lt;=$D59,SUM(Y$5:Y$14)*VLOOKUP(Y$2,MODULY_CBA!$B$3:$M$23,12,0),0),0)</f>
        <v>0</v>
      </c>
      <c r="Z59" s="540">
        <f>IFERROR(IF(VLOOKUP(Z$2,MODULY_CBA!$B$3:$N$23,13,0)&lt;=$D59,SUM(Z$5:Z$14)*VLOOKUP(Z$2,MODULY_CBA!$B$3:$M$23,12,0),0),0)</f>
        <v>0</v>
      </c>
    </row>
    <row r="60" spans="1:26" outlineLevel="1" x14ac:dyDescent="0.2">
      <c r="A60" s="884"/>
      <c r="B60" s="885"/>
      <c r="C60" s="885"/>
      <c r="D60" s="464">
        <v>5</v>
      </c>
      <c r="E60" s="68">
        <f t="shared" si="7"/>
        <v>0</v>
      </c>
      <c r="F60" s="540">
        <f>IFERROR(IF(VLOOKUP(F$2,MODULY_CBA!$B$3:$N$23,13,0)&lt;=$D60,SUM(F$5:F$14)*VLOOKUP(F$2,MODULY_CBA!$B$3:$M$23,12,0),0),0)</f>
        <v>0</v>
      </c>
      <c r="G60" s="540">
        <f>IFERROR(IF(VLOOKUP(G$2,MODULY_CBA!$B$3:$N$23,13,0)&lt;=$D60,SUM(G$5:G$14)*VLOOKUP(G$2,MODULY_CBA!$B$3:$M$23,12,0),0),0)</f>
        <v>0</v>
      </c>
      <c r="H60" s="540">
        <f>IFERROR(IF(VLOOKUP(H$2,MODULY_CBA!$B$3:$N$23,13,0)&lt;=$D60,SUM(H$5:H$14)*VLOOKUP(H$2,MODULY_CBA!$B$3:$M$23,12,0),0),0)</f>
        <v>0</v>
      </c>
      <c r="I60" s="540">
        <f>IFERROR(IF(VLOOKUP(I$2,MODULY_CBA!$B$3:$N$23,13,0)&lt;=$D60,SUM(I$5:I$14)*VLOOKUP(I$2,MODULY_CBA!$B$3:$M$23,12,0),0),0)</f>
        <v>0</v>
      </c>
      <c r="J60" s="540">
        <f>IFERROR(IF(VLOOKUP(J$2,MODULY_CBA!$B$3:$N$23,13,0)&lt;=$D60,SUM(J$5:J$14)*VLOOKUP(J$2,MODULY_CBA!$B$3:$M$23,12,0),0),0)</f>
        <v>0</v>
      </c>
      <c r="K60" s="540">
        <f>IFERROR(IF(VLOOKUP(K$2,MODULY_CBA!$B$3:$N$23,13,0)&lt;=$D60,SUM(K$5:K$14)*VLOOKUP(K$2,MODULY_CBA!$B$3:$M$23,12,0),0),0)</f>
        <v>0</v>
      </c>
      <c r="L60" s="540">
        <f>IFERROR(IF(VLOOKUP(L$2,MODULY_CBA!$B$3:$N$23,13,0)&lt;=$D60,SUM(L$5:L$14)*VLOOKUP(L$2,MODULY_CBA!$B$3:$M$23,12,0),0),0)</f>
        <v>0</v>
      </c>
      <c r="M60" s="540">
        <f>IFERROR(IF(VLOOKUP(M$2,MODULY_CBA!$B$3:$N$23,13,0)&lt;=$D60,SUM(M$5:M$14)*VLOOKUP(M$2,MODULY_CBA!$B$3:$M$23,12,0),0),0)</f>
        <v>0</v>
      </c>
      <c r="N60" s="540">
        <f>IFERROR(IF(VLOOKUP(N$2,MODULY_CBA!$B$3:$N$23,13,0)&lt;=$D60,SUM(N$5:N$14)*VLOOKUP(N$2,MODULY_CBA!$B$3:$M$23,12,0),0),0)</f>
        <v>0</v>
      </c>
      <c r="O60" s="540">
        <f>IFERROR(IF(VLOOKUP(O$2,MODULY_CBA!$B$3:$N$23,13,0)&lt;=$D60,SUM(O$5:O$14)*VLOOKUP(O$2,MODULY_CBA!$B$3:$M$23,12,0),0),0)</f>
        <v>0</v>
      </c>
      <c r="P60" s="540">
        <f>IFERROR(IF(VLOOKUP(P$2,MODULY_CBA!$B$3:$N$23,13,0)&lt;=$D60,SUM(P$5:P$14)*VLOOKUP(P$2,MODULY_CBA!$B$3:$M$23,12,0),0),0)</f>
        <v>0</v>
      </c>
      <c r="Q60" s="540">
        <f>IFERROR(IF(VLOOKUP(Q$2,MODULY_CBA!$B$3:$N$23,13,0)&lt;=$D60,SUM(Q$5:Q$14)*VLOOKUP(Q$2,MODULY_CBA!$B$3:$M$23,12,0),0),0)</f>
        <v>0</v>
      </c>
      <c r="R60" s="540">
        <f>IFERROR(IF(VLOOKUP(R$2,MODULY_CBA!$B$3:$N$23,13,0)&lt;=$D60,SUM(R$5:R$14)*VLOOKUP(R$2,MODULY_CBA!$B$3:$M$23,12,0),0),0)</f>
        <v>0</v>
      </c>
      <c r="S60" s="540">
        <f>IFERROR(IF(VLOOKUP(S$2,MODULY_CBA!$B$3:$N$23,13,0)&lt;=$D60,SUM(S$5:S$14)*VLOOKUP(S$2,MODULY_CBA!$B$3:$M$23,12,0),0),0)</f>
        <v>0</v>
      </c>
      <c r="T60" s="540">
        <f>IFERROR(IF(VLOOKUP(T$2,MODULY_CBA!$B$3:$N$23,13,0)&lt;=$D60,SUM(T$5:T$14)*VLOOKUP(T$2,MODULY_CBA!$B$3:$M$23,12,0),0),0)</f>
        <v>0</v>
      </c>
      <c r="U60" s="540">
        <f>IFERROR(IF(VLOOKUP(U$2,MODULY_CBA!$B$3:$N$23,13,0)&lt;=$D60,SUM(U$5:U$14)*VLOOKUP(U$2,MODULY_CBA!$B$3:$M$23,12,0),0),0)</f>
        <v>0</v>
      </c>
      <c r="V60" s="540">
        <f>IFERROR(IF(VLOOKUP(V$2,MODULY_CBA!$B$3:$N$23,13,0)&lt;=$D60,SUM(V$5:V$14)*VLOOKUP(V$2,MODULY_CBA!$B$3:$M$23,12,0),0),0)</f>
        <v>0</v>
      </c>
      <c r="W60" s="540">
        <f>IFERROR(IF(VLOOKUP(W$2,MODULY_CBA!$B$3:$N$23,13,0)&lt;=$D60,SUM(W$5:W$14)*VLOOKUP(W$2,MODULY_CBA!$B$3:$M$23,12,0),0),0)</f>
        <v>0</v>
      </c>
      <c r="X60" s="540">
        <f>IFERROR(IF(VLOOKUP(X$2,MODULY_CBA!$B$3:$N$23,13,0)&lt;=$D60,SUM(X$5:X$14)*VLOOKUP(X$2,MODULY_CBA!$B$3:$M$23,12,0),0),0)</f>
        <v>0</v>
      </c>
      <c r="Y60" s="540">
        <f>IFERROR(IF(VLOOKUP(Y$2,MODULY_CBA!$B$3:$N$23,13,0)&lt;=$D60,SUM(Y$5:Y$14)*VLOOKUP(Y$2,MODULY_CBA!$B$3:$M$23,12,0),0),0)</f>
        <v>0</v>
      </c>
      <c r="Z60" s="540">
        <f>IFERROR(IF(VLOOKUP(Z$2,MODULY_CBA!$B$3:$N$23,13,0)&lt;=$D60,SUM(Z$5:Z$14)*VLOOKUP(Z$2,MODULY_CBA!$B$3:$M$23,12,0),0),0)</f>
        <v>0</v>
      </c>
    </row>
    <row r="61" spans="1:26" outlineLevel="1" x14ac:dyDescent="0.2">
      <c r="A61" s="884"/>
      <c r="B61" s="885"/>
      <c r="C61" s="885"/>
      <c r="D61" s="464">
        <v>6</v>
      </c>
      <c r="E61" s="68">
        <f t="shared" si="7"/>
        <v>0</v>
      </c>
      <c r="F61" s="540">
        <f>IFERROR(IF(VLOOKUP(F$2,MODULY_CBA!$B$3:$N$23,13,0)&lt;=$D61,SUM(F$5:F$14)*VLOOKUP(F$2,MODULY_CBA!$B$3:$M$23,12,0),0),0)</f>
        <v>0</v>
      </c>
      <c r="G61" s="540">
        <f>IFERROR(IF(VLOOKUP(G$2,MODULY_CBA!$B$3:$N$23,13,0)&lt;=$D61,SUM(G$5:G$14)*VLOOKUP(G$2,MODULY_CBA!$B$3:$M$23,12,0),0),0)</f>
        <v>0</v>
      </c>
      <c r="H61" s="540">
        <f>IFERROR(IF(VLOOKUP(H$2,MODULY_CBA!$B$3:$N$23,13,0)&lt;=$D61,SUM(H$5:H$14)*VLOOKUP(H$2,MODULY_CBA!$B$3:$M$23,12,0),0),0)</f>
        <v>0</v>
      </c>
      <c r="I61" s="540">
        <f>IFERROR(IF(VLOOKUP(I$2,MODULY_CBA!$B$3:$N$23,13,0)&lt;=$D61,SUM(I$5:I$14)*VLOOKUP(I$2,MODULY_CBA!$B$3:$M$23,12,0),0),0)</f>
        <v>0</v>
      </c>
      <c r="J61" s="540">
        <f>IFERROR(IF(VLOOKUP(J$2,MODULY_CBA!$B$3:$N$23,13,0)&lt;=$D61,SUM(J$5:J$14)*VLOOKUP(J$2,MODULY_CBA!$B$3:$M$23,12,0),0),0)</f>
        <v>0</v>
      </c>
      <c r="K61" s="540">
        <f>IFERROR(IF(VLOOKUP(K$2,MODULY_CBA!$B$3:$N$23,13,0)&lt;=$D61,SUM(K$5:K$14)*VLOOKUP(K$2,MODULY_CBA!$B$3:$M$23,12,0),0),0)</f>
        <v>0</v>
      </c>
      <c r="L61" s="540">
        <f>IFERROR(IF(VLOOKUP(L$2,MODULY_CBA!$B$3:$N$23,13,0)&lt;=$D61,SUM(L$5:L$14)*VLOOKUP(L$2,MODULY_CBA!$B$3:$M$23,12,0),0),0)</f>
        <v>0</v>
      </c>
      <c r="M61" s="540">
        <f>IFERROR(IF(VLOOKUP(M$2,MODULY_CBA!$B$3:$N$23,13,0)&lt;=$D61,SUM(M$5:M$14)*VLOOKUP(M$2,MODULY_CBA!$B$3:$M$23,12,0),0),0)</f>
        <v>0</v>
      </c>
      <c r="N61" s="540">
        <f>IFERROR(IF(VLOOKUP(N$2,MODULY_CBA!$B$3:$N$23,13,0)&lt;=$D61,SUM(N$5:N$14)*VLOOKUP(N$2,MODULY_CBA!$B$3:$M$23,12,0),0),0)</f>
        <v>0</v>
      </c>
      <c r="O61" s="540">
        <f>IFERROR(IF(VLOOKUP(O$2,MODULY_CBA!$B$3:$N$23,13,0)&lt;=$D61,SUM(O$5:O$14)*VLOOKUP(O$2,MODULY_CBA!$B$3:$M$23,12,0),0),0)</f>
        <v>0</v>
      </c>
      <c r="P61" s="540">
        <f>IFERROR(IF(VLOOKUP(P$2,MODULY_CBA!$B$3:$N$23,13,0)&lt;=$D61,SUM(P$5:P$14)*VLOOKUP(P$2,MODULY_CBA!$B$3:$M$23,12,0),0),0)</f>
        <v>0</v>
      </c>
      <c r="Q61" s="540">
        <f>IFERROR(IF(VLOOKUP(Q$2,MODULY_CBA!$B$3:$N$23,13,0)&lt;=$D61,SUM(Q$5:Q$14)*VLOOKUP(Q$2,MODULY_CBA!$B$3:$M$23,12,0),0),0)</f>
        <v>0</v>
      </c>
      <c r="R61" s="540">
        <f>IFERROR(IF(VLOOKUP(R$2,MODULY_CBA!$B$3:$N$23,13,0)&lt;=$D61,SUM(R$5:R$14)*VLOOKUP(R$2,MODULY_CBA!$B$3:$M$23,12,0),0),0)</f>
        <v>0</v>
      </c>
      <c r="S61" s="540">
        <f>IFERROR(IF(VLOOKUP(S$2,MODULY_CBA!$B$3:$N$23,13,0)&lt;=$D61,SUM(S$5:S$14)*VLOOKUP(S$2,MODULY_CBA!$B$3:$M$23,12,0),0),0)</f>
        <v>0</v>
      </c>
      <c r="T61" s="540">
        <f>IFERROR(IF(VLOOKUP(T$2,MODULY_CBA!$B$3:$N$23,13,0)&lt;=$D61,SUM(T$5:T$14)*VLOOKUP(T$2,MODULY_CBA!$B$3:$M$23,12,0),0),0)</f>
        <v>0</v>
      </c>
      <c r="U61" s="540">
        <f>IFERROR(IF(VLOOKUP(U$2,MODULY_CBA!$B$3:$N$23,13,0)&lt;=$D61,SUM(U$5:U$14)*VLOOKUP(U$2,MODULY_CBA!$B$3:$M$23,12,0),0),0)</f>
        <v>0</v>
      </c>
      <c r="V61" s="540">
        <f>IFERROR(IF(VLOOKUP(V$2,MODULY_CBA!$B$3:$N$23,13,0)&lt;=$D61,SUM(V$5:V$14)*VLOOKUP(V$2,MODULY_CBA!$B$3:$M$23,12,0),0),0)</f>
        <v>0</v>
      </c>
      <c r="W61" s="540">
        <f>IFERROR(IF(VLOOKUP(W$2,MODULY_CBA!$B$3:$N$23,13,0)&lt;=$D61,SUM(W$5:W$14)*VLOOKUP(W$2,MODULY_CBA!$B$3:$M$23,12,0),0),0)</f>
        <v>0</v>
      </c>
      <c r="X61" s="540">
        <f>IFERROR(IF(VLOOKUP(X$2,MODULY_CBA!$B$3:$N$23,13,0)&lt;=$D61,SUM(X$5:X$14)*VLOOKUP(X$2,MODULY_CBA!$B$3:$M$23,12,0),0),0)</f>
        <v>0</v>
      </c>
      <c r="Y61" s="540">
        <f>IFERROR(IF(VLOOKUP(Y$2,MODULY_CBA!$B$3:$N$23,13,0)&lt;=$D61,SUM(Y$5:Y$14)*VLOOKUP(Y$2,MODULY_CBA!$B$3:$M$23,12,0),0),0)</f>
        <v>0</v>
      </c>
      <c r="Z61" s="540">
        <f>IFERROR(IF(VLOOKUP(Z$2,MODULY_CBA!$B$3:$N$23,13,0)&lt;=$D61,SUM(Z$5:Z$14)*VLOOKUP(Z$2,MODULY_CBA!$B$3:$M$23,12,0),0),0)</f>
        <v>0</v>
      </c>
    </row>
    <row r="62" spans="1:26" outlineLevel="1" x14ac:dyDescent="0.2">
      <c r="A62" s="884"/>
      <c r="B62" s="885"/>
      <c r="C62" s="885"/>
      <c r="D62" s="464">
        <v>7</v>
      </c>
      <c r="E62" s="68">
        <f t="shared" si="7"/>
        <v>0</v>
      </c>
      <c r="F62" s="540">
        <f>IFERROR(IF(VLOOKUP(F$2,MODULY_CBA!$B$3:$N$23,13,0)&lt;=$D62,SUM(F$5:F$14)*VLOOKUP(F$2,MODULY_CBA!$B$3:$M$23,12,0),0),0)</f>
        <v>0</v>
      </c>
      <c r="G62" s="540">
        <f>IFERROR(IF(VLOOKUP(G$2,MODULY_CBA!$B$3:$N$23,13,0)&lt;=$D62,SUM(G$5:G$14)*VLOOKUP(G$2,MODULY_CBA!$B$3:$M$23,12,0),0),0)</f>
        <v>0</v>
      </c>
      <c r="H62" s="540">
        <f>IFERROR(IF(VLOOKUP(H$2,MODULY_CBA!$B$3:$N$23,13,0)&lt;=$D62,SUM(H$5:H$14)*VLOOKUP(H$2,MODULY_CBA!$B$3:$M$23,12,0),0),0)</f>
        <v>0</v>
      </c>
      <c r="I62" s="540">
        <f>IFERROR(IF(VLOOKUP(I$2,MODULY_CBA!$B$3:$N$23,13,0)&lt;=$D62,SUM(I$5:I$14)*VLOOKUP(I$2,MODULY_CBA!$B$3:$M$23,12,0),0),0)</f>
        <v>0</v>
      </c>
      <c r="J62" s="540">
        <f>IFERROR(IF(VLOOKUP(J$2,MODULY_CBA!$B$3:$N$23,13,0)&lt;=$D62,SUM(J$5:J$14)*VLOOKUP(J$2,MODULY_CBA!$B$3:$M$23,12,0),0),0)</f>
        <v>0</v>
      </c>
      <c r="K62" s="540">
        <f>IFERROR(IF(VLOOKUP(K$2,MODULY_CBA!$B$3:$N$23,13,0)&lt;=$D62,SUM(K$5:K$14)*VLOOKUP(K$2,MODULY_CBA!$B$3:$M$23,12,0),0),0)</f>
        <v>0</v>
      </c>
      <c r="L62" s="540">
        <f>IFERROR(IF(VLOOKUP(L$2,MODULY_CBA!$B$3:$N$23,13,0)&lt;=$D62,SUM(L$5:L$14)*VLOOKUP(L$2,MODULY_CBA!$B$3:$M$23,12,0),0),0)</f>
        <v>0</v>
      </c>
      <c r="M62" s="540">
        <f>IFERROR(IF(VLOOKUP(M$2,MODULY_CBA!$B$3:$N$23,13,0)&lt;=$D62,SUM(M$5:M$14)*VLOOKUP(M$2,MODULY_CBA!$B$3:$M$23,12,0),0),0)</f>
        <v>0</v>
      </c>
      <c r="N62" s="540">
        <f>IFERROR(IF(VLOOKUP(N$2,MODULY_CBA!$B$3:$N$23,13,0)&lt;=$D62,SUM(N$5:N$14)*VLOOKUP(N$2,MODULY_CBA!$B$3:$M$23,12,0),0),0)</f>
        <v>0</v>
      </c>
      <c r="O62" s="540">
        <f>IFERROR(IF(VLOOKUP(O$2,MODULY_CBA!$B$3:$N$23,13,0)&lt;=$D62,SUM(O$5:O$14)*VLOOKUP(O$2,MODULY_CBA!$B$3:$M$23,12,0),0),0)</f>
        <v>0</v>
      </c>
      <c r="P62" s="540">
        <f>IFERROR(IF(VLOOKUP(P$2,MODULY_CBA!$B$3:$N$23,13,0)&lt;=$D62,SUM(P$5:P$14)*VLOOKUP(P$2,MODULY_CBA!$B$3:$M$23,12,0),0),0)</f>
        <v>0</v>
      </c>
      <c r="Q62" s="540">
        <f>IFERROR(IF(VLOOKUP(Q$2,MODULY_CBA!$B$3:$N$23,13,0)&lt;=$D62,SUM(Q$5:Q$14)*VLOOKUP(Q$2,MODULY_CBA!$B$3:$M$23,12,0),0),0)</f>
        <v>0</v>
      </c>
      <c r="R62" s="540">
        <f>IFERROR(IF(VLOOKUP(R$2,MODULY_CBA!$B$3:$N$23,13,0)&lt;=$D62,SUM(R$5:R$14)*VLOOKUP(R$2,MODULY_CBA!$B$3:$M$23,12,0),0),0)</f>
        <v>0</v>
      </c>
      <c r="S62" s="540">
        <f>IFERROR(IF(VLOOKUP(S$2,MODULY_CBA!$B$3:$N$23,13,0)&lt;=$D62,SUM(S$5:S$14)*VLOOKUP(S$2,MODULY_CBA!$B$3:$M$23,12,0),0),0)</f>
        <v>0</v>
      </c>
      <c r="T62" s="540">
        <f>IFERROR(IF(VLOOKUP(T$2,MODULY_CBA!$B$3:$N$23,13,0)&lt;=$D62,SUM(T$5:T$14)*VLOOKUP(T$2,MODULY_CBA!$B$3:$M$23,12,0),0),0)</f>
        <v>0</v>
      </c>
      <c r="U62" s="540">
        <f>IFERROR(IF(VLOOKUP(U$2,MODULY_CBA!$B$3:$N$23,13,0)&lt;=$D62,SUM(U$5:U$14)*VLOOKUP(U$2,MODULY_CBA!$B$3:$M$23,12,0),0),0)</f>
        <v>0</v>
      </c>
      <c r="V62" s="540">
        <f>IFERROR(IF(VLOOKUP(V$2,MODULY_CBA!$B$3:$N$23,13,0)&lt;=$D62,SUM(V$5:V$14)*VLOOKUP(V$2,MODULY_CBA!$B$3:$M$23,12,0),0),0)</f>
        <v>0</v>
      </c>
      <c r="W62" s="540">
        <f>IFERROR(IF(VLOOKUP(W$2,MODULY_CBA!$B$3:$N$23,13,0)&lt;=$D62,SUM(W$5:W$14)*VLOOKUP(W$2,MODULY_CBA!$B$3:$M$23,12,0),0),0)</f>
        <v>0</v>
      </c>
      <c r="X62" s="540">
        <f>IFERROR(IF(VLOOKUP(X$2,MODULY_CBA!$B$3:$N$23,13,0)&lt;=$D62,SUM(X$5:X$14)*VLOOKUP(X$2,MODULY_CBA!$B$3:$M$23,12,0),0),0)</f>
        <v>0</v>
      </c>
      <c r="Y62" s="540">
        <f>IFERROR(IF(VLOOKUP(Y$2,MODULY_CBA!$B$3:$N$23,13,0)&lt;=$D62,SUM(Y$5:Y$14)*VLOOKUP(Y$2,MODULY_CBA!$B$3:$M$23,12,0),0),0)</f>
        <v>0</v>
      </c>
      <c r="Z62" s="540">
        <f>IFERROR(IF(VLOOKUP(Z$2,MODULY_CBA!$B$3:$N$23,13,0)&lt;=$D62,SUM(Z$5:Z$14)*VLOOKUP(Z$2,MODULY_CBA!$B$3:$M$23,12,0),0),0)</f>
        <v>0</v>
      </c>
    </row>
    <row r="63" spans="1:26" outlineLevel="1" x14ac:dyDescent="0.2">
      <c r="A63" s="884"/>
      <c r="B63" s="885"/>
      <c r="C63" s="885"/>
      <c r="D63" s="464">
        <v>8</v>
      </c>
      <c r="E63" s="68">
        <f t="shared" si="7"/>
        <v>0</v>
      </c>
      <c r="F63" s="540">
        <f>IFERROR(IF(VLOOKUP(F$2,MODULY_CBA!$B$3:$N$23,13,0)&lt;=$D63,SUM(F$5:F$14)*VLOOKUP(F$2,MODULY_CBA!$B$3:$M$23,12,0),0),0)</f>
        <v>0</v>
      </c>
      <c r="G63" s="540">
        <f>IFERROR(IF(VLOOKUP(G$2,MODULY_CBA!$B$3:$N$23,13,0)&lt;=$D63,SUM(G$5:G$14)*VLOOKUP(G$2,MODULY_CBA!$B$3:$M$23,12,0),0),0)</f>
        <v>0</v>
      </c>
      <c r="H63" s="540">
        <f>IFERROR(IF(VLOOKUP(H$2,MODULY_CBA!$B$3:$N$23,13,0)&lt;=$D63,SUM(H$5:H$14)*VLOOKUP(H$2,MODULY_CBA!$B$3:$M$23,12,0),0),0)</f>
        <v>0</v>
      </c>
      <c r="I63" s="540">
        <f>IFERROR(IF(VLOOKUP(I$2,MODULY_CBA!$B$3:$N$23,13,0)&lt;=$D63,SUM(I$5:I$14)*VLOOKUP(I$2,MODULY_CBA!$B$3:$M$23,12,0),0),0)</f>
        <v>0</v>
      </c>
      <c r="J63" s="540">
        <f>IFERROR(IF(VLOOKUP(J$2,MODULY_CBA!$B$3:$N$23,13,0)&lt;=$D63,SUM(J$5:J$14)*VLOOKUP(J$2,MODULY_CBA!$B$3:$M$23,12,0),0),0)</f>
        <v>0</v>
      </c>
      <c r="K63" s="540">
        <f>IFERROR(IF(VLOOKUP(K$2,MODULY_CBA!$B$3:$N$23,13,0)&lt;=$D63,SUM(K$5:K$14)*VLOOKUP(K$2,MODULY_CBA!$B$3:$M$23,12,0),0),0)</f>
        <v>0</v>
      </c>
      <c r="L63" s="540">
        <f>IFERROR(IF(VLOOKUP(L$2,MODULY_CBA!$B$3:$N$23,13,0)&lt;=$D63,SUM(L$5:L$14)*VLOOKUP(L$2,MODULY_CBA!$B$3:$M$23,12,0),0),0)</f>
        <v>0</v>
      </c>
      <c r="M63" s="540">
        <f>IFERROR(IF(VLOOKUP(M$2,MODULY_CBA!$B$3:$N$23,13,0)&lt;=$D63,SUM(M$5:M$14)*VLOOKUP(M$2,MODULY_CBA!$B$3:$M$23,12,0),0),0)</f>
        <v>0</v>
      </c>
      <c r="N63" s="540">
        <f>IFERROR(IF(VLOOKUP(N$2,MODULY_CBA!$B$3:$N$23,13,0)&lt;=$D63,SUM(N$5:N$14)*VLOOKUP(N$2,MODULY_CBA!$B$3:$M$23,12,0),0),0)</f>
        <v>0</v>
      </c>
      <c r="O63" s="540">
        <f>IFERROR(IF(VLOOKUP(O$2,MODULY_CBA!$B$3:$N$23,13,0)&lt;=$D63,SUM(O$5:O$14)*VLOOKUP(O$2,MODULY_CBA!$B$3:$M$23,12,0),0),0)</f>
        <v>0</v>
      </c>
      <c r="P63" s="540">
        <f>IFERROR(IF(VLOOKUP(P$2,MODULY_CBA!$B$3:$N$23,13,0)&lt;=$D63,SUM(P$5:P$14)*VLOOKUP(P$2,MODULY_CBA!$B$3:$M$23,12,0),0),0)</f>
        <v>0</v>
      </c>
      <c r="Q63" s="540">
        <f>IFERROR(IF(VLOOKUP(Q$2,MODULY_CBA!$B$3:$N$23,13,0)&lt;=$D63,SUM(Q$5:Q$14)*VLOOKUP(Q$2,MODULY_CBA!$B$3:$M$23,12,0),0),0)</f>
        <v>0</v>
      </c>
      <c r="R63" s="540">
        <f>IFERROR(IF(VLOOKUP(R$2,MODULY_CBA!$B$3:$N$23,13,0)&lt;=$D63,SUM(R$5:R$14)*VLOOKUP(R$2,MODULY_CBA!$B$3:$M$23,12,0),0),0)</f>
        <v>0</v>
      </c>
      <c r="S63" s="540">
        <f>IFERROR(IF(VLOOKUP(S$2,MODULY_CBA!$B$3:$N$23,13,0)&lt;=$D63,SUM(S$5:S$14)*VLOOKUP(S$2,MODULY_CBA!$B$3:$M$23,12,0),0),0)</f>
        <v>0</v>
      </c>
      <c r="T63" s="540">
        <f>IFERROR(IF(VLOOKUP(T$2,MODULY_CBA!$B$3:$N$23,13,0)&lt;=$D63,SUM(T$5:T$14)*VLOOKUP(T$2,MODULY_CBA!$B$3:$M$23,12,0),0),0)</f>
        <v>0</v>
      </c>
      <c r="U63" s="540">
        <f>IFERROR(IF(VLOOKUP(U$2,MODULY_CBA!$B$3:$N$23,13,0)&lt;=$D63,SUM(U$5:U$14)*VLOOKUP(U$2,MODULY_CBA!$B$3:$M$23,12,0),0),0)</f>
        <v>0</v>
      </c>
      <c r="V63" s="540">
        <f>IFERROR(IF(VLOOKUP(V$2,MODULY_CBA!$B$3:$N$23,13,0)&lt;=$D63,SUM(V$5:V$14)*VLOOKUP(V$2,MODULY_CBA!$B$3:$M$23,12,0),0),0)</f>
        <v>0</v>
      </c>
      <c r="W63" s="540">
        <f>IFERROR(IF(VLOOKUP(W$2,MODULY_CBA!$B$3:$N$23,13,0)&lt;=$D63,SUM(W$5:W$14)*VLOOKUP(W$2,MODULY_CBA!$B$3:$M$23,12,0),0),0)</f>
        <v>0</v>
      </c>
      <c r="X63" s="540">
        <f>IFERROR(IF(VLOOKUP(X$2,MODULY_CBA!$B$3:$N$23,13,0)&lt;=$D63,SUM(X$5:X$14)*VLOOKUP(X$2,MODULY_CBA!$B$3:$M$23,12,0),0),0)</f>
        <v>0</v>
      </c>
      <c r="Y63" s="540">
        <f>IFERROR(IF(VLOOKUP(Y$2,MODULY_CBA!$B$3:$N$23,13,0)&lt;=$D63,SUM(Y$5:Y$14)*VLOOKUP(Y$2,MODULY_CBA!$B$3:$M$23,12,0),0),0)</f>
        <v>0</v>
      </c>
      <c r="Z63" s="540">
        <f>IFERROR(IF(VLOOKUP(Z$2,MODULY_CBA!$B$3:$N$23,13,0)&lt;=$D63,SUM(Z$5:Z$14)*VLOOKUP(Z$2,MODULY_CBA!$B$3:$M$23,12,0),0),0)</f>
        <v>0</v>
      </c>
    </row>
    <row r="64" spans="1:26" outlineLevel="1" x14ac:dyDescent="0.2">
      <c r="A64" s="884"/>
      <c r="B64" s="885"/>
      <c r="C64" s="885"/>
      <c r="D64" s="464">
        <v>9</v>
      </c>
      <c r="E64" s="68">
        <f t="shared" si="7"/>
        <v>0</v>
      </c>
      <c r="F64" s="540">
        <f>IFERROR(IF(VLOOKUP(F$2,MODULY_CBA!$B$3:$N$23,13,0)&lt;=$D64,SUM(F$5:F$14)*VLOOKUP(F$2,MODULY_CBA!$B$3:$M$23,12,0),0),0)</f>
        <v>0</v>
      </c>
      <c r="G64" s="540">
        <f>IFERROR(IF(VLOOKUP(G$2,MODULY_CBA!$B$3:$N$23,13,0)&lt;=$D64,SUM(G$5:G$14)*VLOOKUP(G$2,MODULY_CBA!$B$3:$M$23,12,0),0),0)</f>
        <v>0</v>
      </c>
      <c r="H64" s="540">
        <f>IFERROR(IF(VLOOKUP(H$2,MODULY_CBA!$B$3:$N$23,13,0)&lt;=$D64,SUM(H$5:H$14)*VLOOKUP(H$2,MODULY_CBA!$B$3:$M$23,12,0),0),0)</f>
        <v>0</v>
      </c>
      <c r="I64" s="540">
        <f>IFERROR(IF(VLOOKUP(I$2,MODULY_CBA!$B$3:$N$23,13,0)&lt;=$D64,SUM(I$5:I$14)*VLOOKUP(I$2,MODULY_CBA!$B$3:$M$23,12,0),0),0)</f>
        <v>0</v>
      </c>
      <c r="J64" s="540">
        <f>IFERROR(IF(VLOOKUP(J$2,MODULY_CBA!$B$3:$N$23,13,0)&lt;=$D64,SUM(J$5:J$14)*VLOOKUP(J$2,MODULY_CBA!$B$3:$M$23,12,0),0),0)</f>
        <v>0</v>
      </c>
      <c r="K64" s="540">
        <f>IFERROR(IF(VLOOKUP(K$2,MODULY_CBA!$B$3:$N$23,13,0)&lt;=$D64,SUM(K$5:K$14)*VLOOKUP(K$2,MODULY_CBA!$B$3:$M$23,12,0),0),0)</f>
        <v>0</v>
      </c>
      <c r="L64" s="540">
        <f>IFERROR(IF(VLOOKUP(L$2,MODULY_CBA!$B$3:$N$23,13,0)&lt;=$D64,SUM(L$5:L$14)*VLOOKUP(L$2,MODULY_CBA!$B$3:$M$23,12,0),0),0)</f>
        <v>0</v>
      </c>
      <c r="M64" s="540">
        <f>IFERROR(IF(VLOOKUP(M$2,MODULY_CBA!$B$3:$N$23,13,0)&lt;=$D64,SUM(M$5:M$14)*VLOOKUP(M$2,MODULY_CBA!$B$3:$M$23,12,0),0),0)</f>
        <v>0</v>
      </c>
      <c r="N64" s="540">
        <f>IFERROR(IF(VLOOKUP(N$2,MODULY_CBA!$B$3:$N$23,13,0)&lt;=$D64,SUM(N$5:N$14)*VLOOKUP(N$2,MODULY_CBA!$B$3:$M$23,12,0),0),0)</f>
        <v>0</v>
      </c>
      <c r="O64" s="540">
        <f>IFERROR(IF(VLOOKUP(O$2,MODULY_CBA!$B$3:$N$23,13,0)&lt;=$D64,SUM(O$5:O$14)*VLOOKUP(O$2,MODULY_CBA!$B$3:$M$23,12,0),0),0)</f>
        <v>0</v>
      </c>
      <c r="P64" s="540">
        <f>IFERROR(IF(VLOOKUP(P$2,MODULY_CBA!$B$3:$N$23,13,0)&lt;=$D64,SUM(P$5:P$14)*VLOOKUP(P$2,MODULY_CBA!$B$3:$M$23,12,0),0),0)</f>
        <v>0</v>
      </c>
      <c r="Q64" s="540">
        <f>IFERROR(IF(VLOOKUP(Q$2,MODULY_CBA!$B$3:$N$23,13,0)&lt;=$D64,SUM(Q$5:Q$14)*VLOOKUP(Q$2,MODULY_CBA!$B$3:$M$23,12,0),0),0)</f>
        <v>0</v>
      </c>
      <c r="R64" s="540">
        <f>IFERROR(IF(VLOOKUP(R$2,MODULY_CBA!$B$3:$N$23,13,0)&lt;=$D64,SUM(R$5:R$14)*VLOOKUP(R$2,MODULY_CBA!$B$3:$M$23,12,0),0),0)</f>
        <v>0</v>
      </c>
      <c r="S64" s="540">
        <f>IFERROR(IF(VLOOKUP(S$2,MODULY_CBA!$B$3:$N$23,13,0)&lt;=$D64,SUM(S$5:S$14)*VLOOKUP(S$2,MODULY_CBA!$B$3:$M$23,12,0),0),0)</f>
        <v>0</v>
      </c>
      <c r="T64" s="540">
        <f>IFERROR(IF(VLOOKUP(T$2,MODULY_CBA!$B$3:$N$23,13,0)&lt;=$D64,SUM(T$5:T$14)*VLOOKUP(T$2,MODULY_CBA!$B$3:$M$23,12,0),0),0)</f>
        <v>0</v>
      </c>
      <c r="U64" s="540">
        <f>IFERROR(IF(VLOOKUP(U$2,MODULY_CBA!$B$3:$N$23,13,0)&lt;=$D64,SUM(U$5:U$14)*VLOOKUP(U$2,MODULY_CBA!$B$3:$M$23,12,0),0),0)</f>
        <v>0</v>
      </c>
      <c r="V64" s="540">
        <f>IFERROR(IF(VLOOKUP(V$2,MODULY_CBA!$B$3:$N$23,13,0)&lt;=$D64,SUM(V$5:V$14)*VLOOKUP(V$2,MODULY_CBA!$B$3:$M$23,12,0),0),0)</f>
        <v>0</v>
      </c>
      <c r="W64" s="540">
        <f>IFERROR(IF(VLOOKUP(W$2,MODULY_CBA!$B$3:$N$23,13,0)&lt;=$D64,SUM(W$5:W$14)*VLOOKUP(W$2,MODULY_CBA!$B$3:$M$23,12,0),0),0)</f>
        <v>0</v>
      </c>
      <c r="X64" s="540">
        <f>IFERROR(IF(VLOOKUP(X$2,MODULY_CBA!$B$3:$N$23,13,0)&lt;=$D64,SUM(X$5:X$14)*VLOOKUP(X$2,MODULY_CBA!$B$3:$M$23,12,0),0),0)</f>
        <v>0</v>
      </c>
      <c r="Y64" s="540">
        <f>IFERROR(IF(VLOOKUP(Y$2,MODULY_CBA!$B$3:$N$23,13,0)&lt;=$D64,SUM(Y$5:Y$14)*VLOOKUP(Y$2,MODULY_CBA!$B$3:$M$23,12,0),0),0)</f>
        <v>0</v>
      </c>
      <c r="Z64" s="540">
        <f>IFERROR(IF(VLOOKUP(Z$2,MODULY_CBA!$B$3:$N$23,13,0)&lt;=$D64,SUM(Z$5:Z$14)*VLOOKUP(Z$2,MODULY_CBA!$B$3:$M$23,12,0),0),0)</f>
        <v>0</v>
      </c>
    </row>
    <row r="65" spans="1:28" ht="16" outlineLevel="1" thickBot="1" x14ac:dyDescent="0.25">
      <c r="A65" s="884"/>
      <c r="B65" s="885"/>
      <c r="C65" s="885"/>
      <c r="D65" s="465">
        <v>10</v>
      </c>
      <c r="E65" s="69">
        <f t="shared" si="7"/>
        <v>0</v>
      </c>
      <c r="F65" s="540">
        <f>IFERROR(IF(VLOOKUP(F$2,MODULY_CBA!$B$3:$N$23,13,0)&lt;=$D65,SUM(F$5:F$14)*VLOOKUP(F$2,MODULY_CBA!$B$3:$M$23,12,0),0),0)</f>
        <v>0</v>
      </c>
      <c r="G65" s="540">
        <f>IFERROR(IF(VLOOKUP(G$2,MODULY_CBA!$B$3:$N$23,13,0)&lt;=$D65,SUM(G$5:G$14)*VLOOKUP(G$2,MODULY_CBA!$B$3:$M$23,12,0),0),0)</f>
        <v>0</v>
      </c>
      <c r="H65" s="540">
        <f>IFERROR(IF(VLOOKUP(H$2,MODULY_CBA!$B$3:$N$23,13,0)&lt;=$D65,SUM(H$5:H$14)*VLOOKUP(H$2,MODULY_CBA!$B$3:$M$23,12,0),0),0)</f>
        <v>0</v>
      </c>
      <c r="I65" s="540">
        <f>IFERROR(IF(VLOOKUP(I$2,MODULY_CBA!$B$3:$N$23,13,0)&lt;=$D65,SUM(I$5:I$14)*VLOOKUP(I$2,MODULY_CBA!$B$3:$M$23,12,0),0),0)</f>
        <v>0</v>
      </c>
      <c r="J65" s="540">
        <f>IFERROR(IF(VLOOKUP(J$2,MODULY_CBA!$B$3:$N$23,13,0)&lt;=$D65,SUM(J$5:J$14)*VLOOKUP(J$2,MODULY_CBA!$B$3:$M$23,12,0),0),0)</f>
        <v>0</v>
      </c>
      <c r="K65" s="540">
        <f>IFERROR(IF(VLOOKUP(K$2,MODULY_CBA!$B$3:$N$23,13,0)&lt;=$D65,SUM(K$5:K$14)*VLOOKUP(K$2,MODULY_CBA!$B$3:$M$23,12,0),0),0)</f>
        <v>0</v>
      </c>
      <c r="L65" s="540">
        <f>IFERROR(IF(VLOOKUP(L$2,MODULY_CBA!$B$3:$N$23,13,0)&lt;=$D65,SUM(L$5:L$14)*VLOOKUP(L$2,MODULY_CBA!$B$3:$M$23,12,0),0),0)</f>
        <v>0</v>
      </c>
      <c r="M65" s="540">
        <f>IFERROR(IF(VLOOKUP(M$2,MODULY_CBA!$B$3:$N$23,13,0)&lt;=$D65,SUM(M$5:M$14)*VLOOKUP(M$2,MODULY_CBA!$B$3:$M$23,12,0),0),0)</f>
        <v>0</v>
      </c>
      <c r="N65" s="540">
        <f>IFERROR(IF(VLOOKUP(N$2,MODULY_CBA!$B$3:$N$23,13,0)&lt;=$D65,SUM(N$5:N$14)*VLOOKUP(N$2,MODULY_CBA!$B$3:$M$23,12,0),0),0)</f>
        <v>0</v>
      </c>
      <c r="O65" s="540">
        <f>IFERROR(IF(VLOOKUP(O$2,MODULY_CBA!$B$3:$N$23,13,0)&lt;=$D65,SUM(O$5:O$14)*VLOOKUP(O$2,MODULY_CBA!$B$3:$M$23,12,0),0),0)</f>
        <v>0</v>
      </c>
      <c r="P65" s="540">
        <f>IFERROR(IF(VLOOKUP(P$2,MODULY_CBA!$B$3:$N$23,13,0)&lt;=$D65,SUM(P$5:P$14)*VLOOKUP(P$2,MODULY_CBA!$B$3:$M$23,12,0),0),0)</f>
        <v>0</v>
      </c>
      <c r="Q65" s="540">
        <f>IFERROR(IF(VLOOKUP(Q$2,MODULY_CBA!$B$3:$N$23,13,0)&lt;=$D65,SUM(Q$5:Q$14)*VLOOKUP(Q$2,MODULY_CBA!$B$3:$M$23,12,0),0),0)</f>
        <v>0</v>
      </c>
      <c r="R65" s="540">
        <f>IFERROR(IF(VLOOKUP(R$2,MODULY_CBA!$B$3:$N$23,13,0)&lt;=$D65,SUM(R$5:R$14)*VLOOKUP(R$2,MODULY_CBA!$B$3:$M$23,12,0),0),0)</f>
        <v>0</v>
      </c>
      <c r="S65" s="540">
        <f>IFERROR(IF(VLOOKUP(S$2,MODULY_CBA!$B$3:$N$23,13,0)&lt;=$D65,SUM(S$5:S$14)*VLOOKUP(S$2,MODULY_CBA!$B$3:$M$23,12,0),0),0)</f>
        <v>0</v>
      </c>
      <c r="T65" s="540">
        <f>IFERROR(IF(VLOOKUP(T$2,MODULY_CBA!$B$3:$N$23,13,0)&lt;=$D65,SUM(T$5:T$14)*VLOOKUP(T$2,MODULY_CBA!$B$3:$M$23,12,0),0),0)</f>
        <v>0</v>
      </c>
      <c r="U65" s="540">
        <f>IFERROR(IF(VLOOKUP(U$2,MODULY_CBA!$B$3:$N$23,13,0)&lt;=$D65,SUM(U$5:U$14)*VLOOKUP(U$2,MODULY_CBA!$B$3:$M$23,12,0),0),0)</f>
        <v>0</v>
      </c>
      <c r="V65" s="540">
        <f>IFERROR(IF(VLOOKUP(V$2,MODULY_CBA!$B$3:$N$23,13,0)&lt;=$D65,SUM(V$5:V$14)*VLOOKUP(V$2,MODULY_CBA!$B$3:$M$23,12,0),0),0)</f>
        <v>0</v>
      </c>
      <c r="W65" s="540">
        <f>IFERROR(IF(VLOOKUP(W$2,MODULY_CBA!$B$3:$N$23,13,0)&lt;=$D65,SUM(W$5:W$14)*VLOOKUP(W$2,MODULY_CBA!$B$3:$M$23,12,0),0),0)</f>
        <v>0</v>
      </c>
      <c r="X65" s="540">
        <f>IFERROR(IF(VLOOKUP(X$2,MODULY_CBA!$B$3:$N$23,13,0)&lt;=$D65,SUM(X$5:X$14)*VLOOKUP(X$2,MODULY_CBA!$B$3:$M$23,12,0),0),0)</f>
        <v>0</v>
      </c>
      <c r="Y65" s="540">
        <f>IFERROR(IF(VLOOKUP(Y$2,MODULY_CBA!$B$3:$N$23,13,0)&lt;=$D65,SUM(Y$5:Y$14)*VLOOKUP(Y$2,MODULY_CBA!$B$3:$M$23,12,0),0),0)</f>
        <v>0</v>
      </c>
      <c r="Z65" s="540">
        <f>IFERROR(IF(VLOOKUP(Z$2,MODULY_CBA!$B$3:$N$23,13,0)&lt;=$D65,SUM(Z$5:Z$14)*VLOOKUP(Z$2,MODULY_CBA!$B$3:$M$23,12,0),0),0)</f>
        <v>0</v>
      </c>
    </row>
    <row r="66" spans="1:28" outlineLevel="1" x14ac:dyDescent="0.2">
      <c r="A66" s="884" t="s">
        <v>1171</v>
      </c>
      <c r="B66" s="884" t="s">
        <v>1172</v>
      </c>
      <c r="C66" s="885">
        <v>718002</v>
      </c>
      <c r="D66" s="463">
        <v>1</v>
      </c>
      <c r="E66" s="68">
        <f t="shared" si="7"/>
        <v>0</v>
      </c>
      <c r="F66" s="542">
        <v>0</v>
      </c>
      <c r="G66" s="542">
        <v>0</v>
      </c>
      <c r="H66" s="542">
        <v>0</v>
      </c>
      <c r="I66" s="542">
        <v>0</v>
      </c>
      <c r="J66" s="542">
        <v>0</v>
      </c>
      <c r="K66" s="542">
        <v>0</v>
      </c>
      <c r="L66" s="542">
        <v>0</v>
      </c>
      <c r="M66" s="542">
        <v>0</v>
      </c>
      <c r="N66" s="542">
        <v>0</v>
      </c>
      <c r="O66" s="542">
        <v>0</v>
      </c>
      <c r="P66" s="542">
        <v>0</v>
      </c>
      <c r="Q66" s="542">
        <v>0</v>
      </c>
      <c r="R66" s="542">
        <v>0</v>
      </c>
      <c r="S66" s="542">
        <v>0</v>
      </c>
      <c r="T66" s="542">
        <v>0</v>
      </c>
      <c r="U66" s="542">
        <v>0</v>
      </c>
      <c r="V66" s="542">
        <v>0</v>
      </c>
      <c r="W66" s="542">
        <v>0</v>
      </c>
      <c r="X66" s="542">
        <v>0</v>
      </c>
      <c r="Y66" s="542">
        <v>0</v>
      </c>
      <c r="Z66" s="542">
        <v>0</v>
      </c>
    </row>
    <row r="67" spans="1:28" outlineLevel="1" x14ac:dyDescent="0.2">
      <c r="A67" s="884"/>
      <c r="B67" s="885"/>
      <c r="C67" s="885"/>
      <c r="D67" s="464">
        <v>2</v>
      </c>
      <c r="E67" s="68">
        <f t="shared" si="7"/>
        <v>0</v>
      </c>
      <c r="F67" s="543">
        <v>0</v>
      </c>
      <c r="G67" s="543">
        <v>0</v>
      </c>
      <c r="H67" s="543">
        <v>0</v>
      </c>
      <c r="I67" s="543">
        <v>0</v>
      </c>
      <c r="J67" s="543">
        <v>0</v>
      </c>
      <c r="K67" s="543">
        <v>0</v>
      </c>
      <c r="L67" s="543">
        <v>0</v>
      </c>
      <c r="M67" s="543">
        <v>0</v>
      </c>
      <c r="N67" s="543">
        <v>0</v>
      </c>
      <c r="O67" s="543">
        <v>0</v>
      </c>
      <c r="P67" s="543">
        <v>0</v>
      </c>
      <c r="Q67" s="543">
        <v>0</v>
      </c>
      <c r="R67" s="543">
        <v>0</v>
      </c>
      <c r="S67" s="543">
        <v>0</v>
      </c>
      <c r="T67" s="543">
        <v>0</v>
      </c>
      <c r="U67" s="543">
        <v>0</v>
      </c>
      <c r="V67" s="543">
        <v>0</v>
      </c>
      <c r="W67" s="543">
        <v>0</v>
      </c>
      <c r="X67" s="543">
        <v>0</v>
      </c>
      <c r="Y67" s="543">
        <v>0</v>
      </c>
      <c r="Z67" s="543">
        <v>0</v>
      </c>
    </row>
    <row r="68" spans="1:28" outlineLevel="1" x14ac:dyDescent="0.2">
      <c r="A68" s="884"/>
      <c r="B68" s="885"/>
      <c r="C68" s="885"/>
      <c r="D68" s="464">
        <v>3</v>
      </c>
      <c r="E68" s="68">
        <f t="shared" si="7"/>
        <v>0</v>
      </c>
      <c r="F68" s="543">
        <v>0</v>
      </c>
      <c r="G68" s="543">
        <v>0</v>
      </c>
      <c r="H68" s="543">
        <v>0</v>
      </c>
      <c r="I68" s="543">
        <v>0</v>
      </c>
      <c r="J68" s="543">
        <v>0</v>
      </c>
      <c r="K68" s="543">
        <v>0</v>
      </c>
      <c r="L68" s="543">
        <v>0</v>
      </c>
      <c r="M68" s="543">
        <v>0</v>
      </c>
      <c r="N68" s="543">
        <v>0</v>
      </c>
      <c r="O68" s="543">
        <v>0</v>
      </c>
      <c r="P68" s="543">
        <v>0</v>
      </c>
      <c r="Q68" s="543">
        <v>0</v>
      </c>
      <c r="R68" s="543">
        <v>0</v>
      </c>
      <c r="S68" s="543">
        <v>0</v>
      </c>
      <c r="T68" s="543">
        <v>0</v>
      </c>
      <c r="U68" s="543">
        <v>0</v>
      </c>
      <c r="V68" s="543">
        <v>0</v>
      </c>
      <c r="W68" s="543">
        <v>0</v>
      </c>
      <c r="X68" s="543">
        <v>0</v>
      </c>
      <c r="Y68" s="543">
        <v>0</v>
      </c>
      <c r="Z68" s="543">
        <v>0</v>
      </c>
    </row>
    <row r="69" spans="1:28" outlineLevel="1" x14ac:dyDescent="0.2">
      <c r="A69" s="884"/>
      <c r="B69" s="885"/>
      <c r="C69" s="885"/>
      <c r="D69" s="464">
        <v>4</v>
      </c>
      <c r="E69" s="68">
        <f t="shared" si="7"/>
        <v>0</v>
      </c>
      <c r="F69" s="543">
        <v>0</v>
      </c>
      <c r="G69" s="543">
        <v>0</v>
      </c>
      <c r="H69" s="543">
        <v>0</v>
      </c>
      <c r="I69" s="543">
        <v>0</v>
      </c>
      <c r="J69" s="543">
        <v>0</v>
      </c>
      <c r="K69" s="543">
        <v>0</v>
      </c>
      <c r="L69" s="543">
        <v>0</v>
      </c>
      <c r="M69" s="543">
        <v>0</v>
      </c>
      <c r="N69" s="543">
        <v>0</v>
      </c>
      <c r="O69" s="543">
        <v>0</v>
      </c>
      <c r="P69" s="543">
        <v>0</v>
      </c>
      <c r="Q69" s="543">
        <v>0</v>
      </c>
      <c r="R69" s="543">
        <v>0</v>
      </c>
      <c r="S69" s="543">
        <v>0</v>
      </c>
      <c r="T69" s="543">
        <v>0</v>
      </c>
      <c r="U69" s="543">
        <v>0</v>
      </c>
      <c r="V69" s="543">
        <v>0</v>
      </c>
      <c r="W69" s="543">
        <v>0</v>
      </c>
      <c r="X69" s="543">
        <v>0</v>
      </c>
      <c r="Y69" s="543">
        <v>0</v>
      </c>
      <c r="Z69" s="543">
        <v>0</v>
      </c>
    </row>
    <row r="70" spans="1:28" outlineLevel="1" x14ac:dyDescent="0.2">
      <c r="A70" s="884"/>
      <c r="B70" s="885"/>
      <c r="C70" s="885"/>
      <c r="D70" s="464">
        <v>5</v>
      </c>
      <c r="E70" s="68">
        <f t="shared" si="7"/>
        <v>0</v>
      </c>
      <c r="F70" s="543">
        <v>0</v>
      </c>
      <c r="G70" s="543">
        <v>0</v>
      </c>
      <c r="H70" s="543">
        <v>0</v>
      </c>
      <c r="I70" s="543">
        <v>0</v>
      </c>
      <c r="J70" s="543">
        <v>0</v>
      </c>
      <c r="K70" s="543">
        <v>0</v>
      </c>
      <c r="L70" s="543">
        <v>0</v>
      </c>
      <c r="M70" s="543">
        <v>0</v>
      </c>
      <c r="N70" s="543">
        <v>0</v>
      </c>
      <c r="O70" s="543">
        <v>0</v>
      </c>
      <c r="P70" s="543">
        <v>0</v>
      </c>
      <c r="Q70" s="543">
        <v>0</v>
      </c>
      <c r="R70" s="543">
        <v>0</v>
      </c>
      <c r="S70" s="543">
        <v>0</v>
      </c>
      <c r="T70" s="543">
        <v>0</v>
      </c>
      <c r="U70" s="543">
        <v>0</v>
      </c>
      <c r="V70" s="543">
        <v>0</v>
      </c>
      <c r="W70" s="543">
        <v>0</v>
      </c>
      <c r="X70" s="543">
        <v>0</v>
      </c>
      <c r="Y70" s="543">
        <v>0</v>
      </c>
      <c r="Z70" s="543">
        <v>0</v>
      </c>
    </row>
    <row r="71" spans="1:28" outlineLevel="1" x14ac:dyDescent="0.2">
      <c r="A71" s="884"/>
      <c r="B71" s="885"/>
      <c r="C71" s="885"/>
      <c r="D71" s="464">
        <v>6</v>
      </c>
      <c r="E71" s="68">
        <f t="shared" si="7"/>
        <v>0</v>
      </c>
      <c r="F71" s="543">
        <v>0</v>
      </c>
      <c r="G71" s="543">
        <v>0</v>
      </c>
      <c r="H71" s="543">
        <v>0</v>
      </c>
      <c r="I71" s="543">
        <v>0</v>
      </c>
      <c r="J71" s="543">
        <v>0</v>
      </c>
      <c r="K71" s="543">
        <v>0</v>
      </c>
      <c r="L71" s="543">
        <v>0</v>
      </c>
      <c r="M71" s="543">
        <v>0</v>
      </c>
      <c r="N71" s="543">
        <v>0</v>
      </c>
      <c r="O71" s="543">
        <v>0</v>
      </c>
      <c r="P71" s="543">
        <v>0</v>
      </c>
      <c r="Q71" s="543">
        <v>0</v>
      </c>
      <c r="R71" s="543">
        <v>0</v>
      </c>
      <c r="S71" s="543">
        <v>0</v>
      </c>
      <c r="T71" s="543">
        <v>0</v>
      </c>
      <c r="U71" s="543">
        <v>0</v>
      </c>
      <c r="V71" s="543">
        <v>0</v>
      </c>
      <c r="W71" s="543">
        <v>0</v>
      </c>
      <c r="X71" s="543">
        <v>0</v>
      </c>
      <c r="Y71" s="543">
        <v>0</v>
      </c>
      <c r="Z71" s="543">
        <v>0</v>
      </c>
    </row>
    <row r="72" spans="1:28" outlineLevel="1" x14ac:dyDescent="0.2">
      <c r="A72" s="884"/>
      <c r="B72" s="885"/>
      <c r="C72" s="885"/>
      <c r="D72" s="464">
        <v>7</v>
      </c>
      <c r="E72" s="68">
        <f t="shared" si="7"/>
        <v>0</v>
      </c>
      <c r="F72" s="543">
        <v>0</v>
      </c>
      <c r="G72" s="543">
        <v>0</v>
      </c>
      <c r="H72" s="543">
        <v>0</v>
      </c>
      <c r="I72" s="543">
        <v>0</v>
      </c>
      <c r="J72" s="543">
        <v>0</v>
      </c>
      <c r="K72" s="543">
        <v>0</v>
      </c>
      <c r="L72" s="543">
        <v>0</v>
      </c>
      <c r="M72" s="543">
        <v>0</v>
      </c>
      <c r="N72" s="543">
        <v>0</v>
      </c>
      <c r="O72" s="543">
        <v>0</v>
      </c>
      <c r="P72" s="543">
        <v>0</v>
      </c>
      <c r="Q72" s="543">
        <v>0</v>
      </c>
      <c r="R72" s="543">
        <v>0</v>
      </c>
      <c r="S72" s="543">
        <v>0</v>
      </c>
      <c r="T72" s="543">
        <v>0</v>
      </c>
      <c r="U72" s="543">
        <v>0</v>
      </c>
      <c r="V72" s="543">
        <v>0</v>
      </c>
      <c r="W72" s="543">
        <v>0</v>
      </c>
      <c r="X72" s="543">
        <v>0</v>
      </c>
      <c r="Y72" s="543">
        <v>0</v>
      </c>
      <c r="Z72" s="543">
        <v>0</v>
      </c>
    </row>
    <row r="73" spans="1:28" outlineLevel="1" x14ac:dyDescent="0.2">
      <c r="A73" s="884"/>
      <c r="B73" s="885"/>
      <c r="C73" s="885"/>
      <c r="D73" s="464">
        <v>8</v>
      </c>
      <c r="E73" s="68">
        <f t="shared" si="7"/>
        <v>0</v>
      </c>
      <c r="F73" s="543">
        <v>0</v>
      </c>
      <c r="G73" s="543">
        <v>0</v>
      </c>
      <c r="H73" s="543">
        <v>0</v>
      </c>
      <c r="I73" s="543">
        <v>0</v>
      </c>
      <c r="J73" s="543">
        <v>0</v>
      </c>
      <c r="K73" s="543">
        <v>0</v>
      </c>
      <c r="L73" s="543">
        <v>0</v>
      </c>
      <c r="M73" s="543">
        <v>0</v>
      </c>
      <c r="N73" s="543">
        <v>0</v>
      </c>
      <c r="O73" s="543">
        <v>0</v>
      </c>
      <c r="P73" s="543">
        <v>0</v>
      </c>
      <c r="Q73" s="543">
        <v>0</v>
      </c>
      <c r="R73" s="543">
        <v>0</v>
      </c>
      <c r="S73" s="543">
        <v>0</v>
      </c>
      <c r="T73" s="543">
        <v>0</v>
      </c>
      <c r="U73" s="543">
        <v>0</v>
      </c>
      <c r="V73" s="543">
        <v>0</v>
      </c>
      <c r="W73" s="543">
        <v>0</v>
      </c>
      <c r="X73" s="543">
        <v>0</v>
      </c>
      <c r="Y73" s="543">
        <v>0</v>
      </c>
      <c r="Z73" s="543">
        <v>0</v>
      </c>
    </row>
    <row r="74" spans="1:28" outlineLevel="1" x14ac:dyDescent="0.2">
      <c r="A74" s="884"/>
      <c r="B74" s="885"/>
      <c r="C74" s="885"/>
      <c r="D74" s="464">
        <v>9</v>
      </c>
      <c r="E74" s="68">
        <f t="shared" si="7"/>
        <v>0</v>
      </c>
      <c r="F74" s="543">
        <v>0</v>
      </c>
      <c r="G74" s="543">
        <v>0</v>
      </c>
      <c r="H74" s="543">
        <v>0</v>
      </c>
      <c r="I74" s="543">
        <v>0</v>
      </c>
      <c r="J74" s="543">
        <v>0</v>
      </c>
      <c r="K74" s="543">
        <v>0</v>
      </c>
      <c r="L74" s="543">
        <v>0</v>
      </c>
      <c r="M74" s="543">
        <v>0</v>
      </c>
      <c r="N74" s="543">
        <v>0</v>
      </c>
      <c r="O74" s="543">
        <v>0</v>
      </c>
      <c r="P74" s="543">
        <v>0</v>
      </c>
      <c r="Q74" s="543">
        <v>0</v>
      </c>
      <c r="R74" s="543">
        <v>0</v>
      </c>
      <c r="S74" s="543">
        <v>0</v>
      </c>
      <c r="T74" s="543">
        <v>0</v>
      </c>
      <c r="U74" s="543">
        <v>0</v>
      </c>
      <c r="V74" s="543">
        <v>0</v>
      </c>
      <c r="W74" s="543">
        <v>0</v>
      </c>
      <c r="X74" s="543">
        <v>0</v>
      </c>
      <c r="Y74" s="543">
        <v>0</v>
      </c>
      <c r="Z74" s="543">
        <v>0</v>
      </c>
    </row>
    <row r="75" spans="1:28" ht="16" outlineLevel="1" thickBot="1" x14ac:dyDescent="0.25">
      <c r="A75" s="884"/>
      <c r="B75" s="885"/>
      <c r="C75" s="885"/>
      <c r="D75" s="465">
        <v>10</v>
      </c>
      <c r="E75" s="69">
        <f t="shared" si="7"/>
        <v>0</v>
      </c>
      <c r="F75" s="547">
        <v>0</v>
      </c>
      <c r="G75" s="547">
        <v>0</v>
      </c>
      <c r="H75" s="547">
        <v>0</v>
      </c>
      <c r="I75" s="547">
        <v>0</v>
      </c>
      <c r="J75" s="547">
        <v>0</v>
      </c>
      <c r="K75" s="547">
        <v>0</v>
      </c>
      <c r="L75" s="547">
        <v>0</v>
      </c>
      <c r="M75" s="547">
        <v>0</v>
      </c>
      <c r="N75" s="547">
        <v>0</v>
      </c>
      <c r="O75" s="547">
        <v>0</v>
      </c>
      <c r="P75" s="547">
        <v>0</v>
      </c>
      <c r="Q75" s="547">
        <v>0</v>
      </c>
      <c r="R75" s="547">
        <v>0</v>
      </c>
      <c r="S75" s="547">
        <v>0</v>
      </c>
      <c r="T75" s="547">
        <v>0</v>
      </c>
      <c r="U75" s="547">
        <v>0</v>
      </c>
      <c r="V75" s="547">
        <v>0</v>
      </c>
      <c r="W75" s="547">
        <v>0</v>
      </c>
      <c r="X75" s="547">
        <v>0</v>
      </c>
      <c r="Y75" s="547">
        <v>0</v>
      </c>
      <c r="Z75" s="547">
        <v>0</v>
      </c>
    </row>
    <row r="76" spans="1:28" outlineLevel="1" x14ac:dyDescent="0.2">
      <c r="A76" s="884" t="s">
        <v>1173</v>
      </c>
      <c r="B76" s="885"/>
      <c r="C76" s="885"/>
      <c r="D76" s="463">
        <v>1</v>
      </c>
      <c r="E76" s="68">
        <f t="shared" si="7"/>
        <v>0</v>
      </c>
      <c r="F76" s="542">
        <v>0</v>
      </c>
      <c r="G76" s="542">
        <v>0</v>
      </c>
      <c r="H76" s="542">
        <v>0</v>
      </c>
      <c r="I76" s="542">
        <v>0</v>
      </c>
      <c r="J76" s="542">
        <v>0</v>
      </c>
      <c r="K76" s="542">
        <v>0</v>
      </c>
      <c r="L76" s="542">
        <v>0</v>
      </c>
      <c r="M76" s="542">
        <v>0</v>
      </c>
      <c r="N76" s="542">
        <v>0</v>
      </c>
      <c r="O76" s="542">
        <v>0</v>
      </c>
      <c r="P76" s="542">
        <v>0</v>
      </c>
      <c r="Q76" s="542">
        <v>0</v>
      </c>
      <c r="R76" s="542">
        <v>0</v>
      </c>
      <c r="S76" s="542">
        <v>0</v>
      </c>
      <c r="T76" s="542">
        <v>0</v>
      </c>
      <c r="U76" s="542">
        <v>0</v>
      </c>
      <c r="V76" s="542">
        <v>0</v>
      </c>
      <c r="W76" s="542">
        <v>0</v>
      </c>
      <c r="X76" s="542">
        <v>0</v>
      </c>
      <c r="Y76" s="542">
        <v>0</v>
      </c>
      <c r="Z76" s="542">
        <v>0</v>
      </c>
      <c r="AB76" s="366"/>
    </row>
    <row r="77" spans="1:28" outlineLevel="1" x14ac:dyDescent="0.2">
      <c r="A77" s="884"/>
      <c r="B77" s="885"/>
      <c r="C77" s="885"/>
      <c r="D77" s="464">
        <v>2</v>
      </c>
      <c r="E77" s="68">
        <f t="shared" si="7"/>
        <v>0</v>
      </c>
      <c r="F77" s="543">
        <v>0</v>
      </c>
      <c r="G77" s="543">
        <v>0</v>
      </c>
      <c r="H77" s="543">
        <v>0</v>
      </c>
      <c r="I77" s="543">
        <v>0</v>
      </c>
      <c r="J77" s="543">
        <v>0</v>
      </c>
      <c r="K77" s="543">
        <v>0</v>
      </c>
      <c r="L77" s="543">
        <v>0</v>
      </c>
      <c r="M77" s="543">
        <v>0</v>
      </c>
      <c r="N77" s="543">
        <v>0</v>
      </c>
      <c r="O77" s="543">
        <v>0</v>
      </c>
      <c r="P77" s="543">
        <v>0</v>
      </c>
      <c r="Q77" s="543">
        <v>0</v>
      </c>
      <c r="R77" s="543">
        <v>0</v>
      </c>
      <c r="S77" s="543">
        <v>0</v>
      </c>
      <c r="T77" s="543">
        <v>0</v>
      </c>
      <c r="U77" s="543">
        <v>0</v>
      </c>
      <c r="V77" s="543">
        <v>0</v>
      </c>
      <c r="W77" s="543">
        <v>0</v>
      </c>
      <c r="X77" s="543">
        <v>0</v>
      </c>
      <c r="Y77" s="543">
        <v>0</v>
      </c>
      <c r="Z77" s="543">
        <v>0</v>
      </c>
      <c r="AB77" s="366"/>
    </row>
    <row r="78" spans="1:28" outlineLevel="1" x14ac:dyDescent="0.2">
      <c r="A78" s="884"/>
      <c r="B78" s="885"/>
      <c r="C78" s="885"/>
      <c r="D78" s="464">
        <v>3</v>
      </c>
      <c r="E78" s="68">
        <f t="shared" si="7"/>
        <v>0</v>
      </c>
      <c r="F78" s="543">
        <v>0</v>
      </c>
      <c r="G78" s="543">
        <v>0</v>
      </c>
      <c r="H78" s="543">
        <v>0</v>
      </c>
      <c r="I78" s="543">
        <v>0</v>
      </c>
      <c r="J78" s="543">
        <v>0</v>
      </c>
      <c r="K78" s="543">
        <v>0</v>
      </c>
      <c r="L78" s="543">
        <v>0</v>
      </c>
      <c r="M78" s="543">
        <v>0</v>
      </c>
      <c r="N78" s="543">
        <v>0</v>
      </c>
      <c r="O78" s="543">
        <v>0</v>
      </c>
      <c r="P78" s="543">
        <v>0</v>
      </c>
      <c r="Q78" s="543">
        <v>0</v>
      </c>
      <c r="R78" s="543">
        <v>0</v>
      </c>
      <c r="S78" s="543">
        <v>0</v>
      </c>
      <c r="T78" s="543">
        <v>0</v>
      </c>
      <c r="U78" s="543">
        <v>0</v>
      </c>
      <c r="V78" s="543">
        <v>0</v>
      </c>
      <c r="W78" s="543">
        <v>0</v>
      </c>
      <c r="X78" s="543">
        <v>0</v>
      </c>
      <c r="Y78" s="543">
        <v>0</v>
      </c>
      <c r="Z78" s="543">
        <v>0</v>
      </c>
      <c r="AB78" s="366"/>
    </row>
    <row r="79" spans="1:28" outlineLevel="1" x14ac:dyDescent="0.2">
      <c r="A79" s="884"/>
      <c r="B79" s="885"/>
      <c r="C79" s="885"/>
      <c r="D79" s="464">
        <v>4</v>
      </c>
      <c r="E79" s="68">
        <f t="shared" si="7"/>
        <v>0</v>
      </c>
      <c r="F79" s="543">
        <v>0</v>
      </c>
      <c r="G79" s="543">
        <v>0</v>
      </c>
      <c r="H79" s="543">
        <v>0</v>
      </c>
      <c r="I79" s="543">
        <v>0</v>
      </c>
      <c r="J79" s="543">
        <v>0</v>
      </c>
      <c r="K79" s="543">
        <v>0</v>
      </c>
      <c r="L79" s="543">
        <v>0</v>
      </c>
      <c r="M79" s="543">
        <v>0</v>
      </c>
      <c r="N79" s="543">
        <v>0</v>
      </c>
      <c r="O79" s="543">
        <v>0</v>
      </c>
      <c r="P79" s="543">
        <v>0</v>
      </c>
      <c r="Q79" s="543">
        <v>0</v>
      </c>
      <c r="R79" s="543">
        <v>0</v>
      </c>
      <c r="S79" s="543">
        <v>0</v>
      </c>
      <c r="T79" s="543">
        <v>0</v>
      </c>
      <c r="U79" s="543">
        <v>0</v>
      </c>
      <c r="V79" s="543">
        <v>0</v>
      </c>
      <c r="W79" s="543">
        <v>0</v>
      </c>
      <c r="X79" s="543">
        <v>0</v>
      </c>
      <c r="Y79" s="543">
        <v>0</v>
      </c>
      <c r="Z79" s="543">
        <v>0</v>
      </c>
    </row>
    <row r="80" spans="1:28" outlineLevel="1" x14ac:dyDescent="0.2">
      <c r="A80" s="884"/>
      <c r="B80" s="885"/>
      <c r="C80" s="885"/>
      <c r="D80" s="464">
        <v>5</v>
      </c>
      <c r="E80" s="68">
        <f t="shared" si="7"/>
        <v>0</v>
      </c>
      <c r="F80" s="543">
        <v>0</v>
      </c>
      <c r="G80" s="543">
        <v>0</v>
      </c>
      <c r="H80" s="543">
        <v>0</v>
      </c>
      <c r="I80" s="543">
        <v>0</v>
      </c>
      <c r="J80" s="543">
        <v>0</v>
      </c>
      <c r="K80" s="543">
        <v>0</v>
      </c>
      <c r="L80" s="543">
        <v>0</v>
      </c>
      <c r="M80" s="543">
        <v>0</v>
      </c>
      <c r="N80" s="543">
        <v>0</v>
      </c>
      <c r="O80" s="543">
        <v>0</v>
      </c>
      <c r="P80" s="543">
        <v>0</v>
      </c>
      <c r="Q80" s="543">
        <v>0</v>
      </c>
      <c r="R80" s="543">
        <v>0</v>
      </c>
      <c r="S80" s="543">
        <v>0</v>
      </c>
      <c r="T80" s="543">
        <v>0</v>
      </c>
      <c r="U80" s="543">
        <v>0</v>
      </c>
      <c r="V80" s="543">
        <v>0</v>
      </c>
      <c r="W80" s="543">
        <v>0</v>
      </c>
      <c r="X80" s="543">
        <v>0</v>
      </c>
      <c r="Y80" s="543">
        <v>0</v>
      </c>
      <c r="Z80" s="543">
        <v>0</v>
      </c>
    </row>
    <row r="81" spans="1:26" outlineLevel="1" x14ac:dyDescent="0.2">
      <c r="A81" s="884"/>
      <c r="B81" s="885"/>
      <c r="C81" s="885"/>
      <c r="D81" s="464">
        <v>6</v>
      </c>
      <c r="E81" s="68">
        <f t="shared" si="7"/>
        <v>0</v>
      </c>
      <c r="F81" s="543">
        <v>0</v>
      </c>
      <c r="G81" s="543">
        <v>0</v>
      </c>
      <c r="H81" s="543">
        <v>0</v>
      </c>
      <c r="I81" s="543">
        <v>0</v>
      </c>
      <c r="J81" s="543">
        <v>0</v>
      </c>
      <c r="K81" s="543">
        <v>0</v>
      </c>
      <c r="L81" s="543">
        <v>0</v>
      </c>
      <c r="M81" s="543">
        <v>0</v>
      </c>
      <c r="N81" s="543">
        <v>0</v>
      </c>
      <c r="O81" s="543">
        <v>0</v>
      </c>
      <c r="P81" s="543">
        <v>0</v>
      </c>
      <c r="Q81" s="543">
        <v>0</v>
      </c>
      <c r="R81" s="543">
        <v>0</v>
      </c>
      <c r="S81" s="543">
        <v>0</v>
      </c>
      <c r="T81" s="543">
        <v>0</v>
      </c>
      <c r="U81" s="543">
        <v>0</v>
      </c>
      <c r="V81" s="543">
        <v>0</v>
      </c>
      <c r="W81" s="543">
        <v>0</v>
      </c>
      <c r="X81" s="543">
        <v>0</v>
      </c>
      <c r="Y81" s="543">
        <v>0</v>
      </c>
      <c r="Z81" s="543">
        <v>0</v>
      </c>
    </row>
    <row r="82" spans="1:26" outlineLevel="1" x14ac:dyDescent="0.2">
      <c r="A82" s="884"/>
      <c r="B82" s="885"/>
      <c r="C82" s="885"/>
      <c r="D82" s="464">
        <v>7</v>
      </c>
      <c r="E82" s="68">
        <f t="shared" si="7"/>
        <v>0</v>
      </c>
      <c r="F82" s="543">
        <v>0</v>
      </c>
      <c r="G82" s="543">
        <v>0</v>
      </c>
      <c r="H82" s="543">
        <v>0</v>
      </c>
      <c r="I82" s="543">
        <v>0</v>
      </c>
      <c r="J82" s="543">
        <v>0</v>
      </c>
      <c r="K82" s="543">
        <v>0</v>
      </c>
      <c r="L82" s="543">
        <v>0</v>
      </c>
      <c r="M82" s="543">
        <v>0</v>
      </c>
      <c r="N82" s="543">
        <v>0</v>
      </c>
      <c r="O82" s="543">
        <v>0</v>
      </c>
      <c r="P82" s="543">
        <v>0</v>
      </c>
      <c r="Q82" s="543">
        <v>0</v>
      </c>
      <c r="R82" s="543">
        <v>0</v>
      </c>
      <c r="S82" s="543">
        <v>0</v>
      </c>
      <c r="T82" s="543">
        <v>0</v>
      </c>
      <c r="U82" s="543">
        <v>0</v>
      </c>
      <c r="V82" s="543">
        <v>0</v>
      </c>
      <c r="W82" s="543">
        <v>0</v>
      </c>
      <c r="X82" s="543">
        <v>0</v>
      </c>
      <c r="Y82" s="543">
        <v>0</v>
      </c>
      <c r="Z82" s="543">
        <v>0</v>
      </c>
    </row>
    <row r="83" spans="1:26" outlineLevel="1" x14ac:dyDescent="0.2">
      <c r="A83" s="884"/>
      <c r="B83" s="885"/>
      <c r="C83" s="885"/>
      <c r="D83" s="464">
        <v>8</v>
      </c>
      <c r="E83" s="68">
        <f t="shared" si="7"/>
        <v>0</v>
      </c>
      <c r="F83" s="543">
        <v>0</v>
      </c>
      <c r="G83" s="543">
        <v>0</v>
      </c>
      <c r="H83" s="543">
        <v>0</v>
      </c>
      <c r="I83" s="543">
        <v>0</v>
      </c>
      <c r="J83" s="543">
        <v>0</v>
      </c>
      <c r="K83" s="543">
        <v>0</v>
      </c>
      <c r="L83" s="543">
        <v>0</v>
      </c>
      <c r="M83" s="543">
        <v>0</v>
      </c>
      <c r="N83" s="543">
        <v>0</v>
      </c>
      <c r="O83" s="543">
        <v>0</v>
      </c>
      <c r="P83" s="543">
        <v>0</v>
      </c>
      <c r="Q83" s="543">
        <v>0</v>
      </c>
      <c r="R83" s="543">
        <v>0</v>
      </c>
      <c r="S83" s="543">
        <v>0</v>
      </c>
      <c r="T83" s="543">
        <v>0</v>
      </c>
      <c r="U83" s="543">
        <v>0</v>
      </c>
      <c r="V83" s="543">
        <v>0</v>
      </c>
      <c r="W83" s="543">
        <v>0</v>
      </c>
      <c r="X83" s="543">
        <v>0</v>
      </c>
      <c r="Y83" s="543">
        <v>0</v>
      </c>
      <c r="Z83" s="543">
        <v>0</v>
      </c>
    </row>
    <row r="84" spans="1:26" outlineLevel="1" x14ac:dyDescent="0.2">
      <c r="A84" s="884"/>
      <c r="B84" s="885"/>
      <c r="C84" s="885"/>
      <c r="D84" s="464">
        <v>9</v>
      </c>
      <c r="E84" s="68">
        <f t="shared" si="7"/>
        <v>0</v>
      </c>
      <c r="F84" s="543">
        <v>0</v>
      </c>
      <c r="G84" s="543">
        <v>0</v>
      </c>
      <c r="H84" s="543">
        <v>0</v>
      </c>
      <c r="I84" s="543">
        <v>0</v>
      </c>
      <c r="J84" s="543">
        <v>0</v>
      </c>
      <c r="K84" s="543">
        <v>0</v>
      </c>
      <c r="L84" s="543">
        <v>0</v>
      </c>
      <c r="M84" s="543">
        <v>0</v>
      </c>
      <c r="N84" s="543">
        <v>0</v>
      </c>
      <c r="O84" s="543">
        <v>0</v>
      </c>
      <c r="P84" s="543">
        <v>0</v>
      </c>
      <c r="Q84" s="543">
        <v>0</v>
      </c>
      <c r="R84" s="543">
        <v>0</v>
      </c>
      <c r="S84" s="543">
        <v>0</v>
      </c>
      <c r="T84" s="543">
        <v>0</v>
      </c>
      <c r="U84" s="543">
        <v>0</v>
      </c>
      <c r="V84" s="543">
        <v>0</v>
      </c>
      <c r="W84" s="543">
        <v>0</v>
      </c>
      <c r="X84" s="543">
        <v>0</v>
      </c>
      <c r="Y84" s="543">
        <v>0</v>
      </c>
      <c r="Z84" s="543">
        <v>0</v>
      </c>
    </row>
    <row r="85" spans="1:26" ht="16" outlineLevel="1" thickBot="1" x14ac:dyDescent="0.25">
      <c r="A85" s="884"/>
      <c r="B85" s="885"/>
      <c r="C85" s="885"/>
      <c r="D85" s="465">
        <v>10</v>
      </c>
      <c r="E85" s="69">
        <f t="shared" si="7"/>
        <v>0</v>
      </c>
      <c r="F85" s="543">
        <v>0</v>
      </c>
      <c r="G85" s="543">
        <v>0</v>
      </c>
      <c r="H85" s="543">
        <v>0</v>
      </c>
      <c r="I85" s="543">
        <v>0</v>
      </c>
      <c r="J85" s="543">
        <v>0</v>
      </c>
      <c r="K85" s="543">
        <v>0</v>
      </c>
      <c r="L85" s="543">
        <v>0</v>
      </c>
      <c r="M85" s="543">
        <v>0</v>
      </c>
      <c r="N85" s="543">
        <v>0</v>
      </c>
      <c r="O85" s="543">
        <v>0</v>
      </c>
      <c r="P85" s="543">
        <v>0</v>
      </c>
      <c r="Q85" s="543">
        <v>0</v>
      </c>
      <c r="R85" s="543">
        <v>0</v>
      </c>
      <c r="S85" s="543">
        <v>0</v>
      </c>
      <c r="T85" s="543">
        <v>0</v>
      </c>
      <c r="U85" s="543">
        <v>0</v>
      </c>
      <c r="V85" s="543">
        <v>0</v>
      </c>
      <c r="W85" s="543">
        <v>0</v>
      </c>
      <c r="X85" s="543">
        <v>0</v>
      </c>
      <c r="Y85" s="543">
        <v>0</v>
      </c>
      <c r="Z85" s="543">
        <v>0</v>
      </c>
    </row>
    <row r="86" spans="1:26" outlineLevel="1" x14ac:dyDescent="0.2">
      <c r="A86" s="884" t="s">
        <v>1174</v>
      </c>
      <c r="B86" s="885" t="s">
        <v>1165</v>
      </c>
      <c r="C86" s="885">
        <v>610</v>
      </c>
      <c r="D86" s="463">
        <v>1</v>
      </c>
      <c r="E86" s="68">
        <f t="shared" si="7"/>
        <v>0</v>
      </c>
      <c r="F86" s="542">
        <v>0</v>
      </c>
      <c r="G86" s="542">
        <v>0</v>
      </c>
      <c r="H86" s="542">
        <v>0</v>
      </c>
      <c r="I86" s="542">
        <v>0</v>
      </c>
      <c r="J86" s="542">
        <v>0</v>
      </c>
      <c r="K86" s="542">
        <v>0</v>
      </c>
      <c r="L86" s="542">
        <v>0</v>
      </c>
      <c r="M86" s="542">
        <v>0</v>
      </c>
      <c r="N86" s="542">
        <v>0</v>
      </c>
      <c r="O86" s="542">
        <v>0</v>
      </c>
      <c r="P86" s="542">
        <v>0</v>
      </c>
      <c r="Q86" s="542">
        <v>0</v>
      </c>
      <c r="R86" s="542">
        <v>0</v>
      </c>
      <c r="S86" s="542">
        <v>0</v>
      </c>
      <c r="T86" s="542">
        <v>0</v>
      </c>
      <c r="U86" s="542">
        <v>0</v>
      </c>
      <c r="V86" s="542">
        <v>0</v>
      </c>
      <c r="W86" s="542">
        <v>0</v>
      </c>
      <c r="X86" s="542">
        <v>0</v>
      </c>
      <c r="Y86" s="542">
        <v>0</v>
      </c>
      <c r="Z86" s="542">
        <v>0</v>
      </c>
    </row>
    <row r="87" spans="1:26" outlineLevel="1" x14ac:dyDescent="0.2">
      <c r="A87" s="884"/>
      <c r="B87" s="885"/>
      <c r="C87" s="885"/>
      <c r="D87" s="464">
        <v>2</v>
      </c>
      <c r="E87" s="68">
        <f t="shared" si="7"/>
        <v>0</v>
      </c>
      <c r="F87" s="543">
        <v>0</v>
      </c>
      <c r="G87" s="543">
        <v>0</v>
      </c>
      <c r="H87" s="543">
        <v>0</v>
      </c>
      <c r="I87" s="543">
        <v>0</v>
      </c>
      <c r="J87" s="543">
        <v>0</v>
      </c>
      <c r="K87" s="543">
        <v>0</v>
      </c>
      <c r="L87" s="543">
        <v>0</v>
      </c>
      <c r="M87" s="543">
        <v>0</v>
      </c>
      <c r="N87" s="543">
        <v>0</v>
      </c>
      <c r="O87" s="543">
        <v>0</v>
      </c>
      <c r="P87" s="543">
        <v>0</v>
      </c>
      <c r="Q87" s="543">
        <v>0</v>
      </c>
      <c r="R87" s="543">
        <v>0</v>
      </c>
      <c r="S87" s="543">
        <v>0</v>
      </c>
      <c r="T87" s="543">
        <v>0</v>
      </c>
      <c r="U87" s="543">
        <v>0</v>
      </c>
      <c r="V87" s="543">
        <v>0</v>
      </c>
      <c r="W87" s="543">
        <v>0</v>
      </c>
      <c r="X87" s="543">
        <v>0</v>
      </c>
      <c r="Y87" s="543">
        <v>0</v>
      </c>
      <c r="Z87" s="543">
        <v>0</v>
      </c>
    </row>
    <row r="88" spans="1:26" outlineLevel="1" x14ac:dyDescent="0.2">
      <c r="A88" s="884"/>
      <c r="B88" s="885"/>
      <c r="C88" s="885"/>
      <c r="D88" s="464">
        <v>3</v>
      </c>
      <c r="E88" s="68">
        <f t="shared" si="7"/>
        <v>0</v>
      </c>
      <c r="F88" s="543">
        <v>0</v>
      </c>
      <c r="G88" s="543">
        <v>0</v>
      </c>
      <c r="H88" s="543">
        <v>0</v>
      </c>
      <c r="I88" s="543">
        <v>0</v>
      </c>
      <c r="J88" s="543">
        <v>0</v>
      </c>
      <c r="K88" s="543">
        <v>0</v>
      </c>
      <c r="L88" s="543">
        <v>0</v>
      </c>
      <c r="M88" s="543">
        <v>0</v>
      </c>
      <c r="N88" s="543">
        <v>0</v>
      </c>
      <c r="O88" s="543">
        <v>0</v>
      </c>
      <c r="P88" s="543">
        <v>0</v>
      </c>
      <c r="Q88" s="543">
        <v>0</v>
      </c>
      <c r="R88" s="543">
        <v>0</v>
      </c>
      <c r="S88" s="543">
        <v>0</v>
      </c>
      <c r="T88" s="543">
        <v>0</v>
      </c>
      <c r="U88" s="543">
        <v>0</v>
      </c>
      <c r="V88" s="543">
        <v>0</v>
      </c>
      <c r="W88" s="543">
        <v>0</v>
      </c>
      <c r="X88" s="543">
        <v>0</v>
      </c>
      <c r="Y88" s="543">
        <v>0</v>
      </c>
      <c r="Z88" s="543">
        <v>0</v>
      </c>
    </row>
    <row r="89" spans="1:26" outlineLevel="1" x14ac:dyDescent="0.2">
      <c r="A89" s="884"/>
      <c r="B89" s="885"/>
      <c r="C89" s="885"/>
      <c r="D89" s="464">
        <v>4</v>
      </c>
      <c r="E89" s="68">
        <f t="shared" si="7"/>
        <v>0</v>
      </c>
      <c r="F89" s="543">
        <v>0</v>
      </c>
      <c r="G89" s="543">
        <v>0</v>
      </c>
      <c r="H89" s="543">
        <v>0</v>
      </c>
      <c r="I89" s="543">
        <v>0</v>
      </c>
      <c r="J89" s="543">
        <v>0</v>
      </c>
      <c r="K89" s="543">
        <v>0</v>
      </c>
      <c r="L89" s="543">
        <v>0</v>
      </c>
      <c r="M89" s="543">
        <v>0</v>
      </c>
      <c r="N89" s="543">
        <v>0</v>
      </c>
      <c r="O89" s="543">
        <v>0</v>
      </c>
      <c r="P89" s="543">
        <v>0</v>
      </c>
      <c r="Q89" s="543">
        <v>0</v>
      </c>
      <c r="R89" s="543">
        <v>0</v>
      </c>
      <c r="S89" s="543">
        <v>0</v>
      </c>
      <c r="T89" s="543">
        <v>0</v>
      </c>
      <c r="U89" s="543">
        <v>0</v>
      </c>
      <c r="V89" s="543">
        <v>0</v>
      </c>
      <c r="W89" s="543">
        <v>0</v>
      </c>
      <c r="X89" s="543">
        <v>0</v>
      </c>
      <c r="Y89" s="543">
        <v>0</v>
      </c>
      <c r="Z89" s="543">
        <v>0</v>
      </c>
    </row>
    <row r="90" spans="1:26" outlineLevel="1" x14ac:dyDescent="0.2">
      <c r="A90" s="884"/>
      <c r="B90" s="885"/>
      <c r="C90" s="885"/>
      <c r="D90" s="464">
        <v>5</v>
      </c>
      <c r="E90" s="68">
        <f t="shared" si="7"/>
        <v>0</v>
      </c>
      <c r="F90" s="543">
        <v>0</v>
      </c>
      <c r="G90" s="543">
        <v>0</v>
      </c>
      <c r="H90" s="543">
        <v>0</v>
      </c>
      <c r="I90" s="543">
        <v>0</v>
      </c>
      <c r="J90" s="543">
        <v>0</v>
      </c>
      <c r="K90" s="543">
        <v>0</v>
      </c>
      <c r="L90" s="543">
        <v>0</v>
      </c>
      <c r="M90" s="543">
        <v>0</v>
      </c>
      <c r="N90" s="543">
        <v>0</v>
      </c>
      <c r="O90" s="543">
        <v>0</v>
      </c>
      <c r="P90" s="543">
        <v>0</v>
      </c>
      <c r="Q90" s="543">
        <v>0</v>
      </c>
      <c r="R90" s="543">
        <v>0</v>
      </c>
      <c r="S90" s="543">
        <v>0</v>
      </c>
      <c r="T90" s="543">
        <v>0</v>
      </c>
      <c r="U90" s="543">
        <v>0</v>
      </c>
      <c r="V90" s="543">
        <v>0</v>
      </c>
      <c r="W90" s="543">
        <v>0</v>
      </c>
      <c r="X90" s="543">
        <v>0</v>
      </c>
      <c r="Y90" s="543">
        <v>0</v>
      </c>
      <c r="Z90" s="543">
        <v>0</v>
      </c>
    </row>
    <row r="91" spans="1:26" outlineLevel="1" x14ac:dyDescent="0.2">
      <c r="A91" s="884"/>
      <c r="B91" s="885"/>
      <c r="C91" s="885"/>
      <c r="D91" s="464">
        <v>6</v>
      </c>
      <c r="E91" s="68">
        <f t="shared" si="7"/>
        <v>0</v>
      </c>
      <c r="F91" s="543">
        <v>0</v>
      </c>
      <c r="G91" s="543">
        <v>0</v>
      </c>
      <c r="H91" s="543">
        <v>0</v>
      </c>
      <c r="I91" s="543">
        <v>0</v>
      </c>
      <c r="J91" s="543">
        <v>0</v>
      </c>
      <c r="K91" s="543">
        <v>0</v>
      </c>
      <c r="L91" s="543">
        <v>0</v>
      </c>
      <c r="M91" s="543">
        <v>0</v>
      </c>
      <c r="N91" s="543">
        <v>0</v>
      </c>
      <c r="O91" s="543">
        <v>0</v>
      </c>
      <c r="P91" s="543">
        <v>0</v>
      </c>
      <c r="Q91" s="543">
        <v>0</v>
      </c>
      <c r="R91" s="543">
        <v>0</v>
      </c>
      <c r="S91" s="543">
        <v>0</v>
      </c>
      <c r="T91" s="543">
        <v>0</v>
      </c>
      <c r="U91" s="543">
        <v>0</v>
      </c>
      <c r="V91" s="543">
        <v>0</v>
      </c>
      <c r="W91" s="543">
        <v>0</v>
      </c>
      <c r="X91" s="543">
        <v>0</v>
      </c>
      <c r="Y91" s="543">
        <v>0</v>
      </c>
      <c r="Z91" s="543">
        <v>0</v>
      </c>
    </row>
    <row r="92" spans="1:26" outlineLevel="1" x14ac:dyDescent="0.2">
      <c r="A92" s="884"/>
      <c r="B92" s="885"/>
      <c r="C92" s="885"/>
      <c r="D92" s="464">
        <v>7</v>
      </c>
      <c r="E92" s="68">
        <f t="shared" si="7"/>
        <v>0</v>
      </c>
      <c r="F92" s="543">
        <v>0</v>
      </c>
      <c r="G92" s="543">
        <v>0</v>
      </c>
      <c r="H92" s="543">
        <v>0</v>
      </c>
      <c r="I92" s="543">
        <v>0</v>
      </c>
      <c r="J92" s="543">
        <v>0</v>
      </c>
      <c r="K92" s="543">
        <v>0</v>
      </c>
      <c r="L92" s="543">
        <v>0</v>
      </c>
      <c r="M92" s="543">
        <v>0</v>
      </c>
      <c r="N92" s="543">
        <v>0</v>
      </c>
      <c r="O92" s="543">
        <v>0</v>
      </c>
      <c r="P92" s="543">
        <v>0</v>
      </c>
      <c r="Q92" s="543">
        <v>0</v>
      </c>
      <c r="R92" s="543">
        <v>0</v>
      </c>
      <c r="S92" s="543">
        <v>0</v>
      </c>
      <c r="T92" s="543">
        <v>0</v>
      </c>
      <c r="U92" s="543">
        <v>0</v>
      </c>
      <c r="V92" s="543">
        <v>0</v>
      </c>
      <c r="W92" s="543">
        <v>0</v>
      </c>
      <c r="X92" s="543">
        <v>0</v>
      </c>
      <c r="Y92" s="543">
        <v>0</v>
      </c>
      <c r="Z92" s="543">
        <v>0</v>
      </c>
    </row>
    <row r="93" spans="1:26" outlineLevel="1" x14ac:dyDescent="0.2">
      <c r="A93" s="884"/>
      <c r="B93" s="885"/>
      <c r="C93" s="885"/>
      <c r="D93" s="464">
        <v>8</v>
      </c>
      <c r="E93" s="68">
        <f t="shared" si="7"/>
        <v>0</v>
      </c>
      <c r="F93" s="543">
        <v>0</v>
      </c>
      <c r="G93" s="543">
        <v>0</v>
      </c>
      <c r="H93" s="543">
        <v>0</v>
      </c>
      <c r="I93" s="543">
        <v>0</v>
      </c>
      <c r="J93" s="543">
        <v>0</v>
      </c>
      <c r="K93" s="543">
        <v>0</v>
      </c>
      <c r="L93" s="543">
        <v>0</v>
      </c>
      <c r="M93" s="543">
        <v>0</v>
      </c>
      <c r="N93" s="543">
        <v>0</v>
      </c>
      <c r="O93" s="543">
        <v>0</v>
      </c>
      <c r="P93" s="543">
        <v>0</v>
      </c>
      <c r="Q93" s="543">
        <v>0</v>
      </c>
      <c r="R93" s="543">
        <v>0</v>
      </c>
      <c r="S93" s="543">
        <v>0</v>
      </c>
      <c r="T93" s="543">
        <v>0</v>
      </c>
      <c r="U93" s="543">
        <v>0</v>
      </c>
      <c r="V93" s="543">
        <v>0</v>
      </c>
      <c r="W93" s="543">
        <v>0</v>
      </c>
      <c r="X93" s="543">
        <v>0</v>
      </c>
      <c r="Y93" s="543">
        <v>0</v>
      </c>
      <c r="Z93" s="543">
        <v>0</v>
      </c>
    </row>
    <row r="94" spans="1:26" outlineLevel="1" x14ac:dyDescent="0.2">
      <c r="A94" s="884"/>
      <c r="B94" s="885"/>
      <c r="C94" s="885"/>
      <c r="D94" s="464">
        <v>9</v>
      </c>
      <c r="E94" s="68">
        <f t="shared" si="7"/>
        <v>0</v>
      </c>
      <c r="F94" s="543">
        <v>0</v>
      </c>
      <c r="G94" s="543">
        <v>0</v>
      </c>
      <c r="H94" s="543">
        <v>0</v>
      </c>
      <c r="I94" s="543">
        <v>0</v>
      </c>
      <c r="J94" s="543">
        <v>0</v>
      </c>
      <c r="K94" s="543">
        <v>0</v>
      </c>
      <c r="L94" s="543">
        <v>0</v>
      </c>
      <c r="M94" s="543">
        <v>0</v>
      </c>
      <c r="N94" s="543">
        <v>0</v>
      </c>
      <c r="O94" s="543">
        <v>0</v>
      </c>
      <c r="P94" s="543">
        <v>0</v>
      </c>
      <c r="Q94" s="543">
        <v>0</v>
      </c>
      <c r="R94" s="543">
        <v>0</v>
      </c>
      <c r="S94" s="543">
        <v>0</v>
      </c>
      <c r="T94" s="543">
        <v>0</v>
      </c>
      <c r="U94" s="543">
        <v>0</v>
      </c>
      <c r="V94" s="543">
        <v>0</v>
      </c>
      <c r="W94" s="543">
        <v>0</v>
      </c>
      <c r="X94" s="543">
        <v>0</v>
      </c>
      <c r="Y94" s="543">
        <v>0</v>
      </c>
      <c r="Z94" s="543">
        <v>0</v>
      </c>
    </row>
    <row r="95" spans="1:26" ht="16" outlineLevel="1" thickBot="1" x14ac:dyDescent="0.25">
      <c r="A95" s="884"/>
      <c r="B95" s="885"/>
      <c r="C95" s="885"/>
      <c r="D95" s="465">
        <v>10</v>
      </c>
      <c r="E95" s="69">
        <f t="shared" si="7"/>
        <v>0</v>
      </c>
      <c r="F95" s="547">
        <v>0</v>
      </c>
      <c r="G95" s="547">
        <v>0</v>
      </c>
      <c r="H95" s="547">
        <v>0</v>
      </c>
      <c r="I95" s="547">
        <v>0</v>
      </c>
      <c r="J95" s="547">
        <v>0</v>
      </c>
      <c r="K95" s="547">
        <v>0</v>
      </c>
      <c r="L95" s="547">
        <v>0</v>
      </c>
      <c r="M95" s="547">
        <v>0</v>
      </c>
      <c r="N95" s="547">
        <v>0</v>
      </c>
      <c r="O95" s="547">
        <v>0</v>
      </c>
      <c r="P95" s="547">
        <v>0</v>
      </c>
      <c r="Q95" s="547">
        <v>0</v>
      </c>
      <c r="R95" s="547">
        <v>0</v>
      </c>
      <c r="S95" s="547">
        <v>0</v>
      </c>
      <c r="T95" s="547">
        <v>0</v>
      </c>
      <c r="U95" s="547">
        <v>0</v>
      </c>
      <c r="V95" s="547">
        <v>0</v>
      </c>
      <c r="W95" s="547">
        <v>0</v>
      </c>
      <c r="X95" s="547">
        <v>0</v>
      </c>
      <c r="Y95" s="547">
        <v>0</v>
      </c>
      <c r="Z95" s="547">
        <v>0</v>
      </c>
    </row>
    <row r="96" spans="1:26" outlineLevel="1" x14ac:dyDescent="0.2">
      <c r="A96" s="884" t="s">
        <v>1175</v>
      </c>
      <c r="B96" s="885" t="s">
        <v>1167</v>
      </c>
      <c r="C96" s="885">
        <v>637040</v>
      </c>
      <c r="D96" s="463">
        <v>1</v>
      </c>
      <c r="E96" s="68">
        <f t="shared" si="7"/>
        <v>0</v>
      </c>
      <c r="F96" s="542">
        <v>0</v>
      </c>
      <c r="G96" s="542">
        <v>0</v>
      </c>
      <c r="H96" s="542">
        <v>0</v>
      </c>
      <c r="I96" s="542">
        <v>0</v>
      </c>
      <c r="J96" s="542">
        <v>0</v>
      </c>
      <c r="K96" s="542">
        <v>0</v>
      </c>
      <c r="L96" s="542">
        <v>0</v>
      </c>
      <c r="M96" s="542">
        <v>0</v>
      </c>
      <c r="N96" s="542">
        <v>0</v>
      </c>
      <c r="O96" s="542">
        <v>0</v>
      </c>
      <c r="P96" s="542">
        <v>0</v>
      </c>
      <c r="Q96" s="542">
        <v>0</v>
      </c>
      <c r="R96" s="542">
        <v>0</v>
      </c>
      <c r="S96" s="542">
        <v>0</v>
      </c>
      <c r="T96" s="542">
        <v>0</v>
      </c>
      <c r="U96" s="542">
        <v>0</v>
      </c>
      <c r="V96" s="542">
        <v>0</v>
      </c>
      <c r="W96" s="542">
        <v>0</v>
      </c>
      <c r="X96" s="542">
        <v>0</v>
      </c>
      <c r="Y96" s="542">
        <v>0</v>
      </c>
      <c r="Z96" s="542">
        <v>0</v>
      </c>
    </row>
    <row r="97" spans="1:26" outlineLevel="1" x14ac:dyDescent="0.2">
      <c r="A97" s="884"/>
      <c r="B97" s="885"/>
      <c r="C97" s="885"/>
      <c r="D97" s="464">
        <v>2</v>
      </c>
      <c r="E97" s="68">
        <f t="shared" si="7"/>
        <v>0</v>
      </c>
      <c r="F97" s="543">
        <v>0</v>
      </c>
      <c r="G97" s="543">
        <v>0</v>
      </c>
      <c r="H97" s="543">
        <v>0</v>
      </c>
      <c r="I97" s="543">
        <v>0</v>
      </c>
      <c r="J97" s="543">
        <v>0</v>
      </c>
      <c r="K97" s="543">
        <v>0</v>
      </c>
      <c r="L97" s="543">
        <v>0</v>
      </c>
      <c r="M97" s="543">
        <v>0</v>
      </c>
      <c r="N97" s="543">
        <v>0</v>
      </c>
      <c r="O97" s="543">
        <v>0</v>
      </c>
      <c r="P97" s="543">
        <v>0</v>
      </c>
      <c r="Q97" s="543">
        <v>0</v>
      </c>
      <c r="R97" s="543">
        <v>0</v>
      </c>
      <c r="S97" s="543">
        <v>0</v>
      </c>
      <c r="T97" s="543">
        <v>0</v>
      </c>
      <c r="U97" s="543">
        <v>0</v>
      </c>
      <c r="V97" s="543">
        <v>0</v>
      </c>
      <c r="W97" s="543">
        <v>0</v>
      </c>
      <c r="X97" s="543">
        <v>0</v>
      </c>
      <c r="Y97" s="543">
        <v>0</v>
      </c>
      <c r="Z97" s="543">
        <v>0</v>
      </c>
    </row>
    <row r="98" spans="1:26" outlineLevel="1" x14ac:dyDescent="0.2">
      <c r="A98" s="884"/>
      <c r="B98" s="885"/>
      <c r="C98" s="885"/>
      <c r="D98" s="464">
        <v>3</v>
      </c>
      <c r="E98" s="68">
        <f t="shared" si="7"/>
        <v>0</v>
      </c>
      <c r="F98" s="543">
        <v>0</v>
      </c>
      <c r="G98" s="543">
        <v>0</v>
      </c>
      <c r="H98" s="543">
        <v>0</v>
      </c>
      <c r="I98" s="543">
        <v>0</v>
      </c>
      <c r="J98" s="543">
        <v>0</v>
      </c>
      <c r="K98" s="543">
        <v>0</v>
      </c>
      <c r="L98" s="543">
        <v>0</v>
      </c>
      <c r="M98" s="543">
        <v>0</v>
      </c>
      <c r="N98" s="543">
        <v>0</v>
      </c>
      <c r="O98" s="543">
        <v>0</v>
      </c>
      <c r="P98" s="543">
        <v>0</v>
      </c>
      <c r="Q98" s="543">
        <v>0</v>
      </c>
      <c r="R98" s="543">
        <v>0</v>
      </c>
      <c r="S98" s="543">
        <v>0</v>
      </c>
      <c r="T98" s="543">
        <v>0</v>
      </c>
      <c r="U98" s="543">
        <v>0</v>
      </c>
      <c r="V98" s="543">
        <v>0</v>
      </c>
      <c r="W98" s="543">
        <v>0</v>
      </c>
      <c r="X98" s="543">
        <v>0</v>
      </c>
      <c r="Y98" s="543">
        <v>0</v>
      </c>
      <c r="Z98" s="543">
        <v>0</v>
      </c>
    </row>
    <row r="99" spans="1:26" outlineLevel="1" x14ac:dyDescent="0.2">
      <c r="A99" s="884"/>
      <c r="B99" s="885"/>
      <c r="C99" s="885"/>
      <c r="D99" s="464">
        <v>4</v>
      </c>
      <c r="E99" s="68">
        <f t="shared" si="7"/>
        <v>0</v>
      </c>
      <c r="F99" s="543">
        <v>0</v>
      </c>
      <c r="G99" s="543">
        <v>0</v>
      </c>
      <c r="H99" s="543">
        <v>0</v>
      </c>
      <c r="I99" s="543">
        <v>0</v>
      </c>
      <c r="J99" s="543">
        <v>0</v>
      </c>
      <c r="K99" s="543">
        <v>0</v>
      </c>
      <c r="L99" s="543">
        <v>0</v>
      </c>
      <c r="M99" s="543">
        <v>0</v>
      </c>
      <c r="N99" s="543">
        <v>0</v>
      </c>
      <c r="O99" s="543">
        <v>0</v>
      </c>
      <c r="P99" s="543">
        <v>0</v>
      </c>
      <c r="Q99" s="543">
        <v>0</v>
      </c>
      <c r="R99" s="543">
        <v>0</v>
      </c>
      <c r="S99" s="543">
        <v>0</v>
      </c>
      <c r="T99" s="543">
        <v>0</v>
      </c>
      <c r="U99" s="543">
        <v>0</v>
      </c>
      <c r="V99" s="543">
        <v>0</v>
      </c>
      <c r="W99" s="543">
        <v>0</v>
      </c>
      <c r="X99" s="543">
        <v>0</v>
      </c>
      <c r="Y99" s="543">
        <v>0</v>
      </c>
      <c r="Z99" s="543">
        <v>0</v>
      </c>
    </row>
    <row r="100" spans="1:26" outlineLevel="1" x14ac:dyDescent="0.2">
      <c r="A100" s="884"/>
      <c r="B100" s="885"/>
      <c r="C100" s="885"/>
      <c r="D100" s="464">
        <v>5</v>
      </c>
      <c r="E100" s="68">
        <f t="shared" si="7"/>
        <v>0</v>
      </c>
      <c r="F100" s="543">
        <v>0</v>
      </c>
      <c r="G100" s="543">
        <v>0</v>
      </c>
      <c r="H100" s="543">
        <v>0</v>
      </c>
      <c r="I100" s="543">
        <v>0</v>
      </c>
      <c r="J100" s="543">
        <v>0</v>
      </c>
      <c r="K100" s="543">
        <v>0</v>
      </c>
      <c r="L100" s="543">
        <v>0</v>
      </c>
      <c r="M100" s="543">
        <v>0</v>
      </c>
      <c r="N100" s="543">
        <v>0</v>
      </c>
      <c r="O100" s="543">
        <v>0</v>
      </c>
      <c r="P100" s="543">
        <v>0</v>
      </c>
      <c r="Q100" s="543">
        <v>0</v>
      </c>
      <c r="R100" s="543">
        <v>0</v>
      </c>
      <c r="S100" s="543">
        <v>0</v>
      </c>
      <c r="T100" s="543">
        <v>0</v>
      </c>
      <c r="U100" s="543">
        <v>0</v>
      </c>
      <c r="V100" s="543">
        <v>0</v>
      </c>
      <c r="W100" s="543">
        <v>0</v>
      </c>
      <c r="X100" s="543">
        <v>0</v>
      </c>
      <c r="Y100" s="543">
        <v>0</v>
      </c>
      <c r="Z100" s="543">
        <v>0</v>
      </c>
    </row>
    <row r="101" spans="1:26" outlineLevel="1" x14ac:dyDescent="0.2">
      <c r="A101" s="884"/>
      <c r="B101" s="885"/>
      <c r="C101" s="885"/>
      <c r="D101" s="464">
        <v>6</v>
      </c>
      <c r="E101" s="68">
        <f t="shared" si="7"/>
        <v>0</v>
      </c>
      <c r="F101" s="543">
        <v>0</v>
      </c>
      <c r="G101" s="543">
        <v>0</v>
      </c>
      <c r="H101" s="543">
        <v>0</v>
      </c>
      <c r="I101" s="543">
        <v>0</v>
      </c>
      <c r="J101" s="543">
        <v>0</v>
      </c>
      <c r="K101" s="543">
        <v>0</v>
      </c>
      <c r="L101" s="543">
        <v>0</v>
      </c>
      <c r="M101" s="543">
        <v>0</v>
      </c>
      <c r="N101" s="543">
        <v>0</v>
      </c>
      <c r="O101" s="543">
        <v>0</v>
      </c>
      <c r="P101" s="543">
        <v>0</v>
      </c>
      <c r="Q101" s="543">
        <v>0</v>
      </c>
      <c r="R101" s="543">
        <v>0</v>
      </c>
      <c r="S101" s="543">
        <v>0</v>
      </c>
      <c r="T101" s="543">
        <v>0</v>
      </c>
      <c r="U101" s="543">
        <v>0</v>
      </c>
      <c r="V101" s="543">
        <v>0</v>
      </c>
      <c r="W101" s="543">
        <v>0</v>
      </c>
      <c r="X101" s="543">
        <v>0</v>
      </c>
      <c r="Y101" s="543">
        <v>0</v>
      </c>
      <c r="Z101" s="543">
        <v>0</v>
      </c>
    </row>
    <row r="102" spans="1:26" outlineLevel="1" x14ac:dyDescent="0.2">
      <c r="A102" s="884"/>
      <c r="B102" s="885"/>
      <c r="C102" s="885"/>
      <c r="D102" s="464">
        <v>7</v>
      </c>
      <c r="E102" s="68">
        <f t="shared" si="7"/>
        <v>0</v>
      </c>
      <c r="F102" s="543">
        <v>0</v>
      </c>
      <c r="G102" s="543">
        <v>0</v>
      </c>
      <c r="H102" s="543">
        <v>0</v>
      </c>
      <c r="I102" s="543">
        <v>0</v>
      </c>
      <c r="J102" s="543">
        <v>0</v>
      </c>
      <c r="K102" s="543">
        <v>0</v>
      </c>
      <c r="L102" s="543">
        <v>0</v>
      </c>
      <c r="M102" s="543">
        <v>0</v>
      </c>
      <c r="N102" s="543">
        <v>0</v>
      </c>
      <c r="O102" s="543">
        <v>0</v>
      </c>
      <c r="P102" s="543">
        <v>0</v>
      </c>
      <c r="Q102" s="543">
        <v>0</v>
      </c>
      <c r="R102" s="543">
        <v>0</v>
      </c>
      <c r="S102" s="543">
        <v>0</v>
      </c>
      <c r="T102" s="543">
        <v>0</v>
      </c>
      <c r="U102" s="543">
        <v>0</v>
      </c>
      <c r="V102" s="543">
        <v>0</v>
      </c>
      <c r="W102" s="543">
        <v>0</v>
      </c>
      <c r="X102" s="543">
        <v>0</v>
      </c>
      <c r="Y102" s="543">
        <v>0</v>
      </c>
      <c r="Z102" s="543">
        <v>0</v>
      </c>
    </row>
    <row r="103" spans="1:26" outlineLevel="1" x14ac:dyDescent="0.2">
      <c r="A103" s="884"/>
      <c r="B103" s="885"/>
      <c r="C103" s="885"/>
      <c r="D103" s="464">
        <v>8</v>
      </c>
      <c r="E103" s="68">
        <f t="shared" si="7"/>
        <v>0</v>
      </c>
      <c r="F103" s="543">
        <v>0</v>
      </c>
      <c r="G103" s="543">
        <v>0</v>
      </c>
      <c r="H103" s="543">
        <v>0</v>
      </c>
      <c r="I103" s="543">
        <v>0</v>
      </c>
      <c r="J103" s="543">
        <v>0</v>
      </c>
      <c r="K103" s="543">
        <v>0</v>
      </c>
      <c r="L103" s="543">
        <v>0</v>
      </c>
      <c r="M103" s="543">
        <v>0</v>
      </c>
      <c r="N103" s="543">
        <v>0</v>
      </c>
      <c r="O103" s="543">
        <v>0</v>
      </c>
      <c r="P103" s="543">
        <v>0</v>
      </c>
      <c r="Q103" s="543">
        <v>0</v>
      </c>
      <c r="R103" s="543">
        <v>0</v>
      </c>
      <c r="S103" s="543">
        <v>0</v>
      </c>
      <c r="T103" s="543">
        <v>0</v>
      </c>
      <c r="U103" s="543">
        <v>0</v>
      </c>
      <c r="V103" s="543">
        <v>0</v>
      </c>
      <c r="W103" s="543">
        <v>0</v>
      </c>
      <c r="X103" s="543">
        <v>0</v>
      </c>
      <c r="Y103" s="543">
        <v>0</v>
      </c>
      <c r="Z103" s="543">
        <v>0</v>
      </c>
    </row>
    <row r="104" spans="1:26" outlineLevel="1" x14ac:dyDescent="0.2">
      <c r="A104" s="884"/>
      <c r="B104" s="885"/>
      <c r="C104" s="885"/>
      <c r="D104" s="464">
        <v>9</v>
      </c>
      <c r="E104" s="68">
        <f t="shared" si="7"/>
        <v>0</v>
      </c>
      <c r="F104" s="543">
        <v>0</v>
      </c>
      <c r="G104" s="543">
        <v>0</v>
      </c>
      <c r="H104" s="543">
        <v>0</v>
      </c>
      <c r="I104" s="543">
        <v>0</v>
      </c>
      <c r="J104" s="543">
        <v>0</v>
      </c>
      <c r="K104" s="543">
        <v>0</v>
      </c>
      <c r="L104" s="543">
        <v>0</v>
      </c>
      <c r="M104" s="543">
        <v>0</v>
      </c>
      <c r="N104" s="543">
        <v>0</v>
      </c>
      <c r="O104" s="543">
        <v>0</v>
      </c>
      <c r="P104" s="543">
        <v>0</v>
      </c>
      <c r="Q104" s="543">
        <v>0</v>
      </c>
      <c r="R104" s="543">
        <v>0</v>
      </c>
      <c r="S104" s="543">
        <v>0</v>
      </c>
      <c r="T104" s="543">
        <v>0</v>
      </c>
      <c r="U104" s="543">
        <v>0</v>
      </c>
      <c r="V104" s="543">
        <v>0</v>
      </c>
      <c r="W104" s="543">
        <v>0</v>
      </c>
      <c r="X104" s="543">
        <v>0</v>
      </c>
      <c r="Y104" s="543">
        <v>0</v>
      </c>
      <c r="Z104" s="543">
        <v>0</v>
      </c>
    </row>
    <row r="105" spans="1:26" ht="16" outlineLevel="1" thickBot="1" x14ac:dyDescent="0.25">
      <c r="A105" s="884"/>
      <c r="B105" s="885"/>
      <c r="C105" s="885"/>
      <c r="D105" s="465">
        <v>10</v>
      </c>
      <c r="E105" s="69">
        <f t="shared" si="7"/>
        <v>0</v>
      </c>
      <c r="F105" s="547">
        <v>0</v>
      </c>
      <c r="G105" s="547">
        <v>0</v>
      </c>
      <c r="H105" s="547">
        <v>0</v>
      </c>
      <c r="I105" s="547">
        <v>0</v>
      </c>
      <c r="J105" s="547">
        <v>0</v>
      </c>
      <c r="K105" s="547">
        <v>0</v>
      </c>
      <c r="L105" s="547">
        <v>0</v>
      </c>
      <c r="M105" s="547">
        <v>0</v>
      </c>
      <c r="N105" s="547">
        <v>0</v>
      </c>
      <c r="O105" s="547">
        <v>0</v>
      </c>
      <c r="P105" s="547">
        <v>0</v>
      </c>
      <c r="Q105" s="547">
        <v>0</v>
      </c>
      <c r="R105" s="547">
        <v>0</v>
      </c>
      <c r="S105" s="547">
        <v>0</v>
      </c>
      <c r="T105" s="547">
        <v>0</v>
      </c>
      <c r="U105" s="547">
        <v>0</v>
      </c>
      <c r="V105" s="547">
        <v>0</v>
      </c>
      <c r="W105" s="547">
        <v>0</v>
      </c>
      <c r="X105" s="547">
        <v>0</v>
      </c>
      <c r="Y105" s="547">
        <v>0</v>
      </c>
      <c r="Z105" s="547">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17">
    <tabColor rgb="FFFFFF00"/>
  </sheetPr>
  <dimension ref="A1:D14"/>
  <sheetViews>
    <sheetView workbookViewId="0">
      <selection activeCell="C3" sqref="C3:C4"/>
    </sheetView>
  </sheetViews>
  <sheetFormatPr baseColWidth="10" defaultColWidth="8.6640625" defaultRowHeight="15" x14ac:dyDescent="0.2"/>
  <cols>
    <col min="1" max="1" width="32.33203125" style="4" customWidth="1"/>
    <col min="2" max="2" width="66.6640625" style="4" customWidth="1"/>
    <col min="3" max="3" width="14.33203125" style="6" customWidth="1"/>
    <col min="4" max="4" width="23.5" style="4" customWidth="1"/>
    <col min="5" max="16384" width="8.6640625" style="4"/>
  </cols>
  <sheetData>
    <row r="1" spans="1:4" ht="17" thickTop="1" thickBot="1" x14ac:dyDescent="0.25">
      <c r="A1" s="1" t="s">
        <v>1152</v>
      </c>
      <c r="B1" s="2" t="s">
        <v>1192</v>
      </c>
      <c r="C1" s="5" t="s">
        <v>206</v>
      </c>
      <c r="D1" s="3" t="s">
        <v>275</v>
      </c>
    </row>
    <row r="2" spans="1:4" ht="122" thickTop="1" thickBot="1" x14ac:dyDescent="0.25">
      <c r="A2" s="324" t="s">
        <v>1193</v>
      </c>
      <c r="B2" s="325" t="s">
        <v>1194</v>
      </c>
      <c r="C2" s="326" t="s">
        <v>1195</v>
      </c>
      <c r="D2" s="150">
        <v>10</v>
      </c>
    </row>
    <row r="3" spans="1:4" ht="41.75" customHeight="1" x14ac:dyDescent="0.2">
      <c r="A3" s="905" t="s">
        <v>1196</v>
      </c>
      <c r="B3" s="916" t="s">
        <v>1197</v>
      </c>
      <c r="C3" s="918" t="s">
        <v>1198</v>
      </c>
      <c r="D3" s="907">
        <v>0.04</v>
      </c>
    </row>
    <row r="4" spans="1:4" ht="44.75" customHeight="1" thickBot="1" x14ac:dyDescent="0.25">
      <c r="A4" s="906"/>
      <c r="B4" s="917"/>
      <c r="C4" s="919"/>
      <c r="D4" s="908"/>
    </row>
    <row r="5" spans="1:4" ht="30" x14ac:dyDescent="0.2">
      <c r="A5" s="905" t="s">
        <v>1199</v>
      </c>
      <c r="B5" s="327" t="s">
        <v>1200</v>
      </c>
      <c r="C5" s="918" t="s">
        <v>1198</v>
      </c>
      <c r="D5" s="909">
        <v>0.05</v>
      </c>
    </row>
    <row r="6" spans="1:4" ht="46" thickBot="1" x14ac:dyDescent="0.25">
      <c r="A6" s="906"/>
      <c r="B6" s="325" t="s">
        <v>1201</v>
      </c>
      <c r="C6" s="919"/>
      <c r="D6" s="910"/>
    </row>
    <row r="7" spans="1:4" ht="31" thickBot="1" x14ac:dyDescent="0.25">
      <c r="A7" s="328" t="s">
        <v>1202</v>
      </c>
      <c r="B7" s="329" t="s">
        <v>1203</v>
      </c>
      <c r="C7" s="330" t="s">
        <v>211</v>
      </c>
      <c r="D7" s="555">
        <v>2049</v>
      </c>
    </row>
    <row r="8" spans="1:4" ht="15" customHeight="1" x14ac:dyDescent="0.2">
      <c r="A8" s="911" t="s">
        <v>1204</v>
      </c>
      <c r="B8" s="901" t="s">
        <v>1205</v>
      </c>
      <c r="C8" s="920" t="s">
        <v>1206</v>
      </c>
      <c r="D8" s="913">
        <f>$D$7*1.352/(D12/12)</f>
        <v>16.982363218390805</v>
      </c>
    </row>
    <row r="9" spans="1:4" ht="16" thickBot="1" x14ac:dyDescent="0.25">
      <c r="A9" s="912"/>
      <c r="B9" s="915"/>
      <c r="C9" s="921"/>
      <c r="D9" s="914"/>
    </row>
    <row r="10" spans="1:4" x14ac:dyDescent="0.2">
      <c r="A10" s="899" t="s">
        <v>1207</v>
      </c>
      <c r="B10" s="901" t="s">
        <v>1208</v>
      </c>
      <c r="C10" s="897" t="s">
        <v>1206</v>
      </c>
      <c r="D10" s="903">
        <v>9.27</v>
      </c>
    </row>
    <row r="11" spans="1:4" ht="20.25" customHeight="1" thickBot="1" x14ac:dyDescent="0.25">
      <c r="A11" s="900"/>
      <c r="B11" s="902"/>
      <c r="C11" s="898"/>
      <c r="D11" s="904"/>
    </row>
    <row r="12" spans="1:4" ht="72" customHeight="1" thickBot="1" x14ac:dyDescent="0.25">
      <c r="A12" s="331" t="s">
        <v>1209</v>
      </c>
      <c r="B12" s="329" t="s">
        <v>1210</v>
      </c>
      <c r="C12" s="332" t="s">
        <v>1211</v>
      </c>
      <c r="D12" s="556">
        <v>1957.5</v>
      </c>
    </row>
    <row r="13" spans="1:4" ht="72" customHeight="1" thickBot="1" x14ac:dyDescent="0.25">
      <c r="A13" s="331" t="s">
        <v>1212</v>
      </c>
      <c r="B13" s="329" t="s">
        <v>1213</v>
      </c>
      <c r="C13" s="332" t="s">
        <v>1211</v>
      </c>
      <c r="D13" s="557">
        <v>2088</v>
      </c>
    </row>
    <row r="14" spans="1:4" ht="21" customHeight="1" thickBot="1" x14ac:dyDescent="0.25">
      <c r="A14" s="331" t="s">
        <v>163</v>
      </c>
      <c r="B14" s="331" t="s">
        <v>1214</v>
      </c>
      <c r="C14" s="332" t="s">
        <v>1195</v>
      </c>
      <c r="D14" s="558">
        <v>2025</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C12"/>
  <sheetViews>
    <sheetView workbookViewId="0"/>
  </sheetViews>
  <sheetFormatPr baseColWidth="10" defaultColWidth="8.6640625" defaultRowHeight="15" x14ac:dyDescent="0.2"/>
  <cols>
    <col min="1" max="1" width="37.5" bestFit="1" customWidth="1"/>
    <col min="3" max="3" width="50.1640625" customWidth="1"/>
  </cols>
  <sheetData>
    <row r="1" spans="1:3" x14ac:dyDescent="0.2">
      <c r="A1" t="s">
        <v>1215</v>
      </c>
      <c r="C1" t="s">
        <v>1216</v>
      </c>
    </row>
    <row r="2" spans="1:3" x14ac:dyDescent="0.2">
      <c r="A2" t="s">
        <v>982</v>
      </c>
      <c r="C2" s="625" t="s">
        <v>448</v>
      </c>
    </row>
    <row r="3" spans="1:3" x14ac:dyDescent="0.2">
      <c r="A3" t="s">
        <v>981</v>
      </c>
      <c r="C3" s="628" t="s">
        <v>453</v>
      </c>
    </row>
    <row r="4" spans="1:3" x14ac:dyDescent="0.2">
      <c r="A4" t="s">
        <v>1217</v>
      </c>
      <c r="C4" s="625" t="s">
        <v>454</v>
      </c>
    </row>
    <row r="5" spans="1:3" x14ac:dyDescent="0.2">
      <c r="A5" t="s">
        <v>983</v>
      </c>
      <c r="C5" s="625" t="s">
        <v>455</v>
      </c>
    </row>
    <row r="6" spans="1:3" x14ac:dyDescent="0.2">
      <c r="A6" t="s">
        <v>1218</v>
      </c>
      <c r="C6" s="625" t="s">
        <v>456</v>
      </c>
    </row>
    <row r="7" spans="1:3" x14ac:dyDescent="0.2">
      <c r="A7" t="s">
        <v>1219</v>
      </c>
      <c r="C7" s="625" t="s">
        <v>458</v>
      </c>
    </row>
    <row r="8" spans="1:3" x14ac:dyDescent="0.2">
      <c r="A8" t="s">
        <v>1220</v>
      </c>
      <c r="C8" s="625" t="s">
        <v>459</v>
      </c>
    </row>
    <row r="9" spans="1:3" x14ac:dyDescent="0.2">
      <c r="A9" t="s">
        <v>1221</v>
      </c>
      <c r="C9" s="627" t="s">
        <v>460</v>
      </c>
    </row>
    <row r="10" spans="1:3" x14ac:dyDescent="0.2">
      <c r="C10" s="625" t="s">
        <v>461</v>
      </c>
    </row>
    <row r="11" spans="1:3" x14ac:dyDescent="0.2">
      <c r="C11" s="628" t="s">
        <v>450</v>
      </c>
    </row>
    <row r="12" spans="1:3" x14ac:dyDescent="0.2">
      <c r="C12" s="628" t="s">
        <v>452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19"/>
  <dimension ref="A1:T3"/>
  <sheetViews>
    <sheetView workbookViewId="0"/>
  </sheetViews>
  <sheetFormatPr baseColWidth="10" defaultColWidth="8.6640625" defaultRowHeight="15" x14ac:dyDescent="0.2"/>
  <sheetData>
    <row r="1" spans="1:20" x14ac:dyDescent="0.2">
      <c r="A1" t="s">
        <v>1222</v>
      </c>
      <c r="D1" s="197"/>
      <c r="E1" s="197"/>
      <c r="F1" s="197"/>
      <c r="G1" s="197"/>
      <c r="H1" s="197"/>
      <c r="I1" s="197"/>
      <c r="J1" s="197"/>
      <c r="K1" s="197"/>
      <c r="L1" s="197"/>
      <c r="M1" s="197"/>
      <c r="N1" s="197"/>
      <c r="O1" s="197"/>
      <c r="P1" s="197"/>
      <c r="Q1" s="197"/>
      <c r="R1" s="197"/>
      <c r="S1" s="197"/>
      <c r="T1" s="197"/>
    </row>
    <row r="2" spans="1:20" x14ac:dyDescent="0.2">
      <c r="A2" t="s">
        <v>1223</v>
      </c>
      <c r="D2" s="197"/>
      <c r="E2" s="197"/>
      <c r="F2" s="197"/>
      <c r="G2" s="197"/>
      <c r="H2" s="197"/>
      <c r="I2" s="197"/>
      <c r="J2" s="197"/>
      <c r="K2" s="197"/>
      <c r="L2" s="197"/>
      <c r="M2" s="197"/>
      <c r="N2" s="197"/>
      <c r="O2" s="197"/>
      <c r="P2" s="197"/>
      <c r="Q2" s="197"/>
      <c r="R2" s="197"/>
      <c r="S2" s="197"/>
      <c r="T2" s="197"/>
    </row>
    <row r="3" spans="1:20" x14ac:dyDescent="0.2">
      <c r="A3" s="198" t="s">
        <v>160</v>
      </c>
      <c r="D3" s="197"/>
      <c r="E3" s="197"/>
      <c r="F3" s="197"/>
      <c r="G3" s="197"/>
      <c r="H3" s="197"/>
      <c r="I3" s="197"/>
      <c r="J3" s="197"/>
      <c r="K3" s="197"/>
      <c r="L3" s="197"/>
      <c r="M3" s="197"/>
      <c r="N3" s="197"/>
      <c r="O3" s="197"/>
      <c r="P3" s="197"/>
      <c r="Q3" s="197"/>
      <c r="R3" s="197"/>
      <c r="S3" s="197"/>
      <c r="T3" s="199" t="s">
        <v>161</v>
      </c>
    </row>
  </sheetData>
  <pageMargins left="0.7" right="0.7" top="0.75" bottom="0.75" header="0.3" footer="0.3"/>
  <pageSetup paperSize="9" scale="33"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0"/>
  <dimension ref="A1:AC70"/>
  <sheetViews>
    <sheetView workbookViewId="0"/>
  </sheetViews>
  <sheetFormatPr baseColWidth="10" defaultColWidth="8.6640625" defaultRowHeight="15" x14ac:dyDescent="0.2"/>
  <cols>
    <col min="1" max="1" width="21.5" customWidth="1"/>
    <col min="2" max="2" width="14.5" customWidth="1"/>
    <col min="3" max="3" width="14.33203125" style="197" customWidth="1"/>
    <col min="4" max="4" width="14.1640625" style="197" customWidth="1"/>
    <col min="5" max="5" width="14.6640625" style="197" customWidth="1"/>
    <col min="6" max="6" width="11.6640625" style="197" customWidth="1"/>
    <col min="7" max="7" width="15.6640625" style="197" customWidth="1"/>
    <col min="8" max="8" width="13.5" style="197" customWidth="1"/>
    <col min="9" max="9" width="10" style="197" customWidth="1"/>
    <col min="10" max="28" width="8.5" style="197" customWidth="1"/>
  </cols>
  <sheetData>
    <row r="1" spans="1:29" ht="16" thickBot="1" x14ac:dyDescent="0.25"/>
    <row r="2" spans="1:29" ht="48.75" customHeight="1" thickBot="1" x14ac:dyDescent="0.25">
      <c r="A2" s="200" t="s">
        <v>1224</v>
      </c>
      <c r="B2" s="217" t="s">
        <v>1225</v>
      </c>
      <c r="C2" s="215" t="s">
        <v>1226</v>
      </c>
      <c r="D2" s="201" t="s">
        <v>1227</v>
      </c>
      <c r="E2" s="201" t="s">
        <v>1228</v>
      </c>
      <c r="F2" s="222" t="s">
        <v>118</v>
      </c>
      <c r="G2" s="217" t="s">
        <v>1229</v>
      </c>
      <c r="H2" s="226" t="s">
        <v>1226</v>
      </c>
      <c r="I2" s="202" t="s">
        <v>118</v>
      </c>
      <c r="O2" s="203"/>
      <c r="P2" s="204"/>
      <c r="Q2" s="204"/>
      <c r="R2" s="97"/>
      <c r="S2" s="97"/>
      <c r="T2" s="97"/>
      <c r="U2" s="97"/>
      <c r="V2" s="97"/>
      <c r="W2" s="97"/>
      <c r="X2" s="97"/>
      <c r="Y2" s="204"/>
      <c r="Z2" s="204"/>
      <c r="AA2" s="97"/>
      <c r="AB2" s="97"/>
      <c r="AC2" s="97"/>
    </row>
    <row r="3" spans="1:29" ht="16" x14ac:dyDescent="0.2">
      <c r="A3" s="205" t="s">
        <v>174</v>
      </c>
      <c r="B3" s="218"/>
      <c r="C3" s="216"/>
      <c r="D3" s="212"/>
      <c r="E3" s="212"/>
      <c r="F3" s="223"/>
      <c r="G3" s="227"/>
      <c r="H3" s="216"/>
      <c r="I3" s="212"/>
      <c r="O3" s="206"/>
      <c r="P3"/>
      <c r="AC3" s="197"/>
    </row>
    <row r="4" spans="1:29" ht="16" x14ac:dyDescent="0.2">
      <c r="A4" s="207" t="s">
        <v>1230</v>
      </c>
      <c r="B4" s="219" t="s">
        <v>1231</v>
      </c>
      <c r="C4" s="214"/>
      <c r="D4" s="213"/>
      <c r="E4" s="213"/>
      <c r="F4" s="224"/>
      <c r="G4" s="220"/>
      <c r="H4" s="214"/>
      <c r="I4" s="213"/>
      <c r="O4" s="206"/>
      <c r="P4" s="208"/>
      <c r="AC4" s="197"/>
    </row>
    <row r="5" spans="1:29" ht="15.75" customHeight="1" x14ac:dyDescent="0.2">
      <c r="A5" s="209" t="s">
        <v>1232</v>
      </c>
      <c r="B5" s="220"/>
      <c r="C5" s="214"/>
      <c r="D5" s="213"/>
      <c r="E5" s="213"/>
      <c r="F5" s="224"/>
      <c r="G5" s="220"/>
      <c r="H5" s="214"/>
      <c r="I5" s="213"/>
      <c r="O5" s="206"/>
      <c r="AC5" s="197"/>
    </row>
    <row r="6" spans="1:29" ht="16" x14ac:dyDescent="0.2">
      <c r="A6" s="209" t="s">
        <v>1233</v>
      </c>
      <c r="B6" s="220"/>
      <c r="C6" s="214"/>
      <c r="D6" s="213"/>
      <c r="E6" s="213"/>
      <c r="F6" s="224"/>
      <c r="G6" s="220"/>
      <c r="H6" s="214"/>
      <c r="I6" s="213"/>
      <c r="O6" s="206"/>
      <c r="AC6" s="197"/>
    </row>
    <row r="7" spans="1:29" ht="16" x14ac:dyDescent="0.2">
      <c r="A7" s="209" t="s">
        <v>1234</v>
      </c>
      <c r="B7" s="220"/>
      <c r="C7" s="214"/>
      <c r="D7" s="213"/>
      <c r="E7" s="213"/>
      <c r="F7" s="224"/>
      <c r="G7" s="220"/>
      <c r="H7" s="214"/>
      <c r="I7" s="213"/>
      <c r="O7" s="206"/>
      <c r="AC7" s="197"/>
    </row>
    <row r="8" spans="1:29" ht="16" x14ac:dyDescent="0.2">
      <c r="A8" s="209" t="s">
        <v>1235</v>
      </c>
      <c r="B8" s="220"/>
      <c r="C8" s="214"/>
      <c r="D8" s="213"/>
      <c r="E8" s="213"/>
      <c r="F8" s="224"/>
      <c r="G8" s="220"/>
      <c r="H8" s="214"/>
      <c r="I8" s="213"/>
      <c r="O8" s="206"/>
      <c r="AC8" s="197"/>
    </row>
    <row r="9" spans="1:29" ht="16" x14ac:dyDescent="0.2">
      <c r="A9" s="209" t="s">
        <v>1236</v>
      </c>
      <c r="B9" s="220"/>
      <c r="C9" s="214"/>
      <c r="D9" s="213"/>
      <c r="E9" s="213"/>
      <c r="F9" s="224"/>
      <c r="G9" s="220"/>
      <c r="H9" s="214"/>
      <c r="I9" s="213"/>
      <c r="O9" s="206"/>
      <c r="AC9" s="197"/>
    </row>
    <row r="10" spans="1:29" ht="16" x14ac:dyDescent="0.2">
      <c r="A10" s="209" t="s">
        <v>1237</v>
      </c>
      <c r="B10" s="220"/>
      <c r="C10" s="214"/>
      <c r="D10" s="213"/>
      <c r="E10" s="213"/>
      <c r="F10" s="224"/>
      <c r="G10" s="220"/>
      <c r="H10" s="214"/>
      <c r="I10" s="213"/>
      <c r="O10" s="206"/>
      <c r="AC10" s="197"/>
    </row>
    <row r="11" spans="1:29" ht="16" x14ac:dyDescent="0.2">
      <c r="A11" s="209" t="s">
        <v>1238</v>
      </c>
      <c r="B11" s="220"/>
      <c r="C11" s="214"/>
      <c r="D11" s="213"/>
      <c r="E11" s="213"/>
      <c r="F11" s="224"/>
      <c r="G11" s="220"/>
      <c r="H11" s="214"/>
      <c r="I11" s="213"/>
      <c r="O11" s="206"/>
      <c r="AC11" s="197"/>
    </row>
    <row r="12" spans="1:29" ht="16" x14ac:dyDescent="0.2">
      <c r="A12" s="209" t="s">
        <v>1239</v>
      </c>
      <c r="B12" s="220"/>
      <c r="C12" s="214"/>
      <c r="D12" s="213"/>
      <c r="E12" s="213"/>
      <c r="F12" s="224"/>
      <c r="G12" s="220"/>
      <c r="H12" s="214"/>
      <c r="I12" s="213"/>
      <c r="O12" s="206"/>
      <c r="AC12" s="197"/>
    </row>
    <row r="13" spans="1:29" ht="16" x14ac:dyDescent="0.2">
      <c r="A13" s="209" t="s">
        <v>1240</v>
      </c>
      <c r="B13" s="220"/>
      <c r="C13" s="214"/>
      <c r="D13" s="213"/>
      <c r="E13" s="213"/>
      <c r="F13" s="224"/>
      <c r="G13" s="220"/>
      <c r="H13" s="214"/>
      <c r="I13" s="213"/>
      <c r="O13" s="206"/>
      <c r="AC13" s="197"/>
    </row>
    <row r="14" spans="1:29" ht="16" x14ac:dyDescent="0.2">
      <c r="A14" s="209" t="s">
        <v>1241</v>
      </c>
      <c r="B14" s="220"/>
      <c r="C14" s="214"/>
      <c r="D14" s="213"/>
      <c r="E14" s="213"/>
      <c r="F14" s="224"/>
      <c r="G14" s="220"/>
      <c r="H14" s="214"/>
      <c r="I14" s="213"/>
      <c r="O14" s="206"/>
      <c r="AC14" s="197"/>
    </row>
    <row r="15" spans="1:29" ht="16" x14ac:dyDescent="0.2">
      <c r="A15" s="209" t="s">
        <v>1242</v>
      </c>
      <c r="B15" s="220"/>
      <c r="C15" s="214"/>
      <c r="D15" s="213"/>
      <c r="E15" s="213"/>
      <c r="F15" s="224"/>
      <c r="G15" s="220"/>
      <c r="H15" s="214"/>
      <c r="I15" s="213"/>
      <c r="O15" s="206"/>
      <c r="AC15" s="197"/>
    </row>
    <row r="16" spans="1:29" ht="16" x14ac:dyDescent="0.2">
      <c r="A16" s="209" t="s">
        <v>1243</v>
      </c>
      <c r="B16" s="220"/>
      <c r="C16" s="214"/>
      <c r="D16" s="213"/>
      <c r="E16" s="213"/>
      <c r="F16" s="224"/>
      <c r="G16" s="220"/>
      <c r="H16" s="214"/>
      <c r="I16" s="213"/>
      <c r="O16" s="206"/>
      <c r="AC16" s="197"/>
    </row>
    <row r="17" spans="1:29" ht="16" x14ac:dyDescent="0.2">
      <c r="A17" s="209" t="s">
        <v>1244</v>
      </c>
      <c r="B17" s="220"/>
      <c r="C17" s="214"/>
      <c r="D17" s="213"/>
      <c r="E17" s="213"/>
      <c r="F17" s="224"/>
      <c r="G17" s="220"/>
      <c r="H17" s="214"/>
      <c r="I17" s="213"/>
      <c r="O17" s="206"/>
      <c r="AC17" s="197"/>
    </row>
    <row r="18" spans="1:29" ht="16" x14ac:dyDescent="0.2">
      <c r="A18" s="209" t="s">
        <v>1245</v>
      </c>
      <c r="B18" s="220"/>
      <c r="C18" s="214"/>
      <c r="D18" s="213"/>
      <c r="E18" s="213"/>
      <c r="F18" s="224"/>
      <c r="G18" s="220"/>
      <c r="H18" s="214"/>
      <c r="I18" s="213"/>
      <c r="O18" s="206"/>
      <c r="AC18" s="197"/>
    </row>
    <row r="19" spans="1:29" ht="16" x14ac:dyDescent="0.2">
      <c r="A19" s="209" t="s">
        <v>1246</v>
      </c>
      <c r="B19" s="220"/>
      <c r="C19" s="214"/>
      <c r="D19" s="213"/>
      <c r="E19" s="213"/>
      <c r="F19" s="224"/>
      <c r="G19" s="220"/>
      <c r="H19" s="214"/>
      <c r="I19" s="213"/>
      <c r="O19" s="206"/>
      <c r="AC19" s="197"/>
    </row>
    <row r="20" spans="1:29" ht="16" x14ac:dyDescent="0.2">
      <c r="A20" s="209" t="s">
        <v>1247</v>
      </c>
      <c r="B20" s="220"/>
      <c r="C20" s="214"/>
      <c r="D20" s="213"/>
      <c r="E20" s="213"/>
      <c r="F20" s="224"/>
      <c r="G20" s="220"/>
      <c r="H20" s="214"/>
      <c r="I20" s="213"/>
      <c r="O20" s="206"/>
      <c r="AC20" s="197"/>
    </row>
    <row r="21" spans="1:29" ht="16" x14ac:dyDescent="0.2">
      <c r="A21" s="209" t="s">
        <v>1248</v>
      </c>
      <c r="B21" s="220"/>
      <c r="C21" s="214"/>
      <c r="D21" s="213"/>
      <c r="E21" s="213"/>
      <c r="F21" s="224"/>
      <c r="G21" s="220"/>
      <c r="H21" s="214"/>
      <c r="I21" s="213"/>
      <c r="O21" s="206"/>
      <c r="AC21" s="197"/>
    </row>
    <row r="22" spans="1:29" ht="16" x14ac:dyDescent="0.2">
      <c r="A22" s="209" t="s">
        <v>1249</v>
      </c>
      <c r="B22" s="220"/>
      <c r="C22" s="214"/>
      <c r="D22" s="213"/>
      <c r="E22" s="213"/>
      <c r="F22" s="224"/>
      <c r="G22" s="220"/>
      <c r="H22" s="214"/>
      <c r="I22" s="213"/>
      <c r="O22" s="206"/>
      <c r="AC22" s="197"/>
    </row>
    <row r="23" spans="1:29" ht="16" x14ac:dyDescent="0.2">
      <c r="A23" s="209" t="s">
        <v>1250</v>
      </c>
      <c r="B23" s="220"/>
      <c r="C23" s="214"/>
      <c r="D23" s="213"/>
      <c r="E23" s="213"/>
      <c r="F23" s="224"/>
      <c r="G23" s="220"/>
      <c r="H23" s="214"/>
      <c r="I23" s="213"/>
      <c r="O23" s="206"/>
      <c r="AC23" s="197"/>
    </row>
    <row r="24" spans="1:29" ht="16" x14ac:dyDescent="0.2">
      <c r="A24" s="209" t="s">
        <v>1251</v>
      </c>
      <c r="B24" s="220"/>
      <c r="C24" s="214"/>
      <c r="D24" s="213"/>
      <c r="E24" s="213"/>
      <c r="F24" s="224"/>
      <c r="G24" s="220"/>
      <c r="H24" s="214"/>
      <c r="I24" s="213"/>
      <c r="O24" s="206"/>
      <c r="AC24" s="197"/>
    </row>
    <row r="25" spans="1:29" ht="16" x14ac:dyDescent="0.2">
      <c r="A25" s="209" t="s">
        <v>1252</v>
      </c>
      <c r="B25" s="220"/>
      <c r="C25" s="214"/>
      <c r="D25" s="213"/>
      <c r="E25" s="213"/>
      <c r="F25" s="224"/>
      <c r="G25" s="220"/>
      <c r="H25" s="214"/>
      <c r="I25" s="213"/>
      <c r="O25" s="206"/>
      <c r="AC25" s="197"/>
    </row>
    <row r="26" spans="1:29" ht="16" x14ac:dyDescent="0.2">
      <c r="A26" s="209" t="s">
        <v>1253</v>
      </c>
      <c r="B26" s="220"/>
      <c r="C26" s="214"/>
      <c r="D26" s="213"/>
      <c r="E26" s="213"/>
      <c r="F26" s="224"/>
      <c r="G26" s="220"/>
      <c r="H26" s="214"/>
      <c r="I26" s="213"/>
      <c r="O26" s="206"/>
      <c r="AC26" s="197"/>
    </row>
    <row r="27" spans="1:29" ht="16" x14ac:dyDescent="0.2">
      <c r="A27" s="209" t="s">
        <v>1254</v>
      </c>
      <c r="B27" s="220"/>
      <c r="C27" s="214"/>
      <c r="D27" s="213"/>
      <c r="E27" s="213"/>
      <c r="F27" s="224"/>
      <c r="G27" s="220"/>
      <c r="H27" s="214"/>
      <c r="I27" s="213"/>
      <c r="O27" s="206"/>
      <c r="AC27" s="197"/>
    </row>
    <row r="28" spans="1:29" ht="16" x14ac:dyDescent="0.2">
      <c r="A28" s="209" t="s">
        <v>1255</v>
      </c>
      <c r="B28" s="220"/>
      <c r="C28" s="214"/>
      <c r="D28" s="213"/>
      <c r="E28" s="213"/>
      <c r="F28" s="224"/>
      <c r="G28" s="220"/>
      <c r="H28" s="214"/>
      <c r="I28" s="213"/>
      <c r="O28" s="206"/>
      <c r="AC28" s="197"/>
    </row>
    <row r="29" spans="1:29" ht="16" x14ac:dyDescent="0.2">
      <c r="A29" s="209" t="s">
        <v>1256</v>
      </c>
      <c r="B29" s="220"/>
      <c r="C29" s="214"/>
      <c r="D29" s="213"/>
      <c r="E29" s="213"/>
      <c r="F29" s="224"/>
      <c r="G29" s="220"/>
      <c r="H29" s="214"/>
      <c r="I29" s="213"/>
      <c r="O29" s="206"/>
      <c r="AC29" s="197"/>
    </row>
    <row r="30" spans="1:29" ht="16" x14ac:dyDescent="0.2">
      <c r="A30" s="209" t="s">
        <v>1257</v>
      </c>
      <c r="B30" s="220"/>
      <c r="C30" s="214"/>
      <c r="D30" s="213"/>
      <c r="E30" s="213"/>
      <c r="F30" s="224"/>
      <c r="G30" s="220"/>
      <c r="H30" s="214"/>
      <c r="I30" s="213"/>
      <c r="O30" s="206"/>
      <c r="AC30" s="197"/>
    </row>
    <row r="31" spans="1:29" ht="16" x14ac:dyDescent="0.2">
      <c r="A31" s="209" t="s">
        <v>1258</v>
      </c>
      <c r="B31" s="220"/>
      <c r="C31" s="214"/>
      <c r="D31" s="213"/>
      <c r="E31" s="213"/>
      <c r="F31" s="224"/>
      <c r="G31" s="220"/>
      <c r="H31" s="214"/>
      <c r="I31" s="213"/>
      <c r="O31" s="206"/>
      <c r="AC31" s="197"/>
    </row>
    <row r="32" spans="1:29" ht="16" x14ac:dyDescent="0.2">
      <c r="A32" s="209" t="s">
        <v>1259</v>
      </c>
      <c r="B32" s="220"/>
      <c r="C32" s="214"/>
      <c r="D32" s="213"/>
      <c r="E32" s="213"/>
      <c r="F32" s="224"/>
      <c r="G32" s="220"/>
      <c r="H32" s="214"/>
      <c r="I32" s="213"/>
      <c r="O32" s="206"/>
      <c r="AC32" s="197"/>
    </row>
    <row r="33" spans="1:29" ht="16" x14ac:dyDescent="0.2">
      <c r="A33" s="209" t="s">
        <v>1260</v>
      </c>
      <c r="B33" s="220"/>
      <c r="C33" s="214"/>
      <c r="D33" s="213"/>
      <c r="E33" s="213"/>
      <c r="F33" s="224"/>
      <c r="G33" s="220"/>
      <c r="H33" s="214"/>
      <c r="I33" s="213"/>
      <c r="O33" s="206"/>
      <c r="AC33" s="197"/>
    </row>
    <row r="34" spans="1:29" ht="17" thickBot="1" x14ac:dyDescent="0.25">
      <c r="A34" s="210" t="s">
        <v>1261</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1262</v>
      </c>
      <c r="B38" s="217" t="s">
        <v>1225</v>
      </c>
      <c r="C38" s="215" t="s">
        <v>1226</v>
      </c>
      <c r="D38" s="201" t="s">
        <v>1227</v>
      </c>
      <c r="E38" s="201" t="s">
        <v>1228</v>
      </c>
      <c r="F38" s="222" t="s">
        <v>118</v>
      </c>
      <c r="G38" s="217" t="s">
        <v>1229</v>
      </c>
      <c r="H38" s="226" t="s">
        <v>1226</v>
      </c>
      <c r="I38" s="202" t="s">
        <v>118</v>
      </c>
    </row>
    <row r="39" spans="1:29" ht="16" x14ac:dyDescent="0.2">
      <c r="A39" s="205" t="s">
        <v>174</v>
      </c>
      <c r="B39" s="218"/>
      <c r="C39" s="216"/>
      <c r="D39" s="212"/>
      <c r="E39" s="212"/>
      <c r="F39" s="223"/>
      <c r="G39" s="227"/>
      <c r="H39" s="216"/>
      <c r="I39" s="212"/>
    </row>
    <row r="40" spans="1:29" ht="16" x14ac:dyDescent="0.2">
      <c r="A40" s="207" t="s">
        <v>1230</v>
      </c>
      <c r="B40" s="219" t="s">
        <v>1231</v>
      </c>
      <c r="C40" s="214"/>
      <c r="D40" s="213"/>
      <c r="E40" s="213"/>
      <c r="F40" s="224"/>
      <c r="G40" s="220"/>
      <c r="H40" s="214"/>
      <c r="I40" s="213"/>
    </row>
    <row r="41" spans="1:29" ht="16" x14ac:dyDescent="0.2">
      <c r="A41" s="209" t="s">
        <v>1232</v>
      </c>
      <c r="B41" s="220"/>
      <c r="C41" s="214"/>
      <c r="D41" s="213"/>
      <c r="E41" s="213"/>
      <c r="F41" s="224"/>
      <c r="G41" s="220"/>
      <c r="H41" s="214"/>
      <c r="I41" s="213"/>
    </row>
    <row r="42" spans="1:29" ht="16" x14ac:dyDescent="0.2">
      <c r="A42" s="209" t="s">
        <v>1233</v>
      </c>
      <c r="B42" s="220"/>
      <c r="C42" s="214"/>
      <c r="D42" s="213"/>
      <c r="E42" s="213"/>
      <c r="F42" s="224"/>
      <c r="G42" s="220"/>
      <c r="H42" s="214"/>
      <c r="I42" s="213"/>
    </row>
    <row r="43" spans="1:29" ht="16" x14ac:dyDescent="0.2">
      <c r="A43" s="209" t="s">
        <v>1234</v>
      </c>
      <c r="B43" s="220"/>
      <c r="C43" s="214"/>
      <c r="D43" s="213"/>
      <c r="E43" s="213"/>
      <c r="F43" s="224"/>
      <c r="G43" s="220"/>
      <c r="H43" s="214"/>
      <c r="I43" s="213"/>
    </row>
    <row r="44" spans="1:29" ht="16" x14ac:dyDescent="0.2">
      <c r="A44" s="209" t="s">
        <v>1235</v>
      </c>
      <c r="B44" s="220"/>
      <c r="C44" s="214"/>
      <c r="D44" s="213"/>
      <c r="E44" s="213"/>
      <c r="F44" s="224"/>
      <c r="G44" s="220"/>
      <c r="H44" s="214"/>
      <c r="I44" s="213"/>
    </row>
    <row r="45" spans="1:29" ht="16" x14ac:dyDescent="0.2">
      <c r="A45" s="209" t="s">
        <v>1236</v>
      </c>
      <c r="B45" s="220"/>
      <c r="C45" s="214"/>
      <c r="D45" s="213"/>
      <c r="E45" s="213"/>
      <c r="F45" s="224"/>
      <c r="G45" s="220"/>
      <c r="H45" s="214"/>
      <c r="I45" s="213"/>
    </row>
    <row r="46" spans="1:29" ht="16" x14ac:dyDescent="0.2">
      <c r="A46" s="209" t="s">
        <v>1237</v>
      </c>
      <c r="B46" s="220"/>
      <c r="C46" s="214"/>
      <c r="D46" s="213"/>
      <c r="E46" s="213"/>
      <c r="F46" s="224"/>
      <c r="G46" s="220"/>
      <c r="H46" s="214"/>
      <c r="I46" s="213"/>
    </row>
    <row r="47" spans="1:29" ht="16" x14ac:dyDescent="0.2">
      <c r="A47" s="209" t="s">
        <v>1238</v>
      </c>
      <c r="B47" s="220"/>
      <c r="C47" s="214"/>
      <c r="D47" s="213"/>
      <c r="E47" s="213"/>
      <c r="F47" s="224"/>
      <c r="G47" s="220"/>
      <c r="H47" s="214"/>
      <c r="I47" s="213"/>
    </row>
    <row r="48" spans="1:29" ht="16" x14ac:dyDescent="0.2">
      <c r="A48" s="209" t="s">
        <v>1239</v>
      </c>
      <c r="B48" s="220"/>
      <c r="C48" s="214"/>
      <c r="D48" s="213"/>
      <c r="E48" s="213"/>
      <c r="F48" s="224"/>
      <c r="G48" s="220"/>
      <c r="H48" s="214"/>
      <c r="I48" s="213"/>
    </row>
    <row r="49" spans="1:9" ht="16" x14ac:dyDescent="0.2">
      <c r="A49" s="209" t="s">
        <v>1240</v>
      </c>
      <c r="B49" s="220"/>
      <c r="C49" s="214"/>
      <c r="D49" s="213"/>
      <c r="E49" s="213"/>
      <c r="F49" s="224"/>
      <c r="G49" s="220"/>
      <c r="H49" s="214"/>
      <c r="I49" s="213"/>
    </row>
    <row r="50" spans="1:9" ht="16" x14ac:dyDescent="0.2">
      <c r="A50" s="209" t="s">
        <v>1241</v>
      </c>
      <c r="B50" s="220"/>
      <c r="C50" s="214"/>
      <c r="D50" s="213"/>
      <c r="E50" s="213"/>
      <c r="F50" s="224"/>
      <c r="G50" s="220"/>
      <c r="H50" s="214"/>
      <c r="I50" s="213"/>
    </row>
    <row r="51" spans="1:9" ht="16" x14ac:dyDescent="0.2">
      <c r="A51" s="209" t="s">
        <v>1242</v>
      </c>
      <c r="B51" s="220"/>
      <c r="C51" s="214"/>
      <c r="D51" s="213"/>
      <c r="E51" s="213"/>
      <c r="F51" s="224"/>
      <c r="G51" s="220"/>
      <c r="H51" s="214"/>
      <c r="I51" s="213"/>
    </row>
    <row r="52" spans="1:9" ht="16" x14ac:dyDescent="0.2">
      <c r="A52" s="209" t="s">
        <v>1243</v>
      </c>
      <c r="B52" s="220"/>
      <c r="C52" s="214"/>
      <c r="D52" s="213"/>
      <c r="E52" s="213"/>
      <c r="F52" s="224"/>
      <c r="G52" s="220"/>
      <c r="H52" s="214"/>
      <c r="I52" s="213"/>
    </row>
    <row r="53" spans="1:9" ht="16" x14ac:dyDescent="0.2">
      <c r="A53" s="209" t="s">
        <v>1244</v>
      </c>
      <c r="B53" s="220"/>
      <c r="C53" s="214"/>
      <c r="D53" s="213"/>
      <c r="E53" s="213"/>
      <c r="F53" s="224"/>
      <c r="G53" s="220"/>
      <c r="H53" s="214"/>
      <c r="I53" s="213"/>
    </row>
    <row r="54" spans="1:9" ht="16" x14ac:dyDescent="0.2">
      <c r="A54" s="209" t="s">
        <v>1245</v>
      </c>
      <c r="B54" s="220"/>
      <c r="C54" s="214"/>
      <c r="D54" s="213"/>
      <c r="E54" s="213"/>
      <c r="F54" s="224"/>
      <c r="G54" s="220"/>
      <c r="H54" s="214"/>
      <c r="I54" s="213"/>
    </row>
    <row r="55" spans="1:9" ht="16" x14ac:dyDescent="0.2">
      <c r="A55" s="209" t="s">
        <v>1246</v>
      </c>
      <c r="B55" s="220"/>
      <c r="C55" s="214"/>
      <c r="D55" s="213"/>
      <c r="E55" s="213"/>
      <c r="F55" s="224"/>
      <c r="G55" s="220"/>
      <c r="H55" s="214"/>
      <c r="I55" s="213"/>
    </row>
    <row r="56" spans="1:9" ht="16" x14ac:dyDescent="0.2">
      <c r="A56" s="209" t="s">
        <v>1247</v>
      </c>
      <c r="B56" s="220"/>
      <c r="C56" s="214"/>
      <c r="D56" s="213"/>
      <c r="E56" s="213"/>
      <c r="F56" s="224"/>
      <c r="G56" s="220"/>
      <c r="H56" s="214"/>
      <c r="I56" s="213"/>
    </row>
    <row r="57" spans="1:9" ht="16" x14ac:dyDescent="0.2">
      <c r="A57" s="209" t="s">
        <v>1248</v>
      </c>
      <c r="B57" s="220"/>
      <c r="C57" s="214"/>
      <c r="D57" s="213"/>
      <c r="E57" s="213"/>
      <c r="F57" s="224"/>
      <c r="G57" s="220"/>
      <c r="H57" s="214"/>
      <c r="I57" s="213"/>
    </row>
    <row r="58" spans="1:9" ht="16" x14ac:dyDescent="0.2">
      <c r="A58" s="209" t="s">
        <v>1249</v>
      </c>
      <c r="B58" s="220"/>
      <c r="C58" s="214"/>
      <c r="D58" s="213"/>
      <c r="E58" s="213"/>
      <c r="F58" s="224"/>
      <c r="G58" s="220"/>
      <c r="H58" s="214"/>
      <c r="I58" s="213"/>
    </row>
    <row r="59" spans="1:9" ht="16" x14ac:dyDescent="0.2">
      <c r="A59" s="209" t="s">
        <v>1250</v>
      </c>
      <c r="B59" s="220"/>
      <c r="C59" s="214"/>
      <c r="D59" s="213"/>
      <c r="E59" s="213"/>
      <c r="F59" s="224"/>
      <c r="G59" s="220"/>
      <c r="H59" s="214"/>
      <c r="I59" s="213"/>
    </row>
    <row r="60" spans="1:9" ht="16" x14ac:dyDescent="0.2">
      <c r="A60" s="209" t="s">
        <v>1251</v>
      </c>
      <c r="B60" s="220"/>
      <c r="C60" s="214"/>
      <c r="D60" s="213"/>
      <c r="E60" s="213"/>
      <c r="F60" s="224"/>
      <c r="G60" s="220"/>
      <c r="H60" s="214"/>
      <c r="I60" s="213"/>
    </row>
    <row r="61" spans="1:9" ht="16" x14ac:dyDescent="0.2">
      <c r="A61" s="209" t="s">
        <v>1252</v>
      </c>
      <c r="B61" s="220"/>
      <c r="C61" s="214"/>
      <c r="D61" s="213"/>
      <c r="E61" s="213"/>
      <c r="F61" s="224"/>
      <c r="G61" s="220"/>
      <c r="H61" s="214"/>
      <c r="I61" s="213"/>
    </row>
    <row r="62" spans="1:9" ht="16" x14ac:dyDescent="0.2">
      <c r="A62" s="209" t="s">
        <v>1253</v>
      </c>
      <c r="B62" s="220"/>
      <c r="C62" s="214"/>
      <c r="D62" s="213"/>
      <c r="E62" s="213"/>
      <c r="F62" s="224"/>
      <c r="G62" s="220"/>
      <c r="H62" s="214"/>
      <c r="I62" s="213"/>
    </row>
    <row r="63" spans="1:9" ht="16" x14ac:dyDescent="0.2">
      <c r="A63" s="209" t="s">
        <v>1254</v>
      </c>
      <c r="B63" s="220"/>
      <c r="C63" s="214"/>
      <c r="D63" s="213"/>
      <c r="E63" s="213"/>
      <c r="F63" s="224"/>
      <c r="G63" s="220"/>
      <c r="H63" s="214"/>
      <c r="I63" s="213"/>
    </row>
    <row r="64" spans="1:9" ht="16" x14ac:dyDescent="0.2">
      <c r="A64" s="209" t="s">
        <v>1255</v>
      </c>
      <c r="B64" s="220"/>
      <c r="C64" s="214"/>
      <c r="D64" s="213"/>
      <c r="E64" s="213"/>
      <c r="F64" s="224"/>
      <c r="G64" s="220"/>
      <c r="H64" s="214"/>
      <c r="I64" s="213"/>
    </row>
    <row r="65" spans="1:9" ht="16" x14ac:dyDescent="0.2">
      <c r="A65" s="209" t="s">
        <v>1256</v>
      </c>
      <c r="B65" s="220"/>
      <c r="C65" s="214"/>
      <c r="D65" s="213"/>
      <c r="E65" s="213"/>
      <c r="F65" s="224"/>
      <c r="G65" s="220"/>
      <c r="H65" s="214"/>
      <c r="I65" s="213"/>
    </row>
    <row r="66" spans="1:9" ht="16" x14ac:dyDescent="0.2">
      <c r="A66" s="209" t="s">
        <v>1257</v>
      </c>
      <c r="B66" s="220"/>
      <c r="C66" s="214"/>
      <c r="D66" s="213"/>
      <c r="E66" s="213"/>
      <c r="F66" s="224"/>
      <c r="G66" s="220"/>
      <c r="H66" s="214"/>
      <c r="I66" s="213"/>
    </row>
    <row r="67" spans="1:9" ht="16" x14ac:dyDescent="0.2">
      <c r="A67" s="209" t="s">
        <v>1258</v>
      </c>
      <c r="B67" s="220"/>
      <c r="C67" s="214"/>
      <c r="D67" s="213"/>
      <c r="E67" s="213"/>
      <c r="F67" s="224"/>
      <c r="G67" s="220"/>
      <c r="H67" s="214"/>
      <c r="I67" s="213"/>
    </row>
    <row r="68" spans="1:9" ht="16" x14ac:dyDescent="0.2">
      <c r="A68" s="209" t="s">
        <v>1259</v>
      </c>
      <c r="B68" s="220"/>
      <c r="C68" s="214"/>
      <c r="D68" s="213"/>
      <c r="E68" s="213"/>
      <c r="F68" s="224"/>
      <c r="G68" s="220"/>
      <c r="H68" s="214"/>
      <c r="I68" s="213"/>
    </row>
    <row r="69" spans="1:9" ht="16" x14ac:dyDescent="0.2">
      <c r="A69" s="209" t="s">
        <v>1260</v>
      </c>
      <c r="B69" s="220"/>
      <c r="C69" s="214"/>
      <c r="D69" s="213"/>
      <c r="E69" s="213"/>
      <c r="F69" s="224"/>
      <c r="G69" s="220"/>
      <c r="H69" s="214"/>
      <c r="I69" s="213"/>
    </row>
    <row r="70" spans="1:9" ht="17" thickBot="1" x14ac:dyDescent="0.25">
      <c r="A70" s="210" t="s">
        <v>1261</v>
      </c>
      <c r="B70" s="221"/>
      <c r="C70" s="211"/>
      <c r="D70" s="194"/>
      <c r="E70" s="194"/>
      <c r="F70" s="225"/>
      <c r="G70" s="221"/>
      <c r="H70" s="211"/>
      <c r="I70" s="194"/>
    </row>
  </sheetData>
  <pageMargins left="0.7" right="0.7" top="0.75" bottom="0.75" header="0.3" footer="0.3"/>
  <pageSetup paperSize="9" scale="6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árok21"/>
  <dimension ref="A1:AC70"/>
  <sheetViews>
    <sheetView workbookViewId="0"/>
  </sheetViews>
  <sheetFormatPr baseColWidth="10" defaultColWidth="8.6640625" defaultRowHeight="15" x14ac:dyDescent="0.2"/>
  <cols>
    <col min="1" max="1" width="21.5" customWidth="1"/>
    <col min="2" max="2" width="14.5" customWidth="1"/>
    <col min="3" max="3" width="14.33203125" style="197" customWidth="1"/>
    <col min="4" max="4" width="14.1640625" style="197" customWidth="1"/>
    <col min="5" max="5" width="14.6640625" style="197" customWidth="1"/>
    <col min="6" max="6" width="11.6640625" style="197" customWidth="1"/>
    <col min="7" max="7" width="15.6640625" style="197" customWidth="1"/>
    <col min="8" max="8" width="13.5" style="197" customWidth="1"/>
    <col min="9" max="28" width="8.5" style="197" customWidth="1"/>
  </cols>
  <sheetData>
    <row r="1" spans="1:29" ht="16" thickBot="1" x14ac:dyDescent="0.25"/>
    <row r="2" spans="1:29" ht="48.75" customHeight="1" thickBot="1" x14ac:dyDescent="0.25">
      <c r="A2" s="200" t="s">
        <v>1224</v>
      </c>
      <c r="B2" s="217" t="s">
        <v>1225</v>
      </c>
      <c r="C2" s="215" t="s">
        <v>1226</v>
      </c>
      <c r="D2" s="201" t="s">
        <v>1227</v>
      </c>
      <c r="E2" s="201" t="s">
        <v>1228</v>
      </c>
      <c r="F2" s="222" t="s">
        <v>118</v>
      </c>
      <c r="G2" s="217" t="s">
        <v>1229</v>
      </c>
      <c r="H2" s="226" t="s">
        <v>1226</v>
      </c>
      <c r="I2" s="202" t="s">
        <v>118</v>
      </c>
      <c r="O2" s="203"/>
      <c r="P2" s="204"/>
      <c r="Q2" s="204"/>
      <c r="R2" s="97"/>
      <c r="S2" s="97"/>
      <c r="T2" s="97"/>
      <c r="U2" s="97"/>
      <c r="V2" s="97"/>
      <c r="W2" s="97"/>
      <c r="X2" s="97"/>
      <c r="Y2" s="204"/>
      <c r="Z2" s="204"/>
      <c r="AA2" s="97"/>
      <c r="AB2" s="97"/>
      <c r="AC2" s="97"/>
    </row>
    <row r="3" spans="1:29" ht="16" x14ac:dyDescent="0.2">
      <c r="A3" s="205" t="s">
        <v>174</v>
      </c>
      <c r="B3" s="218"/>
      <c r="C3" s="216"/>
      <c r="D3" s="212"/>
      <c r="E3" s="212"/>
      <c r="F3" s="223"/>
      <c r="G3" s="227"/>
      <c r="H3" s="216"/>
      <c r="I3" s="212"/>
      <c r="O3" s="206"/>
      <c r="P3"/>
      <c r="AC3" s="197"/>
    </row>
    <row r="4" spans="1:29" ht="16" x14ac:dyDescent="0.2">
      <c r="A4" s="207" t="s">
        <v>1230</v>
      </c>
      <c r="B4" s="219" t="s">
        <v>1231</v>
      </c>
      <c r="C4" s="214"/>
      <c r="D4" s="213"/>
      <c r="E4" s="213"/>
      <c r="F4" s="224"/>
      <c r="G4" s="220"/>
      <c r="H4" s="214"/>
      <c r="I4" s="213"/>
      <c r="O4" s="206"/>
      <c r="P4" s="208"/>
      <c r="AC4" s="197"/>
    </row>
    <row r="5" spans="1:29" ht="15.75" customHeight="1" x14ac:dyDescent="0.2">
      <c r="A5" s="209" t="s">
        <v>1232</v>
      </c>
      <c r="B5" s="220"/>
      <c r="C5" s="214"/>
      <c r="D5" s="213"/>
      <c r="E5" s="213"/>
      <c r="F5" s="224"/>
      <c r="G5" s="220"/>
      <c r="H5" s="214"/>
      <c r="I5" s="213"/>
      <c r="O5" s="206"/>
      <c r="AC5" s="197"/>
    </row>
    <row r="6" spans="1:29" ht="16" x14ac:dyDescent="0.2">
      <c r="A6" s="209" t="s">
        <v>1233</v>
      </c>
      <c r="B6" s="220"/>
      <c r="C6" s="214"/>
      <c r="D6" s="213"/>
      <c r="E6" s="213"/>
      <c r="F6" s="224"/>
      <c r="G6" s="220"/>
      <c r="H6" s="214"/>
      <c r="I6" s="213"/>
      <c r="O6" s="206"/>
      <c r="AC6" s="197"/>
    </row>
    <row r="7" spans="1:29" ht="16" x14ac:dyDescent="0.2">
      <c r="A7" s="209" t="s">
        <v>1234</v>
      </c>
      <c r="B7" s="220"/>
      <c r="C7" s="214"/>
      <c r="D7" s="213"/>
      <c r="E7" s="213"/>
      <c r="F7" s="224"/>
      <c r="G7" s="220"/>
      <c r="H7" s="214"/>
      <c r="I7" s="213"/>
      <c r="O7" s="206"/>
      <c r="AC7" s="197"/>
    </row>
    <row r="8" spans="1:29" ht="16" x14ac:dyDescent="0.2">
      <c r="A8" s="209" t="s">
        <v>1235</v>
      </c>
      <c r="B8" s="220"/>
      <c r="C8" s="214"/>
      <c r="D8" s="213"/>
      <c r="E8" s="213"/>
      <c r="F8" s="224"/>
      <c r="G8" s="220"/>
      <c r="H8" s="214"/>
      <c r="I8" s="213"/>
      <c r="O8" s="206"/>
      <c r="AC8" s="197"/>
    </row>
    <row r="9" spans="1:29" ht="16" x14ac:dyDescent="0.2">
      <c r="A9" s="209" t="s">
        <v>1236</v>
      </c>
      <c r="B9" s="220"/>
      <c r="C9" s="214"/>
      <c r="D9" s="213"/>
      <c r="E9" s="213"/>
      <c r="F9" s="224"/>
      <c r="G9" s="220"/>
      <c r="H9" s="214"/>
      <c r="I9" s="213"/>
      <c r="O9" s="206"/>
      <c r="AC9" s="197"/>
    </row>
    <row r="10" spans="1:29" ht="16" x14ac:dyDescent="0.2">
      <c r="A10" s="209" t="s">
        <v>1237</v>
      </c>
      <c r="B10" s="220"/>
      <c r="C10" s="214"/>
      <c r="D10" s="213"/>
      <c r="E10" s="213"/>
      <c r="F10" s="224"/>
      <c r="G10" s="220"/>
      <c r="H10" s="214"/>
      <c r="I10" s="213"/>
      <c r="O10" s="206"/>
      <c r="AC10" s="197"/>
    </row>
    <row r="11" spans="1:29" ht="16" x14ac:dyDescent="0.2">
      <c r="A11" s="209" t="s">
        <v>1238</v>
      </c>
      <c r="B11" s="220"/>
      <c r="C11" s="214"/>
      <c r="D11" s="213"/>
      <c r="E11" s="213"/>
      <c r="F11" s="224"/>
      <c r="G11" s="220"/>
      <c r="H11" s="214"/>
      <c r="I11" s="213"/>
      <c r="O11" s="206"/>
      <c r="AC11" s="197"/>
    </row>
    <row r="12" spans="1:29" ht="16" x14ac:dyDescent="0.2">
      <c r="A12" s="209" t="s">
        <v>1239</v>
      </c>
      <c r="B12" s="220"/>
      <c r="C12" s="214"/>
      <c r="D12" s="213"/>
      <c r="E12" s="213"/>
      <c r="F12" s="224"/>
      <c r="G12" s="220"/>
      <c r="H12" s="214"/>
      <c r="I12" s="213"/>
      <c r="O12" s="206"/>
      <c r="AC12" s="197"/>
    </row>
    <row r="13" spans="1:29" ht="16" x14ac:dyDescent="0.2">
      <c r="A13" s="209" t="s">
        <v>1240</v>
      </c>
      <c r="B13" s="220"/>
      <c r="C13" s="214"/>
      <c r="D13" s="213"/>
      <c r="E13" s="213"/>
      <c r="F13" s="224"/>
      <c r="G13" s="220"/>
      <c r="H13" s="214"/>
      <c r="I13" s="213"/>
      <c r="O13" s="206"/>
      <c r="AC13" s="197"/>
    </row>
    <row r="14" spans="1:29" ht="16" x14ac:dyDescent="0.2">
      <c r="A14" s="209" t="s">
        <v>1241</v>
      </c>
      <c r="B14" s="220"/>
      <c r="C14" s="214"/>
      <c r="D14" s="213"/>
      <c r="E14" s="213"/>
      <c r="F14" s="224"/>
      <c r="G14" s="220"/>
      <c r="H14" s="214"/>
      <c r="I14" s="213"/>
      <c r="O14" s="206"/>
      <c r="AC14" s="197"/>
    </row>
    <row r="15" spans="1:29" ht="16" x14ac:dyDescent="0.2">
      <c r="A15" s="209" t="s">
        <v>1242</v>
      </c>
      <c r="B15" s="220"/>
      <c r="C15" s="214"/>
      <c r="D15" s="213"/>
      <c r="E15" s="213"/>
      <c r="F15" s="224"/>
      <c r="G15" s="220"/>
      <c r="H15" s="214"/>
      <c r="I15" s="213"/>
      <c r="O15" s="206"/>
      <c r="AC15" s="197"/>
    </row>
    <row r="16" spans="1:29" ht="16" x14ac:dyDescent="0.2">
      <c r="A16" s="209" t="s">
        <v>1243</v>
      </c>
      <c r="B16" s="220"/>
      <c r="C16" s="214"/>
      <c r="D16" s="213"/>
      <c r="E16" s="213"/>
      <c r="F16" s="224"/>
      <c r="G16" s="220"/>
      <c r="H16" s="214"/>
      <c r="I16" s="213"/>
      <c r="O16" s="206"/>
      <c r="AC16" s="197"/>
    </row>
    <row r="17" spans="1:29" ht="16" x14ac:dyDescent="0.2">
      <c r="A17" s="209" t="s">
        <v>1244</v>
      </c>
      <c r="B17" s="220"/>
      <c r="C17" s="214"/>
      <c r="D17" s="213"/>
      <c r="E17" s="213"/>
      <c r="F17" s="224"/>
      <c r="G17" s="220"/>
      <c r="H17" s="214"/>
      <c r="I17" s="213"/>
      <c r="O17" s="206"/>
      <c r="AC17" s="197"/>
    </row>
    <row r="18" spans="1:29" ht="16" x14ac:dyDescent="0.2">
      <c r="A18" s="209" t="s">
        <v>1245</v>
      </c>
      <c r="B18" s="220"/>
      <c r="C18" s="214"/>
      <c r="D18" s="213"/>
      <c r="E18" s="213"/>
      <c r="F18" s="224"/>
      <c r="G18" s="220"/>
      <c r="H18" s="214"/>
      <c r="I18" s="213"/>
      <c r="O18" s="206"/>
      <c r="AC18" s="197"/>
    </row>
    <row r="19" spans="1:29" ht="16" x14ac:dyDescent="0.2">
      <c r="A19" s="209" t="s">
        <v>1246</v>
      </c>
      <c r="B19" s="220"/>
      <c r="C19" s="214"/>
      <c r="D19" s="213"/>
      <c r="E19" s="213"/>
      <c r="F19" s="224"/>
      <c r="G19" s="220"/>
      <c r="H19" s="214"/>
      <c r="I19" s="213"/>
      <c r="O19" s="206"/>
      <c r="AC19" s="197"/>
    </row>
    <row r="20" spans="1:29" ht="16" x14ac:dyDescent="0.2">
      <c r="A20" s="209" t="s">
        <v>1247</v>
      </c>
      <c r="B20" s="220"/>
      <c r="C20" s="214"/>
      <c r="D20" s="213"/>
      <c r="E20" s="213"/>
      <c r="F20" s="224"/>
      <c r="G20" s="220"/>
      <c r="H20" s="214"/>
      <c r="I20" s="213"/>
      <c r="O20" s="206"/>
      <c r="AC20" s="197"/>
    </row>
    <row r="21" spans="1:29" ht="16" x14ac:dyDescent="0.2">
      <c r="A21" s="209" t="s">
        <v>1248</v>
      </c>
      <c r="B21" s="220"/>
      <c r="C21" s="214"/>
      <c r="D21" s="213"/>
      <c r="E21" s="213"/>
      <c r="F21" s="224"/>
      <c r="G21" s="220"/>
      <c r="H21" s="214"/>
      <c r="I21" s="213"/>
      <c r="O21" s="206"/>
      <c r="AC21" s="197"/>
    </row>
    <row r="22" spans="1:29" ht="16" x14ac:dyDescent="0.2">
      <c r="A22" s="209" t="s">
        <v>1249</v>
      </c>
      <c r="B22" s="220"/>
      <c r="C22" s="214"/>
      <c r="D22" s="213"/>
      <c r="E22" s="213"/>
      <c r="F22" s="224"/>
      <c r="G22" s="220"/>
      <c r="H22" s="214"/>
      <c r="I22" s="213"/>
      <c r="O22" s="206"/>
      <c r="AC22" s="197"/>
    </row>
    <row r="23" spans="1:29" ht="16" x14ac:dyDescent="0.2">
      <c r="A23" s="209" t="s">
        <v>1250</v>
      </c>
      <c r="B23" s="220"/>
      <c r="C23" s="214"/>
      <c r="D23" s="213"/>
      <c r="E23" s="213"/>
      <c r="F23" s="224"/>
      <c r="G23" s="220"/>
      <c r="H23" s="214"/>
      <c r="I23" s="213"/>
      <c r="O23" s="206"/>
      <c r="AC23" s="197"/>
    </row>
    <row r="24" spans="1:29" ht="16" x14ac:dyDescent="0.2">
      <c r="A24" s="209" t="s">
        <v>1251</v>
      </c>
      <c r="B24" s="220"/>
      <c r="C24" s="214"/>
      <c r="D24" s="213"/>
      <c r="E24" s="213"/>
      <c r="F24" s="224"/>
      <c r="G24" s="220"/>
      <c r="H24" s="214"/>
      <c r="I24" s="213"/>
      <c r="O24" s="206"/>
      <c r="AC24" s="197"/>
    </row>
    <row r="25" spans="1:29" ht="16" x14ac:dyDescent="0.2">
      <c r="A25" s="209" t="s">
        <v>1252</v>
      </c>
      <c r="B25" s="220"/>
      <c r="C25" s="214"/>
      <c r="D25" s="213"/>
      <c r="E25" s="213"/>
      <c r="F25" s="224"/>
      <c r="G25" s="220"/>
      <c r="H25" s="214"/>
      <c r="I25" s="213"/>
      <c r="O25" s="206"/>
      <c r="AC25" s="197"/>
    </row>
    <row r="26" spans="1:29" ht="16" x14ac:dyDescent="0.2">
      <c r="A26" s="209" t="s">
        <v>1253</v>
      </c>
      <c r="B26" s="220"/>
      <c r="C26" s="214"/>
      <c r="D26" s="213"/>
      <c r="E26" s="213"/>
      <c r="F26" s="224"/>
      <c r="G26" s="220"/>
      <c r="H26" s="214"/>
      <c r="I26" s="213"/>
      <c r="O26" s="206"/>
      <c r="AC26" s="197"/>
    </row>
    <row r="27" spans="1:29" ht="16" x14ac:dyDescent="0.2">
      <c r="A27" s="209" t="s">
        <v>1254</v>
      </c>
      <c r="B27" s="220"/>
      <c r="C27" s="214"/>
      <c r="D27" s="213"/>
      <c r="E27" s="213"/>
      <c r="F27" s="224"/>
      <c r="G27" s="220"/>
      <c r="H27" s="214"/>
      <c r="I27" s="213"/>
      <c r="O27" s="206"/>
      <c r="AC27" s="197"/>
    </row>
    <row r="28" spans="1:29" ht="16" x14ac:dyDescent="0.2">
      <c r="A28" s="209" t="s">
        <v>1255</v>
      </c>
      <c r="B28" s="220"/>
      <c r="C28" s="214"/>
      <c r="D28" s="213"/>
      <c r="E28" s="213"/>
      <c r="F28" s="224"/>
      <c r="G28" s="220"/>
      <c r="H28" s="214"/>
      <c r="I28" s="213"/>
      <c r="O28" s="206"/>
      <c r="AC28" s="197"/>
    </row>
    <row r="29" spans="1:29" ht="16" x14ac:dyDescent="0.2">
      <c r="A29" s="209" t="s">
        <v>1256</v>
      </c>
      <c r="B29" s="220"/>
      <c r="C29" s="214"/>
      <c r="D29" s="213"/>
      <c r="E29" s="213"/>
      <c r="F29" s="224"/>
      <c r="G29" s="220"/>
      <c r="H29" s="214"/>
      <c r="I29" s="213"/>
      <c r="O29" s="206"/>
      <c r="AC29" s="197"/>
    </row>
    <row r="30" spans="1:29" ht="16" x14ac:dyDescent="0.2">
      <c r="A30" s="209" t="s">
        <v>1257</v>
      </c>
      <c r="B30" s="220"/>
      <c r="C30" s="214"/>
      <c r="D30" s="213"/>
      <c r="E30" s="213"/>
      <c r="F30" s="224"/>
      <c r="G30" s="220"/>
      <c r="H30" s="214"/>
      <c r="I30" s="213"/>
      <c r="O30" s="206"/>
      <c r="AC30" s="197"/>
    </row>
    <row r="31" spans="1:29" ht="16" x14ac:dyDescent="0.2">
      <c r="A31" s="209" t="s">
        <v>1258</v>
      </c>
      <c r="B31" s="220"/>
      <c r="C31" s="214"/>
      <c r="D31" s="213"/>
      <c r="E31" s="213"/>
      <c r="F31" s="224"/>
      <c r="G31" s="220"/>
      <c r="H31" s="214"/>
      <c r="I31" s="213"/>
      <c r="O31" s="206"/>
      <c r="AC31" s="197"/>
    </row>
    <row r="32" spans="1:29" ht="16" x14ac:dyDescent="0.2">
      <c r="A32" s="209" t="s">
        <v>1259</v>
      </c>
      <c r="B32" s="220"/>
      <c r="C32" s="214"/>
      <c r="D32" s="213"/>
      <c r="E32" s="213"/>
      <c r="F32" s="224"/>
      <c r="G32" s="220"/>
      <c r="H32" s="214"/>
      <c r="I32" s="213"/>
      <c r="O32" s="206"/>
      <c r="AC32" s="197"/>
    </row>
    <row r="33" spans="1:29" ht="16" x14ac:dyDescent="0.2">
      <c r="A33" s="209" t="s">
        <v>1260</v>
      </c>
      <c r="B33" s="220"/>
      <c r="C33" s="214"/>
      <c r="D33" s="213"/>
      <c r="E33" s="213"/>
      <c r="F33" s="224"/>
      <c r="G33" s="220"/>
      <c r="H33" s="214"/>
      <c r="I33" s="213"/>
      <c r="O33" s="206"/>
      <c r="AC33" s="197"/>
    </row>
    <row r="34" spans="1:29" ht="17" thickBot="1" x14ac:dyDescent="0.25">
      <c r="A34" s="210" t="s">
        <v>1261</v>
      </c>
      <c r="B34" s="221"/>
      <c r="C34" s="211"/>
      <c r="D34" s="194"/>
      <c r="E34" s="194"/>
      <c r="F34" s="225"/>
      <c r="G34" s="221"/>
      <c r="H34" s="211"/>
      <c r="I34" s="194"/>
      <c r="O34" s="206"/>
      <c r="P34"/>
      <c r="Q34"/>
      <c r="R34"/>
      <c r="S34"/>
      <c r="T34"/>
      <c r="U34"/>
      <c r="V34"/>
      <c r="W34"/>
      <c r="X34"/>
      <c r="Y34"/>
      <c r="Z34"/>
      <c r="AA34"/>
      <c r="AB34"/>
    </row>
    <row r="37" spans="1:29" ht="16" thickBot="1" x14ac:dyDescent="0.25"/>
    <row r="38" spans="1:29" ht="33" thickBot="1" x14ac:dyDescent="0.25">
      <c r="A38" s="200" t="s">
        <v>1262</v>
      </c>
      <c r="B38" s="217" t="s">
        <v>1225</v>
      </c>
      <c r="C38" s="215" t="s">
        <v>1226</v>
      </c>
      <c r="D38" s="201" t="s">
        <v>1227</v>
      </c>
      <c r="E38" s="201" t="s">
        <v>1228</v>
      </c>
      <c r="F38" s="222" t="s">
        <v>118</v>
      </c>
      <c r="G38" s="217" t="s">
        <v>1229</v>
      </c>
      <c r="H38" s="226" t="s">
        <v>1226</v>
      </c>
      <c r="I38" s="202" t="s">
        <v>118</v>
      </c>
    </row>
    <row r="39" spans="1:29" ht="16" x14ac:dyDescent="0.2">
      <c r="A39" s="205" t="s">
        <v>174</v>
      </c>
      <c r="B39" s="218"/>
      <c r="C39" s="216"/>
      <c r="D39" s="212"/>
      <c r="E39" s="212"/>
      <c r="F39" s="223"/>
      <c r="G39" s="227"/>
      <c r="H39" s="216"/>
      <c r="I39" s="212"/>
    </row>
    <row r="40" spans="1:29" ht="16" x14ac:dyDescent="0.2">
      <c r="A40" s="207" t="s">
        <v>1230</v>
      </c>
      <c r="B40" s="219" t="s">
        <v>1231</v>
      </c>
      <c r="C40" s="214"/>
      <c r="D40" s="213"/>
      <c r="E40" s="213"/>
      <c r="F40" s="224"/>
      <c r="G40" s="220"/>
      <c r="H40" s="214"/>
      <c r="I40" s="213"/>
    </row>
    <row r="41" spans="1:29" ht="16" x14ac:dyDescent="0.2">
      <c r="A41" s="209" t="s">
        <v>1232</v>
      </c>
      <c r="B41" s="220"/>
      <c r="C41" s="214"/>
      <c r="D41" s="213"/>
      <c r="E41" s="213"/>
      <c r="F41" s="224"/>
      <c r="G41" s="220"/>
      <c r="H41" s="214"/>
      <c r="I41" s="213"/>
    </row>
    <row r="42" spans="1:29" ht="16" x14ac:dyDescent="0.2">
      <c r="A42" s="209" t="s">
        <v>1233</v>
      </c>
      <c r="B42" s="220"/>
      <c r="C42" s="214"/>
      <c r="D42" s="213"/>
      <c r="E42" s="213"/>
      <c r="F42" s="224"/>
      <c r="G42" s="220"/>
      <c r="H42" s="214"/>
      <c r="I42" s="213"/>
    </row>
    <row r="43" spans="1:29" ht="16" x14ac:dyDescent="0.2">
      <c r="A43" s="209" t="s">
        <v>1234</v>
      </c>
      <c r="B43" s="220"/>
      <c r="C43" s="214"/>
      <c r="D43" s="213"/>
      <c r="E43" s="213"/>
      <c r="F43" s="224"/>
      <c r="G43" s="220"/>
      <c r="H43" s="214"/>
      <c r="I43" s="213"/>
    </row>
    <row r="44" spans="1:29" ht="16" x14ac:dyDescent="0.2">
      <c r="A44" s="209" t="s">
        <v>1235</v>
      </c>
      <c r="B44" s="220"/>
      <c r="C44" s="214"/>
      <c r="D44" s="213"/>
      <c r="E44" s="213"/>
      <c r="F44" s="224"/>
      <c r="G44" s="220"/>
      <c r="H44" s="214"/>
      <c r="I44" s="213"/>
    </row>
    <row r="45" spans="1:29" ht="16" x14ac:dyDescent="0.2">
      <c r="A45" s="209" t="s">
        <v>1236</v>
      </c>
      <c r="B45" s="220"/>
      <c r="C45" s="214"/>
      <c r="D45" s="213"/>
      <c r="E45" s="213"/>
      <c r="F45" s="224"/>
      <c r="G45" s="220"/>
      <c r="H45" s="214"/>
      <c r="I45" s="213"/>
    </row>
    <row r="46" spans="1:29" ht="16" x14ac:dyDescent="0.2">
      <c r="A46" s="209" t="s">
        <v>1237</v>
      </c>
      <c r="B46" s="220"/>
      <c r="C46" s="214"/>
      <c r="D46" s="213"/>
      <c r="E46" s="213"/>
      <c r="F46" s="224"/>
      <c r="G46" s="220"/>
      <c r="H46" s="214"/>
      <c r="I46" s="213"/>
    </row>
    <row r="47" spans="1:29" ht="16" x14ac:dyDescent="0.2">
      <c r="A47" s="209" t="s">
        <v>1238</v>
      </c>
      <c r="B47" s="220"/>
      <c r="C47" s="214"/>
      <c r="D47" s="213"/>
      <c r="E47" s="213"/>
      <c r="F47" s="224"/>
      <c r="G47" s="220"/>
      <c r="H47" s="214"/>
      <c r="I47" s="213"/>
    </row>
    <row r="48" spans="1:29" ht="16" x14ac:dyDescent="0.2">
      <c r="A48" s="209" t="s">
        <v>1239</v>
      </c>
      <c r="B48" s="220"/>
      <c r="C48" s="214"/>
      <c r="D48" s="213"/>
      <c r="E48" s="213"/>
      <c r="F48" s="224"/>
      <c r="G48" s="220"/>
      <c r="H48" s="214"/>
      <c r="I48" s="213"/>
    </row>
    <row r="49" spans="1:9" ht="16" x14ac:dyDescent="0.2">
      <c r="A49" s="209" t="s">
        <v>1240</v>
      </c>
      <c r="B49" s="220"/>
      <c r="C49" s="214"/>
      <c r="D49" s="213"/>
      <c r="E49" s="213"/>
      <c r="F49" s="224"/>
      <c r="G49" s="220"/>
      <c r="H49" s="214"/>
      <c r="I49" s="213"/>
    </row>
    <row r="50" spans="1:9" ht="16" x14ac:dyDescent="0.2">
      <c r="A50" s="209" t="s">
        <v>1241</v>
      </c>
      <c r="B50" s="220"/>
      <c r="C50" s="214"/>
      <c r="D50" s="213"/>
      <c r="E50" s="213"/>
      <c r="F50" s="224"/>
      <c r="G50" s="220"/>
      <c r="H50" s="214"/>
      <c r="I50" s="213"/>
    </row>
    <row r="51" spans="1:9" ht="16" x14ac:dyDescent="0.2">
      <c r="A51" s="209" t="s">
        <v>1242</v>
      </c>
      <c r="B51" s="220"/>
      <c r="C51" s="214"/>
      <c r="D51" s="213"/>
      <c r="E51" s="213"/>
      <c r="F51" s="224"/>
      <c r="G51" s="220"/>
      <c r="H51" s="214"/>
      <c r="I51" s="213"/>
    </row>
    <row r="52" spans="1:9" ht="16" x14ac:dyDescent="0.2">
      <c r="A52" s="209" t="s">
        <v>1243</v>
      </c>
      <c r="B52" s="220"/>
      <c r="C52" s="214"/>
      <c r="D52" s="213"/>
      <c r="E52" s="213"/>
      <c r="F52" s="224"/>
      <c r="G52" s="220"/>
      <c r="H52" s="214"/>
      <c r="I52" s="213"/>
    </row>
    <row r="53" spans="1:9" ht="16" x14ac:dyDescent="0.2">
      <c r="A53" s="209" t="s">
        <v>1244</v>
      </c>
      <c r="B53" s="220"/>
      <c r="C53" s="214"/>
      <c r="D53" s="213"/>
      <c r="E53" s="213"/>
      <c r="F53" s="224"/>
      <c r="G53" s="220"/>
      <c r="H53" s="214"/>
      <c r="I53" s="213"/>
    </row>
    <row r="54" spans="1:9" ht="16" x14ac:dyDescent="0.2">
      <c r="A54" s="209" t="s">
        <v>1245</v>
      </c>
      <c r="B54" s="220"/>
      <c r="C54" s="214"/>
      <c r="D54" s="213"/>
      <c r="E54" s="213"/>
      <c r="F54" s="224"/>
      <c r="G54" s="220"/>
      <c r="H54" s="214"/>
      <c r="I54" s="213"/>
    </row>
    <row r="55" spans="1:9" ht="16" x14ac:dyDescent="0.2">
      <c r="A55" s="209" t="s">
        <v>1246</v>
      </c>
      <c r="B55" s="220"/>
      <c r="C55" s="214"/>
      <c r="D55" s="213"/>
      <c r="E55" s="213"/>
      <c r="F55" s="224"/>
      <c r="G55" s="220"/>
      <c r="H55" s="214"/>
      <c r="I55" s="213"/>
    </row>
    <row r="56" spans="1:9" ht="16" x14ac:dyDescent="0.2">
      <c r="A56" s="209" t="s">
        <v>1247</v>
      </c>
      <c r="B56" s="220"/>
      <c r="C56" s="214"/>
      <c r="D56" s="213"/>
      <c r="E56" s="213"/>
      <c r="F56" s="224"/>
      <c r="G56" s="220"/>
      <c r="H56" s="214"/>
      <c r="I56" s="213"/>
    </row>
    <row r="57" spans="1:9" ht="16" x14ac:dyDescent="0.2">
      <c r="A57" s="209" t="s">
        <v>1248</v>
      </c>
      <c r="B57" s="220"/>
      <c r="C57" s="214"/>
      <c r="D57" s="213"/>
      <c r="E57" s="213"/>
      <c r="F57" s="224"/>
      <c r="G57" s="220"/>
      <c r="H57" s="214"/>
      <c r="I57" s="213"/>
    </row>
    <row r="58" spans="1:9" ht="16" x14ac:dyDescent="0.2">
      <c r="A58" s="209" t="s">
        <v>1249</v>
      </c>
      <c r="B58" s="220"/>
      <c r="C58" s="214"/>
      <c r="D58" s="213"/>
      <c r="E58" s="213"/>
      <c r="F58" s="224"/>
      <c r="G58" s="220"/>
      <c r="H58" s="214"/>
      <c r="I58" s="213"/>
    </row>
    <row r="59" spans="1:9" ht="16" x14ac:dyDescent="0.2">
      <c r="A59" s="209" t="s">
        <v>1250</v>
      </c>
      <c r="B59" s="220"/>
      <c r="C59" s="214"/>
      <c r="D59" s="213"/>
      <c r="E59" s="213"/>
      <c r="F59" s="224"/>
      <c r="G59" s="220"/>
      <c r="H59" s="214"/>
      <c r="I59" s="213"/>
    </row>
    <row r="60" spans="1:9" ht="16" x14ac:dyDescent="0.2">
      <c r="A60" s="209" t="s">
        <v>1251</v>
      </c>
      <c r="B60" s="220"/>
      <c r="C60" s="214"/>
      <c r="D60" s="213"/>
      <c r="E60" s="213"/>
      <c r="F60" s="224"/>
      <c r="G60" s="220"/>
      <c r="H60" s="214"/>
      <c r="I60" s="213"/>
    </row>
    <row r="61" spans="1:9" ht="16" x14ac:dyDescent="0.2">
      <c r="A61" s="209" t="s">
        <v>1252</v>
      </c>
      <c r="B61" s="220"/>
      <c r="C61" s="214"/>
      <c r="D61" s="213"/>
      <c r="E61" s="213"/>
      <c r="F61" s="224"/>
      <c r="G61" s="220"/>
      <c r="H61" s="214"/>
      <c r="I61" s="213"/>
    </row>
    <row r="62" spans="1:9" ht="16" x14ac:dyDescent="0.2">
      <c r="A62" s="209" t="s">
        <v>1253</v>
      </c>
      <c r="B62" s="220"/>
      <c r="C62" s="214"/>
      <c r="D62" s="213"/>
      <c r="E62" s="213"/>
      <c r="F62" s="224"/>
      <c r="G62" s="220"/>
      <c r="H62" s="214"/>
      <c r="I62" s="213"/>
    </row>
    <row r="63" spans="1:9" ht="16" x14ac:dyDescent="0.2">
      <c r="A63" s="209" t="s">
        <v>1254</v>
      </c>
      <c r="B63" s="220"/>
      <c r="C63" s="214"/>
      <c r="D63" s="213"/>
      <c r="E63" s="213"/>
      <c r="F63" s="224"/>
      <c r="G63" s="220"/>
      <c r="H63" s="214"/>
      <c r="I63" s="213"/>
    </row>
    <row r="64" spans="1:9" ht="16" x14ac:dyDescent="0.2">
      <c r="A64" s="209" t="s">
        <v>1255</v>
      </c>
      <c r="B64" s="220"/>
      <c r="C64" s="214"/>
      <c r="D64" s="213"/>
      <c r="E64" s="213"/>
      <c r="F64" s="224"/>
      <c r="G64" s="220"/>
      <c r="H64" s="214"/>
      <c r="I64" s="213"/>
    </row>
    <row r="65" spans="1:9" ht="16" x14ac:dyDescent="0.2">
      <c r="A65" s="209" t="s">
        <v>1256</v>
      </c>
      <c r="B65" s="220"/>
      <c r="C65" s="214"/>
      <c r="D65" s="213"/>
      <c r="E65" s="213"/>
      <c r="F65" s="224"/>
      <c r="G65" s="220"/>
      <c r="H65" s="214"/>
      <c r="I65" s="213"/>
    </row>
    <row r="66" spans="1:9" ht="16" x14ac:dyDescent="0.2">
      <c r="A66" s="209" t="s">
        <v>1257</v>
      </c>
      <c r="B66" s="220"/>
      <c r="C66" s="214"/>
      <c r="D66" s="213"/>
      <c r="E66" s="213"/>
      <c r="F66" s="224"/>
      <c r="G66" s="220"/>
      <c r="H66" s="214"/>
      <c r="I66" s="213"/>
    </row>
    <row r="67" spans="1:9" ht="16" x14ac:dyDescent="0.2">
      <c r="A67" s="209" t="s">
        <v>1258</v>
      </c>
      <c r="B67" s="220"/>
      <c r="C67" s="214"/>
      <c r="D67" s="213"/>
      <c r="E67" s="213"/>
      <c r="F67" s="224"/>
      <c r="G67" s="220"/>
      <c r="H67" s="214"/>
      <c r="I67" s="213"/>
    </row>
    <row r="68" spans="1:9" ht="16" x14ac:dyDescent="0.2">
      <c r="A68" s="209" t="s">
        <v>1259</v>
      </c>
      <c r="B68" s="220"/>
      <c r="C68" s="214"/>
      <c r="D68" s="213"/>
      <c r="E68" s="213"/>
      <c r="F68" s="224"/>
      <c r="G68" s="220"/>
      <c r="H68" s="214"/>
      <c r="I68" s="213"/>
    </row>
    <row r="69" spans="1:9" ht="16" x14ac:dyDescent="0.2">
      <c r="A69" s="209" t="s">
        <v>1260</v>
      </c>
      <c r="B69" s="220"/>
      <c r="C69" s="214"/>
      <c r="D69" s="213"/>
      <c r="E69" s="213"/>
      <c r="F69" s="224"/>
      <c r="G69" s="220"/>
      <c r="H69" s="214"/>
      <c r="I69" s="213"/>
    </row>
    <row r="70" spans="1:9" ht="17" thickBot="1" x14ac:dyDescent="0.25">
      <c r="A70" s="210" t="s">
        <v>1261</v>
      </c>
      <c r="B70" s="221"/>
      <c r="C70" s="211"/>
      <c r="D70" s="194"/>
      <c r="E70" s="194"/>
      <c r="F70" s="225"/>
      <c r="G70" s="221"/>
      <c r="H70" s="211"/>
      <c r="I70" s="194"/>
    </row>
  </sheetData>
  <pageMargins left="0.7" right="0.7" top="0.75" bottom="0.75" header="0.3" footer="0.3"/>
  <pageSetup paperSize="9" scale="6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árok5"/>
  <dimension ref="A2:R53"/>
  <sheetViews>
    <sheetView workbookViewId="0">
      <selection activeCell="P24" sqref="P24"/>
    </sheetView>
  </sheetViews>
  <sheetFormatPr baseColWidth="10" defaultColWidth="8.6640625" defaultRowHeight="15" x14ac:dyDescent="0.2"/>
  <cols>
    <col min="1" max="1" width="7.6640625" style="57" customWidth="1"/>
    <col min="2" max="2" width="12.6640625" style="57" customWidth="1"/>
    <col min="3" max="3" width="14" style="57" customWidth="1"/>
    <col min="4" max="4" width="9.5" style="57" customWidth="1"/>
    <col min="5" max="6" width="11.6640625" style="57" customWidth="1"/>
    <col min="7" max="7" width="9.6640625" customWidth="1"/>
    <col min="8" max="8" width="11.5" customWidth="1"/>
    <col min="9" max="9" width="10.6640625" customWidth="1"/>
    <col min="10" max="10" width="9.5" customWidth="1"/>
    <col min="11" max="11" width="12.6640625" customWidth="1"/>
    <col min="12" max="12" width="11.5" customWidth="1"/>
    <col min="13" max="13" width="10.5" customWidth="1"/>
    <col min="14" max="14" width="13.33203125" customWidth="1"/>
    <col min="15" max="15" width="11.33203125" customWidth="1"/>
    <col min="16" max="16" width="9.6640625" customWidth="1"/>
    <col min="17" max="17" width="14.6640625" customWidth="1"/>
    <col min="18" max="18" width="15.6640625" customWidth="1"/>
  </cols>
  <sheetData>
    <row r="2" spans="1:18" ht="16" x14ac:dyDescent="0.2">
      <c r="A2" s="174" t="s">
        <v>176</v>
      </c>
      <c r="B2" s="175">
        <f>'CBA - Agendové IS'!J17</f>
        <v>1.8578150275357399</v>
      </c>
    </row>
    <row r="5" spans="1:18" ht="30" customHeight="1" x14ac:dyDescent="0.2">
      <c r="B5" s="930" t="s">
        <v>1263</v>
      </c>
      <c r="C5" s="931"/>
      <c r="D5" s="182"/>
      <c r="E5" s="930" t="s">
        <v>1264</v>
      </c>
      <c r="F5" s="931"/>
      <c r="H5" s="928" t="s">
        <v>1265</v>
      </c>
      <c r="I5" s="929"/>
      <c r="J5" s="57"/>
      <c r="K5" s="930" t="s">
        <v>1266</v>
      </c>
      <c r="L5" s="931"/>
      <c r="N5" s="928" t="s">
        <v>1267</v>
      </c>
      <c r="O5" s="929"/>
      <c r="Q5" s="928" t="s">
        <v>1268</v>
      </c>
      <c r="R5" s="929"/>
    </row>
    <row r="6" spans="1:18" ht="16" x14ac:dyDescent="0.2">
      <c r="B6" s="177" t="s">
        <v>1198</v>
      </c>
      <c r="C6" s="176" t="s">
        <v>176</v>
      </c>
      <c r="D6" s="183"/>
      <c r="E6" s="177" t="s">
        <v>1198</v>
      </c>
      <c r="F6" s="176" t="s">
        <v>176</v>
      </c>
      <c r="H6" s="177" t="s">
        <v>1198</v>
      </c>
      <c r="I6" s="176" t="s">
        <v>176</v>
      </c>
      <c r="J6" s="57"/>
      <c r="K6" s="177" t="s">
        <v>1198</v>
      </c>
      <c r="L6" s="176" t="s">
        <v>176</v>
      </c>
      <c r="N6" s="178" t="s">
        <v>1198</v>
      </c>
      <c r="O6" s="179" t="s">
        <v>176</v>
      </c>
      <c r="Q6" s="178" t="s">
        <v>1198</v>
      </c>
      <c r="R6" s="179" t="s">
        <v>176</v>
      </c>
    </row>
    <row r="7" spans="1:18" ht="15" customHeight="1" x14ac:dyDescent="0.2">
      <c r="B7" s="170">
        <v>0</v>
      </c>
      <c r="C7" s="162">
        <f>B2</f>
        <v>1.8578150275357399</v>
      </c>
      <c r="D7" s="180"/>
      <c r="E7" s="170">
        <v>0</v>
      </c>
      <c r="F7" s="162">
        <f>B2</f>
        <v>1.8578150275357399</v>
      </c>
      <c r="H7" s="170">
        <v>0</v>
      </c>
      <c r="I7" s="162">
        <f>B2</f>
        <v>1.8578150275357399</v>
      </c>
      <c r="J7" s="57"/>
      <c r="K7" s="170">
        <v>0</v>
      </c>
      <c r="L7" s="162">
        <f>B2</f>
        <v>1.8578150275357399</v>
      </c>
      <c r="N7" s="172">
        <v>0</v>
      </c>
      <c r="O7" s="164">
        <f>B2</f>
        <v>1.8578150275357399</v>
      </c>
      <c r="Q7" s="172">
        <v>0</v>
      </c>
      <c r="R7" s="164">
        <f>B2</f>
        <v>1.8578150275357399</v>
      </c>
    </row>
    <row r="8" spans="1:18" x14ac:dyDescent="0.2">
      <c r="B8" s="170">
        <v>0.1</v>
      </c>
      <c r="C8" s="166">
        <f t="dataTable" ref="C8:C17" dt2D="0" dtr="0" r1="B7"/>
        <v>1.6889227523052182</v>
      </c>
      <c r="D8" s="181"/>
      <c r="E8" s="170">
        <v>0.1</v>
      </c>
      <c r="F8" s="166">
        <f t="dataTable" ref="F8:F17" dt2D="0" dtr="0" r1="E7" ca="1"/>
        <v>1.7660455608832053</v>
      </c>
      <c r="H8" s="170">
        <v>-0.1</v>
      </c>
      <c r="I8" s="166">
        <f t="dataTable" ref="I8:I17" dt2D="0" dtr="0" r1="H7" ca="1"/>
        <v>1.8578150275357399</v>
      </c>
      <c r="J8" s="57"/>
      <c r="K8" s="170">
        <v>-0.1</v>
      </c>
      <c r="L8" s="166">
        <f t="dataTable" ref="L8:L17" dt2D="0" dtr="0" r1="K7" ca="1"/>
        <v>2.188051421518761</v>
      </c>
      <c r="N8" s="172">
        <v>-0.1</v>
      </c>
      <c r="O8" s="168">
        <f t="dataTable" ref="O8:O17" dt2D="0" dtr="0" r1="N7" ca="1"/>
        <v>1.6766666701950332</v>
      </c>
      <c r="Q8" s="172">
        <v>-0.1</v>
      </c>
      <c r="R8" s="168">
        <f t="dataTable" ref="R8:R17" dt2D="0" dtr="0" r1="Q7" ca="1"/>
        <v>1.8578150275357399</v>
      </c>
    </row>
    <row r="9" spans="1:18" x14ac:dyDescent="0.2">
      <c r="A9" s="165"/>
      <c r="B9" s="170">
        <v>0.2</v>
      </c>
      <c r="C9" s="166">
        <v>1.5481791896131167</v>
      </c>
      <c r="D9" s="181"/>
      <c r="E9" s="170">
        <v>0.2</v>
      </c>
      <c r="F9" s="166">
        <v>1.682915509485353</v>
      </c>
      <c r="H9" s="170">
        <v>-0.2</v>
      </c>
      <c r="I9" s="166">
        <v>1.8578150275357399</v>
      </c>
      <c r="J9" s="57"/>
      <c r="K9" s="170">
        <v>-0.2</v>
      </c>
      <c r="L9" s="166">
        <v>2.5182878155017812</v>
      </c>
      <c r="N9" s="172">
        <v>-0.2</v>
      </c>
      <c r="O9" s="168">
        <v>1.4955183128543268</v>
      </c>
      <c r="Q9" s="172">
        <v>-0.2</v>
      </c>
      <c r="R9" s="168">
        <v>1.8578150275357399</v>
      </c>
    </row>
    <row r="10" spans="1:18" x14ac:dyDescent="0.2">
      <c r="A10" s="165"/>
      <c r="B10" s="170">
        <v>0.3</v>
      </c>
      <c r="C10" s="166">
        <v>1.4290884827198</v>
      </c>
      <c r="D10" s="181"/>
      <c r="E10" s="170">
        <v>0.3</v>
      </c>
      <c r="F10" s="166">
        <v>1.6072597135335636</v>
      </c>
      <c r="H10" s="170">
        <v>-0.3</v>
      </c>
      <c r="I10" s="166">
        <v>1.8578150275357399</v>
      </c>
      <c r="J10" s="57"/>
      <c r="K10" s="170">
        <v>-0.3</v>
      </c>
      <c r="L10" s="166">
        <v>2.8485242094848027</v>
      </c>
      <c r="N10" s="172">
        <v>-0.3</v>
      </c>
      <c r="O10" s="168">
        <v>1.3143699555136203</v>
      </c>
      <c r="Q10" s="172">
        <v>-0.3</v>
      </c>
      <c r="R10" s="168">
        <v>1.8578150275357399</v>
      </c>
    </row>
    <row r="11" spans="1:18" x14ac:dyDescent="0.2">
      <c r="A11" s="165"/>
      <c r="B11" s="170">
        <v>0.4</v>
      </c>
      <c r="C11" s="166">
        <v>1.3270107339541002</v>
      </c>
      <c r="D11" s="181"/>
      <c r="E11" s="170">
        <v>0.4</v>
      </c>
      <c r="F11" s="166">
        <v>1.5381135193743227</v>
      </c>
      <c r="H11" s="170">
        <v>-0.4</v>
      </c>
      <c r="I11" s="166">
        <v>1.8578150275357399</v>
      </c>
      <c r="J11" s="57"/>
      <c r="K11" s="170">
        <v>-0.4</v>
      </c>
      <c r="L11" s="166">
        <v>3.1787606034678233</v>
      </c>
      <c r="N11" s="172">
        <v>-0.4</v>
      </c>
      <c r="O11" s="168">
        <v>1.1332215981729137</v>
      </c>
      <c r="Q11" s="172">
        <v>-0.4</v>
      </c>
      <c r="R11" s="168">
        <v>1.8578150275357399</v>
      </c>
    </row>
    <row r="12" spans="1:18" x14ac:dyDescent="0.2">
      <c r="A12" s="165"/>
      <c r="B12" s="170">
        <v>0.5</v>
      </c>
      <c r="C12" s="166">
        <v>1.2385433516904936</v>
      </c>
      <c r="D12" s="181"/>
      <c r="E12" s="170">
        <v>0.5</v>
      </c>
      <c r="F12" s="166">
        <v>1.4746714284334812</v>
      </c>
      <c r="H12" s="170">
        <v>-0.5</v>
      </c>
      <c r="I12" s="166">
        <v>1.8578150275357399</v>
      </c>
      <c r="J12" s="57"/>
      <c r="K12" s="170">
        <v>-0.5</v>
      </c>
      <c r="L12" s="166">
        <v>3.5089969974508448</v>
      </c>
      <c r="N12" s="172">
        <v>-0.5</v>
      </c>
      <c r="O12" s="168">
        <v>0.95207324083220723</v>
      </c>
      <c r="Q12" s="172">
        <v>-0.5</v>
      </c>
      <c r="R12" s="168">
        <v>1.8578150275357399</v>
      </c>
    </row>
    <row r="13" spans="1:18" x14ac:dyDescent="0.2">
      <c r="A13" s="165"/>
      <c r="B13" s="170">
        <v>0.6</v>
      </c>
      <c r="C13" s="166">
        <v>1.1611343922098376</v>
      </c>
      <c r="D13" s="181"/>
      <c r="E13" s="170">
        <v>0.6</v>
      </c>
      <c r="F13" s="166">
        <v>1.4162555743301533</v>
      </c>
      <c r="H13" s="170">
        <v>-0.6</v>
      </c>
      <c r="I13" s="166">
        <v>1.8578150275357399</v>
      </c>
      <c r="J13" s="57"/>
      <c r="K13" s="170">
        <v>-0.6</v>
      </c>
      <c r="L13" s="166">
        <v>3.8392333914338659</v>
      </c>
      <c r="N13" s="172">
        <v>-0.6</v>
      </c>
      <c r="O13" s="168">
        <v>0.77092488349150079</v>
      </c>
      <c r="Q13" s="172">
        <v>-0.6</v>
      </c>
      <c r="R13" s="168">
        <v>1.8578150275357399</v>
      </c>
    </row>
    <row r="14" spans="1:18" x14ac:dyDescent="0.2">
      <c r="A14" s="161"/>
      <c r="B14" s="170">
        <v>0.7</v>
      </c>
      <c r="C14" s="166">
        <v>1.092832369138671</v>
      </c>
      <c r="D14" s="181"/>
      <c r="E14" s="170">
        <v>0.7</v>
      </c>
      <c r="F14" s="166">
        <v>1.3622914067674308</v>
      </c>
      <c r="H14" s="170">
        <v>-0.7</v>
      </c>
      <c r="I14" s="166">
        <v>1.8578150275357399</v>
      </c>
      <c r="J14" s="57"/>
      <c r="K14" s="170">
        <v>-0.7</v>
      </c>
      <c r="L14" s="166">
        <v>4.1694697854168874</v>
      </c>
      <c r="N14" s="172">
        <v>-0.7</v>
      </c>
      <c r="O14" s="168">
        <v>0.58977652615079401</v>
      </c>
      <c r="Q14" s="172">
        <v>-0.7</v>
      </c>
      <c r="R14" s="168">
        <v>1.8578150275357399</v>
      </c>
    </row>
    <row r="15" spans="1:18" x14ac:dyDescent="0.2">
      <c r="A15" s="161"/>
      <c r="B15" s="170">
        <v>0.8</v>
      </c>
      <c r="C15" s="166">
        <v>1.032119459742078</v>
      </c>
      <c r="D15" s="181"/>
      <c r="E15" s="170">
        <v>0.8</v>
      </c>
      <c r="F15" s="166">
        <v>1.3122887305352331</v>
      </c>
      <c r="H15" s="170">
        <v>-0.8</v>
      </c>
      <c r="I15" s="166">
        <v>1.8578150275357399</v>
      </c>
      <c r="J15" s="57"/>
      <c r="K15" s="170">
        <v>-0.8</v>
      </c>
      <c r="L15" s="166">
        <v>4.4997061793999071</v>
      </c>
      <c r="N15" s="172">
        <v>-0.8</v>
      </c>
      <c r="O15" s="168">
        <v>0.40862816881008768</v>
      </c>
      <c r="Q15" s="172">
        <v>-0.8</v>
      </c>
      <c r="R15" s="168">
        <v>1.8578150275357399</v>
      </c>
    </row>
    <row r="16" spans="1:18" x14ac:dyDescent="0.2">
      <c r="A16" s="161"/>
      <c r="B16" s="170">
        <v>0.9</v>
      </c>
      <c r="C16" s="166">
        <v>0.97779738291354756</v>
      </c>
      <c r="D16" s="181"/>
      <c r="E16" s="170">
        <v>0.9</v>
      </c>
      <c r="F16" s="166">
        <v>1.2658267724303418</v>
      </c>
      <c r="H16" s="170">
        <v>-0.9</v>
      </c>
      <c r="I16" s="166">
        <v>1.8578150275357399</v>
      </c>
      <c r="J16" s="57"/>
      <c r="K16" s="170">
        <v>-0.9</v>
      </c>
      <c r="L16" s="166">
        <v>4.8299425733829287</v>
      </c>
      <c r="N16" s="172">
        <v>-0.9</v>
      </c>
      <c r="O16" s="168">
        <v>0.22747981146938118</v>
      </c>
      <c r="Q16" s="172">
        <v>-0.9</v>
      </c>
      <c r="R16" s="168">
        <v>1.8578150275357399</v>
      </c>
    </row>
    <row r="17" spans="1:18" x14ac:dyDescent="0.2">
      <c r="A17" s="161"/>
      <c r="B17" s="171">
        <v>1</v>
      </c>
      <c r="C17" s="167">
        <v>0.92890751376786995</v>
      </c>
      <c r="D17" s="181"/>
      <c r="E17" s="171">
        <v>1</v>
      </c>
      <c r="F17" s="167">
        <v>1.2225423119620495</v>
      </c>
      <c r="H17" s="171">
        <v>-1</v>
      </c>
      <c r="I17" s="167">
        <v>1.8578150275357399</v>
      </c>
      <c r="J17" s="57"/>
      <c r="K17" s="171">
        <v>-1</v>
      </c>
      <c r="L17" s="167">
        <v>5.1601789673659511</v>
      </c>
      <c r="N17" s="173">
        <v>-1</v>
      </c>
      <c r="O17" s="169">
        <v>4.6331454128674683E-2</v>
      </c>
      <c r="Q17" s="173">
        <v>-1</v>
      </c>
      <c r="R17" s="169">
        <v>1.8578150275357399</v>
      </c>
    </row>
    <row r="18" spans="1:18" x14ac:dyDescent="0.2">
      <c r="A18" s="165"/>
      <c r="N18" s="97"/>
    </row>
    <row r="19" spans="1:18" x14ac:dyDescent="0.2">
      <c r="A19" s="165"/>
    </row>
    <row r="25" spans="1:18" ht="18.75" customHeight="1" x14ac:dyDescent="0.2">
      <c r="D25" s="922" t="s">
        <v>1268</v>
      </c>
      <c r="E25" s="923"/>
      <c r="F25" s="923"/>
      <c r="G25" s="923"/>
      <c r="H25" s="923"/>
      <c r="I25" s="923"/>
      <c r="J25" s="923"/>
      <c r="K25" s="923"/>
      <c r="L25" s="923"/>
      <c r="M25" s="923"/>
      <c r="N25" s="924"/>
    </row>
    <row r="26" spans="1:18" x14ac:dyDescent="0.2">
      <c r="C26" s="184">
        <f>B2</f>
        <v>1.8578150275357399</v>
      </c>
      <c r="D26" s="190">
        <v>0</v>
      </c>
      <c r="E26" s="187">
        <v>-0.1</v>
      </c>
      <c r="F26" s="187">
        <v>-0.2</v>
      </c>
      <c r="G26" s="187">
        <v>-0.3</v>
      </c>
      <c r="H26" s="187">
        <v>-0.4</v>
      </c>
      <c r="I26" s="187">
        <v>-0.5</v>
      </c>
      <c r="J26" s="187">
        <v>-0.6</v>
      </c>
      <c r="K26" s="187">
        <v>-0.7</v>
      </c>
      <c r="L26" s="187">
        <v>-0.8</v>
      </c>
      <c r="M26" s="187">
        <v>-0.9</v>
      </c>
      <c r="N26" s="191">
        <v>-1</v>
      </c>
    </row>
    <row r="27" spans="1:18" ht="14.25" customHeight="1" x14ac:dyDescent="0.2">
      <c r="B27" s="925" t="s">
        <v>1267</v>
      </c>
      <c r="C27" s="192">
        <v>0</v>
      </c>
      <c r="D27" s="181">
        <f t="dataTable" ref="D27:N37" dt2D="1" dtr="1" r1="Q7" r2="N7" ca="1"/>
        <v>1.8578150275357399</v>
      </c>
      <c r="E27" s="181">
        <v>1.8578150275357399</v>
      </c>
      <c r="F27" s="181">
        <v>1.8578150275357399</v>
      </c>
      <c r="G27" s="186">
        <v>1.8578150275357399</v>
      </c>
      <c r="H27" s="186">
        <v>1.8578150275357399</v>
      </c>
      <c r="I27" s="186">
        <v>1.8578150275357399</v>
      </c>
      <c r="J27" s="186">
        <v>1.8578150275357399</v>
      </c>
      <c r="K27" s="186">
        <v>1.8578150275357399</v>
      </c>
      <c r="L27" s="186">
        <v>1.8578150275357399</v>
      </c>
      <c r="M27" s="186">
        <v>1.8578150275357399</v>
      </c>
      <c r="N27" s="168">
        <v>1.8578150275357399</v>
      </c>
    </row>
    <row r="28" spans="1:18" x14ac:dyDescent="0.2">
      <c r="B28" s="926"/>
      <c r="C28" s="185">
        <v>-0.1</v>
      </c>
      <c r="D28" s="181">
        <v>1.6766666701950332</v>
      </c>
      <c r="E28" s="181">
        <v>1.6766666701950332</v>
      </c>
      <c r="F28" s="181">
        <v>1.6766666701950332</v>
      </c>
      <c r="G28" s="186">
        <v>1.6766666701950332</v>
      </c>
      <c r="H28" s="186">
        <v>1.6766666701950332</v>
      </c>
      <c r="I28" s="186">
        <v>1.6766666701950332</v>
      </c>
      <c r="J28" s="186">
        <v>1.6766666701950332</v>
      </c>
      <c r="K28" s="186">
        <v>1.6766666701950332</v>
      </c>
      <c r="L28" s="186">
        <v>1.6766666701950332</v>
      </c>
      <c r="M28" s="186">
        <v>1.6766666701950332</v>
      </c>
      <c r="N28" s="168">
        <v>1.6766666701950332</v>
      </c>
    </row>
    <row r="29" spans="1:18" x14ac:dyDescent="0.2">
      <c r="B29" s="926"/>
      <c r="C29" s="185">
        <v>-0.2</v>
      </c>
      <c r="D29" s="181">
        <v>1.4955183128543268</v>
      </c>
      <c r="E29" s="181">
        <v>1.4955183128543268</v>
      </c>
      <c r="F29" s="181">
        <v>1.4955183128543268</v>
      </c>
      <c r="G29" s="186">
        <v>1.4955183128543268</v>
      </c>
      <c r="H29" s="186">
        <v>1.4955183128543268</v>
      </c>
      <c r="I29" s="186">
        <v>1.4955183128543268</v>
      </c>
      <c r="J29" s="186">
        <v>1.4955183128543268</v>
      </c>
      <c r="K29" s="186">
        <v>1.4955183128543268</v>
      </c>
      <c r="L29" s="186">
        <v>1.4955183128543268</v>
      </c>
      <c r="M29" s="186">
        <v>1.4955183128543268</v>
      </c>
      <c r="N29" s="168">
        <v>1.4955183128543268</v>
      </c>
    </row>
    <row r="30" spans="1:18" x14ac:dyDescent="0.2">
      <c r="B30" s="926"/>
      <c r="C30" s="185">
        <v>-0.3</v>
      </c>
      <c r="D30" s="181">
        <v>1.3143699555136203</v>
      </c>
      <c r="E30" s="181">
        <v>1.3143699555136203</v>
      </c>
      <c r="F30" s="181">
        <v>1.3143699555136203</v>
      </c>
      <c r="G30" s="186">
        <v>1.3143699555136203</v>
      </c>
      <c r="H30" s="186">
        <v>1.3143699555136203</v>
      </c>
      <c r="I30" s="186">
        <v>1.3143699555136203</v>
      </c>
      <c r="J30" s="186">
        <v>1.3143699555136203</v>
      </c>
      <c r="K30" s="186">
        <v>1.3143699555136203</v>
      </c>
      <c r="L30" s="186">
        <v>1.3143699555136203</v>
      </c>
      <c r="M30" s="186">
        <v>1.3143699555136203</v>
      </c>
      <c r="N30" s="168">
        <v>1.3143699555136203</v>
      </c>
    </row>
    <row r="31" spans="1:18" x14ac:dyDescent="0.2">
      <c r="B31" s="926"/>
      <c r="C31" s="185">
        <v>-0.4</v>
      </c>
      <c r="D31" s="181">
        <v>1.1332215981729137</v>
      </c>
      <c r="E31" s="181">
        <v>1.1332215981729137</v>
      </c>
      <c r="F31" s="181">
        <v>1.1332215981729137</v>
      </c>
      <c r="G31" s="186">
        <v>1.1332215981729137</v>
      </c>
      <c r="H31" s="186">
        <v>1.1332215981729137</v>
      </c>
      <c r="I31" s="186">
        <v>1.1332215981729137</v>
      </c>
      <c r="J31" s="186">
        <v>1.1332215981729137</v>
      </c>
      <c r="K31" s="186">
        <v>1.1332215981729137</v>
      </c>
      <c r="L31" s="186">
        <v>1.1332215981729137</v>
      </c>
      <c r="M31" s="186">
        <v>1.1332215981729137</v>
      </c>
      <c r="N31" s="168">
        <v>1.1332215981729137</v>
      </c>
    </row>
    <row r="32" spans="1:18" x14ac:dyDescent="0.2">
      <c r="B32" s="926"/>
      <c r="C32" s="185">
        <v>-0.5</v>
      </c>
      <c r="D32" s="181">
        <v>0.95207324083220723</v>
      </c>
      <c r="E32" s="181">
        <v>0.95207324083220723</v>
      </c>
      <c r="F32" s="181">
        <v>0.95207324083220723</v>
      </c>
      <c r="G32" s="186">
        <v>0.95207324083220723</v>
      </c>
      <c r="H32" s="186">
        <v>0.95207324083220723</v>
      </c>
      <c r="I32" s="186">
        <v>0.95207324083220723</v>
      </c>
      <c r="J32" s="186">
        <v>0.95207324083220723</v>
      </c>
      <c r="K32" s="186">
        <v>0.95207324083220723</v>
      </c>
      <c r="L32" s="186">
        <v>0.95207324083220723</v>
      </c>
      <c r="M32" s="186">
        <v>0.95207324083220723</v>
      </c>
      <c r="N32" s="168">
        <v>0.95207324083220723</v>
      </c>
    </row>
    <row r="33" spans="2:14" x14ac:dyDescent="0.2">
      <c r="B33" s="926"/>
      <c r="C33" s="185">
        <v>-0.6</v>
      </c>
      <c r="D33" s="181">
        <v>0.77092488349150079</v>
      </c>
      <c r="E33" s="181">
        <v>0.77092488349150079</v>
      </c>
      <c r="F33" s="181">
        <v>0.77092488349150079</v>
      </c>
      <c r="G33" s="186">
        <v>0.77092488349150079</v>
      </c>
      <c r="H33" s="186">
        <v>0.77092488349150079</v>
      </c>
      <c r="I33" s="186">
        <v>0.77092488349150079</v>
      </c>
      <c r="J33" s="186">
        <v>0.77092488349150079</v>
      </c>
      <c r="K33" s="186">
        <v>0.77092488349150079</v>
      </c>
      <c r="L33" s="186">
        <v>0.77092488349150079</v>
      </c>
      <c r="M33" s="186">
        <v>0.77092488349150079</v>
      </c>
      <c r="N33" s="168">
        <v>0.77092488349150079</v>
      </c>
    </row>
    <row r="34" spans="2:14" x14ac:dyDescent="0.2">
      <c r="B34" s="926"/>
      <c r="C34" s="185">
        <v>-0.7</v>
      </c>
      <c r="D34" s="181">
        <v>0.58977652615079401</v>
      </c>
      <c r="E34" s="181">
        <v>0.58977652615079401</v>
      </c>
      <c r="F34" s="181">
        <v>0.58977652615079401</v>
      </c>
      <c r="G34" s="186">
        <v>0.58977652615079401</v>
      </c>
      <c r="H34" s="186">
        <v>0.58977652615079401</v>
      </c>
      <c r="I34" s="186">
        <v>0.58977652615079401</v>
      </c>
      <c r="J34" s="186">
        <v>0.58977652615079401</v>
      </c>
      <c r="K34" s="186">
        <v>0.58977652615079401</v>
      </c>
      <c r="L34" s="186">
        <v>0.58977652615079401</v>
      </c>
      <c r="M34" s="186">
        <v>0.58977652615079401</v>
      </c>
      <c r="N34" s="168">
        <v>0.58977652615079401</v>
      </c>
    </row>
    <row r="35" spans="2:14" x14ac:dyDescent="0.2">
      <c r="B35" s="926"/>
      <c r="C35" s="185">
        <v>-0.8</v>
      </c>
      <c r="D35" s="181">
        <v>0.40862816881008768</v>
      </c>
      <c r="E35" s="181">
        <v>0.40862816881008768</v>
      </c>
      <c r="F35" s="181">
        <v>0.40862816881008768</v>
      </c>
      <c r="G35" s="186">
        <v>0.40862816881008768</v>
      </c>
      <c r="H35" s="186">
        <v>0.40862816881008768</v>
      </c>
      <c r="I35" s="186">
        <v>0.40862816881008768</v>
      </c>
      <c r="J35" s="186">
        <v>0.40862816881008768</v>
      </c>
      <c r="K35" s="186">
        <v>0.40862816881008768</v>
      </c>
      <c r="L35" s="186">
        <v>0.40862816881008768</v>
      </c>
      <c r="M35" s="186">
        <v>0.40862816881008768</v>
      </c>
      <c r="N35" s="168">
        <v>0.40862816881008768</v>
      </c>
    </row>
    <row r="36" spans="2:14" x14ac:dyDescent="0.2">
      <c r="B36" s="926"/>
      <c r="C36" s="185">
        <v>-0.9</v>
      </c>
      <c r="D36" s="181">
        <v>0.22747981146938118</v>
      </c>
      <c r="E36" s="181">
        <v>0.22747981146938118</v>
      </c>
      <c r="F36" s="181">
        <v>0.22747981146938118</v>
      </c>
      <c r="G36" s="186">
        <v>0.22747981146938118</v>
      </c>
      <c r="H36" s="186">
        <v>0.22747981146938118</v>
      </c>
      <c r="I36" s="186">
        <v>0.22747981146938118</v>
      </c>
      <c r="J36" s="186">
        <v>0.22747981146938118</v>
      </c>
      <c r="K36" s="186">
        <v>0.22747981146938118</v>
      </c>
      <c r="L36" s="186">
        <v>0.22747981146938118</v>
      </c>
      <c r="M36" s="186">
        <v>0.22747981146938118</v>
      </c>
      <c r="N36" s="168">
        <v>0.22747981146938118</v>
      </c>
    </row>
    <row r="37" spans="2:14" x14ac:dyDescent="0.2">
      <c r="B37" s="927"/>
      <c r="C37" s="191">
        <v>-1</v>
      </c>
      <c r="D37" s="188">
        <v>4.6331454128674683E-2</v>
      </c>
      <c r="E37" s="188">
        <v>4.6331454128674683E-2</v>
      </c>
      <c r="F37" s="188">
        <v>4.6331454128674683E-2</v>
      </c>
      <c r="G37" s="189">
        <v>4.6331454128674683E-2</v>
      </c>
      <c r="H37" s="189">
        <v>4.6331454128674683E-2</v>
      </c>
      <c r="I37" s="189">
        <v>4.6331454128674683E-2</v>
      </c>
      <c r="J37" s="189">
        <v>4.6331454128674683E-2</v>
      </c>
      <c r="K37" s="189">
        <v>4.6331454128674683E-2</v>
      </c>
      <c r="L37" s="189">
        <v>4.6331454128674683E-2</v>
      </c>
      <c r="M37" s="189">
        <v>4.6331454128674683E-2</v>
      </c>
      <c r="N37" s="169">
        <v>4.6331454128674683E-2</v>
      </c>
    </row>
    <row r="41" spans="2:14" x14ac:dyDescent="0.2">
      <c r="D41" s="922" t="s">
        <v>1266</v>
      </c>
      <c r="E41" s="923"/>
      <c r="F41" s="923"/>
      <c r="G41" s="923"/>
      <c r="H41" s="923"/>
      <c r="I41" s="923"/>
      <c r="J41" s="923"/>
      <c r="K41" s="923"/>
      <c r="L41" s="923"/>
      <c r="M41" s="923"/>
      <c r="N41" s="924"/>
    </row>
    <row r="42" spans="2:14" x14ac:dyDescent="0.2">
      <c r="C42" s="184">
        <f>B2</f>
        <v>1.8578150275357399</v>
      </c>
      <c r="D42" s="190">
        <v>0</v>
      </c>
      <c r="E42" s="187">
        <v>-0.1</v>
      </c>
      <c r="F42" s="187">
        <v>-0.2</v>
      </c>
      <c r="G42" s="187">
        <v>-0.3</v>
      </c>
      <c r="H42" s="187">
        <v>-0.4</v>
      </c>
      <c r="I42" s="187">
        <v>-0.5</v>
      </c>
      <c r="J42" s="187">
        <v>-0.6</v>
      </c>
      <c r="K42" s="187">
        <v>-0.7</v>
      </c>
      <c r="L42" s="187">
        <v>-0.8</v>
      </c>
      <c r="M42" s="187">
        <v>-0.9</v>
      </c>
      <c r="N42" s="191">
        <v>-1</v>
      </c>
    </row>
    <row r="43" spans="2:14" x14ac:dyDescent="0.2">
      <c r="B43" s="925" t="s">
        <v>1264</v>
      </c>
      <c r="C43" s="192">
        <v>0</v>
      </c>
      <c r="D43" s="181">
        <f t="dataTable" ref="D43:N53" dt2D="1" dtr="1" r1="K7" r2="E7" ca="1"/>
        <v>1.8578150275357399</v>
      </c>
      <c r="E43" s="181">
        <v>2.188051421518761</v>
      </c>
      <c r="F43" s="181">
        <v>2.5182878155017812</v>
      </c>
      <c r="G43" s="186">
        <v>2.8485242094848027</v>
      </c>
      <c r="H43" s="186">
        <v>3.1787606034678233</v>
      </c>
      <c r="I43" s="186">
        <v>3.5089969974508448</v>
      </c>
      <c r="J43" s="186">
        <v>3.8392333914338659</v>
      </c>
      <c r="K43" s="186">
        <v>4.1694697854168874</v>
      </c>
      <c r="L43" s="186">
        <v>4.4997061793999071</v>
      </c>
      <c r="M43" s="186">
        <v>4.8299425733829287</v>
      </c>
      <c r="N43" s="168">
        <v>5.1601789673659511</v>
      </c>
    </row>
    <row r="44" spans="2:14" x14ac:dyDescent="0.2">
      <c r="B44" s="926"/>
      <c r="C44" s="185">
        <v>0.1</v>
      </c>
      <c r="D44" s="181">
        <v>1.7660455608832053</v>
      </c>
      <c r="E44" s="181">
        <v>2.0799694494252106</v>
      </c>
      <c r="F44" s="181">
        <v>2.3938933379672145</v>
      </c>
      <c r="G44" s="186">
        <v>2.7078172265092202</v>
      </c>
      <c r="H44" s="186">
        <v>3.0217411150512246</v>
      </c>
      <c r="I44" s="186">
        <v>3.3356650035932303</v>
      </c>
      <c r="J44" s="186">
        <v>3.6495888921352351</v>
      </c>
      <c r="K44" s="186">
        <v>3.9635127806772403</v>
      </c>
      <c r="L44" s="186">
        <v>4.2774366692192443</v>
      </c>
      <c r="M44" s="186">
        <v>4.5913605577612495</v>
      </c>
      <c r="N44" s="168">
        <v>4.9052844463032557</v>
      </c>
    </row>
    <row r="45" spans="2:14" x14ac:dyDescent="0.2">
      <c r="B45" s="926"/>
      <c r="C45" s="185">
        <v>0.2</v>
      </c>
      <c r="D45" s="181">
        <v>1.682915509485353</v>
      </c>
      <c r="E45" s="181">
        <v>1.9820625940945877</v>
      </c>
      <c r="F45" s="181">
        <v>2.2812096787038216</v>
      </c>
      <c r="G45" s="186">
        <v>2.5803567633130569</v>
      </c>
      <c r="H45" s="186">
        <v>2.8795038479222912</v>
      </c>
      <c r="I45" s="186">
        <v>3.178650932531526</v>
      </c>
      <c r="J45" s="186">
        <v>3.4777980171407608</v>
      </c>
      <c r="K45" s="186">
        <v>3.776945101749996</v>
      </c>
      <c r="L45" s="186">
        <v>4.0760921863592294</v>
      </c>
      <c r="M45" s="186">
        <v>4.3752392709684642</v>
      </c>
      <c r="N45" s="168">
        <v>4.6743863555776999</v>
      </c>
    </row>
    <row r="46" spans="2:14" x14ac:dyDescent="0.2">
      <c r="B46" s="926"/>
      <c r="C46" s="185">
        <v>0.3</v>
      </c>
      <c r="D46" s="181">
        <v>1.6072597135335636</v>
      </c>
      <c r="E46" s="181">
        <v>1.8929585824330921</v>
      </c>
      <c r="F46" s="181">
        <v>2.17865745133262</v>
      </c>
      <c r="G46" s="186">
        <v>2.4643563202321492</v>
      </c>
      <c r="H46" s="186">
        <v>2.7500551891316771</v>
      </c>
      <c r="I46" s="186">
        <v>3.0357540580312063</v>
      </c>
      <c r="J46" s="186">
        <v>3.3214529269307347</v>
      </c>
      <c r="K46" s="186">
        <v>3.6071517958302635</v>
      </c>
      <c r="L46" s="186">
        <v>3.8928506647297909</v>
      </c>
      <c r="M46" s="186">
        <v>4.1785495336293197</v>
      </c>
      <c r="N46" s="168">
        <v>4.4642484025288498</v>
      </c>
    </row>
    <row r="47" spans="2:14" x14ac:dyDescent="0.2">
      <c r="B47" s="926"/>
      <c r="C47" s="185">
        <v>0.4</v>
      </c>
      <c r="D47" s="181">
        <v>1.5381135193743227</v>
      </c>
      <c r="E47" s="181">
        <v>1.8115212885258394</v>
      </c>
      <c r="F47" s="181">
        <v>2.0849290576773551</v>
      </c>
      <c r="G47" s="186">
        <v>2.358336826828872</v>
      </c>
      <c r="H47" s="186">
        <v>2.6317445959803885</v>
      </c>
      <c r="I47" s="186">
        <v>2.9051523651319053</v>
      </c>
      <c r="J47" s="186">
        <v>3.1785601342834218</v>
      </c>
      <c r="K47" s="186">
        <v>3.4519679034349386</v>
      </c>
      <c r="L47" s="186">
        <v>3.7253756725864542</v>
      </c>
      <c r="M47" s="186">
        <v>3.9987834417379711</v>
      </c>
      <c r="N47" s="168">
        <v>4.2721912108894884</v>
      </c>
    </row>
    <row r="48" spans="2:14" x14ac:dyDescent="0.2">
      <c r="B48" s="926"/>
      <c r="C48" s="185">
        <v>0.5</v>
      </c>
      <c r="D48" s="181">
        <v>1.4746714284334812</v>
      </c>
      <c r="E48" s="181">
        <v>1.7368020321898854</v>
      </c>
      <c r="F48" s="181">
        <v>1.9989326359462884</v>
      </c>
      <c r="G48" s="186">
        <v>2.2610632397026929</v>
      </c>
      <c r="H48" s="186">
        <v>2.5231938434590964</v>
      </c>
      <c r="I48" s="186">
        <v>2.7853244472155003</v>
      </c>
      <c r="J48" s="186">
        <v>3.0474550509719043</v>
      </c>
      <c r="K48" s="186">
        <v>3.3095856547283087</v>
      </c>
      <c r="L48" s="186">
        <v>3.5717162584847113</v>
      </c>
      <c r="M48" s="186">
        <v>3.8338468622411153</v>
      </c>
      <c r="N48" s="168">
        <v>4.0959774659975201</v>
      </c>
    </row>
    <row r="49" spans="2:14" x14ac:dyDescent="0.2">
      <c r="B49" s="926"/>
      <c r="C49" s="185">
        <v>0.6</v>
      </c>
      <c r="D49" s="181">
        <v>1.4162555743301533</v>
      </c>
      <c r="E49" s="181">
        <v>1.6680024527292974</v>
      </c>
      <c r="F49" s="181">
        <v>1.9197493311284408</v>
      </c>
      <c r="G49" s="186">
        <v>2.1714962095275849</v>
      </c>
      <c r="H49" s="186">
        <v>2.4232430879267288</v>
      </c>
      <c r="I49" s="186">
        <v>2.6749899663258732</v>
      </c>
      <c r="J49" s="186">
        <v>2.9267368447250171</v>
      </c>
      <c r="K49" s="186">
        <v>3.1784837231241614</v>
      </c>
      <c r="L49" s="186">
        <v>3.4302306015233044</v>
      </c>
      <c r="M49" s="186">
        <v>3.6819774799224487</v>
      </c>
      <c r="N49" s="168">
        <v>3.9337243583215935</v>
      </c>
    </row>
    <row r="50" spans="2:14" x14ac:dyDescent="0.2">
      <c r="B50" s="926"/>
      <c r="C50" s="185">
        <v>0.7</v>
      </c>
      <c r="D50" s="181">
        <v>1.3622914067674308</v>
      </c>
      <c r="E50" s="181">
        <v>1.6044458705095317</v>
      </c>
      <c r="F50" s="181">
        <v>1.8466003342516317</v>
      </c>
      <c r="G50" s="186">
        <v>2.0887547979937331</v>
      </c>
      <c r="H50" s="186">
        <v>2.3309092617358331</v>
      </c>
      <c r="I50" s="186">
        <v>2.5730637254779345</v>
      </c>
      <c r="J50" s="186">
        <v>2.815218189220035</v>
      </c>
      <c r="K50" s="186">
        <v>3.0573726529621363</v>
      </c>
      <c r="L50" s="186">
        <v>3.2995271167042359</v>
      </c>
      <c r="M50" s="186">
        <v>3.5416815804463369</v>
      </c>
      <c r="N50" s="168">
        <v>3.7838360441884387</v>
      </c>
    </row>
    <row r="51" spans="2:14" x14ac:dyDescent="0.2">
      <c r="B51" s="926"/>
      <c r="C51" s="185">
        <v>0.8</v>
      </c>
      <c r="D51" s="181">
        <v>1.3122887305352331</v>
      </c>
      <c r="E51" s="181">
        <v>1.5455549555432957</v>
      </c>
      <c r="F51" s="181">
        <v>1.7788211805513576</v>
      </c>
      <c r="G51" s="186">
        <v>2.0120874055594204</v>
      </c>
      <c r="H51" s="186">
        <v>2.2453536305674828</v>
      </c>
      <c r="I51" s="186">
        <v>2.4786198555755456</v>
      </c>
      <c r="J51" s="186">
        <v>2.711886080583608</v>
      </c>
      <c r="K51" s="186">
        <v>2.9451523055916708</v>
      </c>
      <c r="L51" s="186">
        <v>3.1784185305997323</v>
      </c>
      <c r="M51" s="186">
        <v>3.4116847556077952</v>
      </c>
      <c r="N51" s="168">
        <v>3.6449509806158589</v>
      </c>
    </row>
    <row r="52" spans="2:14" x14ac:dyDescent="0.2">
      <c r="B52" s="926"/>
      <c r="C52" s="185">
        <v>0.9</v>
      </c>
      <c r="D52" s="181">
        <v>1.2658267724303418</v>
      </c>
      <c r="E52" s="181">
        <v>1.4908341399770666</v>
      </c>
      <c r="F52" s="181">
        <v>1.7158415075237905</v>
      </c>
      <c r="G52" s="186">
        <v>1.9408488750705153</v>
      </c>
      <c r="H52" s="186">
        <v>2.1658562426172394</v>
      </c>
      <c r="I52" s="186">
        <v>2.3908636101639642</v>
      </c>
      <c r="J52" s="186">
        <v>2.6158709777106885</v>
      </c>
      <c r="K52" s="186">
        <v>2.8408783452574133</v>
      </c>
      <c r="L52" s="186">
        <v>3.0658857128041368</v>
      </c>
      <c r="M52" s="186">
        <v>3.2908930803508616</v>
      </c>
      <c r="N52" s="168">
        <v>3.5159004478975873</v>
      </c>
    </row>
    <row r="53" spans="2:14" x14ac:dyDescent="0.2">
      <c r="B53" s="927"/>
      <c r="C53" s="191">
        <v>1</v>
      </c>
      <c r="D53" s="188">
        <v>1.2225423119620495</v>
      </c>
      <c r="E53" s="188">
        <v>1.4398556389672301</v>
      </c>
      <c r="F53" s="188">
        <v>1.6571689659724103</v>
      </c>
      <c r="G53" s="189">
        <v>1.8744822929775911</v>
      </c>
      <c r="H53" s="189">
        <v>2.0917956199827712</v>
      </c>
      <c r="I53" s="189">
        <v>2.3091089469879522</v>
      </c>
      <c r="J53" s="189">
        <v>2.5264222739931328</v>
      </c>
      <c r="K53" s="189">
        <v>2.7437356009983134</v>
      </c>
      <c r="L53" s="189">
        <v>2.9610489280034931</v>
      </c>
      <c r="M53" s="189">
        <v>3.1783622550086741</v>
      </c>
      <c r="N53" s="169">
        <v>3.3956755820138556</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22">
    <tabColor rgb="FFFFFFCC"/>
  </sheetPr>
  <dimension ref="A1:I138"/>
  <sheetViews>
    <sheetView workbookViewId="0"/>
  </sheetViews>
  <sheetFormatPr baseColWidth="10" defaultColWidth="8.6640625" defaultRowHeight="15" x14ac:dyDescent="0.2"/>
  <cols>
    <col min="1" max="1" width="26" customWidth="1"/>
    <col min="2" max="2" width="11.5" customWidth="1"/>
    <col min="4" max="4" width="20.6640625" customWidth="1"/>
    <col min="6" max="8" width="12.5" bestFit="1" customWidth="1"/>
    <col min="9" max="9" width="13.1640625" bestFit="1" customWidth="1"/>
  </cols>
  <sheetData>
    <row r="1" spans="1:9" ht="16" thickBot="1" x14ac:dyDescent="0.25"/>
    <row r="2" spans="1:9" x14ac:dyDescent="0.2">
      <c r="A2" s="936" t="str">
        <f>'Parametre - Agendové IS'!G2</f>
        <v>Modul MyData</v>
      </c>
      <c r="B2" s="937"/>
      <c r="C2" s="938"/>
      <c r="D2" s="942" t="s">
        <v>96</v>
      </c>
      <c r="E2" s="943"/>
      <c r="F2" s="235" t="s">
        <v>1269</v>
      </c>
      <c r="G2" s="235" t="s">
        <v>1270</v>
      </c>
      <c r="H2" s="235" t="s">
        <v>1271</v>
      </c>
      <c r="I2" s="235" t="s">
        <v>1272</v>
      </c>
    </row>
    <row r="3" spans="1:9" ht="16" thickBot="1" x14ac:dyDescent="0.25">
      <c r="A3" s="939"/>
      <c r="B3" s="940"/>
      <c r="C3" s="941"/>
      <c r="D3" s="334" t="s">
        <v>1273</v>
      </c>
      <c r="E3" s="335" t="s">
        <v>161</v>
      </c>
      <c r="F3" s="132" t="s">
        <v>161</v>
      </c>
      <c r="G3" s="132" t="s">
        <v>161</v>
      </c>
      <c r="H3" s="132" t="s">
        <v>161</v>
      </c>
      <c r="I3" s="132" t="s">
        <v>161</v>
      </c>
    </row>
    <row r="4" spans="1:9" ht="15" customHeight="1" x14ac:dyDescent="0.2">
      <c r="A4" s="808" t="s">
        <v>1274</v>
      </c>
      <c r="B4" s="933" t="s">
        <v>218</v>
      </c>
      <c r="C4" s="133" t="s">
        <v>163</v>
      </c>
      <c r="D4" s="336" t="str">
        <f>IF(E4='Parametre - Agendové IS'!H86,"OK","Chyba počtu FTE")</f>
        <v>Chyba počtu FTE</v>
      </c>
      <c r="E4" s="337">
        <f t="shared" ref="E4:E33" si="0">F4+G4+H4+I4</f>
        <v>0</v>
      </c>
      <c r="F4" s="193"/>
      <c r="G4" s="193"/>
      <c r="H4" s="193"/>
      <c r="I4" s="193"/>
    </row>
    <row r="5" spans="1:9" x14ac:dyDescent="0.2">
      <c r="A5" s="932"/>
      <c r="B5" s="934"/>
      <c r="C5" s="130" t="s">
        <v>164</v>
      </c>
      <c r="D5" s="338" t="str">
        <f>IF(E5='Parametre - Agendové IS'!H87,"OK","Chyba počtu FTE")</f>
        <v>Chyba počtu FTE</v>
      </c>
      <c r="E5" s="339">
        <f t="shared" si="0"/>
        <v>0</v>
      </c>
      <c r="F5" s="194"/>
      <c r="G5" s="194"/>
      <c r="H5" s="194"/>
      <c r="I5" s="194"/>
    </row>
    <row r="6" spans="1:9" x14ac:dyDescent="0.2">
      <c r="A6" s="932"/>
      <c r="B6" s="934"/>
      <c r="C6" s="130" t="s">
        <v>165</v>
      </c>
      <c r="D6" s="338" t="str">
        <f>IF(E6='Parametre - Agendové IS'!H88,"OK","Chyba počtu FTE")</f>
        <v>Chyba počtu FTE</v>
      </c>
      <c r="E6" s="339">
        <f t="shared" si="0"/>
        <v>0</v>
      </c>
      <c r="F6" s="194"/>
      <c r="G6" s="194"/>
      <c r="H6" s="194"/>
      <c r="I6" s="194"/>
    </row>
    <row r="7" spans="1:9" x14ac:dyDescent="0.2">
      <c r="A7" s="932"/>
      <c r="B7" s="934"/>
      <c r="C7" s="130" t="s">
        <v>166</v>
      </c>
      <c r="D7" s="338" t="str">
        <f>IF(E7='Parametre - Agendové IS'!H89,"OK","Chyba počtu FTE")</f>
        <v>Chyba počtu FTE</v>
      </c>
      <c r="E7" s="339">
        <f t="shared" si="0"/>
        <v>0</v>
      </c>
      <c r="F7" s="194"/>
      <c r="G7" s="194"/>
      <c r="H7" s="194"/>
      <c r="I7" s="194"/>
    </row>
    <row r="8" spans="1:9" x14ac:dyDescent="0.2">
      <c r="A8" s="932"/>
      <c r="B8" s="934"/>
      <c r="C8" s="130" t="s">
        <v>167</v>
      </c>
      <c r="D8" s="338" t="str">
        <f>IF(E8='Parametre - Agendové IS'!H90,"OK","Chyba počtu FTE")</f>
        <v>Chyba počtu FTE</v>
      </c>
      <c r="E8" s="339">
        <f t="shared" si="0"/>
        <v>0</v>
      </c>
      <c r="F8" s="194"/>
      <c r="G8" s="194"/>
      <c r="H8" s="194"/>
      <c r="I8" s="194"/>
    </row>
    <row r="9" spans="1:9" x14ac:dyDescent="0.2">
      <c r="A9" s="932"/>
      <c r="B9" s="934"/>
      <c r="C9" s="130" t="s">
        <v>168</v>
      </c>
      <c r="D9" s="338" t="str">
        <f>IF(E9='Parametre - Agendové IS'!H91,"OK","Chyba počtu FTE")</f>
        <v>Chyba počtu FTE</v>
      </c>
      <c r="E9" s="339">
        <f t="shared" si="0"/>
        <v>0</v>
      </c>
      <c r="F9" s="194"/>
      <c r="G9" s="194"/>
      <c r="H9" s="194"/>
      <c r="I9" s="194"/>
    </row>
    <row r="10" spans="1:9" x14ac:dyDescent="0.2">
      <c r="A10" s="932"/>
      <c r="B10" s="934"/>
      <c r="C10" s="130" t="s">
        <v>169</v>
      </c>
      <c r="D10" s="338" t="str">
        <f>IF(E10='Parametre - Agendové IS'!H92,"OK","Chyba počtu FTE")</f>
        <v>Chyba počtu FTE</v>
      </c>
      <c r="E10" s="339">
        <f t="shared" si="0"/>
        <v>0</v>
      </c>
      <c r="F10" s="194"/>
      <c r="G10" s="194"/>
      <c r="H10" s="194"/>
      <c r="I10" s="194"/>
    </row>
    <row r="11" spans="1:9" x14ac:dyDescent="0.2">
      <c r="A11" s="932"/>
      <c r="B11" s="934"/>
      <c r="C11" s="130" t="s">
        <v>170</v>
      </c>
      <c r="D11" s="338" t="str">
        <f>IF(E11='Parametre - Agendové IS'!H93,"OK","Chyba počtu FTE")</f>
        <v>Chyba počtu FTE</v>
      </c>
      <c r="E11" s="339">
        <f t="shared" si="0"/>
        <v>0</v>
      </c>
      <c r="F11" s="194"/>
      <c r="G11" s="194"/>
      <c r="H11" s="194"/>
      <c r="I11" s="194"/>
    </row>
    <row r="12" spans="1:9" x14ac:dyDescent="0.2">
      <c r="A12" s="932"/>
      <c r="B12" s="934"/>
      <c r="C12" s="130" t="s">
        <v>171</v>
      </c>
      <c r="D12" s="338" t="str">
        <f>IF(E12='Parametre - Agendové IS'!H94,"OK","Chyba počtu FTE")</f>
        <v>Chyba počtu FTE</v>
      </c>
      <c r="E12" s="339">
        <f t="shared" si="0"/>
        <v>0</v>
      </c>
      <c r="F12" s="194"/>
      <c r="G12" s="194"/>
      <c r="H12" s="194"/>
      <c r="I12" s="194"/>
    </row>
    <row r="13" spans="1:9" ht="16" thickBot="1" x14ac:dyDescent="0.25">
      <c r="A13" s="932"/>
      <c r="B13" s="934"/>
      <c r="C13" s="130" t="s">
        <v>172</v>
      </c>
      <c r="D13" s="340" t="str">
        <f>IF(E13='Parametre - Agendové IS'!H95,"OK","Chyba počtu FTE")</f>
        <v>Chyba počtu FTE</v>
      </c>
      <c r="E13" s="341">
        <f t="shared" si="0"/>
        <v>0</v>
      </c>
      <c r="F13" s="195"/>
      <c r="G13" s="195"/>
      <c r="H13" s="195"/>
      <c r="I13" s="195"/>
    </row>
    <row r="14" spans="1:9" ht="15" customHeight="1" x14ac:dyDescent="0.2">
      <c r="A14" s="808" t="s">
        <v>1275</v>
      </c>
      <c r="B14" s="933" t="s">
        <v>209</v>
      </c>
      <c r="C14" s="133" t="s">
        <v>163</v>
      </c>
      <c r="D14" s="337" t="str">
        <f>IF(E14='Parametre - Agendové IS'!H5,"OK","Chyba počtu podaní")</f>
        <v>Chyba počtu podaní</v>
      </c>
      <c r="E14" s="342">
        <f t="shared" si="0"/>
        <v>0</v>
      </c>
      <c r="F14" s="193"/>
      <c r="G14" s="193"/>
      <c r="H14" s="193"/>
      <c r="I14" s="193"/>
    </row>
    <row r="15" spans="1:9" x14ac:dyDescent="0.2">
      <c r="A15" s="932"/>
      <c r="B15" s="934"/>
      <c r="C15" s="130" t="s">
        <v>164</v>
      </c>
      <c r="D15" s="338" t="str">
        <f>IF(E15='Parametre - Agendové IS'!H6,"OK","Chyba počtu podaní")</f>
        <v>Chyba počtu podaní</v>
      </c>
      <c r="E15" s="339">
        <f t="shared" si="0"/>
        <v>0</v>
      </c>
      <c r="F15" s="194"/>
      <c r="G15" s="194"/>
      <c r="H15" s="194"/>
      <c r="I15" s="194"/>
    </row>
    <row r="16" spans="1:9" x14ac:dyDescent="0.2">
      <c r="A16" s="932"/>
      <c r="B16" s="934"/>
      <c r="C16" s="130" t="s">
        <v>165</v>
      </c>
      <c r="D16" s="338" t="str">
        <f>IF(E16='Parametre - Agendové IS'!H7,"OK","Chyba počtu podaní")</f>
        <v>Chyba počtu podaní</v>
      </c>
      <c r="E16" s="339">
        <f t="shared" si="0"/>
        <v>0</v>
      </c>
      <c r="F16" s="194"/>
      <c r="G16" s="194"/>
      <c r="H16" s="194"/>
      <c r="I16" s="194"/>
    </row>
    <row r="17" spans="1:9" x14ac:dyDescent="0.2">
      <c r="A17" s="932"/>
      <c r="B17" s="934"/>
      <c r="C17" s="130" t="s">
        <v>166</v>
      </c>
      <c r="D17" s="338" t="str">
        <f>IF(E17='Parametre - Agendové IS'!H8,"OK","Chyba počtu podaní")</f>
        <v>Chyba počtu podaní</v>
      </c>
      <c r="E17" s="339">
        <f t="shared" si="0"/>
        <v>0</v>
      </c>
      <c r="F17" s="194"/>
      <c r="G17" s="194"/>
      <c r="H17" s="194"/>
      <c r="I17" s="194"/>
    </row>
    <row r="18" spans="1:9" x14ac:dyDescent="0.2">
      <c r="A18" s="932"/>
      <c r="B18" s="934"/>
      <c r="C18" s="130" t="s">
        <v>167</v>
      </c>
      <c r="D18" s="338" t="str">
        <f>IF(E18='Parametre - Agendové IS'!H9,"OK","Chyba počtu podaní")</f>
        <v>Chyba počtu podaní</v>
      </c>
      <c r="E18" s="339">
        <f t="shared" si="0"/>
        <v>0</v>
      </c>
      <c r="F18" s="194"/>
      <c r="G18" s="194"/>
      <c r="H18" s="194"/>
      <c r="I18" s="194"/>
    </row>
    <row r="19" spans="1:9" x14ac:dyDescent="0.2">
      <c r="A19" s="932"/>
      <c r="B19" s="934"/>
      <c r="C19" s="130" t="s">
        <v>168</v>
      </c>
      <c r="D19" s="338" t="str">
        <f>IF(E19='Parametre - Agendové IS'!H10,"OK","Chyba počtu podaní")</f>
        <v>Chyba počtu podaní</v>
      </c>
      <c r="E19" s="339">
        <f t="shared" si="0"/>
        <v>0</v>
      </c>
      <c r="F19" s="194"/>
      <c r="G19" s="194"/>
      <c r="H19" s="194"/>
      <c r="I19" s="194"/>
    </row>
    <row r="20" spans="1:9" x14ac:dyDescent="0.2">
      <c r="A20" s="932"/>
      <c r="B20" s="934"/>
      <c r="C20" s="130" t="s">
        <v>169</v>
      </c>
      <c r="D20" s="338" t="str">
        <f>IF(E20='Parametre - Agendové IS'!H11,"OK","Chyba počtu podaní")</f>
        <v>Chyba počtu podaní</v>
      </c>
      <c r="E20" s="339">
        <f t="shared" si="0"/>
        <v>0</v>
      </c>
      <c r="F20" s="194"/>
      <c r="G20" s="194"/>
      <c r="H20" s="194"/>
      <c r="I20" s="194"/>
    </row>
    <row r="21" spans="1:9" x14ac:dyDescent="0.2">
      <c r="A21" s="932"/>
      <c r="B21" s="934"/>
      <c r="C21" s="130" t="s">
        <v>170</v>
      </c>
      <c r="D21" s="338" t="str">
        <f>IF(E21='Parametre - Agendové IS'!H12,"OK","Chyba počtu podaní")</f>
        <v>Chyba počtu podaní</v>
      </c>
      <c r="E21" s="339">
        <f t="shared" si="0"/>
        <v>0</v>
      </c>
      <c r="F21" s="194"/>
      <c r="G21" s="194"/>
      <c r="H21" s="194"/>
      <c r="I21" s="194"/>
    </row>
    <row r="22" spans="1:9" x14ac:dyDescent="0.2">
      <c r="A22" s="932"/>
      <c r="B22" s="934"/>
      <c r="C22" s="130" t="s">
        <v>171</v>
      </c>
      <c r="D22" s="338" t="str">
        <f>IF(E22='Parametre - Agendové IS'!H13,"OK","Chyba počtu podaní")</f>
        <v>Chyba počtu podaní</v>
      </c>
      <c r="E22" s="339">
        <f t="shared" si="0"/>
        <v>0</v>
      </c>
      <c r="F22" s="194"/>
      <c r="G22" s="194"/>
      <c r="H22" s="194"/>
      <c r="I22" s="194"/>
    </row>
    <row r="23" spans="1:9" ht="16" thickBot="1" x14ac:dyDescent="0.25">
      <c r="A23" s="810"/>
      <c r="B23" s="935"/>
      <c r="C23" s="131" t="s">
        <v>172</v>
      </c>
      <c r="D23" s="338" t="str">
        <f>IF(E23='Parametre - Agendové IS'!H14,"OK","Chyba počtu podaní")</f>
        <v>Chyba počtu podaní</v>
      </c>
      <c r="E23" s="339">
        <f t="shared" si="0"/>
        <v>0</v>
      </c>
      <c r="F23" s="194"/>
      <c r="G23" s="194"/>
      <c r="H23" s="194"/>
      <c r="I23" s="194"/>
    </row>
    <row r="24" spans="1:9" x14ac:dyDescent="0.2">
      <c r="A24" s="808" t="s">
        <v>115</v>
      </c>
      <c r="B24" s="933" t="s">
        <v>211</v>
      </c>
      <c r="C24" s="133" t="s">
        <v>163</v>
      </c>
      <c r="D24" s="337" t="str">
        <f>IF(E24='Parametre - Agendové IS'!H126,"OK","Chyba")</f>
        <v>OK</v>
      </c>
      <c r="E24" s="342">
        <f t="shared" si="0"/>
        <v>0</v>
      </c>
      <c r="F24" s="193"/>
      <c r="G24" s="193"/>
      <c r="H24" s="193"/>
      <c r="I24" s="193"/>
    </row>
    <row r="25" spans="1:9" x14ac:dyDescent="0.2">
      <c r="A25" s="932"/>
      <c r="B25" s="934"/>
      <c r="C25" s="130" t="s">
        <v>164</v>
      </c>
      <c r="D25" s="338" t="str">
        <f>IF(E25='Parametre - Agendové IS'!H127,"OK","Chyba")</f>
        <v>OK</v>
      </c>
      <c r="E25" s="339">
        <f t="shared" si="0"/>
        <v>0</v>
      </c>
      <c r="F25" s="194"/>
      <c r="G25" s="194"/>
      <c r="H25" s="194"/>
      <c r="I25" s="194"/>
    </row>
    <row r="26" spans="1:9" x14ac:dyDescent="0.2">
      <c r="A26" s="932"/>
      <c r="B26" s="934"/>
      <c r="C26" s="130" t="s">
        <v>165</v>
      </c>
      <c r="D26" s="338" t="str">
        <f>IF(E26='Parametre - Agendové IS'!H128,"OK","Chyba")</f>
        <v>OK</v>
      </c>
      <c r="E26" s="339">
        <f t="shared" si="0"/>
        <v>0</v>
      </c>
      <c r="F26" s="194"/>
      <c r="G26" s="194"/>
      <c r="H26" s="194"/>
      <c r="I26" s="194"/>
    </row>
    <row r="27" spans="1:9" x14ac:dyDescent="0.2">
      <c r="A27" s="932"/>
      <c r="B27" s="934"/>
      <c r="C27" s="130" t="s">
        <v>166</v>
      </c>
      <c r="D27" s="338" t="str">
        <f>IF(E27='Parametre - Agendové IS'!H129,"OK","Chyba")</f>
        <v>OK</v>
      </c>
      <c r="E27" s="339">
        <f t="shared" si="0"/>
        <v>0</v>
      </c>
      <c r="F27" s="194"/>
      <c r="G27" s="194"/>
      <c r="H27" s="194"/>
      <c r="I27" s="194"/>
    </row>
    <row r="28" spans="1:9" x14ac:dyDescent="0.2">
      <c r="A28" s="932"/>
      <c r="B28" s="934"/>
      <c r="C28" s="130" t="s">
        <v>167</v>
      </c>
      <c r="D28" s="338" t="str">
        <f>IF(E28='Parametre - Agendové IS'!H130,"OK","Chyba")</f>
        <v>OK</v>
      </c>
      <c r="E28" s="339">
        <f t="shared" si="0"/>
        <v>0</v>
      </c>
      <c r="F28" s="194"/>
      <c r="G28" s="194"/>
      <c r="H28" s="194"/>
      <c r="I28" s="194"/>
    </row>
    <row r="29" spans="1:9" x14ac:dyDescent="0.2">
      <c r="A29" s="932"/>
      <c r="B29" s="934"/>
      <c r="C29" s="130" t="s">
        <v>168</v>
      </c>
      <c r="D29" s="338" t="str">
        <f>IF(E29='Parametre - Agendové IS'!H131,"OK","Chyba")</f>
        <v>OK</v>
      </c>
      <c r="E29" s="339">
        <f t="shared" si="0"/>
        <v>0</v>
      </c>
      <c r="F29" s="194"/>
      <c r="G29" s="194"/>
      <c r="H29" s="194"/>
      <c r="I29" s="194"/>
    </row>
    <row r="30" spans="1:9" x14ac:dyDescent="0.2">
      <c r="A30" s="932"/>
      <c r="B30" s="934"/>
      <c r="C30" s="130" t="s">
        <v>169</v>
      </c>
      <c r="D30" s="338" t="str">
        <f>IF(E30='Parametre - Agendové IS'!H132,"OK","Chyba")</f>
        <v>OK</v>
      </c>
      <c r="E30" s="339">
        <f t="shared" si="0"/>
        <v>0</v>
      </c>
      <c r="F30" s="194"/>
      <c r="G30" s="194"/>
      <c r="H30" s="194"/>
      <c r="I30" s="194"/>
    </row>
    <row r="31" spans="1:9" x14ac:dyDescent="0.2">
      <c r="A31" s="932"/>
      <c r="B31" s="934"/>
      <c r="C31" s="130" t="s">
        <v>170</v>
      </c>
      <c r="D31" s="338" t="str">
        <f>IF(E31='Parametre - Agendové IS'!H133,"OK","Chyba")</f>
        <v>OK</v>
      </c>
      <c r="E31" s="339">
        <f t="shared" si="0"/>
        <v>0</v>
      </c>
      <c r="F31" s="194"/>
      <c r="G31" s="194"/>
      <c r="H31" s="194"/>
      <c r="I31" s="194"/>
    </row>
    <row r="32" spans="1:9" x14ac:dyDescent="0.2">
      <c r="A32" s="932"/>
      <c r="B32" s="934"/>
      <c r="C32" s="130" t="s">
        <v>171</v>
      </c>
      <c r="D32" s="338" t="str">
        <f>IF(E32='Parametre - Agendové IS'!H134,"OK","Chyba")</f>
        <v>OK</v>
      </c>
      <c r="E32" s="339">
        <f t="shared" si="0"/>
        <v>0</v>
      </c>
      <c r="F32" s="194"/>
      <c r="G32" s="194"/>
      <c r="H32" s="194"/>
      <c r="I32" s="194"/>
    </row>
    <row r="33" spans="1:9" ht="16" thickBot="1" x14ac:dyDescent="0.25">
      <c r="A33" s="810"/>
      <c r="B33" s="935"/>
      <c r="C33" s="131" t="s">
        <v>172</v>
      </c>
      <c r="D33" s="338" t="str">
        <f>IF(E33='Parametre - Agendové IS'!H135,"OK","Chyba")</f>
        <v>OK</v>
      </c>
      <c r="E33" s="339">
        <f t="shared" si="0"/>
        <v>0</v>
      </c>
      <c r="F33" s="194"/>
      <c r="G33" s="194"/>
      <c r="H33" s="194"/>
      <c r="I33" s="194"/>
    </row>
    <row r="34" spans="1:9" x14ac:dyDescent="0.2">
      <c r="A34" s="128"/>
      <c r="B34" s="129"/>
    </row>
    <row r="35" spans="1:9" x14ac:dyDescent="0.2">
      <c r="A35" s="128"/>
      <c r="B35" s="129"/>
    </row>
    <row r="36" spans="1:9" ht="16" thickBot="1" x14ac:dyDescent="0.25">
      <c r="A36" s="128"/>
      <c r="B36" s="129"/>
    </row>
    <row r="37" spans="1:9" x14ac:dyDescent="0.2">
      <c r="A37" s="936">
        <f>'Parametre - Agendové IS'!BI2</f>
        <v>0</v>
      </c>
      <c r="B37" s="937"/>
      <c r="C37" s="938"/>
      <c r="D37" s="942" t="s">
        <v>96</v>
      </c>
      <c r="E37" s="943"/>
      <c r="F37" s="235" t="s">
        <v>1269</v>
      </c>
      <c r="G37" s="235" t="s">
        <v>1270</v>
      </c>
      <c r="H37" s="235" t="s">
        <v>1271</v>
      </c>
      <c r="I37" s="235" t="s">
        <v>1272</v>
      </c>
    </row>
    <row r="38" spans="1:9" ht="16" thickBot="1" x14ac:dyDescent="0.25">
      <c r="A38" s="939"/>
      <c r="B38" s="940"/>
      <c r="C38" s="941"/>
      <c r="D38" s="334" t="s">
        <v>1273</v>
      </c>
      <c r="E38" s="335" t="s">
        <v>161</v>
      </c>
      <c r="F38" s="132" t="s">
        <v>161</v>
      </c>
      <c r="G38" s="132" t="s">
        <v>161</v>
      </c>
      <c r="H38" s="132" t="s">
        <v>161</v>
      </c>
      <c r="I38" s="132" t="s">
        <v>161</v>
      </c>
    </row>
    <row r="39" spans="1:9" x14ac:dyDescent="0.2">
      <c r="A39" s="808" t="s">
        <v>1274</v>
      </c>
      <c r="B39" s="933" t="s">
        <v>218</v>
      </c>
      <c r="C39" s="133" t="s">
        <v>163</v>
      </c>
      <c r="D39" s="336" t="str">
        <f>IF(E39='Parametre - Agendové IS'!BJ86,"OK","Chyba počtu FTE")</f>
        <v>OK</v>
      </c>
      <c r="E39" s="337">
        <f t="shared" ref="E39:E68" si="1">F39+G39+H39+I39</f>
        <v>0</v>
      </c>
      <c r="F39" s="193"/>
      <c r="G39" s="193"/>
      <c r="H39" s="193"/>
      <c r="I39" s="193"/>
    </row>
    <row r="40" spans="1:9" x14ac:dyDescent="0.2">
      <c r="A40" s="932"/>
      <c r="B40" s="934"/>
      <c r="C40" s="130" t="s">
        <v>164</v>
      </c>
      <c r="D40" s="338" t="str">
        <f>IF(E40='Parametre - Agendové IS'!BJ87,"OK","Chyba počtu FTE")</f>
        <v>OK</v>
      </c>
      <c r="E40" s="339">
        <f t="shared" si="1"/>
        <v>0</v>
      </c>
      <c r="F40" s="194"/>
      <c r="G40" s="194"/>
      <c r="H40" s="194"/>
      <c r="I40" s="194"/>
    </row>
    <row r="41" spans="1:9" x14ac:dyDescent="0.2">
      <c r="A41" s="932"/>
      <c r="B41" s="934"/>
      <c r="C41" s="130" t="s">
        <v>165</v>
      </c>
      <c r="D41" s="338" t="str">
        <f>IF(E41='Parametre - Agendové IS'!BJ88,"OK","Chyba počtu FTE")</f>
        <v>OK</v>
      </c>
      <c r="E41" s="339">
        <f t="shared" si="1"/>
        <v>0</v>
      </c>
      <c r="F41" s="194"/>
      <c r="G41" s="194"/>
      <c r="H41" s="194"/>
      <c r="I41" s="194"/>
    </row>
    <row r="42" spans="1:9" x14ac:dyDescent="0.2">
      <c r="A42" s="932"/>
      <c r="B42" s="934"/>
      <c r="C42" s="130" t="s">
        <v>166</v>
      </c>
      <c r="D42" s="338" t="str">
        <f>IF(E42='Parametre - Agendové IS'!BJ89,"OK","Chyba počtu FTE")</f>
        <v>OK</v>
      </c>
      <c r="E42" s="339">
        <f t="shared" si="1"/>
        <v>0</v>
      </c>
      <c r="F42" s="194"/>
      <c r="G42" s="194"/>
      <c r="H42" s="194"/>
      <c r="I42" s="194"/>
    </row>
    <row r="43" spans="1:9" x14ac:dyDescent="0.2">
      <c r="A43" s="932"/>
      <c r="B43" s="934"/>
      <c r="C43" s="130" t="s">
        <v>167</v>
      </c>
      <c r="D43" s="338" t="str">
        <f>IF(E43='Parametre - Agendové IS'!BJ90,"OK","Chyba počtu FTE")</f>
        <v>OK</v>
      </c>
      <c r="E43" s="339">
        <f t="shared" si="1"/>
        <v>0</v>
      </c>
      <c r="F43" s="194"/>
      <c r="G43" s="194"/>
      <c r="H43" s="194"/>
      <c r="I43" s="194"/>
    </row>
    <row r="44" spans="1:9" ht="15" customHeight="1" x14ac:dyDescent="0.2">
      <c r="A44" s="932"/>
      <c r="B44" s="934"/>
      <c r="C44" s="130" t="s">
        <v>168</v>
      </c>
      <c r="D44" s="338" t="str">
        <f>IF(E44='Parametre - Agendové IS'!BJ91,"OK","Chyba počtu FTE")</f>
        <v>OK</v>
      </c>
      <c r="E44" s="339">
        <f t="shared" si="1"/>
        <v>0</v>
      </c>
      <c r="F44" s="194"/>
      <c r="G44" s="194"/>
      <c r="H44" s="194"/>
      <c r="I44" s="194"/>
    </row>
    <row r="45" spans="1:9" x14ac:dyDescent="0.2">
      <c r="A45" s="932"/>
      <c r="B45" s="934"/>
      <c r="C45" s="130" t="s">
        <v>169</v>
      </c>
      <c r="D45" s="338" t="str">
        <f>IF(E45='Parametre - Agendové IS'!BJ92,"OK","Chyba počtu FTE")</f>
        <v>OK</v>
      </c>
      <c r="E45" s="339">
        <f t="shared" si="1"/>
        <v>0</v>
      </c>
      <c r="F45" s="194"/>
      <c r="G45" s="194"/>
      <c r="H45" s="194"/>
      <c r="I45" s="194"/>
    </row>
    <row r="46" spans="1:9" x14ac:dyDescent="0.2">
      <c r="A46" s="932"/>
      <c r="B46" s="934"/>
      <c r="C46" s="130" t="s">
        <v>170</v>
      </c>
      <c r="D46" s="338" t="str">
        <f>IF(E46='Parametre - Agendové IS'!BJ93,"OK","Chyba počtu FTE")</f>
        <v>OK</v>
      </c>
      <c r="E46" s="339">
        <f t="shared" si="1"/>
        <v>0</v>
      </c>
      <c r="F46" s="194"/>
      <c r="G46" s="194"/>
      <c r="H46" s="194"/>
      <c r="I46" s="194"/>
    </row>
    <row r="47" spans="1:9" x14ac:dyDescent="0.2">
      <c r="A47" s="932"/>
      <c r="B47" s="934"/>
      <c r="C47" s="130" t="s">
        <v>171</v>
      </c>
      <c r="D47" s="338" t="str">
        <f>IF(E47='Parametre - Agendové IS'!BJ94,"OK","Chyba počtu FTE")</f>
        <v>OK</v>
      </c>
      <c r="E47" s="339">
        <f t="shared" si="1"/>
        <v>0</v>
      </c>
      <c r="F47" s="194"/>
      <c r="G47" s="194"/>
      <c r="H47" s="194"/>
      <c r="I47" s="194"/>
    </row>
    <row r="48" spans="1:9" ht="16" thickBot="1" x14ac:dyDescent="0.25">
      <c r="A48" s="932"/>
      <c r="B48" s="934"/>
      <c r="C48" s="130" t="s">
        <v>172</v>
      </c>
      <c r="D48" s="340" t="str">
        <f>IF(E48='Parametre - Agendové IS'!BJ95,"OK","Chyba počtu FTE")</f>
        <v>OK</v>
      </c>
      <c r="E48" s="341">
        <f t="shared" si="1"/>
        <v>0</v>
      </c>
      <c r="F48" s="195"/>
      <c r="G48" s="195"/>
      <c r="H48" s="195"/>
      <c r="I48" s="195"/>
    </row>
    <row r="49" spans="1:9" x14ac:dyDescent="0.2">
      <c r="A49" s="808" t="s">
        <v>1275</v>
      </c>
      <c r="B49" s="933" t="s">
        <v>209</v>
      </c>
      <c r="C49" s="133" t="s">
        <v>163</v>
      </c>
      <c r="D49" s="337" t="str">
        <f>IF(E49='Parametre - Agendové IS'!BJ5,"OK","Chyba počtu podaní")</f>
        <v>OK</v>
      </c>
      <c r="E49" s="342">
        <f t="shared" si="1"/>
        <v>0</v>
      </c>
      <c r="F49" s="193"/>
      <c r="G49" s="193"/>
      <c r="H49" s="193"/>
      <c r="I49" s="193"/>
    </row>
    <row r="50" spans="1:9" x14ac:dyDescent="0.2">
      <c r="A50" s="932"/>
      <c r="B50" s="934"/>
      <c r="C50" s="130" t="s">
        <v>164</v>
      </c>
      <c r="D50" s="338" t="str">
        <f>IF(E50='Parametre - Agendové IS'!BJ6,"OK","Chyba počtu podaní")</f>
        <v>OK</v>
      </c>
      <c r="E50" s="339">
        <f t="shared" si="1"/>
        <v>0</v>
      </c>
      <c r="F50" s="194"/>
      <c r="G50" s="194"/>
      <c r="H50" s="194"/>
      <c r="I50" s="194"/>
    </row>
    <row r="51" spans="1:9" x14ac:dyDescent="0.2">
      <c r="A51" s="932"/>
      <c r="B51" s="934"/>
      <c r="C51" s="130" t="s">
        <v>165</v>
      </c>
      <c r="D51" s="338" t="str">
        <f>IF(E51='Parametre - Agendové IS'!BJ7,"OK","Chyba počtu podaní")</f>
        <v>OK</v>
      </c>
      <c r="E51" s="339">
        <f t="shared" si="1"/>
        <v>0</v>
      </c>
      <c r="F51" s="194"/>
      <c r="G51" s="194"/>
      <c r="H51" s="194"/>
      <c r="I51" s="194"/>
    </row>
    <row r="52" spans="1:9" x14ac:dyDescent="0.2">
      <c r="A52" s="932"/>
      <c r="B52" s="934"/>
      <c r="C52" s="130" t="s">
        <v>166</v>
      </c>
      <c r="D52" s="338" t="str">
        <f>IF(E52='Parametre - Agendové IS'!BJ8,"OK","Chyba počtu podaní")</f>
        <v>OK</v>
      </c>
      <c r="E52" s="339">
        <f t="shared" si="1"/>
        <v>0</v>
      </c>
      <c r="F52" s="194"/>
      <c r="G52" s="194"/>
      <c r="H52" s="194"/>
      <c r="I52" s="194"/>
    </row>
    <row r="53" spans="1:9" x14ac:dyDescent="0.2">
      <c r="A53" s="932"/>
      <c r="B53" s="934"/>
      <c r="C53" s="130" t="s">
        <v>167</v>
      </c>
      <c r="D53" s="338" t="str">
        <f>IF(E53='Parametre - Agendové IS'!BJ9,"OK","Chyba počtu podaní")</f>
        <v>OK</v>
      </c>
      <c r="E53" s="339">
        <f t="shared" si="1"/>
        <v>0</v>
      </c>
      <c r="F53" s="194"/>
      <c r="G53" s="194"/>
      <c r="H53" s="194"/>
      <c r="I53" s="194"/>
    </row>
    <row r="54" spans="1:9" x14ac:dyDescent="0.2">
      <c r="A54" s="932"/>
      <c r="B54" s="934"/>
      <c r="C54" s="130" t="s">
        <v>168</v>
      </c>
      <c r="D54" s="338" t="str">
        <f>IF(E54='Parametre - Agendové IS'!BJ10,"OK","Chyba počtu podaní")</f>
        <v>OK</v>
      </c>
      <c r="E54" s="339">
        <f t="shared" si="1"/>
        <v>0</v>
      </c>
      <c r="F54" s="194"/>
      <c r="G54" s="194"/>
      <c r="H54" s="194"/>
      <c r="I54" s="194"/>
    </row>
    <row r="55" spans="1:9" x14ac:dyDescent="0.2">
      <c r="A55" s="932"/>
      <c r="B55" s="934"/>
      <c r="C55" s="130" t="s">
        <v>169</v>
      </c>
      <c r="D55" s="338" t="str">
        <f>IF(E55='Parametre - Agendové IS'!BJ11,"OK","Chyba počtu podaní")</f>
        <v>OK</v>
      </c>
      <c r="E55" s="339">
        <f t="shared" si="1"/>
        <v>0</v>
      </c>
      <c r="F55" s="194"/>
      <c r="G55" s="194"/>
      <c r="H55" s="194"/>
      <c r="I55" s="194"/>
    </row>
    <row r="56" spans="1:9" x14ac:dyDescent="0.2">
      <c r="A56" s="932"/>
      <c r="B56" s="934"/>
      <c r="C56" s="130" t="s">
        <v>170</v>
      </c>
      <c r="D56" s="338" t="str">
        <f>IF(E56='Parametre - Agendové IS'!BJ12,"OK","Chyba počtu podaní")</f>
        <v>OK</v>
      </c>
      <c r="E56" s="339">
        <f t="shared" si="1"/>
        <v>0</v>
      </c>
      <c r="F56" s="194"/>
      <c r="G56" s="194"/>
      <c r="H56" s="194"/>
      <c r="I56" s="194"/>
    </row>
    <row r="57" spans="1:9" x14ac:dyDescent="0.2">
      <c r="A57" s="932"/>
      <c r="B57" s="934"/>
      <c r="C57" s="130" t="s">
        <v>171</v>
      </c>
      <c r="D57" s="338" t="str">
        <f>IF(E57='Parametre - Agendové IS'!BJ13,"OK","Chyba počtu podaní")</f>
        <v>OK</v>
      </c>
      <c r="E57" s="339">
        <f t="shared" si="1"/>
        <v>0</v>
      </c>
      <c r="F57" s="194"/>
      <c r="G57" s="194"/>
      <c r="H57" s="194"/>
      <c r="I57" s="194"/>
    </row>
    <row r="58" spans="1:9" ht="16" thickBot="1" x14ac:dyDescent="0.25">
      <c r="A58" s="810"/>
      <c r="B58" s="935"/>
      <c r="C58" s="131" t="s">
        <v>172</v>
      </c>
      <c r="D58" s="338" t="str">
        <f>IF(E58='Parametre - Agendové IS'!BJ14,"OK","Chyba počtu podaní")</f>
        <v>OK</v>
      </c>
      <c r="E58" s="339">
        <f t="shared" si="1"/>
        <v>0</v>
      </c>
      <c r="F58" s="194"/>
      <c r="G58" s="194"/>
      <c r="H58" s="194"/>
      <c r="I58" s="194"/>
    </row>
    <row r="59" spans="1:9" x14ac:dyDescent="0.2">
      <c r="A59" s="808" t="s">
        <v>115</v>
      </c>
      <c r="B59" s="933" t="s">
        <v>211</v>
      </c>
      <c r="C59" s="133" t="s">
        <v>163</v>
      </c>
      <c r="D59" s="337" t="str">
        <f>IF(E59='Parametre - Agendové IS'!BJ126,"OK","Chyba")</f>
        <v>OK</v>
      </c>
      <c r="E59" s="342">
        <f t="shared" si="1"/>
        <v>0</v>
      </c>
      <c r="F59" s="193"/>
      <c r="G59" s="193"/>
      <c r="H59" s="193"/>
      <c r="I59" s="193"/>
    </row>
    <row r="60" spans="1:9" x14ac:dyDescent="0.2">
      <c r="A60" s="932"/>
      <c r="B60" s="934"/>
      <c r="C60" s="130" t="s">
        <v>164</v>
      </c>
      <c r="D60" s="338" t="str">
        <f>IF(E60='Parametre - Agendové IS'!BJ127,"OK","Chyba")</f>
        <v>OK</v>
      </c>
      <c r="E60" s="339">
        <f t="shared" si="1"/>
        <v>0</v>
      </c>
      <c r="F60" s="194"/>
      <c r="G60" s="194"/>
      <c r="H60" s="194"/>
      <c r="I60" s="194"/>
    </row>
    <row r="61" spans="1:9" x14ac:dyDescent="0.2">
      <c r="A61" s="932"/>
      <c r="B61" s="934"/>
      <c r="C61" s="130" t="s">
        <v>165</v>
      </c>
      <c r="D61" s="338" t="str">
        <f>IF(E61='Parametre - Agendové IS'!BJ128,"OK","Chyba")</f>
        <v>OK</v>
      </c>
      <c r="E61" s="339">
        <f t="shared" si="1"/>
        <v>0</v>
      </c>
      <c r="F61" s="194"/>
      <c r="G61" s="194"/>
      <c r="H61" s="194"/>
      <c r="I61" s="194"/>
    </row>
    <row r="62" spans="1:9" x14ac:dyDescent="0.2">
      <c r="A62" s="932"/>
      <c r="B62" s="934"/>
      <c r="C62" s="130" t="s">
        <v>166</v>
      </c>
      <c r="D62" s="338" t="str">
        <f>IF(E62='Parametre - Agendové IS'!BJ129,"OK","Chyba")</f>
        <v>OK</v>
      </c>
      <c r="E62" s="339">
        <f t="shared" si="1"/>
        <v>0</v>
      </c>
      <c r="F62" s="194"/>
      <c r="G62" s="194"/>
      <c r="H62" s="194"/>
      <c r="I62" s="194"/>
    </row>
    <row r="63" spans="1:9" x14ac:dyDescent="0.2">
      <c r="A63" s="932"/>
      <c r="B63" s="934"/>
      <c r="C63" s="130" t="s">
        <v>167</v>
      </c>
      <c r="D63" s="338" t="str">
        <f>IF(E63='Parametre - Agendové IS'!BJ130,"OK","Chyba")</f>
        <v>OK</v>
      </c>
      <c r="E63" s="339">
        <f t="shared" si="1"/>
        <v>0</v>
      </c>
      <c r="F63" s="194"/>
      <c r="G63" s="194"/>
      <c r="H63" s="194"/>
      <c r="I63" s="194"/>
    </row>
    <row r="64" spans="1:9" x14ac:dyDescent="0.2">
      <c r="A64" s="932"/>
      <c r="B64" s="934"/>
      <c r="C64" s="130" t="s">
        <v>168</v>
      </c>
      <c r="D64" s="338" t="str">
        <f>IF(E64='Parametre - Agendové IS'!BJ131,"OK","Chyba")</f>
        <v>OK</v>
      </c>
      <c r="E64" s="339">
        <f t="shared" si="1"/>
        <v>0</v>
      </c>
      <c r="F64" s="194"/>
      <c r="G64" s="194"/>
      <c r="H64" s="194"/>
      <c r="I64" s="194"/>
    </row>
    <row r="65" spans="1:9" x14ac:dyDescent="0.2">
      <c r="A65" s="932"/>
      <c r="B65" s="934"/>
      <c r="C65" s="130" t="s">
        <v>169</v>
      </c>
      <c r="D65" s="338" t="str">
        <f>IF(E65='Parametre - Agendové IS'!BJ132,"OK","Chyba")</f>
        <v>OK</v>
      </c>
      <c r="E65" s="339">
        <f t="shared" si="1"/>
        <v>0</v>
      </c>
      <c r="F65" s="194"/>
      <c r="G65" s="194"/>
      <c r="H65" s="194"/>
      <c r="I65" s="194"/>
    </row>
    <row r="66" spans="1:9" x14ac:dyDescent="0.2">
      <c r="A66" s="932"/>
      <c r="B66" s="934"/>
      <c r="C66" s="130" t="s">
        <v>170</v>
      </c>
      <c r="D66" s="338" t="str">
        <f>IF(E66='Parametre - Agendové IS'!BJ133,"OK","Chyba")</f>
        <v>OK</v>
      </c>
      <c r="E66" s="339">
        <f t="shared" si="1"/>
        <v>0</v>
      </c>
      <c r="F66" s="194"/>
      <c r="G66" s="194"/>
      <c r="H66" s="194"/>
      <c r="I66" s="194"/>
    </row>
    <row r="67" spans="1:9" x14ac:dyDescent="0.2">
      <c r="A67" s="932"/>
      <c r="B67" s="934"/>
      <c r="C67" s="130" t="s">
        <v>171</v>
      </c>
      <c r="D67" s="338" t="str">
        <f>IF(E67='Parametre - Agendové IS'!BJ134,"OK","Chyba")</f>
        <v>OK</v>
      </c>
      <c r="E67" s="339">
        <f t="shared" si="1"/>
        <v>0</v>
      </c>
      <c r="F67" s="194"/>
      <c r="G67" s="194"/>
      <c r="H67" s="194"/>
      <c r="I67" s="194"/>
    </row>
    <row r="68" spans="1:9" ht="16" thickBot="1" x14ac:dyDescent="0.25">
      <c r="A68" s="810"/>
      <c r="B68" s="935"/>
      <c r="C68" s="131" t="s">
        <v>172</v>
      </c>
      <c r="D68" s="338" t="str">
        <f>IF(E68='Parametre - Agendové IS'!BJ135,"OK","Chyba")</f>
        <v>OK</v>
      </c>
      <c r="E68" s="339">
        <f t="shared" si="1"/>
        <v>0</v>
      </c>
      <c r="F68" s="194"/>
      <c r="G68" s="194"/>
      <c r="H68" s="194"/>
      <c r="I68" s="194"/>
    </row>
    <row r="71" spans="1:9" ht="16" thickBot="1" x14ac:dyDescent="0.25"/>
    <row r="72" spans="1:9" x14ac:dyDescent="0.2">
      <c r="A72" s="936">
        <f>'Parametre - Agendové IS'!BL2</f>
        <v>0</v>
      </c>
      <c r="B72" s="937"/>
      <c r="C72" s="938"/>
      <c r="D72" s="942" t="s">
        <v>96</v>
      </c>
      <c r="E72" s="943"/>
      <c r="F72" s="235" t="s">
        <v>1269</v>
      </c>
      <c r="G72" s="235" t="s">
        <v>1270</v>
      </c>
      <c r="H72" s="235" t="s">
        <v>1271</v>
      </c>
      <c r="I72" s="235" t="s">
        <v>1272</v>
      </c>
    </row>
    <row r="73" spans="1:9" ht="16" thickBot="1" x14ac:dyDescent="0.25">
      <c r="A73" s="939"/>
      <c r="B73" s="940"/>
      <c r="C73" s="941"/>
      <c r="D73" s="334" t="s">
        <v>1273</v>
      </c>
      <c r="E73" s="335" t="s">
        <v>161</v>
      </c>
      <c r="F73" s="132" t="s">
        <v>161</v>
      </c>
      <c r="G73" s="132" t="s">
        <v>161</v>
      </c>
      <c r="H73" s="132" t="s">
        <v>161</v>
      </c>
      <c r="I73" s="132" t="s">
        <v>161</v>
      </c>
    </row>
    <row r="74" spans="1:9" x14ac:dyDescent="0.2">
      <c r="A74" s="808" t="s">
        <v>1274</v>
      </c>
      <c r="B74" s="933" t="s">
        <v>218</v>
      </c>
      <c r="C74" s="133" t="s">
        <v>163</v>
      </c>
      <c r="D74" s="336" t="str">
        <f>IF(E74='Parametre - Agendové IS'!BM86,"OK","Chyba počtu FTE")</f>
        <v>OK</v>
      </c>
      <c r="E74" s="337">
        <f t="shared" ref="E74:E103" si="2">F74+G74+H74+I74</f>
        <v>0</v>
      </c>
      <c r="F74" s="193"/>
      <c r="G74" s="193"/>
      <c r="H74" s="193"/>
      <c r="I74" s="193"/>
    </row>
    <row r="75" spans="1:9" x14ac:dyDescent="0.2">
      <c r="A75" s="932"/>
      <c r="B75" s="934"/>
      <c r="C75" s="130" t="s">
        <v>164</v>
      </c>
      <c r="D75" s="338" t="str">
        <f>IF(E75='Parametre - Agendové IS'!BM87,"OK","Chyba počtu FTE")</f>
        <v>OK</v>
      </c>
      <c r="E75" s="339">
        <f t="shared" si="2"/>
        <v>0</v>
      </c>
      <c r="F75" s="194"/>
      <c r="G75" s="194"/>
      <c r="H75" s="194"/>
      <c r="I75" s="194"/>
    </row>
    <row r="76" spans="1:9" x14ac:dyDescent="0.2">
      <c r="A76" s="932"/>
      <c r="B76" s="934"/>
      <c r="C76" s="130" t="s">
        <v>165</v>
      </c>
      <c r="D76" s="338" t="str">
        <f>IF(E76='Parametre - Agendové IS'!BM88,"OK","Chyba počtu FTE")</f>
        <v>OK</v>
      </c>
      <c r="E76" s="339">
        <f t="shared" si="2"/>
        <v>0</v>
      </c>
      <c r="F76" s="194"/>
      <c r="G76" s="194"/>
      <c r="H76" s="194"/>
      <c r="I76" s="194"/>
    </row>
    <row r="77" spans="1:9" x14ac:dyDescent="0.2">
      <c r="A77" s="932"/>
      <c r="B77" s="934"/>
      <c r="C77" s="130" t="s">
        <v>166</v>
      </c>
      <c r="D77" s="338" t="str">
        <f>IF(E77='Parametre - Agendové IS'!BM89,"OK","Chyba počtu FTE")</f>
        <v>OK</v>
      </c>
      <c r="E77" s="339">
        <f t="shared" si="2"/>
        <v>0</v>
      </c>
      <c r="F77" s="194"/>
      <c r="G77" s="194"/>
      <c r="H77" s="194"/>
      <c r="I77" s="194"/>
    </row>
    <row r="78" spans="1:9" x14ac:dyDescent="0.2">
      <c r="A78" s="932"/>
      <c r="B78" s="934"/>
      <c r="C78" s="130" t="s">
        <v>167</v>
      </c>
      <c r="D78" s="338" t="str">
        <f>IF(E78='Parametre - Agendové IS'!BM90,"OK","Chyba počtu FTE")</f>
        <v>OK</v>
      </c>
      <c r="E78" s="339">
        <f t="shared" si="2"/>
        <v>0</v>
      </c>
      <c r="F78" s="194"/>
      <c r="G78" s="194"/>
      <c r="H78" s="194"/>
      <c r="I78" s="194"/>
    </row>
    <row r="79" spans="1:9" x14ac:dyDescent="0.2">
      <c r="A79" s="932"/>
      <c r="B79" s="934"/>
      <c r="C79" s="130" t="s">
        <v>168</v>
      </c>
      <c r="D79" s="338" t="str">
        <f>IF(E79='Parametre - Agendové IS'!BM91,"OK","Chyba počtu FTE")</f>
        <v>OK</v>
      </c>
      <c r="E79" s="339">
        <f t="shared" si="2"/>
        <v>0</v>
      </c>
      <c r="F79" s="194"/>
      <c r="G79" s="194"/>
      <c r="H79" s="194"/>
      <c r="I79" s="194"/>
    </row>
    <row r="80" spans="1:9" x14ac:dyDescent="0.2">
      <c r="A80" s="932"/>
      <c r="B80" s="934"/>
      <c r="C80" s="130" t="s">
        <v>169</v>
      </c>
      <c r="D80" s="338" t="str">
        <f>IF(E80='Parametre - Agendové IS'!BM92,"OK","Chyba počtu FTE")</f>
        <v>OK</v>
      </c>
      <c r="E80" s="339">
        <f t="shared" si="2"/>
        <v>0</v>
      </c>
      <c r="F80" s="194"/>
      <c r="G80" s="194"/>
      <c r="H80" s="194"/>
      <c r="I80" s="194"/>
    </row>
    <row r="81" spans="1:9" x14ac:dyDescent="0.2">
      <c r="A81" s="932"/>
      <c r="B81" s="934"/>
      <c r="C81" s="130" t="s">
        <v>170</v>
      </c>
      <c r="D81" s="338" t="str">
        <f>IF(E81='Parametre - Agendové IS'!BM93,"OK","Chyba počtu FTE")</f>
        <v>OK</v>
      </c>
      <c r="E81" s="339">
        <f t="shared" si="2"/>
        <v>0</v>
      </c>
      <c r="F81" s="194"/>
      <c r="G81" s="194"/>
      <c r="H81" s="194"/>
      <c r="I81" s="194"/>
    </row>
    <row r="82" spans="1:9" x14ac:dyDescent="0.2">
      <c r="A82" s="932"/>
      <c r="B82" s="934"/>
      <c r="C82" s="130" t="s">
        <v>171</v>
      </c>
      <c r="D82" s="338" t="str">
        <f>IF(E82='Parametre - Agendové IS'!BM94,"OK","Chyba počtu FTE")</f>
        <v>OK</v>
      </c>
      <c r="E82" s="339">
        <f t="shared" si="2"/>
        <v>0</v>
      </c>
      <c r="F82" s="194"/>
      <c r="G82" s="194"/>
      <c r="H82" s="194"/>
      <c r="I82" s="194"/>
    </row>
    <row r="83" spans="1:9" ht="16" thickBot="1" x14ac:dyDescent="0.25">
      <c r="A83" s="932"/>
      <c r="B83" s="934"/>
      <c r="C83" s="130" t="s">
        <v>172</v>
      </c>
      <c r="D83" s="340" t="str">
        <f>IF(E83='Parametre - Agendové IS'!BM95,"OK","Chyba počtu FTE")</f>
        <v>OK</v>
      </c>
      <c r="E83" s="341">
        <f t="shared" si="2"/>
        <v>0</v>
      </c>
      <c r="F83" s="195"/>
      <c r="G83" s="195"/>
      <c r="H83" s="195"/>
      <c r="I83" s="195"/>
    </row>
    <row r="84" spans="1:9" x14ac:dyDescent="0.2">
      <c r="A84" s="808" t="s">
        <v>1275</v>
      </c>
      <c r="B84" s="933" t="s">
        <v>209</v>
      </c>
      <c r="C84" s="133" t="s">
        <v>163</v>
      </c>
      <c r="D84" s="337" t="str">
        <f>IF(E84='Parametre - Agendové IS'!BM5,"OK","Chyba počtu podaní")</f>
        <v>OK</v>
      </c>
      <c r="E84" s="342">
        <f t="shared" si="2"/>
        <v>0</v>
      </c>
      <c r="F84" s="193"/>
      <c r="G84" s="193"/>
      <c r="H84" s="193"/>
      <c r="I84" s="193"/>
    </row>
    <row r="85" spans="1:9" x14ac:dyDescent="0.2">
      <c r="A85" s="932"/>
      <c r="B85" s="934"/>
      <c r="C85" s="130" t="s">
        <v>164</v>
      </c>
      <c r="D85" s="338" t="str">
        <f>IF(E85='Parametre - Agendové IS'!BM6,"OK","Chyba počtu podaní")</f>
        <v>OK</v>
      </c>
      <c r="E85" s="339">
        <f t="shared" si="2"/>
        <v>0</v>
      </c>
      <c r="F85" s="194"/>
      <c r="G85" s="194"/>
      <c r="H85" s="194"/>
      <c r="I85" s="194"/>
    </row>
    <row r="86" spans="1:9" x14ac:dyDescent="0.2">
      <c r="A86" s="932"/>
      <c r="B86" s="934"/>
      <c r="C86" s="130" t="s">
        <v>165</v>
      </c>
      <c r="D86" s="338" t="str">
        <f>IF(E86='Parametre - Agendové IS'!BM7,"OK","Chyba počtu podaní")</f>
        <v>OK</v>
      </c>
      <c r="E86" s="339">
        <f t="shared" si="2"/>
        <v>0</v>
      </c>
      <c r="F86" s="194"/>
      <c r="G86" s="194"/>
      <c r="H86" s="194"/>
      <c r="I86" s="194"/>
    </row>
    <row r="87" spans="1:9" x14ac:dyDescent="0.2">
      <c r="A87" s="932"/>
      <c r="B87" s="934"/>
      <c r="C87" s="130" t="s">
        <v>166</v>
      </c>
      <c r="D87" s="338" t="str">
        <f>IF(E87='Parametre - Agendové IS'!BM8,"OK","Chyba počtu podaní")</f>
        <v>OK</v>
      </c>
      <c r="E87" s="339">
        <f t="shared" si="2"/>
        <v>0</v>
      </c>
      <c r="F87" s="194"/>
      <c r="G87" s="194"/>
      <c r="H87" s="194"/>
      <c r="I87" s="194"/>
    </row>
    <row r="88" spans="1:9" x14ac:dyDescent="0.2">
      <c r="A88" s="932"/>
      <c r="B88" s="934"/>
      <c r="C88" s="130" t="s">
        <v>167</v>
      </c>
      <c r="D88" s="338" t="str">
        <f>IF(E88='Parametre - Agendové IS'!BM9,"OK","Chyba počtu podaní")</f>
        <v>OK</v>
      </c>
      <c r="E88" s="339">
        <f t="shared" si="2"/>
        <v>0</v>
      </c>
      <c r="F88" s="194"/>
      <c r="G88" s="194"/>
      <c r="H88" s="194"/>
      <c r="I88" s="194"/>
    </row>
    <row r="89" spans="1:9" x14ac:dyDescent="0.2">
      <c r="A89" s="932"/>
      <c r="B89" s="934"/>
      <c r="C89" s="130" t="s">
        <v>168</v>
      </c>
      <c r="D89" s="338" t="str">
        <f>IF(E89='Parametre - Agendové IS'!BM10,"OK","Chyba počtu podaní")</f>
        <v>OK</v>
      </c>
      <c r="E89" s="339">
        <f t="shared" si="2"/>
        <v>0</v>
      </c>
      <c r="F89" s="194"/>
      <c r="G89" s="194"/>
      <c r="H89" s="194"/>
      <c r="I89" s="194"/>
    </row>
    <row r="90" spans="1:9" x14ac:dyDescent="0.2">
      <c r="A90" s="932"/>
      <c r="B90" s="934"/>
      <c r="C90" s="130" t="s">
        <v>169</v>
      </c>
      <c r="D90" s="338" t="str">
        <f>IF(E90='Parametre - Agendové IS'!BM11,"OK","Chyba počtu podaní")</f>
        <v>OK</v>
      </c>
      <c r="E90" s="339">
        <f t="shared" si="2"/>
        <v>0</v>
      </c>
      <c r="F90" s="194"/>
      <c r="G90" s="194"/>
      <c r="H90" s="194"/>
      <c r="I90" s="194"/>
    </row>
    <row r="91" spans="1:9" x14ac:dyDescent="0.2">
      <c r="A91" s="932"/>
      <c r="B91" s="934"/>
      <c r="C91" s="130" t="s">
        <v>170</v>
      </c>
      <c r="D91" s="338" t="str">
        <f>IF(E91='Parametre - Agendové IS'!BM12,"OK","Chyba počtu podaní")</f>
        <v>OK</v>
      </c>
      <c r="E91" s="339">
        <f t="shared" si="2"/>
        <v>0</v>
      </c>
      <c r="F91" s="194"/>
      <c r="G91" s="194"/>
      <c r="H91" s="194"/>
      <c r="I91" s="194"/>
    </row>
    <row r="92" spans="1:9" x14ac:dyDescent="0.2">
      <c r="A92" s="932"/>
      <c r="B92" s="934"/>
      <c r="C92" s="130" t="s">
        <v>171</v>
      </c>
      <c r="D92" s="338" t="str">
        <f>IF(E92='Parametre - Agendové IS'!BM13,"OK","Chyba počtu podaní")</f>
        <v>OK</v>
      </c>
      <c r="E92" s="339">
        <f t="shared" si="2"/>
        <v>0</v>
      </c>
      <c r="F92" s="194"/>
      <c r="G92" s="194"/>
      <c r="H92" s="194"/>
      <c r="I92" s="194"/>
    </row>
    <row r="93" spans="1:9" ht="16" thickBot="1" x14ac:dyDescent="0.25">
      <c r="A93" s="810"/>
      <c r="B93" s="935"/>
      <c r="C93" s="131" t="s">
        <v>172</v>
      </c>
      <c r="D93" s="338" t="str">
        <f>IF(E93='Parametre - Agendové IS'!BM14,"OK","Chyba počtu podaní")</f>
        <v>OK</v>
      </c>
      <c r="E93" s="339">
        <f t="shared" si="2"/>
        <v>0</v>
      </c>
      <c r="F93" s="194"/>
      <c r="G93" s="194"/>
      <c r="H93" s="194"/>
      <c r="I93" s="194"/>
    </row>
    <row r="94" spans="1:9" x14ac:dyDescent="0.2">
      <c r="A94" s="808" t="s">
        <v>115</v>
      </c>
      <c r="B94" s="933" t="s">
        <v>211</v>
      </c>
      <c r="C94" s="133" t="s">
        <v>163</v>
      </c>
      <c r="D94" s="337" t="str">
        <f>IF(E94='Parametre - Agendové IS'!BM126,"OK","Chyba")</f>
        <v>OK</v>
      </c>
      <c r="E94" s="342">
        <f t="shared" si="2"/>
        <v>0</v>
      </c>
      <c r="F94" s="193"/>
      <c r="G94" s="193"/>
      <c r="H94" s="193"/>
      <c r="I94" s="193"/>
    </row>
    <row r="95" spans="1:9" x14ac:dyDescent="0.2">
      <c r="A95" s="932"/>
      <c r="B95" s="934"/>
      <c r="C95" s="130" t="s">
        <v>164</v>
      </c>
      <c r="D95" s="338" t="str">
        <f>IF(E95='Parametre - Agendové IS'!BM127,"OK","Chyba")</f>
        <v>OK</v>
      </c>
      <c r="E95" s="339">
        <f t="shared" si="2"/>
        <v>0</v>
      </c>
      <c r="F95" s="194"/>
      <c r="G95" s="194"/>
      <c r="H95" s="194"/>
      <c r="I95" s="194"/>
    </row>
    <row r="96" spans="1:9" x14ac:dyDescent="0.2">
      <c r="A96" s="932"/>
      <c r="B96" s="934"/>
      <c r="C96" s="130" t="s">
        <v>165</v>
      </c>
      <c r="D96" s="338" t="str">
        <f>IF(E96='Parametre - Agendové IS'!BM128,"OK","Chyba")</f>
        <v>OK</v>
      </c>
      <c r="E96" s="339">
        <f t="shared" si="2"/>
        <v>0</v>
      </c>
      <c r="F96" s="194"/>
      <c r="G96" s="194"/>
      <c r="H96" s="194"/>
      <c r="I96" s="194"/>
    </row>
    <row r="97" spans="1:9" x14ac:dyDescent="0.2">
      <c r="A97" s="932"/>
      <c r="B97" s="934"/>
      <c r="C97" s="130" t="s">
        <v>166</v>
      </c>
      <c r="D97" s="338" t="str">
        <f>IF(E97='Parametre - Agendové IS'!BM129,"OK","Chyba")</f>
        <v>OK</v>
      </c>
      <c r="E97" s="339">
        <f t="shared" si="2"/>
        <v>0</v>
      </c>
      <c r="F97" s="194"/>
      <c r="G97" s="194"/>
      <c r="H97" s="194"/>
      <c r="I97" s="194"/>
    </row>
    <row r="98" spans="1:9" x14ac:dyDescent="0.2">
      <c r="A98" s="932"/>
      <c r="B98" s="934"/>
      <c r="C98" s="130" t="s">
        <v>167</v>
      </c>
      <c r="D98" s="338" t="str">
        <f>IF(E98='Parametre - Agendové IS'!BM130,"OK","Chyba")</f>
        <v>OK</v>
      </c>
      <c r="E98" s="339">
        <f t="shared" si="2"/>
        <v>0</v>
      </c>
      <c r="F98" s="194"/>
      <c r="G98" s="194"/>
      <c r="H98" s="194"/>
      <c r="I98" s="194"/>
    </row>
    <row r="99" spans="1:9" x14ac:dyDescent="0.2">
      <c r="A99" s="932"/>
      <c r="B99" s="934"/>
      <c r="C99" s="130" t="s">
        <v>168</v>
      </c>
      <c r="D99" s="338" t="str">
        <f>IF(E99='Parametre - Agendové IS'!BM131,"OK","Chyba")</f>
        <v>OK</v>
      </c>
      <c r="E99" s="339">
        <f t="shared" si="2"/>
        <v>0</v>
      </c>
      <c r="F99" s="194"/>
      <c r="G99" s="194"/>
      <c r="H99" s="194"/>
      <c r="I99" s="194"/>
    </row>
    <row r="100" spans="1:9" x14ac:dyDescent="0.2">
      <c r="A100" s="932"/>
      <c r="B100" s="934"/>
      <c r="C100" s="130" t="s">
        <v>169</v>
      </c>
      <c r="D100" s="338" t="str">
        <f>IF(E100='Parametre - Agendové IS'!BM132,"OK","Chyba")</f>
        <v>OK</v>
      </c>
      <c r="E100" s="339">
        <f t="shared" si="2"/>
        <v>0</v>
      </c>
      <c r="F100" s="194"/>
      <c r="G100" s="194"/>
      <c r="H100" s="194"/>
      <c r="I100" s="194"/>
    </row>
    <row r="101" spans="1:9" x14ac:dyDescent="0.2">
      <c r="A101" s="932"/>
      <c r="B101" s="934"/>
      <c r="C101" s="130" t="s">
        <v>170</v>
      </c>
      <c r="D101" s="338" t="str">
        <f>IF(E101='Parametre - Agendové IS'!BM133,"OK","Chyba")</f>
        <v>OK</v>
      </c>
      <c r="E101" s="339">
        <f t="shared" si="2"/>
        <v>0</v>
      </c>
      <c r="F101" s="194"/>
      <c r="G101" s="194"/>
      <c r="H101" s="194"/>
      <c r="I101" s="194"/>
    </row>
    <row r="102" spans="1:9" x14ac:dyDescent="0.2">
      <c r="A102" s="932"/>
      <c r="B102" s="934"/>
      <c r="C102" s="130" t="s">
        <v>171</v>
      </c>
      <c r="D102" s="338" t="str">
        <f>IF(E102='Parametre - Agendové IS'!BM134,"OK","Chyba")</f>
        <v>OK</v>
      </c>
      <c r="E102" s="339">
        <f t="shared" si="2"/>
        <v>0</v>
      </c>
      <c r="F102" s="194"/>
      <c r="G102" s="194"/>
      <c r="H102" s="194"/>
      <c r="I102" s="194"/>
    </row>
    <row r="103" spans="1:9" ht="16" thickBot="1" x14ac:dyDescent="0.25">
      <c r="A103" s="810"/>
      <c r="B103" s="935"/>
      <c r="C103" s="131" t="s">
        <v>172</v>
      </c>
      <c r="D103" s="338" t="str">
        <f>IF(E103='Parametre - Agendové IS'!BM135,"OK","Chyba")</f>
        <v>OK</v>
      </c>
      <c r="E103" s="339">
        <f t="shared" si="2"/>
        <v>0</v>
      </c>
      <c r="F103" s="194"/>
      <c r="G103" s="194"/>
      <c r="H103" s="194"/>
      <c r="I103" s="194"/>
    </row>
    <row r="106" spans="1:9" ht="16" thickBot="1" x14ac:dyDescent="0.25"/>
    <row r="107" spans="1:9" x14ac:dyDescent="0.2">
      <c r="A107" s="936">
        <f>'Parametre - Agendové IS'!BO2</f>
        <v>0</v>
      </c>
      <c r="B107" s="937"/>
      <c r="C107" s="938"/>
      <c r="D107" s="942" t="s">
        <v>96</v>
      </c>
      <c r="E107" s="943"/>
      <c r="F107" s="235" t="s">
        <v>1269</v>
      </c>
      <c r="G107" s="235" t="s">
        <v>1270</v>
      </c>
      <c r="H107" s="235" t="s">
        <v>1271</v>
      </c>
      <c r="I107" s="235" t="s">
        <v>1272</v>
      </c>
    </row>
    <row r="108" spans="1:9" ht="16" thickBot="1" x14ac:dyDescent="0.25">
      <c r="A108" s="939"/>
      <c r="B108" s="940"/>
      <c r="C108" s="941"/>
      <c r="D108" s="334" t="s">
        <v>1273</v>
      </c>
      <c r="E108" s="335" t="s">
        <v>161</v>
      </c>
      <c r="F108" s="132" t="s">
        <v>161</v>
      </c>
      <c r="G108" s="132" t="s">
        <v>161</v>
      </c>
      <c r="H108" s="132" t="s">
        <v>161</v>
      </c>
      <c r="I108" s="132" t="s">
        <v>161</v>
      </c>
    </row>
    <row r="109" spans="1:9" x14ac:dyDescent="0.2">
      <c r="A109" s="808" t="s">
        <v>1274</v>
      </c>
      <c r="B109" s="933" t="s">
        <v>218</v>
      </c>
      <c r="C109" s="133" t="s">
        <v>163</v>
      </c>
      <c r="D109" s="336" t="str">
        <f>IF(E109='Parametre - Agendové IS'!BP86,"OK","Chyba počtu FTE")</f>
        <v>OK</v>
      </c>
      <c r="E109" s="337">
        <f t="shared" ref="E109:E138" si="3">F109+G109+H109+I109</f>
        <v>0</v>
      </c>
      <c r="F109" s="193"/>
      <c r="G109" s="193"/>
      <c r="H109" s="193"/>
      <c r="I109" s="193"/>
    </row>
    <row r="110" spans="1:9" x14ac:dyDescent="0.2">
      <c r="A110" s="932"/>
      <c r="B110" s="934"/>
      <c r="C110" s="130" t="s">
        <v>164</v>
      </c>
      <c r="D110" s="338" t="str">
        <f>IF(E110='Parametre - Agendové IS'!BP87,"OK","Chyba počtu FTE")</f>
        <v>OK</v>
      </c>
      <c r="E110" s="339">
        <f t="shared" si="3"/>
        <v>0</v>
      </c>
      <c r="F110" s="194"/>
      <c r="G110" s="194"/>
      <c r="H110" s="194"/>
      <c r="I110" s="194"/>
    </row>
    <row r="111" spans="1:9" x14ac:dyDescent="0.2">
      <c r="A111" s="932"/>
      <c r="B111" s="934"/>
      <c r="C111" s="130" t="s">
        <v>165</v>
      </c>
      <c r="D111" s="338" t="str">
        <f>IF(E111='Parametre - Agendové IS'!BP88,"OK","Chyba počtu FTE")</f>
        <v>OK</v>
      </c>
      <c r="E111" s="339">
        <f t="shared" si="3"/>
        <v>0</v>
      </c>
      <c r="F111" s="194"/>
      <c r="G111" s="194"/>
      <c r="H111" s="194"/>
      <c r="I111" s="194"/>
    </row>
    <row r="112" spans="1:9" x14ac:dyDescent="0.2">
      <c r="A112" s="932"/>
      <c r="B112" s="934"/>
      <c r="C112" s="130" t="s">
        <v>166</v>
      </c>
      <c r="D112" s="338" t="str">
        <f>IF(E112='Parametre - Agendové IS'!BP89,"OK","Chyba počtu FTE")</f>
        <v>OK</v>
      </c>
      <c r="E112" s="339">
        <f t="shared" si="3"/>
        <v>0</v>
      </c>
      <c r="F112" s="194"/>
      <c r="G112" s="194"/>
      <c r="H112" s="194"/>
      <c r="I112" s="194"/>
    </row>
    <row r="113" spans="1:9" x14ac:dyDescent="0.2">
      <c r="A113" s="932"/>
      <c r="B113" s="934"/>
      <c r="C113" s="130" t="s">
        <v>167</v>
      </c>
      <c r="D113" s="338" t="str">
        <f>IF(E113='Parametre - Agendové IS'!BP90,"OK","Chyba počtu FTE")</f>
        <v>OK</v>
      </c>
      <c r="E113" s="339">
        <f t="shared" si="3"/>
        <v>0</v>
      </c>
      <c r="F113" s="194"/>
      <c r="G113" s="194"/>
      <c r="H113" s="194"/>
      <c r="I113" s="194"/>
    </row>
    <row r="114" spans="1:9" x14ac:dyDescent="0.2">
      <c r="A114" s="932"/>
      <c r="B114" s="934"/>
      <c r="C114" s="130" t="s">
        <v>168</v>
      </c>
      <c r="D114" s="338" t="str">
        <f>IF(E114='Parametre - Agendové IS'!BP91,"OK","Chyba počtu FTE")</f>
        <v>OK</v>
      </c>
      <c r="E114" s="339">
        <f t="shared" si="3"/>
        <v>0</v>
      </c>
      <c r="F114" s="194"/>
      <c r="G114" s="194"/>
      <c r="H114" s="194"/>
      <c r="I114" s="194"/>
    </row>
    <row r="115" spans="1:9" x14ac:dyDescent="0.2">
      <c r="A115" s="932"/>
      <c r="B115" s="934"/>
      <c r="C115" s="130" t="s">
        <v>169</v>
      </c>
      <c r="D115" s="338" t="str">
        <f>IF(E115='Parametre - Agendové IS'!BP92,"OK","Chyba počtu FTE")</f>
        <v>OK</v>
      </c>
      <c r="E115" s="339">
        <f t="shared" si="3"/>
        <v>0</v>
      </c>
      <c r="F115" s="194"/>
      <c r="G115" s="194"/>
      <c r="H115" s="194"/>
      <c r="I115" s="194"/>
    </row>
    <row r="116" spans="1:9" x14ac:dyDescent="0.2">
      <c r="A116" s="932"/>
      <c r="B116" s="934"/>
      <c r="C116" s="130" t="s">
        <v>170</v>
      </c>
      <c r="D116" s="338" t="str">
        <f>IF(E116='Parametre - Agendové IS'!BP93,"OK","Chyba počtu FTE")</f>
        <v>OK</v>
      </c>
      <c r="E116" s="339">
        <f t="shared" si="3"/>
        <v>0</v>
      </c>
      <c r="F116" s="194"/>
      <c r="G116" s="194"/>
      <c r="H116" s="194"/>
      <c r="I116" s="194"/>
    </row>
    <row r="117" spans="1:9" x14ac:dyDescent="0.2">
      <c r="A117" s="932"/>
      <c r="B117" s="934"/>
      <c r="C117" s="130" t="s">
        <v>171</v>
      </c>
      <c r="D117" s="338" t="str">
        <f>IF(E117='Parametre - Agendové IS'!BP94,"OK","Chyba počtu FTE")</f>
        <v>OK</v>
      </c>
      <c r="E117" s="339">
        <f t="shared" si="3"/>
        <v>0</v>
      </c>
      <c r="F117" s="194"/>
      <c r="G117" s="194"/>
      <c r="H117" s="194"/>
      <c r="I117" s="194"/>
    </row>
    <row r="118" spans="1:9" ht="16" thickBot="1" x14ac:dyDescent="0.25">
      <c r="A118" s="932"/>
      <c r="B118" s="934"/>
      <c r="C118" s="130" t="s">
        <v>172</v>
      </c>
      <c r="D118" s="340" t="str">
        <f>IF(E118='Parametre - Agendové IS'!BP95,"OK","Chyba počtu FTE")</f>
        <v>OK</v>
      </c>
      <c r="E118" s="341">
        <f t="shared" si="3"/>
        <v>0</v>
      </c>
      <c r="F118" s="195"/>
      <c r="G118" s="195"/>
      <c r="H118" s="195"/>
      <c r="I118" s="195"/>
    </row>
    <row r="119" spans="1:9" x14ac:dyDescent="0.2">
      <c r="A119" s="808" t="s">
        <v>1275</v>
      </c>
      <c r="B119" s="933" t="s">
        <v>209</v>
      </c>
      <c r="C119" s="133" t="s">
        <v>163</v>
      </c>
      <c r="D119" s="337" t="str">
        <f>IF(E119='Parametre - Agendové IS'!BP5,"OK","Chyba počtu podaní")</f>
        <v>OK</v>
      </c>
      <c r="E119" s="342">
        <f t="shared" si="3"/>
        <v>0</v>
      </c>
      <c r="F119" s="193"/>
      <c r="G119" s="193"/>
      <c r="H119" s="193"/>
      <c r="I119" s="193"/>
    </row>
    <row r="120" spans="1:9" x14ac:dyDescent="0.2">
      <c r="A120" s="932"/>
      <c r="B120" s="934"/>
      <c r="C120" s="130" t="s">
        <v>164</v>
      </c>
      <c r="D120" s="338" t="str">
        <f>IF(E120='Parametre - Agendové IS'!BP6,"OK","Chyba počtu podaní")</f>
        <v>OK</v>
      </c>
      <c r="E120" s="339">
        <f t="shared" si="3"/>
        <v>0</v>
      </c>
      <c r="F120" s="194"/>
      <c r="G120" s="194"/>
      <c r="H120" s="194"/>
      <c r="I120" s="194"/>
    </row>
    <row r="121" spans="1:9" x14ac:dyDescent="0.2">
      <c r="A121" s="932"/>
      <c r="B121" s="934"/>
      <c r="C121" s="130" t="s">
        <v>165</v>
      </c>
      <c r="D121" s="338" t="str">
        <f>IF(E121='Parametre - Agendové IS'!BP7,"OK","Chyba počtu podaní")</f>
        <v>OK</v>
      </c>
      <c r="E121" s="339">
        <f t="shared" si="3"/>
        <v>0</v>
      </c>
      <c r="F121" s="194"/>
      <c r="G121" s="194"/>
      <c r="H121" s="194"/>
      <c r="I121" s="194"/>
    </row>
    <row r="122" spans="1:9" x14ac:dyDescent="0.2">
      <c r="A122" s="932"/>
      <c r="B122" s="934"/>
      <c r="C122" s="130" t="s">
        <v>166</v>
      </c>
      <c r="D122" s="338" t="str">
        <f>IF(E122='Parametre - Agendové IS'!BP8,"OK","Chyba počtu podaní")</f>
        <v>OK</v>
      </c>
      <c r="E122" s="339">
        <f t="shared" si="3"/>
        <v>0</v>
      </c>
      <c r="F122" s="194"/>
      <c r="G122" s="194"/>
      <c r="H122" s="194"/>
      <c r="I122" s="194"/>
    </row>
    <row r="123" spans="1:9" x14ac:dyDescent="0.2">
      <c r="A123" s="932"/>
      <c r="B123" s="934"/>
      <c r="C123" s="130" t="s">
        <v>167</v>
      </c>
      <c r="D123" s="338" t="str">
        <f>IF(E123='Parametre - Agendové IS'!BP9,"OK","Chyba počtu podaní")</f>
        <v>OK</v>
      </c>
      <c r="E123" s="339">
        <f t="shared" si="3"/>
        <v>0</v>
      </c>
      <c r="F123" s="194"/>
      <c r="G123" s="194"/>
      <c r="H123" s="194"/>
      <c r="I123" s="194"/>
    </row>
    <row r="124" spans="1:9" x14ac:dyDescent="0.2">
      <c r="A124" s="932"/>
      <c r="B124" s="934"/>
      <c r="C124" s="130" t="s">
        <v>168</v>
      </c>
      <c r="D124" s="338" t="str">
        <f>IF(E124='Parametre - Agendové IS'!BP10,"OK","Chyba počtu podaní")</f>
        <v>OK</v>
      </c>
      <c r="E124" s="339">
        <f t="shared" si="3"/>
        <v>0</v>
      </c>
      <c r="F124" s="194"/>
      <c r="G124" s="194"/>
      <c r="H124" s="194"/>
      <c r="I124" s="194"/>
    </row>
    <row r="125" spans="1:9" x14ac:dyDescent="0.2">
      <c r="A125" s="932"/>
      <c r="B125" s="934"/>
      <c r="C125" s="130" t="s">
        <v>169</v>
      </c>
      <c r="D125" s="338" t="str">
        <f>IF(E125='Parametre - Agendové IS'!BP11,"OK","Chyba počtu podaní")</f>
        <v>OK</v>
      </c>
      <c r="E125" s="339">
        <f t="shared" si="3"/>
        <v>0</v>
      </c>
      <c r="F125" s="194"/>
      <c r="G125" s="194"/>
      <c r="H125" s="194"/>
      <c r="I125" s="194"/>
    </row>
    <row r="126" spans="1:9" x14ac:dyDescent="0.2">
      <c r="A126" s="932"/>
      <c r="B126" s="934"/>
      <c r="C126" s="130" t="s">
        <v>170</v>
      </c>
      <c r="D126" s="338" t="str">
        <f>IF(E126='Parametre - Agendové IS'!BP12,"OK","Chyba počtu podaní")</f>
        <v>OK</v>
      </c>
      <c r="E126" s="339">
        <f t="shared" si="3"/>
        <v>0</v>
      </c>
      <c r="F126" s="194"/>
      <c r="G126" s="194"/>
      <c r="H126" s="194"/>
      <c r="I126" s="194"/>
    </row>
    <row r="127" spans="1:9" x14ac:dyDescent="0.2">
      <c r="A127" s="932"/>
      <c r="B127" s="934"/>
      <c r="C127" s="130" t="s">
        <v>171</v>
      </c>
      <c r="D127" s="338" t="str">
        <f>IF(E127='Parametre - Agendové IS'!BP13,"OK","Chyba počtu podaní")</f>
        <v>OK</v>
      </c>
      <c r="E127" s="339">
        <f t="shared" si="3"/>
        <v>0</v>
      </c>
      <c r="F127" s="194"/>
      <c r="G127" s="194"/>
      <c r="H127" s="194"/>
      <c r="I127" s="194"/>
    </row>
    <row r="128" spans="1:9" ht="16" thickBot="1" x14ac:dyDescent="0.25">
      <c r="A128" s="810"/>
      <c r="B128" s="935"/>
      <c r="C128" s="131" t="s">
        <v>172</v>
      </c>
      <c r="D128" s="338" t="str">
        <f>IF(E128='Parametre - Agendové IS'!BP14,"OK","Chyba počtu podaní")</f>
        <v>OK</v>
      </c>
      <c r="E128" s="339">
        <f t="shared" si="3"/>
        <v>0</v>
      </c>
      <c r="F128" s="194"/>
      <c r="G128" s="194"/>
      <c r="H128" s="194"/>
      <c r="I128" s="194"/>
    </row>
    <row r="129" spans="1:9" x14ac:dyDescent="0.2">
      <c r="A129" s="808" t="s">
        <v>115</v>
      </c>
      <c r="B129" s="933" t="s">
        <v>211</v>
      </c>
      <c r="C129" s="133" t="s">
        <v>163</v>
      </c>
      <c r="D129" s="337" t="str">
        <f>IF(E129='Parametre - Agendové IS'!BP126,"OK","Chyba")</f>
        <v>OK</v>
      </c>
      <c r="E129" s="342">
        <f t="shared" si="3"/>
        <v>0</v>
      </c>
      <c r="F129" s="193"/>
      <c r="G129" s="193"/>
      <c r="H129" s="193"/>
      <c r="I129" s="193"/>
    </row>
    <row r="130" spans="1:9" x14ac:dyDescent="0.2">
      <c r="A130" s="932"/>
      <c r="B130" s="934"/>
      <c r="C130" s="130" t="s">
        <v>164</v>
      </c>
      <c r="D130" s="338" t="str">
        <f>IF(E130='Parametre - Agendové IS'!BP127,"OK","Chyba")</f>
        <v>OK</v>
      </c>
      <c r="E130" s="339">
        <f t="shared" si="3"/>
        <v>0</v>
      </c>
      <c r="F130" s="194"/>
      <c r="G130" s="194"/>
      <c r="H130" s="194"/>
      <c r="I130" s="194"/>
    </row>
    <row r="131" spans="1:9" x14ac:dyDescent="0.2">
      <c r="A131" s="932"/>
      <c r="B131" s="934"/>
      <c r="C131" s="130" t="s">
        <v>165</v>
      </c>
      <c r="D131" s="338" t="str">
        <f>IF(E131='Parametre - Agendové IS'!BP128,"OK","Chyba")</f>
        <v>OK</v>
      </c>
      <c r="E131" s="339">
        <f t="shared" si="3"/>
        <v>0</v>
      </c>
      <c r="F131" s="194"/>
      <c r="G131" s="194"/>
      <c r="H131" s="194"/>
      <c r="I131" s="194"/>
    </row>
    <row r="132" spans="1:9" x14ac:dyDescent="0.2">
      <c r="A132" s="932"/>
      <c r="B132" s="934"/>
      <c r="C132" s="130" t="s">
        <v>166</v>
      </c>
      <c r="D132" s="338" t="str">
        <f>IF(E132='Parametre - Agendové IS'!BP129,"OK","Chyba")</f>
        <v>OK</v>
      </c>
      <c r="E132" s="339">
        <f t="shared" si="3"/>
        <v>0</v>
      </c>
      <c r="F132" s="194"/>
      <c r="G132" s="194"/>
      <c r="H132" s="194"/>
      <c r="I132" s="194"/>
    </row>
    <row r="133" spans="1:9" x14ac:dyDescent="0.2">
      <c r="A133" s="932"/>
      <c r="B133" s="934"/>
      <c r="C133" s="130" t="s">
        <v>167</v>
      </c>
      <c r="D133" s="338" t="str">
        <f>IF(E133='Parametre - Agendové IS'!BP130,"OK","Chyba")</f>
        <v>OK</v>
      </c>
      <c r="E133" s="339">
        <f t="shared" si="3"/>
        <v>0</v>
      </c>
      <c r="F133" s="194"/>
      <c r="G133" s="194"/>
      <c r="H133" s="194"/>
      <c r="I133" s="194"/>
    </row>
    <row r="134" spans="1:9" x14ac:dyDescent="0.2">
      <c r="A134" s="932"/>
      <c r="B134" s="934"/>
      <c r="C134" s="130" t="s">
        <v>168</v>
      </c>
      <c r="D134" s="338" t="str">
        <f>IF(E134='Parametre - Agendové IS'!BP131,"OK","Chyba")</f>
        <v>OK</v>
      </c>
      <c r="E134" s="339">
        <f t="shared" si="3"/>
        <v>0</v>
      </c>
      <c r="F134" s="194"/>
      <c r="G134" s="194"/>
      <c r="H134" s="194"/>
      <c r="I134" s="194"/>
    </row>
    <row r="135" spans="1:9" x14ac:dyDescent="0.2">
      <c r="A135" s="932"/>
      <c r="B135" s="934"/>
      <c r="C135" s="130" t="s">
        <v>169</v>
      </c>
      <c r="D135" s="338" t="str">
        <f>IF(E135='Parametre - Agendové IS'!BP132,"OK","Chyba")</f>
        <v>OK</v>
      </c>
      <c r="E135" s="339">
        <f t="shared" si="3"/>
        <v>0</v>
      </c>
      <c r="F135" s="194"/>
      <c r="G135" s="194"/>
      <c r="H135" s="194"/>
      <c r="I135" s="194"/>
    </row>
    <row r="136" spans="1:9" x14ac:dyDescent="0.2">
      <c r="A136" s="932"/>
      <c r="B136" s="934"/>
      <c r="C136" s="130" t="s">
        <v>170</v>
      </c>
      <c r="D136" s="338" t="str">
        <f>IF(E136='Parametre - Agendové IS'!BP133,"OK","Chyba")</f>
        <v>OK</v>
      </c>
      <c r="E136" s="339">
        <f t="shared" si="3"/>
        <v>0</v>
      </c>
      <c r="F136" s="194"/>
      <c r="G136" s="194"/>
      <c r="H136" s="194"/>
      <c r="I136" s="194"/>
    </row>
    <row r="137" spans="1:9" x14ac:dyDescent="0.2">
      <c r="A137" s="932"/>
      <c r="B137" s="934"/>
      <c r="C137" s="130" t="s">
        <v>171</v>
      </c>
      <c r="D137" s="338" t="str">
        <f>IF(E137='Parametre - Agendové IS'!BP134,"OK","Chyba")</f>
        <v>OK</v>
      </c>
      <c r="E137" s="339">
        <f t="shared" si="3"/>
        <v>0</v>
      </c>
      <c r="F137" s="194"/>
      <c r="G137" s="194"/>
      <c r="H137" s="194"/>
      <c r="I137" s="194"/>
    </row>
    <row r="138" spans="1:9" ht="16" thickBot="1" x14ac:dyDescent="0.25">
      <c r="A138" s="810"/>
      <c r="B138" s="935"/>
      <c r="C138" s="131" t="s">
        <v>172</v>
      </c>
      <c r="D138" s="338" t="str">
        <f>IF(E138='Parametre - Agendové IS'!BP135,"OK","Chyba")</f>
        <v>OK</v>
      </c>
      <c r="E138" s="339">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517348EE8A071498C646D6EB5C561CD" ma:contentTypeVersion="12" ma:contentTypeDescription="Umožňuje vytvoriť nový dokument." ma:contentTypeScope="" ma:versionID="717c4ba7b9efc440771da6363a7e3db5">
  <xsd:schema xmlns:xsd="http://www.w3.org/2001/XMLSchema" xmlns:xs="http://www.w3.org/2001/XMLSchema" xmlns:p="http://schemas.microsoft.com/office/2006/metadata/properties" xmlns:ns2="54e2071d-ca2d-4c5c-9f80-52a7fc2c2309" xmlns:ns3="129a0be7-4d11-46ed-af8b-bd76fb952225" targetNamespace="http://schemas.microsoft.com/office/2006/metadata/properties" ma:root="true" ma:fieldsID="bbb607a1d4836077e64fd36c5b82269c" ns2:_="" ns3:_="">
    <xsd:import namespace="54e2071d-ca2d-4c5c-9f80-52a7fc2c2309"/>
    <xsd:import namespace="129a0be7-4d11-46ed-af8b-bd76fb9522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2071d-ca2d-4c5c-9f80-52a7fc2c23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28782767-3146-4605-988b-4fcdb36229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9a0be7-4d11-46ed-af8b-bd76fb95222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bba785b-8778-44f8-ba70-14a98d82441e}" ma:internalName="TaxCatchAll" ma:showField="CatchAllData" ma:web="129a0be7-4d11-46ed-af8b-bd76fb9522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e2071d-ca2d-4c5c-9f80-52a7fc2c2309">
      <Terms xmlns="http://schemas.microsoft.com/office/infopath/2007/PartnerControls"/>
    </lcf76f155ced4ddcb4097134ff3c332f>
    <TaxCatchAll xmlns="129a0be7-4d11-46ed-af8b-bd76fb952225" xsi:nil="true"/>
  </documentManagement>
</p:properties>
</file>

<file path=customXml/itemProps1.xml><?xml version="1.0" encoding="utf-8"?>
<ds:datastoreItem xmlns:ds="http://schemas.openxmlformats.org/officeDocument/2006/customXml" ds:itemID="{B2000E5A-5AD0-4682-BC41-DA28FFA8BA23}">
  <ds:schemaRefs>
    <ds:schemaRef ds:uri="http://schemas.microsoft.com/sharepoint/v3/contenttype/forms"/>
  </ds:schemaRefs>
</ds:datastoreItem>
</file>

<file path=customXml/itemProps2.xml><?xml version="1.0" encoding="utf-8"?>
<ds:datastoreItem xmlns:ds="http://schemas.openxmlformats.org/officeDocument/2006/customXml" ds:itemID="{00409E1E-15E0-4B2E-8104-E27F78692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2071d-ca2d-4c5c-9f80-52a7fc2c2309"/>
    <ds:schemaRef ds:uri="129a0be7-4d11-46ed-af8b-bd76fb9522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9303E3-9E98-4475-B728-A0F3680FCBB6}">
  <ds:schemaRefs>
    <ds:schemaRef ds:uri="http://schemas.microsoft.com/office/2006/metadata/properties"/>
    <ds:schemaRef ds:uri="http://schemas.microsoft.com/office/infopath/2007/PartnerControls"/>
    <ds:schemaRef ds:uri="54e2071d-ca2d-4c5c-9f80-52a7fc2c2309"/>
    <ds:schemaRef ds:uri="129a0be7-4d11-46ed-af8b-bd76fb95222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38</vt:i4>
      </vt:variant>
      <vt:variant>
        <vt:lpstr>Pomenované rozsahy</vt:lpstr>
      </vt:variant>
      <vt:variant>
        <vt:i4>24</vt:i4>
      </vt:variant>
    </vt:vector>
  </HeadingPairs>
  <TitlesOfParts>
    <vt:vector size="62" baseType="lpstr">
      <vt:lpstr>Úvod</vt:lpstr>
      <vt:lpstr>Zoznam_Harkov</vt:lpstr>
      <vt:lpstr>Sumarizácia</vt:lpstr>
      <vt:lpstr>Zdroje Financovania</vt:lpstr>
      <vt:lpstr>CBA - Agendové IS</vt:lpstr>
      <vt:lpstr>Výdavky - Agendové IS</vt:lpstr>
      <vt:lpstr>Prínosy - Agendové IS</vt:lpstr>
      <vt:lpstr>Parametre - Agendové IS</vt:lpstr>
      <vt:lpstr>PPA statistiky 2023</vt:lpstr>
      <vt:lpstr>MODULY_CBA</vt:lpstr>
      <vt:lpstr>Parametre_ECF_TCF</vt:lpstr>
      <vt:lpstr>INKREMENTY</vt:lpstr>
      <vt:lpstr>PIVOT_Poziadavky</vt:lpstr>
      <vt:lpstr>PODAktivity_Parametrizacia</vt:lpstr>
      <vt:lpstr>PODAktivity_Alokacie</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ZIADOST</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Aktivity</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Juraj Paulen</cp:lastModifiedBy>
  <cp:revision/>
  <dcterms:created xsi:type="dcterms:W3CDTF">2015-01-29T13:50:20Z</dcterms:created>
  <dcterms:modified xsi:type="dcterms:W3CDTF">2025-03-19T05:16:58Z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0x010100F517348EE8A071498C646D6EB5C561CD</vt:lpwstr>
  </property>
  <property fmtid="{D5CDD505-2E9C-101B-9397-08002B2CF9AE}" pid="3" name="MediaServiceImageTags">
    <vt:lpwstr/>
  </property>
</Properties>
</file>